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6"/>
  <workbookPr defaultThemeVersion="124226"/>
  <mc:AlternateContent xmlns:mc="http://schemas.openxmlformats.org/markup-compatibility/2006">
    <mc:Choice Requires="x15">
      <x15ac:absPath xmlns:x15ac="http://schemas.microsoft.com/office/spreadsheetml/2010/11/ac" url="/Users/louisaqiu/Downloads/"/>
    </mc:Choice>
  </mc:AlternateContent>
  <xr:revisionPtr revIDLastSave="0" documentId="13_ncr:1_{85263519-D69D-3C43-AC1E-679927087BA1}" xr6:coauthVersionLast="47" xr6:coauthVersionMax="47" xr10:uidLastSave="{00000000-0000-0000-0000-000000000000}"/>
  <bookViews>
    <workbookView xWindow="0" yWindow="660" windowWidth="29400" windowHeight="18460" firstSheet="8" activeTab="15" xr2:uid="{00000000-000D-0000-FFFF-FFFF00000000}"/>
  </bookViews>
  <sheets>
    <sheet name="Cover" sheetId="1" r:id="rId1"/>
    <sheet name="── Charts ──" sheetId="2" r:id="rId2"/>
    <sheet name="CT Charts" sheetId="3" r:id="rId3"/>
    <sheet name="FDA Charts" sheetId="4" r:id="rId4"/>
    <sheet name="_MTS_ChartData" sheetId="5" state="hidden" r:id="rId5"/>
    <sheet name="MTS Charts" sheetId="6" r:id="rId6"/>
    <sheet name="── Summary ──" sheetId="7" r:id="rId7"/>
    <sheet name="Summary Statistics" sheetId="8" r:id="rId8"/>
    <sheet name="Summary Statistics - Enrollment" sheetId="9" r:id="rId9"/>
    <sheet name="FDA Approval Summary" sheetId="10" r:id="rId10"/>
    <sheet name="MTS Summary Statistics" sheetId="11" r:id="rId11"/>
    <sheet name="── Database ──" sheetId="12" r:id="rId12"/>
    <sheet name="Trial Database" sheetId="13" r:id="rId13"/>
    <sheet name="Novel Approval Database" sheetId="14" r:id="rId14"/>
    <sheet name="Biosimilar Approval Database" sheetId="15" r:id="rId15"/>
    <sheet name="MTS Database" sheetId="16" r:id="rId16"/>
  </sheets>
  <definedNames>
    <definedName name="_xlnm._FilterDatabase" localSheetId="14" hidden="1">'Biosimilar Approval Database'!$A$2:$H$39</definedName>
    <definedName name="_xlnm._FilterDatabase" localSheetId="15" hidden="1">'MTS Database'!$A$1:$I$39</definedName>
    <definedName name="_xlnm._FilterDatabase" localSheetId="13" hidden="1">'Novel Approval Database'!$A$2:$J$125</definedName>
    <definedName name="_xlnm._FilterDatabase" localSheetId="12" hidden="1">'Trial Database'!$A$1:$K$9253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11" l="1"/>
  <c r="B46" i="11"/>
  <c r="D46" i="11" s="1"/>
  <c r="B45" i="11"/>
  <c r="D45" i="11" s="1"/>
  <c r="B44" i="11"/>
  <c r="D44" i="11" s="1"/>
  <c r="B43" i="11"/>
  <c r="D43" i="11" s="1"/>
  <c r="B42" i="11"/>
  <c r="D42" i="11" s="1"/>
  <c r="B41" i="11"/>
  <c r="D41" i="11" s="1"/>
  <c r="B40" i="11"/>
  <c r="D40" i="11" s="1"/>
  <c r="B39" i="11"/>
  <c r="D39" i="11" s="1"/>
  <c r="B38" i="11"/>
  <c r="D38" i="11" s="1"/>
  <c r="B37" i="11"/>
  <c r="D37" i="11" s="1"/>
  <c r="B36" i="11"/>
  <c r="D36" i="11" s="1"/>
  <c r="B35" i="11"/>
  <c r="D35" i="11" s="1"/>
  <c r="B34" i="11"/>
  <c r="D34" i="11" s="1"/>
  <c r="B33" i="11"/>
  <c r="D33" i="11" s="1"/>
  <c r="B32" i="11"/>
  <c r="D32" i="11" s="1"/>
  <c r="B31" i="11"/>
  <c r="D31" i="11" s="1"/>
  <c r="B30" i="11"/>
  <c r="D30" i="11" s="1"/>
  <c r="B29" i="11"/>
  <c r="D29" i="11" s="1"/>
  <c r="B28" i="11"/>
  <c r="D28" i="11" s="1"/>
  <c r="B27" i="11"/>
  <c r="D27" i="11" s="1"/>
  <c r="B26" i="11"/>
  <c r="D26" i="11" s="1"/>
  <c r="B25" i="11"/>
  <c r="D25" i="11" s="1"/>
  <c r="B24" i="11"/>
  <c r="D24" i="11" s="1"/>
  <c r="B23" i="11"/>
  <c r="D23" i="11" s="1"/>
  <c r="B22" i="11"/>
  <c r="D22" i="11" s="1"/>
  <c r="B21" i="11"/>
  <c r="B47" i="11" s="1"/>
  <c r="C6" i="11"/>
  <c r="B6" i="11"/>
  <c r="B7" i="11" s="1"/>
  <c r="C5" i="11"/>
  <c r="B5" i="11"/>
  <c r="C4" i="11"/>
  <c r="B4" i="11"/>
  <c r="C3" i="11"/>
  <c r="B3" i="11"/>
  <c r="C74" i="10"/>
  <c r="B74" i="10"/>
  <c r="F74" i="10" s="1"/>
  <c r="C73" i="10"/>
  <c r="D73" i="10" s="1"/>
  <c r="B73" i="10"/>
  <c r="E74" i="10" s="1"/>
  <c r="D72" i="10"/>
  <c r="C72" i="10"/>
  <c r="B72" i="10"/>
  <c r="F72" i="10" s="1"/>
  <c r="C71" i="10"/>
  <c r="B71" i="10"/>
  <c r="D71" i="10" s="1"/>
  <c r="C70" i="10"/>
  <c r="B70" i="10"/>
  <c r="E71" i="10" s="1"/>
  <c r="F69" i="10"/>
  <c r="D69" i="10"/>
  <c r="C69" i="10"/>
  <c r="B69" i="10"/>
  <c r="E70" i="10" s="1"/>
  <c r="F68" i="10"/>
  <c r="C68" i="10"/>
  <c r="D68" i="10" s="1"/>
  <c r="B68" i="10"/>
  <c r="E69" i="10" s="1"/>
  <c r="F67" i="10"/>
  <c r="C67" i="10"/>
  <c r="D67" i="10" s="1"/>
  <c r="B67" i="10"/>
  <c r="E68" i="10" s="1"/>
  <c r="C66" i="10"/>
  <c r="D66" i="10" s="1"/>
  <c r="B66" i="10"/>
  <c r="F66" i="10" s="1"/>
  <c r="C65" i="10"/>
  <c r="B65" i="10"/>
  <c r="E66" i="10" s="1"/>
  <c r="D64" i="10"/>
  <c r="C64" i="10"/>
  <c r="B64" i="10"/>
  <c r="F64" i="10" s="1"/>
  <c r="D63" i="10"/>
  <c r="C63" i="10"/>
  <c r="B63" i="10"/>
  <c r="E64" i="10" s="1"/>
  <c r="F62" i="10"/>
  <c r="D62" i="10"/>
  <c r="C62" i="10"/>
  <c r="B62" i="10"/>
  <c r="E63" i="10" s="1"/>
  <c r="F61" i="10"/>
  <c r="C61" i="10"/>
  <c r="D61" i="10" s="1"/>
  <c r="B61" i="10"/>
  <c r="E62" i="10" s="1"/>
  <c r="F60" i="10"/>
  <c r="C60" i="10"/>
  <c r="D60" i="10" s="1"/>
  <c r="B60" i="10"/>
  <c r="E61" i="10" s="1"/>
  <c r="C59" i="10"/>
  <c r="D59" i="10" s="1"/>
  <c r="B59" i="10"/>
  <c r="F59" i="10" s="1"/>
  <c r="C58" i="10"/>
  <c r="D58" i="10" s="1"/>
  <c r="B58" i="10"/>
  <c r="F58" i="10" s="1"/>
  <c r="C57" i="10"/>
  <c r="B57" i="10"/>
  <c r="E58" i="10" s="1"/>
  <c r="D56" i="10"/>
  <c r="C56" i="10"/>
  <c r="B56" i="10"/>
  <c r="F56" i="10" s="1"/>
  <c r="D55" i="10"/>
  <c r="C55" i="10"/>
  <c r="B55" i="10"/>
  <c r="E56" i="10" s="1"/>
  <c r="F54" i="10"/>
  <c r="D54" i="10"/>
  <c r="C54" i="10"/>
  <c r="B54" i="10"/>
  <c r="E55" i="10" s="1"/>
  <c r="F53" i="10"/>
  <c r="C53" i="10"/>
  <c r="D53" i="10" s="1"/>
  <c r="B53" i="10"/>
  <c r="E54" i="10" s="1"/>
  <c r="F52" i="10"/>
  <c r="C52" i="10"/>
  <c r="D52" i="10" s="1"/>
  <c r="B52" i="10"/>
  <c r="E53" i="10" s="1"/>
  <c r="C51" i="10"/>
  <c r="D51" i="10" s="1"/>
  <c r="B51" i="10"/>
  <c r="F51" i="10" s="1"/>
  <c r="E50" i="10"/>
  <c r="C50" i="10"/>
  <c r="D50" i="10" s="1"/>
  <c r="B50" i="10"/>
  <c r="F50" i="10" s="1"/>
  <c r="F49" i="10"/>
  <c r="D49" i="10"/>
  <c r="C49" i="10"/>
  <c r="B49" i="10"/>
  <c r="B45" i="10"/>
  <c r="B44" i="10"/>
  <c r="B43" i="10"/>
  <c r="B42" i="10"/>
  <c r="F37" i="10"/>
  <c r="G37" i="10" s="1"/>
  <c r="D37" i="10"/>
  <c r="C37" i="10"/>
  <c r="B37" i="10"/>
  <c r="E37" i="10" s="1"/>
  <c r="F36" i="10"/>
  <c r="D36" i="10"/>
  <c r="C36" i="10"/>
  <c r="E36" i="10" s="1"/>
  <c r="B36" i="10"/>
  <c r="I36" i="10" s="1"/>
  <c r="J36" i="10" s="1"/>
  <c r="F35" i="10"/>
  <c r="G35" i="10" s="1"/>
  <c r="E35" i="10"/>
  <c r="D35" i="10"/>
  <c r="C35" i="10"/>
  <c r="B35" i="10"/>
  <c r="I35" i="10" s="1"/>
  <c r="J35" i="10" s="1"/>
  <c r="I34" i="10"/>
  <c r="J34" i="10" s="1"/>
  <c r="F34" i="10"/>
  <c r="G34" i="10" s="1"/>
  <c r="D34" i="10"/>
  <c r="C34" i="10"/>
  <c r="E34" i="10" s="1"/>
  <c r="H35" i="10" s="1"/>
  <c r="B34" i="10"/>
  <c r="F33" i="10"/>
  <c r="D33" i="10"/>
  <c r="C33" i="10"/>
  <c r="B33" i="10"/>
  <c r="I33" i="10" s="1"/>
  <c r="J33" i="10" s="1"/>
  <c r="F32" i="10"/>
  <c r="D32" i="10"/>
  <c r="C32" i="10"/>
  <c r="I32" i="10" s="1"/>
  <c r="J32" i="10" s="1"/>
  <c r="B32" i="10"/>
  <c r="I31" i="10"/>
  <c r="J31" i="10" s="1"/>
  <c r="F31" i="10"/>
  <c r="D31" i="10"/>
  <c r="E31" i="10" s="1"/>
  <c r="C31" i="10"/>
  <c r="B31" i="10"/>
  <c r="F30" i="10"/>
  <c r="D30" i="10"/>
  <c r="C30" i="10"/>
  <c r="B30" i="10"/>
  <c r="E30" i="10" s="1"/>
  <c r="F29" i="10"/>
  <c r="D29" i="10"/>
  <c r="C29" i="10"/>
  <c r="B29" i="10"/>
  <c r="E29" i="10" s="1"/>
  <c r="H30" i="10" s="1"/>
  <c r="F28" i="10"/>
  <c r="D28" i="10"/>
  <c r="C28" i="10"/>
  <c r="B28" i="10"/>
  <c r="E28" i="10" s="1"/>
  <c r="F27" i="10"/>
  <c r="E27" i="10"/>
  <c r="D27" i="10"/>
  <c r="C27" i="10"/>
  <c r="B27" i="10"/>
  <c r="I27" i="10" s="1"/>
  <c r="J27" i="10" s="1"/>
  <c r="F26" i="10"/>
  <c r="D26" i="10"/>
  <c r="C26" i="10"/>
  <c r="I26" i="10" s="1"/>
  <c r="J26" i="10" s="1"/>
  <c r="B26" i="10"/>
  <c r="F25" i="10"/>
  <c r="D25" i="10"/>
  <c r="E25" i="10" s="1"/>
  <c r="C25" i="10"/>
  <c r="B25" i="10"/>
  <c r="I25" i="10" s="1"/>
  <c r="J25" i="10" s="1"/>
  <c r="F24" i="10"/>
  <c r="G24" i="10" s="1"/>
  <c r="E24" i="10"/>
  <c r="D24" i="10"/>
  <c r="C24" i="10"/>
  <c r="B24" i="10"/>
  <c r="I24" i="10" s="1"/>
  <c r="J24" i="10" s="1"/>
  <c r="I23" i="10"/>
  <c r="J23" i="10" s="1"/>
  <c r="F23" i="10"/>
  <c r="D23" i="10"/>
  <c r="C23" i="10"/>
  <c r="E23" i="10" s="1"/>
  <c r="H24" i="10" s="1"/>
  <c r="B23" i="10"/>
  <c r="F22" i="10"/>
  <c r="D22" i="10"/>
  <c r="C22" i="10"/>
  <c r="B22" i="10"/>
  <c r="E22" i="10" s="1"/>
  <c r="F21" i="10"/>
  <c r="G21" i="10" s="1"/>
  <c r="D21" i="10"/>
  <c r="C21" i="10"/>
  <c r="B21" i="10"/>
  <c r="E21" i="10" s="1"/>
  <c r="I20" i="10"/>
  <c r="J20" i="10" s="1"/>
  <c r="F20" i="10"/>
  <c r="D20" i="10"/>
  <c r="C20" i="10"/>
  <c r="B20" i="10"/>
  <c r="E20" i="10" s="1"/>
  <c r="H21" i="10" s="1"/>
  <c r="F19" i="10"/>
  <c r="D19" i="10"/>
  <c r="C19" i="10"/>
  <c r="B19" i="10"/>
  <c r="I19" i="10" s="1"/>
  <c r="J19" i="10" s="1"/>
  <c r="F18" i="10"/>
  <c r="D18" i="10"/>
  <c r="C18" i="10"/>
  <c r="E18" i="10" s="1"/>
  <c r="B18" i="10"/>
  <c r="I18" i="10" s="1"/>
  <c r="J18" i="10" s="1"/>
  <c r="I17" i="10"/>
  <c r="J17" i="10" s="1"/>
  <c r="F17" i="10"/>
  <c r="G17" i="10" s="1"/>
  <c r="D17" i="10"/>
  <c r="E17" i="10" s="1"/>
  <c r="C17" i="10"/>
  <c r="B17" i="10"/>
  <c r="F16" i="10"/>
  <c r="G16" i="10" s="1"/>
  <c r="E16" i="10"/>
  <c r="H17" i="10" s="1"/>
  <c r="D16" i="10"/>
  <c r="C16" i="10"/>
  <c r="B16" i="10"/>
  <c r="I16" i="10" s="1"/>
  <c r="J16" i="10" s="1"/>
  <c r="F15" i="10"/>
  <c r="G15" i="10" s="1"/>
  <c r="D15" i="10"/>
  <c r="C15" i="10"/>
  <c r="E15" i="10" s="1"/>
  <c r="H16" i="10" s="1"/>
  <c r="B15" i="10"/>
  <c r="I14" i="10"/>
  <c r="J14" i="10" s="1"/>
  <c r="F14" i="10"/>
  <c r="D14" i="10"/>
  <c r="C14" i="10"/>
  <c r="B14" i="10"/>
  <c r="E14" i="10" s="1"/>
  <c r="I13" i="10"/>
  <c r="J13" i="10" s="1"/>
  <c r="F13" i="10"/>
  <c r="D13" i="10"/>
  <c r="C13" i="10"/>
  <c r="B13" i="10"/>
  <c r="E13" i="10" s="1"/>
  <c r="I12" i="10"/>
  <c r="J12" i="10" s="1"/>
  <c r="F12" i="10"/>
  <c r="D12" i="10"/>
  <c r="C12" i="10"/>
  <c r="B12" i="10"/>
  <c r="E12" i="10" s="1"/>
  <c r="C8" i="10"/>
  <c r="B8" i="10"/>
  <c r="C7" i="10"/>
  <c r="B7" i="10"/>
  <c r="D7" i="10" s="1"/>
  <c r="C6" i="10"/>
  <c r="B6" i="10"/>
  <c r="D6" i="10" s="1"/>
  <c r="D5" i="10"/>
  <c r="C5" i="10"/>
  <c r="B5" i="10"/>
  <c r="J43" i="9"/>
  <c r="H43" i="9"/>
  <c r="G43" i="9"/>
  <c r="F43" i="9"/>
  <c r="E43" i="9"/>
  <c r="D43" i="9"/>
  <c r="C43" i="9"/>
  <c r="B43" i="9"/>
  <c r="I43" i="9" s="1"/>
  <c r="K43" i="9" s="1"/>
  <c r="J42" i="9"/>
  <c r="H42" i="9"/>
  <c r="I42" i="9" s="1"/>
  <c r="G42" i="9"/>
  <c r="F42" i="9"/>
  <c r="E42" i="9"/>
  <c r="D42" i="9"/>
  <c r="C42" i="9"/>
  <c r="B42" i="9"/>
  <c r="J41" i="9"/>
  <c r="K41" i="9" s="1"/>
  <c r="H41" i="9"/>
  <c r="G41" i="9"/>
  <c r="F41" i="9"/>
  <c r="E41" i="9"/>
  <c r="D41" i="9"/>
  <c r="C41" i="9"/>
  <c r="B41" i="9"/>
  <c r="I41" i="9" s="1"/>
  <c r="J40" i="9"/>
  <c r="K40" i="9" s="1"/>
  <c r="H40" i="9"/>
  <c r="G40" i="9"/>
  <c r="F40" i="9"/>
  <c r="E40" i="9"/>
  <c r="D40" i="9"/>
  <c r="I40" i="9" s="1"/>
  <c r="C40" i="9"/>
  <c r="B40" i="9"/>
  <c r="J39" i="9"/>
  <c r="H39" i="9"/>
  <c r="G39" i="9"/>
  <c r="F39" i="9"/>
  <c r="E39" i="9"/>
  <c r="D39" i="9"/>
  <c r="C39" i="9"/>
  <c r="B39" i="9"/>
  <c r="I39" i="9" s="1"/>
  <c r="K39" i="9" s="1"/>
  <c r="J38" i="9"/>
  <c r="K38" i="9" s="1"/>
  <c r="I38" i="9"/>
  <c r="H38" i="9"/>
  <c r="G38" i="9"/>
  <c r="F38" i="9"/>
  <c r="E38" i="9"/>
  <c r="D38" i="9"/>
  <c r="C38" i="9"/>
  <c r="B38" i="9"/>
  <c r="J37" i="9"/>
  <c r="H37" i="9"/>
  <c r="G37" i="9"/>
  <c r="F37" i="9"/>
  <c r="E37" i="9"/>
  <c r="D37" i="9"/>
  <c r="C37" i="9"/>
  <c r="B37" i="9"/>
  <c r="I37" i="9" s="1"/>
  <c r="K37" i="9" s="1"/>
  <c r="J36" i="9"/>
  <c r="K36" i="9" s="1"/>
  <c r="H36" i="9"/>
  <c r="G36" i="9"/>
  <c r="F36" i="9"/>
  <c r="E36" i="9"/>
  <c r="D36" i="9"/>
  <c r="I36" i="9" s="1"/>
  <c r="C36" i="9"/>
  <c r="B36" i="9"/>
  <c r="J35" i="9"/>
  <c r="H35" i="9"/>
  <c r="G35" i="9"/>
  <c r="F35" i="9"/>
  <c r="E35" i="9"/>
  <c r="D35" i="9"/>
  <c r="C35" i="9"/>
  <c r="B35" i="9"/>
  <c r="I35" i="9" s="1"/>
  <c r="K35" i="9" s="1"/>
  <c r="J34" i="9"/>
  <c r="K34" i="9" s="1"/>
  <c r="I34" i="9"/>
  <c r="H34" i="9"/>
  <c r="G34" i="9"/>
  <c r="F34" i="9"/>
  <c r="E34" i="9"/>
  <c r="D34" i="9"/>
  <c r="C34" i="9"/>
  <c r="B34" i="9"/>
  <c r="J33" i="9"/>
  <c r="H33" i="9"/>
  <c r="G33" i="9"/>
  <c r="F33" i="9"/>
  <c r="E33" i="9"/>
  <c r="D33" i="9"/>
  <c r="C33" i="9"/>
  <c r="B33" i="9"/>
  <c r="I33" i="9" s="1"/>
  <c r="K33" i="9" s="1"/>
  <c r="J32" i="9"/>
  <c r="K32" i="9" s="1"/>
  <c r="H32" i="9"/>
  <c r="G32" i="9"/>
  <c r="F32" i="9"/>
  <c r="E32" i="9"/>
  <c r="D32" i="9"/>
  <c r="I32" i="9" s="1"/>
  <c r="C32" i="9"/>
  <c r="B32" i="9"/>
  <c r="J31" i="9"/>
  <c r="H31" i="9"/>
  <c r="G31" i="9"/>
  <c r="F31" i="9"/>
  <c r="E31" i="9"/>
  <c r="D31" i="9"/>
  <c r="C31" i="9"/>
  <c r="B31" i="9"/>
  <c r="I31" i="9" s="1"/>
  <c r="K31" i="9" s="1"/>
  <c r="J30" i="9"/>
  <c r="H30" i="9"/>
  <c r="I30" i="9" s="1"/>
  <c r="G30" i="9"/>
  <c r="F30" i="9"/>
  <c r="E30" i="9"/>
  <c r="D30" i="9"/>
  <c r="C30" i="9"/>
  <c r="B30" i="9"/>
  <c r="J29" i="9"/>
  <c r="K29" i="9" s="1"/>
  <c r="H29" i="9"/>
  <c r="G29" i="9"/>
  <c r="F29" i="9"/>
  <c r="E29" i="9"/>
  <c r="D29" i="9"/>
  <c r="C29" i="9"/>
  <c r="B29" i="9"/>
  <c r="I29" i="9" s="1"/>
  <c r="J28" i="9"/>
  <c r="K28" i="9" s="1"/>
  <c r="H28" i="9"/>
  <c r="G28" i="9"/>
  <c r="F28" i="9"/>
  <c r="E28" i="9"/>
  <c r="D28" i="9"/>
  <c r="I28" i="9" s="1"/>
  <c r="C28" i="9"/>
  <c r="B28" i="9"/>
  <c r="J27" i="9"/>
  <c r="H27" i="9"/>
  <c r="G27" i="9"/>
  <c r="F27" i="9"/>
  <c r="E27" i="9"/>
  <c r="D27" i="9"/>
  <c r="C27" i="9"/>
  <c r="B27" i="9"/>
  <c r="I27" i="9" s="1"/>
  <c r="K27" i="9" s="1"/>
  <c r="J26" i="9"/>
  <c r="K26" i="9" s="1"/>
  <c r="I26" i="9"/>
  <c r="H26" i="9"/>
  <c r="G26" i="9"/>
  <c r="F26" i="9"/>
  <c r="E26" i="9"/>
  <c r="D26" i="9"/>
  <c r="C26" i="9"/>
  <c r="B26" i="9"/>
  <c r="J25" i="9"/>
  <c r="H25" i="9"/>
  <c r="G25" i="9"/>
  <c r="F25" i="9"/>
  <c r="E25" i="9"/>
  <c r="D25" i="9"/>
  <c r="C25" i="9"/>
  <c r="B25" i="9"/>
  <c r="I25" i="9" s="1"/>
  <c r="K25" i="9" s="1"/>
  <c r="J24" i="9"/>
  <c r="K24" i="9" s="1"/>
  <c r="H24" i="9"/>
  <c r="G24" i="9"/>
  <c r="F24" i="9"/>
  <c r="E24" i="9"/>
  <c r="D24" i="9"/>
  <c r="I24" i="9" s="1"/>
  <c r="C24" i="9"/>
  <c r="B24" i="9"/>
  <c r="J23" i="9"/>
  <c r="H23" i="9"/>
  <c r="G23" i="9"/>
  <c r="F23" i="9"/>
  <c r="E23" i="9"/>
  <c r="D23" i="9"/>
  <c r="C23" i="9"/>
  <c r="B23" i="9"/>
  <c r="I23" i="9" s="1"/>
  <c r="K23" i="9" s="1"/>
  <c r="J22" i="9"/>
  <c r="K22" i="9" s="1"/>
  <c r="H22" i="9"/>
  <c r="I22" i="9" s="1"/>
  <c r="G22" i="9"/>
  <c r="F22" i="9"/>
  <c r="E22" i="9"/>
  <c r="D22" i="9"/>
  <c r="C22" i="9"/>
  <c r="B22" i="9"/>
  <c r="J21" i="9"/>
  <c r="K21" i="9" s="1"/>
  <c r="H21" i="9"/>
  <c r="G21" i="9"/>
  <c r="F21" i="9"/>
  <c r="E21" i="9"/>
  <c r="D21" i="9"/>
  <c r="C21" i="9"/>
  <c r="B21" i="9"/>
  <c r="I21" i="9" s="1"/>
  <c r="J20" i="9"/>
  <c r="K20" i="9" s="1"/>
  <c r="H20" i="9"/>
  <c r="G20" i="9"/>
  <c r="F20" i="9"/>
  <c r="E20" i="9"/>
  <c r="D20" i="9"/>
  <c r="I20" i="9" s="1"/>
  <c r="C20" i="9"/>
  <c r="B20" i="9"/>
  <c r="J19" i="9"/>
  <c r="H19" i="9"/>
  <c r="G19" i="9"/>
  <c r="F19" i="9"/>
  <c r="E19" i="9"/>
  <c r="D19" i="9"/>
  <c r="C19" i="9"/>
  <c r="B19" i="9"/>
  <c r="I19" i="9" s="1"/>
  <c r="K19" i="9" s="1"/>
  <c r="J18" i="9"/>
  <c r="K18" i="9" s="1"/>
  <c r="H18" i="9"/>
  <c r="I18" i="9" s="1"/>
  <c r="G18" i="9"/>
  <c r="F18" i="9"/>
  <c r="E18" i="9"/>
  <c r="D18" i="9"/>
  <c r="C18" i="9"/>
  <c r="B18" i="9"/>
  <c r="H4" i="9"/>
  <c r="I4" i="9" s="1"/>
  <c r="G4" i="9"/>
  <c r="G5" i="9" s="1"/>
  <c r="F4" i="9"/>
  <c r="F5" i="9" s="1"/>
  <c r="E4" i="9"/>
  <c r="E5" i="9" s="1"/>
  <c r="D4" i="9"/>
  <c r="D5" i="9" s="1"/>
  <c r="C4" i="9"/>
  <c r="C5" i="9" s="1"/>
  <c r="B4" i="9"/>
  <c r="B5" i="9" s="1"/>
  <c r="H3" i="9"/>
  <c r="I3" i="9" s="1"/>
  <c r="G3" i="9"/>
  <c r="F3" i="9"/>
  <c r="E3" i="9"/>
  <c r="D3" i="9"/>
  <c r="C3" i="9"/>
  <c r="B3" i="9"/>
  <c r="H2" i="9"/>
  <c r="I2" i="9" s="1"/>
  <c r="G2" i="9"/>
  <c r="F2" i="9"/>
  <c r="E2" i="9"/>
  <c r="D2" i="9"/>
  <c r="C2" i="9"/>
  <c r="B2" i="9"/>
  <c r="J43" i="8"/>
  <c r="K43" i="8" s="1"/>
  <c r="H43" i="8"/>
  <c r="G43" i="8"/>
  <c r="F43" i="8"/>
  <c r="E43" i="8"/>
  <c r="D43" i="8"/>
  <c r="C43" i="8"/>
  <c r="B43" i="8"/>
  <c r="I43" i="8" s="1"/>
  <c r="J42" i="8"/>
  <c r="K42" i="8" s="1"/>
  <c r="H42" i="8"/>
  <c r="G42" i="8"/>
  <c r="F42" i="8"/>
  <c r="E42" i="8"/>
  <c r="D42" i="8"/>
  <c r="I42" i="8" s="1"/>
  <c r="C42" i="8"/>
  <c r="B42" i="8"/>
  <c r="J41" i="8"/>
  <c r="H41" i="8"/>
  <c r="G41" i="8"/>
  <c r="F41" i="8"/>
  <c r="E41" i="8"/>
  <c r="D41" i="8"/>
  <c r="C41" i="8"/>
  <c r="B41" i="8"/>
  <c r="I41" i="8" s="1"/>
  <c r="K41" i="8" s="1"/>
  <c r="J40" i="8"/>
  <c r="H40" i="8"/>
  <c r="I40" i="8" s="1"/>
  <c r="G40" i="8"/>
  <c r="F40" i="8"/>
  <c r="E40" i="8"/>
  <c r="D40" i="8"/>
  <c r="C40" i="8"/>
  <c r="B40" i="8"/>
  <c r="J39" i="8"/>
  <c r="K39" i="8" s="1"/>
  <c r="H39" i="8"/>
  <c r="G39" i="8"/>
  <c r="F39" i="8"/>
  <c r="E39" i="8"/>
  <c r="D39" i="8"/>
  <c r="C39" i="8"/>
  <c r="B39" i="8"/>
  <c r="I39" i="8" s="1"/>
  <c r="J38" i="8"/>
  <c r="K38" i="8" s="1"/>
  <c r="H38" i="8"/>
  <c r="G38" i="8"/>
  <c r="F38" i="8"/>
  <c r="E38" i="8"/>
  <c r="D38" i="8"/>
  <c r="I38" i="8" s="1"/>
  <c r="C38" i="8"/>
  <c r="B38" i="8"/>
  <c r="J37" i="8"/>
  <c r="H37" i="8"/>
  <c r="G37" i="8"/>
  <c r="F37" i="8"/>
  <c r="E37" i="8"/>
  <c r="D37" i="8"/>
  <c r="C37" i="8"/>
  <c r="B37" i="8"/>
  <c r="I37" i="8" s="1"/>
  <c r="K37" i="8" s="1"/>
  <c r="J36" i="8"/>
  <c r="H36" i="8"/>
  <c r="I36" i="8" s="1"/>
  <c r="G36" i="8"/>
  <c r="F36" i="8"/>
  <c r="E36" i="8"/>
  <c r="D36" i="8"/>
  <c r="C36" i="8"/>
  <c r="B36" i="8"/>
  <c r="J35" i="8"/>
  <c r="K35" i="8" s="1"/>
  <c r="H35" i="8"/>
  <c r="G35" i="8"/>
  <c r="F35" i="8"/>
  <c r="E35" i="8"/>
  <c r="D35" i="8"/>
  <c r="C35" i="8"/>
  <c r="B35" i="8"/>
  <c r="I35" i="8" s="1"/>
  <c r="J34" i="8"/>
  <c r="K34" i="8" s="1"/>
  <c r="H34" i="8"/>
  <c r="G34" i="8"/>
  <c r="F34" i="8"/>
  <c r="E34" i="8"/>
  <c r="D34" i="8"/>
  <c r="I34" i="8" s="1"/>
  <c r="C34" i="8"/>
  <c r="B34" i="8"/>
  <c r="J33" i="8"/>
  <c r="H33" i="8"/>
  <c r="G33" i="8"/>
  <c r="F33" i="8"/>
  <c r="E33" i="8"/>
  <c r="D33" i="8"/>
  <c r="C33" i="8"/>
  <c r="B33" i="8"/>
  <c r="I33" i="8" s="1"/>
  <c r="K33" i="8" s="1"/>
  <c r="J32" i="8"/>
  <c r="H32" i="8"/>
  <c r="I32" i="8" s="1"/>
  <c r="G32" i="8"/>
  <c r="F32" i="8"/>
  <c r="E32" i="8"/>
  <c r="D32" i="8"/>
  <c r="C32" i="8"/>
  <c r="B32" i="8"/>
  <c r="J31" i="8"/>
  <c r="K31" i="8" s="1"/>
  <c r="H31" i="8"/>
  <c r="G31" i="8"/>
  <c r="F31" i="8"/>
  <c r="E31" i="8"/>
  <c r="D31" i="8"/>
  <c r="C31" i="8"/>
  <c r="B31" i="8"/>
  <c r="I31" i="8" s="1"/>
  <c r="J30" i="8"/>
  <c r="K30" i="8" s="1"/>
  <c r="H30" i="8"/>
  <c r="G30" i="8"/>
  <c r="F30" i="8"/>
  <c r="E30" i="8"/>
  <c r="D30" i="8"/>
  <c r="I30" i="8" s="1"/>
  <c r="C30" i="8"/>
  <c r="B30" i="8"/>
  <c r="J29" i="8"/>
  <c r="H29" i="8"/>
  <c r="G29" i="8"/>
  <c r="F29" i="8"/>
  <c r="E29" i="8"/>
  <c r="D29" i="8"/>
  <c r="C29" i="8"/>
  <c r="B29" i="8"/>
  <c r="I29" i="8" s="1"/>
  <c r="K29" i="8" s="1"/>
  <c r="J28" i="8"/>
  <c r="H28" i="8"/>
  <c r="I28" i="8" s="1"/>
  <c r="G28" i="8"/>
  <c r="F28" i="8"/>
  <c r="E28" i="8"/>
  <c r="D28" i="8"/>
  <c r="C28" i="8"/>
  <c r="B28" i="8"/>
  <c r="J27" i="8"/>
  <c r="K27" i="8" s="1"/>
  <c r="H27" i="8"/>
  <c r="G27" i="8"/>
  <c r="F27" i="8"/>
  <c r="E27" i="8"/>
  <c r="D27" i="8"/>
  <c r="C27" i="8"/>
  <c r="B27" i="8"/>
  <c r="I27" i="8" s="1"/>
  <c r="J26" i="8"/>
  <c r="K26" i="8" s="1"/>
  <c r="H26" i="8"/>
  <c r="G26" i="8"/>
  <c r="F26" i="8"/>
  <c r="E26" i="8"/>
  <c r="D26" i="8"/>
  <c r="I26" i="8" s="1"/>
  <c r="C26" i="8"/>
  <c r="B26" i="8"/>
  <c r="J25" i="8"/>
  <c r="H25" i="8"/>
  <c r="G25" i="8"/>
  <c r="F25" i="8"/>
  <c r="E25" i="8"/>
  <c r="D25" i="8"/>
  <c r="C25" i="8"/>
  <c r="B25" i="8"/>
  <c r="I25" i="8" s="1"/>
  <c r="K25" i="8" s="1"/>
  <c r="J24" i="8"/>
  <c r="H24" i="8"/>
  <c r="I24" i="8" s="1"/>
  <c r="G24" i="8"/>
  <c r="F24" i="8"/>
  <c r="E24" i="8"/>
  <c r="D24" i="8"/>
  <c r="C24" i="8"/>
  <c r="B24" i="8"/>
  <c r="J23" i="8"/>
  <c r="K23" i="8" s="1"/>
  <c r="H23" i="8"/>
  <c r="G23" i="8"/>
  <c r="F23" i="8"/>
  <c r="E23" i="8"/>
  <c r="D23" i="8"/>
  <c r="C23" i="8"/>
  <c r="B23" i="8"/>
  <c r="I23" i="8" s="1"/>
  <c r="J22" i="8"/>
  <c r="K22" i="8" s="1"/>
  <c r="H22" i="8"/>
  <c r="G22" i="8"/>
  <c r="F22" i="8"/>
  <c r="E22" i="8"/>
  <c r="D22" i="8"/>
  <c r="I22" i="8" s="1"/>
  <c r="C22" i="8"/>
  <c r="B22" i="8"/>
  <c r="J21" i="8"/>
  <c r="H21" i="8"/>
  <c r="G21" i="8"/>
  <c r="F21" i="8"/>
  <c r="E21" i="8"/>
  <c r="D21" i="8"/>
  <c r="C21" i="8"/>
  <c r="B21" i="8"/>
  <c r="I21" i="8" s="1"/>
  <c r="K21" i="8" s="1"/>
  <c r="J20" i="8"/>
  <c r="H20" i="8"/>
  <c r="I20" i="8" s="1"/>
  <c r="G20" i="8"/>
  <c r="F20" i="8"/>
  <c r="E20" i="8"/>
  <c r="D20" i="8"/>
  <c r="C20" i="8"/>
  <c r="B20" i="8"/>
  <c r="J19" i="8"/>
  <c r="K19" i="8" s="1"/>
  <c r="H19" i="8"/>
  <c r="G19" i="8"/>
  <c r="F19" i="8"/>
  <c r="E19" i="8"/>
  <c r="D19" i="8"/>
  <c r="C19" i="8"/>
  <c r="B19" i="8"/>
  <c r="I19" i="8" s="1"/>
  <c r="J18" i="8"/>
  <c r="K18" i="8" s="1"/>
  <c r="H18" i="8"/>
  <c r="G18" i="8"/>
  <c r="F18" i="8"/>
  <c r="E18" i="8"/>
  <c r="D18" i="8"/>
  <c r="I18" i="8" s="1"/>
  <c r="C18" i="8"/>
  <c r="B18" i="8"/>
  <c r="H4" i="8"/>
  <c r="H5" i="8" s="1"/>
  <c r="G4" i="8"/>
  <c r="G5" i="8" s="1"/>
  <c r="F4" i="8"/>
  <c r="F5" i="8" s="1"/>
  <c r="E4" i="8"/>
  <c r="E5" i="8" s="1"/>
  <c r="D4" i="8"/>
  <c r="I4" i="8" s="1"/>
  <c r="C4" i="8"/>
  <c r="C5" i="8" s="1"/>
  <c r="B4" i="8"/>
  <c r="B5" i="8" s="1"/>
  <c r="H3" i="8"/>
  <c r="G3" i="8"/>
  <c r="F3" i="8"/>
  <c r="E3" i="8"/>
  <c r="D3" i="8"/>
  <c r="I3" i="8" s="1"/>
  <c r="C3" i="8"/>
  <c r="B3" i="8"/>
  <c r="H2" i="8"/>
  <c r="G2" i="8"/>
  <c r="F2" i="8"/>
  <c r="E2" i="8"/>
  <c r="D2" i="8"/>
  <c r="I2" i="8" s="1"/>
  <c r="C2" i="8"/>
  <c r="B2" i="8"/>
  <c r="D8" i="10" l="1"/>
  <c r="G23" i="10"/>
  <c r="G36" i="10"/>
  <c r="H37" i="10"/>
  <c r="G13" i="10"/>
  <c r="H14" i="10"/>
  <c r="K20" i="8"/>
  <c r="K24" i="8"/>
  <c r="K28" i="8"/>
  <c r="K32" i="8"/>
  <c r="K36" i="8"/>
  <c r="K40" i="8"/>
  <c r="K42" i="9"/>
  <c r="H28" i="10"/>
  <c r="G12" i="10"/>
  <c r="H13" i="10"/>
  <c r="G18" i="10"/>
  <c r="G20" i="10"/>
  <c r="G29" i="10"/>
  <c r="G31" i="10"/>
  <c r="K30" i="9"/>
  <c r="H23" i="10"/>
  <c r="G22" i="10"/>
  <c r="G25" i="10"/>
  <c r="G28" i="10"/>
  <c r="H29" i="10"/>
  <c r="H31" i="10"/>
  <c r="G30" i="10"/>
  <c r="H15" i="10"/>
  <c r="G14" i="10"/>
  <c r="H18" i="10"/>
  <c r="H22" i="10"/>
  <c r="H25" i="10"/>
  <c r="H36" i="10"/>
  <c r="D47" i="11"/>
  <c r="H5" i="9"/>
  <c r="I5" i="9" s="1"/>
  <c r="I28" i="10"/>
  <c r="J28" i="10" s="1"/>
  <c r="E32" i="10"/>
  <c r="E52" i="10"/>
  <c r="F55" i="10"/>
  <c r="D57" i="10"/>
  <c r="E60" i="10"/>
  <c r="F63" i="10"/>
  <c r="D65" i="10"/>
  <c r="F71" i="10"/>
  <c r="I21" i="10"/>
  <c r="J21" i="10" s="1"/>
  <c r="I29" i="10"/>
  <c r="J29" i="10" s="1"/>
  <c r="E33" i="10"/>
  <c r="I37" i="10"/>
  <c r="J37" i="10" s="1"/>
  <c r="E57" i="10"/>
  <c r="E65" i="10"/>
  <c r="D70" i="10"/>
  <c r="E73" i="10"/>
  <c r="D5" i="8"/>
  <c r="I5" i="8" s="1"/>
  <c r="I22" i="10"/>
  <c r="J22" i="10" s="1"/>
  <c r="E26" i="10"/>
  <c r="H27" i="10" s="1"/>
  <c r="I30" i="10"/>
  <c r="J30" i="10" s="1"/>
  <c r="F57" i="10"/>
  <c r="F65" i="10"/>
  <c r="F73" i="10"/>
  <c r="D21" i="11"/>
  <c r="I15" i="10"/>
  <c r="J15" i="10" s="1"/>
  <c r="E19" i="10"/>
  <c r="H19" i="10" s="1"/>
  <c r="E51" i="10"/>
  <c r="E59" i="10"/>
  <c r="E67" i="10"/>
  <c r="F70" i="10"/>
  <c r="E72" i="10"/>
  <c r="G27" i="10"/>
  <c r="D74" i="10"/>
  <c r="H34" i="10" l="1"/>
  <c r="G33" i="10"/>
  <c r="H26" i="10"/>
  <c r="H33" i="10"/>
  <c r="G32" i="10"/>
  <c r="H20" i="10"/>
  <c r="G19" i="10"/>
  <c r="H32" i="10"/>
  <c r="G26" i="10"/>
</calcChain>
</file>

<file path=xl/sharedStrings.xml><?xml version="1.0" encoding="utf-8"?>
<sst xmlns="http://schemas.openxmlformats.org/spreadsheetml/2006/main" count="84700" uniqueCount="22045">
  <si>
    <t>Charts</t>
  </si>
  <si>
    <t>Summary</t>
  </si>
  <si>
    <t>Database</t>
  </si>
  <si>
    <t>NCT ID</t>
  </si>
  <si>
    <t>Title</t>
  </si>
  <si>
    <t>Sponsor</t>
  </si>
  <si>
    <t>Funder Type</t>
  </si>
  <si>
    <t>Phase</t>
  </si>
  <si>
    <t>Phase (Raw)</t>
  </si>
  <si>
    <t>Status</t>
  </si>
  <si>
    <t>Enrollment</t>
  </si>
  <si>
    <t>Enrollment Type</t>
  </si>
  <si>
    <t>Start Date</t>
  </si>
  <si>
    <t>Study Type</t>
  </si>
  <si>
    <t>NCT06191042</t>
  </si>
  <si>
    <t>A Study to Evaluate the Safety and Tolerability, and the Efficacy of Si-544 in Adults With Psoriasis Vulgaris or Psoriatic Arthritis</t>
  </si>
  <si>
    <t>selectION Therapeutics GmbH</t>
  </si>
  <si>
    <t>INDUSTRY</t>
  </si>
  <si>
    <t>Phase 1</t>
  </si>
  <si>
    <t>PHASE1</t>
  </si>
  <si>
    <t>COMPLETED</t>
  </si>
  <si>
    <t>ACTUAL</t>
  </si>
  <si>
    <t>INTERVENTIONAL</t>
  </si>
  <si>
    <t>NCT06214156</t>
  </si>
  <si>
    <t>A Clinical Study of T3011 in Subjects With Advanced Melanoma</t>
  </si>
  <si>
    <t>Shanghai Pharmaceuticals Holding Co., Ltd</t>
  </si>
  <si>
    <t>Phase 1/2</t>
  </si>
  <si>
    <t>PHASE1|PHASE2</t>
  </si>
  <si>
    <t>RECRUITING</t>
  </si>
  <si>
    <t>ESTIMATED</t>
  </si>
  <si>
    <t>NCT05546359</t>
  </si>
  <si>
    <t>Study of Intravenous Amisulpride for Prophylaxis of Post-operative Nausea and Vomiting (PONV) in Pediatric Patients</t>
  </si>
  <si>
    <t>Acacia Pharma Ltd</t>
  </si>
  <si>
    <t>Phase 2/3</t>
  </si>
  <si>
    <t>PHASE2|PHASE3</t>
  </si>
  <si>
    <t>NCT04967690</t>
  </si>
  <si>
    <t>A Dose Escalation Study to Estimate MTD, DLTs and Pharmacokinetics After a Single Intracranial Dose of SI-053 as an add-on to the Current Standard of Care, in Adult Patients With Newly Diagnosed GBM</t>
  </si>
  <si>
    <t>Double Bond Pharmaceutical AB</t>
  </si>
  <si>
    <t>UNKNOWN</t>
  </si>
  <si>
    <t>NCT06183931</t>
  </si>
  <si>
    <t>Study of ALXN2220 Versus Placebo in Adults With ATTR-CM</t>
  </si>
  <si>
    <t>Alexion Pharmaceuticals, Inc.</t>
  </si>
  <si>
    <t>Phase 3</t>
  </si>
  <si>
    <t>PHASE3</t>
  </si>
  <si>
    <t>ACTIVE_NOT_RECRUITING</t>
  </si>
  <si>
    <t>NCT06175065</t>
  </si>
  <si>
    <t>Safety, PK and PD Relationships of RLS-0071 in Patients With Acute Exacerbation of Chronic Obstructive Pulmonary Disease</t>
  </si>
  <si>
    <t>ReAlta Life Sciences, Inc.</t>
  </si>
  <si>
    <t>Phase 2</t>
  </si>
  <si>
    <t>PHASE2</t>
  </si>
  <si>
    <t>NCT06101173</t>
  </si>
  <si>
    <t>A Study to Evaluate the Safety and Immunogenicity of Recombinant Trivalent Poliomyelitis Vaccine (Sf-RVN Cell) in Healthy Adults</t>
  </si>
  <si>
    <t>CanSino Biologics Inc.</t>
  </si>
  <si>
    <t>NCT06719570</t>
  </si>
  <si>
    <t>A Study of Doravirine and Islatravir as a Single Entity or Combination Therapy and the Effect of Food in Healthy Adult Participants (MK-8591A-055)</t>
  </si>
  <si>
    <t>Merck Sharp &amp; Dohme LLC</t>
  </si>
  <si>
    <t>NCT06078566</t>
  </si>
  <si>
    <t>Long-Term Follow-Up Study of Unilateral Microtia Patients Implanted With AUR-201</t>
  </si>
  <si>
    <t>Auregen Biotherapeutics, SA</t>
  </si>
  <si>
    <t>TERMINATED</t>
  </si>
  <si>
    <t>NCT05527301</t>
  </si>
  <si>
    <t>HEM1036 Phase 2 Study in Low Anterior Resection Syndrome</t>
  </si>
  <si>
    <t>HEM Pharma Inc.</t>
  </si>
  <si>
    <t>NCT06004037</t>
  </si>
  <si>
    <t>Study to Evaluate the Efficacy of Delpazolid as Add-on Therapy in Refractory Mycobacterium Abscessus Complex</t>
  </si>
  <si>
    <t>LigaChem Biosciences, Inc.</t>
  </si>
  <si>
    <t>NCT06123494</t>
  </si>
  <si>
    <t>SHR-A1811 for Subjects With Her2-positive Gastric Cancer and Gastroesophageal Junction Adenocarcinoma After Progression on or After First-line Anti-HER2 Therapy-containing Regimen</t>
  </si>
  <si>
    <t>Jiangsu HengRui Medicine Co., Ltd.</t>
  </si>
  <si>
    <t>NCT06671548</t>
  </si>
  <si>
    <t>Efficacy &amp; Safety Study of Relugolix in Women With Heavy Menstrual Bleeding Associated With Uterine Fibroids</t>
  </si>
  <si>
    <t>Qilu Pharmaceutical Co., Ltd.</t>
  </si>
  <si>
    <t>NCT06004245</t>
  </si>
  <si>
    <t>A Study to Evaluate the Safety, Pharmacokinetics, and Anti-Tumor Activity of VVD-133214 as Monotherapy and in Combination With Pembrolizumab in Participants With Advanced Solid Tumors</t>
  </si>
  <si>
    <t>Vividion Therapeutics, Inc.</t>
  </si>
  <si>
    <t>NCT06264141</t>
  </si>
  <si>
    <t>Evaluation of Nitric Oxide Nasal Spray (NONS) for Treatment of Recurrent Acute Rhinosinusitis</t>
  </si>
  <si>
    <t>Sanotize Research and Development corp.</t>
  </si>
  <si>
    <t>NCT05854641</t>
  </si>
  <si>
    <t>Efficacy and Safety of Stempeucel® in Patients With Critical Limb Ischemia (CLI) Due to Peripheral Arterial Disease</t>
  </si>
  <si>
    <t>Cell Biopeutics Resources Sdn Bhd</t>
  </si>
  <si>
    <t>Phase 4</t>
  </si>
  <si>
    <t>PHASE4</t>
  </si>
  <si>
    <t>NCT06109272</t>
  </si>
  <si>
    <t>A Study to Assess the Dose, Adverse Events, and Change in Disease Activity of Livmoniplimab as an Intravenous (IV) Solution in Combination With Budigalimab as an IV Solution in Adult Participants With Hepatocellular Carcinoma (HCC)</t>
  </si>
  <si>
    <t>AbbVie</t>
  </si>
  <si>
    <t>NCT06262607</t>
  </si>
  <si>
    <t>A Study of CLE-400 (Topical Gel) for the Treatment of Chronic Pruritus in Adult Subjects With Notalgia Paresthetica</t>
  </si>
  <si>
    <t>Clexio Biosciences Ltd.</t>
  </si>
  <si>
    <t>NCT06089330</t>
  </si>
  <si>
    <t>A Study of JMT101 in Patients With Metastatic Colorectal Cancer</t>
  </si>
  <si>
    <t>Shanghai JMT-Bio Inc.</t>
  </si>
  <si>
    <t>NCT06254807</t>
  </si>
  <si>
    <t>CAR-monocytes for the Treatment of HER2 Overexpressing Solid Tumors</t>
  </si>
  <si>
    <t>Carisma Therapeutics Inc</t>
  </si>
  <si>
    <t>NCT06075095</t>
  </si>
  <si>
    <t>A Study to Investigate the Effect on Lung Function of an Approved COPD Treatment (BGF, With HFA Propellant) Compared to BGF Formulated With a Next-Generation Propellant in Participants 40 to 80 Years of Age With COPD</t>
  </si>
  <si>
    <t>AstraZeneca</t>
  </si>
  <si>
    <t>NCT03630081</t>
  </si>
  <si>
    <t>Study of Cefepime-tazobactam (FEP-TAZ) in Complicated Urinary Tract Infection (cUTI) or Acute Pyelonephritis (AP)</t>
  </si>
  <si>
    <t>Wockhardt</t>
  </si>
  <si>
    <t>NCT06198686</t>
  </si>
  <si>
    <t>An Evaluation of The Absolute Bioavailability of TH104</t>
  </si>
  <si>
    <t>Tharimmune Inc</t>
  </si>
  <si>
    <t>NCT06082843</t>
  </si>
  <si>
    <t>A Study to Test Whether Avenciguat Helps People With Liver Cirrhosis and High Blood Pressure in the Portal Vein (Main Vessel Going to the Liver) Who Had Bleeding in the Esophagus or Fluid Accumulation in the Belly</t>
  </si>
  <si>
    <t>Boehringer Ingelheim</t>
  </si>
  <si>
    <t>NCT06171789</t>
  </si>
  <si>
    <t>PRO1107 in Patients With Advanced Solid Tumors</t>
  </si>
  <si>
    <t>Genmab</t>
  </si>
  <si>
    <t>NCT06725992</t>
  </si>
  <si>
    <t>Study to Evaluate Pharmacokinetic and Pharmacodynamic Drug Interactions and Safety of IY-NS250 and IY-NT-SR</t>
  </si>
  <si>
    <t>Il-Yang Pharm. Co., Ltd.</t>
  </si>
  <si>
    <t>NCT05466747</t>
  </si>
  <si>
    <t>A Study of RYMPHYSIA for Alpha1-Proteinase Inhibitor (A1PI) Therapy in Adults With A1PI Deficiency and Chronic Obstructive Pulmonary Disease (COPD)-Emphysema</t>
  </si>
  <si>
    <t>Takeda</t>
  </si>
  <si>
    <t>WITHDRAWN</t>
  </si>
  <si>
    <t>NCT06904248</t>
  </si>
  <si>
    <t>Efficacy and Safety of Intravenous Meloxicam in Subjects With Moderate-to-severe Pain Following Abdominal Surgery</t>
  </si>
  <si>
    <t>Yangtze River Pharmaceutical Group Co., Ltd.</t>
  </si>
  <si>
    <t>NCT06191796</t>
  </si>
  <si>
    <t>Study of Zanzalintinib (XL092) + AB521 and Zanzalintinib + AB521 + Nivolumab in Participants With Advanced Clear Cell Renal Cell Carcinoma (ccRCC) or Other Advanced Solid Tumors (STELLAR-009)</t>
  </si>
  <si>
    <t>Exelixis</t>
  </si>
  <si>
    <t>NCT06249919</t>
  </si>
  <si>
    <t>A Phase 1b/2a, Study Evaluating the Safety, PK/PD and Efficacy of NS101 in Healthy Volunteers and SSNHL Patients</t>
  </si>
  <si>
    <t>Neuracle Science Co., LTD.</t>
  </si>
  <si>
    <t>NCT06244316</t>
  </si>
  <si>
    <t>A Safety and Efficacy Study of 2 Dosing Regimens of Recombinant Human Nerve Growth Factor (rhNGF) Eye Drop Solution Compared With Vehicle in Patients With Dry Eye Disease.</t>
  </si>
  <si>
    <t>Dompé Farmaceutici S.p.A</t>
  </si>
  <si>
    <t>NCT05967416</t>
  </si>
  <si>
    <t>Study of SIRPant-M in Participants With Relapsed or Refractory Non-Hodgkin's Lymphoma</t>
  </si>
  <si>
    <t>SIRPant Immunotherapeutics, Inc.</t>
  </si>
  <si>
    <t>NCT06211179</t>
  </si>
  <si>
    <t>A Study to Assess the Relative Bioavailability of 5 mg Mavacamten Opened Capsule Administered Via Nasogastric Tube Compared to Intact Oral 5 mg Mavacamten in Healthy Participants</t>
  </si>
  <si>
    <t>Bristol-Myers Squibb</t>
  </si>
  <si>
    <t>NCT06225596</t>
  </si>
  <si>
    <t>Study BT8009-230 in Participants With Locally Advanced or Metastatic Urothelial Cancer (Duravelo-2)</t>
  </si>
  <si>
    <t>BicycleTx Limited</t>
  </si>
  <si>
    <t>NCT06168383</t>
  </si>
  <si>
    <t>To Evaluate the Efficacy and Safety of HSK31679 in Chinese Patients With Non-Alcoholic Steatohepatitis (NASH) .</t>
  </si>
  <si>
    <t>Haisco Pharmaceutical Group Co., Ltd.</t>
  </si>
  <si>
    <t>NCT06223646</t>
  </si>
  <si>
    <t>A Study of KQ-2003 CAR-T Cell Therapy for Patients With Relapsed or Refractory Multiple Myeloma</t>
  </si>
  <si>
    <t>Novatim Immune Therapeutics (Zhejiang) Co., Ltd.</t>
  </si>
  <si>
    <t>NCT06104319</t>
  </si>
  <si>
    <t>Dose Exploration Study of GSK4532990 in. Participants With NASH or Suspected NASH</t>
  </si>
  <si>
    <t>GlaxoSmithKline</t>
  </si>
  <si>
    <t>NCT06205615</t>
  </si>
  <si>
    <t>Treatment of Post-Punch Biopsy Bleeding in Apixaban-Treated Patients Using Self-Administered BXP154B</t>
  </si>
  <si>
    <t>Bio 54, LLC</t>
  </si>
  <si>
    <t>NCT06214143</t>
  </si>
  <si>
    <t>A Clinical Study of T3011 in Combination With PD-1/PD-L1 Inhibitors in Subjects With Advanced Solid Tumors</t>
  </si>
  <si>
    <t>NCT06280209</t>
  </si>
  <si>
    <t>A Phase 1/2 Study to Assess the Safety, Tolerability, Pharmacokinetics, and Pharmacodynamics of BMN 351 in Participants With Duchenne Muscular Dystrophy</t>
  </si>
  <si>
    <t>BioMarin Pharmaceutical</t>
  </si>
  <si>
    <t>NCT06120816</t>
  </si>
  <si>
    <t>Nitric Oxide Releasing Mouthwash (NORM) for the Management of Oropharyngeal Candidiasis</t>
  </si>
  <si>
    <t>NCT06190899</t>
  </si>
  <si>
    <t>Gedatolisib in Combination With Darolutamide in Metastatic Castration-Resistant Prostate Cancer</t>
  </si>
  <si>
    <t>Celcuity Inc</t>
  </si>
  <si>
    <t>NCT06249529</t>
  </si>
  <si>
    <t>Airway Bypass - Safety and Feasibility Study</t>
  </si>
  <si>
    <t>Zoar Engelman</t>
  </si>
  <si>
    <t>Early Phase 1</t>
  </si>
  <si>
    <t>EARLY_PHASE1</t>
  </si>
  <si>
    <t>NCT06699329</t>
  </si>
  <si>
    <t>A Study of Enlicitide Decanoate (MK-0616) and Semaglutide in Healthy Adult Participants (MK-0616-023)</t>
  </si>
  <si>
    <t>NCT06244992</t>
  </si>
  <si>
    <t>PTT-936 Alone or in Combination in Patients With Locally Advanced or Metastatic Solid Tumors</t>
  </si>
  <si>
    <t>Pyrotech Therapeutics, Inc.</t>
  </si>
  <si>
    <t>NCT06167681</t>
  </si>
  <si>
    <t>The Safety, Tolerability and Efficacy of NouvNeu001 for Parkinson's Disease</t>
  </si>
  <si>
    <t>iRegene Therapeutics Co., Ltd.</t>
  </si>
  <si>
    <t>NCT05970263</t>
  </si>
  <si>
    <t>IKANOS: Breztri Maintenance Versus Any Non-Triple Inhaled Therapy After Hospitalization for a COPD Exacerbation in the US</t>
  </si>
  <si>
    <t>NCT06120075</t>
  </si>
  <si>
    <t>A Study of AB801 Monotherapy and Combination Therapy in Participants With Advanced Malignancies</t>
  </si>
  <si>
    <t>Arcus Biosciences, Inc.</t>
  </si>
  <si>
    <t>NCT06151561</t>
  </si>
  <si>
    <t>Study of AGN-151586 in Japanese Participants With Moderate to Severe Glabellar Lines</t>
  </si>
  <si>
    <t>NCT05592912</t>
  </si>
  <si>
    <t>Safety and Efficacy of HydroLenz for Vitrectomy-Induced Lens Opacities</t>
  </si>
  <si>
    <t>PromiSight, LLC</t>
  </si>
  <si>
    <t>NCT06210607</t>
  </si>
  <si>
    <t>A Trial of HS-10511 in Healthy Subjects</t>
  </si>
  <si>
    <t>Jiangsu Hansoh Pharmaceutical Co., Ltd.</t>
  </si>
  <si>
    <t>NCT06208410</t>
  </si>
  <si>
    <t>A Clinical Study of JS105 in Combination With Other Anti-tumor Therapies in Patients With Solid Tumors</t>
  </si>
  <si>
    <t>Risen (Suzhou) Pharma Tech Co., Ltd.</t>
  </si>
  <si>
    <t>NCT06268613</t>
  </si>
  <si>
    <t>A Study to Compare the Pharmacokinetics, Efficacy, Safety, and Immunogenicity of Pembrolizumab (SB27, EU Sourced Keytruda, and US Sourced Keytruda) in Subjects With Stage II-IIIA NSCLC Following Complete Resection and Adjuvant Platinum-based Chemotherapy</t>
  </si>
  <si>
    <t>Samsung Bioepis Co., Ltd.</t>
  </si>
  <si>
    <t>NCT06031584</t>
  </si>
  <si>
    <t>A Study of BL-M07D1 in Patients With a Variety of Solid Tumors Including Locally Advanced or Metastatic HER2-positive/Low-expressing Urinary and Gastrointestinal Tumors</t>
  </si>
  <si>
    <t>Sichuan Baili Pharmaceutical Co., Ltd.</t>
  </si>
  <si>
    <t>NCT05970172</t>
  </si>
  <si>
    <t>A Study of Roxadustat to Treat Anemia in Children and Teenagers With Chronic Kidney Disease</t>
  </si>
  <si>
    <t>Astellas Pharma Global Development, Inc.</t>
  </si>
  <si>
    <t>NCT06247657</t>
  </si>
  <si>
    <t>A Phase I Study to Assess the Safety and Tolerability of BL0006 for Patients With Advanced Solid Tumours</t>
  </si>
  <si>
    <t>Shanghai Best-Link Bioscience, LLC</t>
  </si>
  <si>
    <t>NCT06256328</t>
  </si>
  <si>
    <t>A Study to Investigate the Efficacy and Safety of ONO-4578 in Combination With Nivolumab and Chemotherapy in Chemotherapy-naïve Participants With HER2-negative Unresectable Advanced or Recurrent Gastric Cancer (Including Esophagogastric Junction Cancer)</t>
  </si>
  <si>
    <t>Ono Pharmaceutical Co. Ltd</t>
  </si>
  <si>
    <t>NCT06188208</t>
  </si>
  <si>
    <t>A First-in-Human (FIH) Study to Evaluate the Safety and Tolerability of VVD-130850 in Participants With Advanced Solid and Hematologic Tumors</t>
  </si>
  <si>
    <t>NCT06208306</t>
  </si>
  <si>
    <t>A Study to Investigate Long-term Safety and Tolerability of Itepekimab in Participants With COPD</t>
  </si>
  <si>
    <t>Sanofi</t>
  </si>
  <si>
    <t>NCT05115838</t>
  </si>
  <si>
    <t>Radiopaque Matrix MK-8591 Implant in Participants at Low-Risk for Human Immunodeficiency Virus Type 1 (HIV-1) Infection (MK-8591-043)</t>
  </si>
  <si>
    <t>NCT06237049</t>
  </si>
  <si>
    <t>A Study to Learn About a Combined COVID-19 and Influenza Shot in Healthy Adults</t>
  </si>
  <si>
    <t>Pfizer</t>
  </si>
  <si>
    <t>NCT05100641</t>
  </si>
  <si>
    <t>AV-GBM-1 vs Control as Adjunctive Therapy Following Surgery and RT/TMZ in Newly Diagnosed GBM</t>
  </si>
  <si>
    <t>Aivita Biomedical, Inc.</t>
  </si>
  <si>
    <t>NOT_YET_RECRUITING</t>
  </si>
  <si>
    <t>NCT06003387</t>
  </si>
  <si>
    <t>Efficacy and Safety of CSL222 (Etranacogene Dezaparvovec) Gene Therapy in Adults With Hemophilia B With Pretreatment Adeno-associated Virus Serotype 5 (AAV5) Neutralizing Antibodies (Nabs)</t>
  </si>
  <si>
    <t>CSL Behring</t>
  </si>
  <si>
    <t>NCT06132217</t>
  </si>
  <si>
    <t>A Study of Simmitinib Plus SG001 in Advanced Solid Tumors</t>
  </si>
  <si>
    <t>Shanghai Runshi Pharmaceutical Technology Co., Ltd</t>
  </si>
  <si>
    <t>NCT06447025</t>
  </si>
  <si>
    <t>An Open Label Extension Study of CTI-1601 in Subjects With Friedreich's Ataxia</t>
  </si>
  <si>
    <t>Larimar Therapeutics, Inc.</t>
  </si>
  <si>
    <t>ENROLLING_BY_INVITATION</t>
  </si>
  <si>
    <t>NCT07054970</t>
  </si>
  <si>
    <t>To Compare the Pharmacokinetics, Safety and Immunogenicity of CT-P55 and Cosentyx in Healthy Subjects</t>
  </si>
  <si>
    <t>Celltrion</t>
  </si>
  <si>
    <t>NCT05490680</t>
  </si>
  <si>
    <t>A New Sildenafil Oral Film in Patients With Erectile Dysfunction</t>
  </si>
  <si>
    <t>IBSA Institut Biochimique SA</t>
  </si>
  <si>
    <t>NCT06266299</t>
  </si>
  <si>
    <t>A Study of KK2269 in Adult Participants With Solid Tumors</t>
  </si>
  <si>
    <t>Kyowa Kirin Co., Ltd.</t>
  </si>
  <si>
    <t>NCT05355207</t>
  </si>
  <si>
    <t>Study to Evaluate Safety and Activity of TRL1068 in Chronic Rhinosinusitis</t>
  </si>
  <si>
    <t>Trellis Bioscience LLC</t>
  </si>
  <si>
    <t>NCT06173284</t>
  </si>
  <si>
    <t>Evaluation of 611(Recombinant Humanized Anti-interleukin-4 Receptor Alpha IgG4 Monoclonal Antibody) in Chinese Adults With Moderate to Severe Atopic Dermatitis</t>
  </si>
  <si>
    <t>Sunshine Guojian Pharmaceutical (Shanghai) Co., Ltd.</t>
  </si>
  <si>
    <t>NCT06192264</t>
  </si>
  <si>
    <t>A Study to Evaluate the Safety and Efficacy of ASC40 (Denifanstat) Tablets in the Treatment of Patients With Moderate to Severe Acne Vulgaris</t>
  </si>
  <si>
    <t>Ascletis Pharmaceuticals Co., Ltd.</t>
  </si>
  <si>
    <t>NCT06215144</t>
  </si>
  <si>
    <t>Study to Evaluate NRCT-101SR in Pediatric Subjects With ADHD</t>
  </si>
  <si>
    <t>Neurocentria, Inc.</t>
  </si>
  <si>
    <t>NCT05996835</t>
  </si>
  <si>
    <t>Phase 2b Study to Investigate the Safety and Efficacy of TIN816 in Sepsis-associated Acute Kidney Injury (CLEAR-AKI)</t>
  </si>
  <si>
    <t>Novartis Pharmaceuticals</t>
  </si>
  <si>
    <t>NCT06169319</t>
  </si>
  <si>
    <t>A Study to Assess Collagenase Clostridium Histolyticum (CCH) in the Treatment of Plantar Fasciitis (PFA)</t>
  </si>
  <si>
    <t>Endo Pharmaceuticals</t>
  </si>
  <si>
    <t>NCT06188507</t>
  </si>
  <si>
    <t>A First Time in Human Study to Evaluate the Safety and Tolerability of GSK3996401 Following Dosing With GSK4347859 in Healthy Participants</t>
  </si>
  <si>
    <t>SUSPENDED</t>
  </si>
  <si>
    <t>NCT06237296</t>
  </si>
  <si>
    <t>Study of the Safety and Immune Response of an Investigational mRNA Vaccine for the Prevention of Respiratory Syncytial Virus and/or Human Metapneumovirus in Participants Aged 18 to 49 Years and 60 Years and Older</t>
  </si>
  <si>
    <t>Sanofi Pasteur, a Sanofi Company</t>
  </si>
  <si>
    <t>NCT06079736</t>
  </si>
  <si>
    <t>A Study Of PGN-EDO51 In Participants With Duchenne Muscular Dystrophy Amenable To Exon 51-Skipping Treatment</t>
  </si>
  <si>
    <t>PepGen Inc</t>
  </si>
  <si>
    <t>NCT06151210</t>
  </si>
  <si>
    <t>Clinical Trial to Evaluate the Efficacy and Safety of DA-5219 in Patients With Acute or Chronic Gastritis</t>
  </si>
  <si>
    <t>Dong-A ST Co., Ltd.</t>
  </si>
  <si>
    <t>NCT05284214</t>
  </si>
  <si>
    <t>Sargramostim With Ipilimumab Containing Therapy in Patients With Solid Tumors</t>
  </si>
  <si>
    <t>Partner Therapeutics, Inc.</t>
  </si>
  <si>
    <t>NCT06183671</t>
  </si>
  <si>
    <t>JX09 SAD/MAD in Healthy Participants</t>
  </si>
  <si>
    <t>Ji Xing Pharmaceuticals Australia Pty Ltd</t>
  </si>
  <si>
    <t>NCT06216444</t>
  </si>
  <si>
    <t>A Study of Remimazolam Tosilate for Sedation in Non-intubated Diagnostic and Therapeutic Procedures</t>
  </si>
  <si>
    <t>NCT06262477</t>
  </si>
  <si>
    <t>A Study to Evaluate the Pharmacokinetics, Safety and Immunogenicity of BIIB800 Subcutaneously (SC) Compared to Actemra® in Healthy Male Participants</t>
  </si>
  <si>
    <t>Biogen</t>
  </si>
  <si>
    <t>NCT06229548</t>
  </si>
  <si>
    <t>A Single Ascending Dose Study to Evaluate the Safety, Tolerability, Pharmacokinetics and Pharmacodynamics of SYH2053</t>
  </si>
  <si>
    <t>CSPC Zhongnuo Pharmaceutical (Shijiazhuang) Co., Ltd.</t>
  </si>
  <si>
    <t>NCT06193187</t>
  </si>
  <si>
    <t>A Bioequivalence Study of Sacubitril/Valsartan Film-coated Tablets Under Fasting Conditions</t>
  </si>
  <si>
    <t>Dr. Reddy's Laboratories (Thailand) Limited</t>
  </si>
  <si>
    <t>NCT06221813</t>
  </si>
  <si>
    <t>Study to Evaluate Safety and Immunogenicity of a Prime-Boost Regimen of rVSV-Nipah Virus Vaccine Candidate PHV02 in Healthy Adult Subjects</t>
  </si>
  <si>
    <t>Public Health Vaccines LLC</t>
  </si>
  <si>
    <t>NCT07119242</t>
  </si>
  <si>
    <t>Evaluate the Diagnostic Efficacy, Pharmacokinetics and Safety of 68Ga-DOTATATE Injection PET/CT in NETs</t>
  </si>
  <si>
    <t>HTA Co., Ltd.</t>
  </si>
  <si>
    <t>NCT06099184</t>
  </si>
  <si>
    <t>Study of EYP-1901 in Patients With Diabetic Macular Edema (DME)</t>
  </si>
  <si>
    <t>EyePoint Pharmaceuticals, Inc.</t>
  </si>
  <si>
    <t>NCT06033586</t>
  </si>
  <si>
    <t>Study to Evaluate the Long-term Safety of Rusfertide (PTG-300) in Subjects With Polycythemia Vera</t>
  </si>
  <si>
    <t>Protagonist Therapeutics, Inc.</t>
  </si>
  <si>
    <t>NCT06167317</t>
  </si>
  <si>
    <t>Study of GS-0201 Alone and in Combination in Participants With Advanced Solid Tumors</t>
  </si>
  <si>
    <t>Gilead Sciences</t>
  </si>
  <si>
    <t>NCT06208150</t>
  </si>
  <si>
    <t>A Study Comparing Talquetamab Plus Pomalidomide, Talquetamab Plus Teclistamab, and Elotuzumab, Pomalidomide, and Dexamethasone or Pomalidomide, Bortezomib, and Dexamethasone in Participants With Relapsed or Refractory Myeloma Who Have Received an Anti-CD38 Antibody and Lenalidomide</t>
  </si>
  <si>
    <t>Janssen Research &amp; Development, LLC</t>
  </si>
  <si>
    <t>NCT06116890</t>
  </si>
  <si>
    <t>Study to Assess the Efficacy &amp; Safety of KHK4951 in Patients With Neovascular Age-Related Macular Degeneration</t>
  </si>
  <si>
    <t>NCT06267183</t>
  </si>
  <si>
    <t>A Clinical Study to Evaluate Safety, Tolerability and Pharmacokinetics of SV001 in Chinese Healthy Adult Volunteers.</t>
  </si>
  <si>
    <t>Shanghai Synvida Biotechnology Co.,Ltd.</t>
  </si>
  <si>
    <t>NCT06265428</t>
  </si>
  <si>
    <t>A Study to Compare DB-1303/BNT323 Versus T-DM1 in Breast Cancer</t>
  </si>
  <si>
    <t>DualityBio Inc.</t>
  </si>
  <si>
    <t>NCT05849298</t>
  </si>
  <si>
    <t>A Phase II Study of AAA617 Alone and AAA617 in Combination With ARPI in Patients With PSMA PET Scan Positive CRPC</t>
  </si>
  <si>
    <t>NCT06176365</t>
  </si>
  <si>
    <t>A Study to Test Whether Survodutide Helps Japanese People Living With Obesity Disease</t>
  </si>
  <si>
    <t>NCT05861453</t>
  </si>
  <si>
    <t>Pharmacokinetics, Pharmacodynamics and Safety of Epeleuton in Patients With Sickle Cell Disease</t>
  </si>
  <si>
    <t>Afimmune</t>
  </si>
  <si>
    <t>NCT06244082</t>
  </si>
  <si>
    <t>Ph2 Open-label Study of AOC 1044 in Duchenne Muscular Dystrophy Participants With Mutations Amenable to Exon44 Skipping</t>
  </si>
  <si>
    <t>Avidity Biosciences, Inc.</t>
  </si>
  <si>
    <t>NCT06164743</t>
  </si>
  <si>
    <t>Phase 2: VVN461 Ophthalmic Solution for Post -Operative Ocular Inflammation After Cataract Surgery</t>
  </si>
  <si>
    <t>VivaVision Biotech, Inc</t>
  </si>
  <si>
    <t>NCT06219902</t>
  </si>
  <si>
    <t>A Study to Learn if Elinzanetant Affects the Ability to Drive and Brain Function in Healthy Women</t>
  </si>
  <si>
    <t>Bayer</t>
  </si>
  <si>
    <t>NCT06257758</t>
  </si>
  <si>
    <t>A Phase 1/2 Study of VIO-01 in Participants With Recurrent Solid Tumors</t>
  </si>
  <si>
    <t>Valerio Therapeutics</t>
  </si>
  <si>
    <t>NCT06179160</t>
  </si>
  <si>
    <t>A Study to Evaluate INCB161734 in Participants With Advanced or Metastatic Solid Tumors With KRAS G12D Mutation</t>
  </si>
  <si>
    <t>Incyte Corporation</t>
  </si>
  <si>
    <t>NCT05743270</t>
  </si>
  <si>
    <t>Study of RP3 in Combination With Nivolumab and Other Therapy in Patients With Locoregionally Advanced or Recurrent SCCHN</t>
  </si>
  <si>
    <t>Replimune Inc.</t>
  </si>
  <si>
    <t>NCT05949125</t>
  </si>
  <si>
    <t>Phase 1 Study of Allo-RevCAR01-T-CD123 in Patients With Selected CD123 Positive Hematologic Malignancies</t>
  </si>
  <si>
    <t>AvenCell Europe GmbH</t>
  </si>
  <si>
    <t>NCT06056310</t>
  </si>
  <si>
    <t>Phase 1b Safety Study of Xevinapant, Weekly Cisplatin, and RT in Participants With Unresected LA SCCHN (HyperlynX)</t>
  </si>
  <si>
    <t>EMD Serono Research &amp; Development Institute, Inc.</t>
  </si>
  <si>
    <t>NCT06005974</t>
  </si>
  <si>
    <t>A Study of REC-4881 in Participants With Cancers Which Have an AXIN1 or APC Mutation</t>
  </si>
  <si>
    <t>Recursion Pharmaceuticals Inc.</t>
  </si>
  <si>
    <t>NCT06146257</t>
  </si>
  <si>
    <t>A Study of GLB-001 in Patients With Relapsed or Refractory Acute Myeloid Leukemia or Relapsed or Refractory Higher Risk Myelodysplastic Syndromes</t>
  </si>
  <si>
    <t>GluBio Therapeutics Inc.</t>
  </si>
  <si>
    <t>NCT06363292</t>
  </si>
  <si>
    <t>Study to Evaluate the Safety and Tolerability of PRO-231 Versus VIGAMOXI® on the Ocular Surface of Healthy Subjects</t>
  </si>
  <si>
    <t>Laboratorios Sophia S.A de C.V.</t>
  </si>
  <si>
    <t>NCT06130553</t>
  </si>
  <si>
    <t>A Study of AZD3470, a PRMT5 Inhibitor, in Patients With MTAP Deficient Advanced/Metastatic Solid Tumors</t>
  </si>
  <si>
    <t>NCT06226454</t>
  </si>
  <si>
    <t>A Phase 1 Study Evaluating the Safety, Pharmacokinetics, and Pharmacodynamics, of VX-993</t>
  </si>
  <si>
    <t>Vertex Pharmaceuticals Incorporated</t>
  </si>
  <si>
    <t>NCT05957081</t>
  </si>
  <si>
    <t>Study to Assess the Safety, Tolerability, and Blood Concentration of PMC-309</t>
  </si>
  <si>
    <t>PharmAbcine</t>
  </si>
  <si>
    <t>NCT04743557</t>
  </si>
  <si>
    <t>Early Phase Human Drug Trial to Investigate DYN101 in Participants 2 to 17 Years With Centronuclear Myopathies</t>
  </si>
  <si>
    <t>Dynacure</t>
  </si>
  <si>
    <t>NCT06467409</t>
  </si>
  <si>
    <t>Phase II Clinical Trial to Evaluate the Efficacy and Safety of LPM3480392 Injection for Moderate to Severe Pain After Orthopedic Surgery</t>
  </si>
  <si>
    <t>Luye Pharma Group Ltd.</t>
  </si>
  <si>
    <t>NCT06182592</t>
  </si>
  <si>
    <t>A Bridging Study of Liposomal Cytarabine-Daunorubicin in Treating Olderly Patients With Treatment-naive High-Risk (Secondary) Acute Myeloid Leukemia</t>
  </si>
  <si>
    <t>NCT05868499</t>
  </si>
  <si>
    <t>Rollover Study From EXG-US-01</t>
  </si>
  <si>
    <t>Elixirgen Therapeutics, Inc.</t>
  </si>
  <si>
    <t>NCT06199349</t>
  </si>
  <si>
    <t>Safety Study of GMDTC Injection in Participants With Excessive Cadmium</t>
  </si>
  <si>
    <t>Jianersheng (Zhuhai) Pharmaceutical Technology Co., Ltd.</t>
  </si>
  <si>
    <t>NCT06194578</t>
  </si>
  <si>
    <t>A Study of Sterile Saline Infusion in Healthy Volunteers</t>
  </si>
  <si>
    <t>NCT06465550</t>
  </si>
  <si>
    <t>A Phase 1 Study of Gene-modified Autologous Hematopoietic Stem Cell (BD211) Treating β-thalassemia Major</t>
  </si>
  <si>
    <t>Shanghai BDgene Co., Ltd.</t>
  </si>
  <si>
    <t>NCT05928390</t>
  </si>
  <si>
    <t>Pasireotide s.c. in Patients With Post-Bariatric Hypoglycaemia</t>
  </si>
  <si>
    <t>RECORDATI GROUP</t>
  </si>
  <si>
    <t>NCT06153251</t>
  </si>
  <si>
    <t>A Study to Assess BMS-986453 in Participants With Relapsed and/or Refractory Multiple Myeloma</t>
  </si>
  <si>
    <t>Juno Therapeutics, Inc., a Bristol-Myers Squibb Company</t>
  </si>
  <si>
    <t>NCT06039202</t>
  </si>
  <si>
    <t>Phase 2 Study of CA102N Combined With TAS-102 Compared to Bevacizumab Combined With TAS-102 in Subjects With Relapsed and/or Refractory Metastatic Colorectal Cancer</t>
  </si>
  <si>
    <t>Holy Stone Healthcare Co., Ltd</t>
  </si>
  <si>
    <t>NCT06244303</t>
  </si>
  <si>
    <t>Clinical Research Study to Assess the Efficacy of Two Brushing Regimens in the Reduction of Established Dental Plaque and Gingivitis.</t>
  </si>
  <si>
    <t>Colgate Palmolive</t>
  </si>
  <si>
    <t>NCT06132113</t>
  </si>
  <si>
    <t>DAREON™-7: A Study to Test How Well Different Doses of BI 764532 in Addition to Chemotherapy Are Tolerated by People With Advanced Neuroendocrine Cancers</t>
  </si>
  <si>
    <t>NCT06071442</t>
  </si>
  <si>
    <t>Potential Drug Interaction Study Between Vemircopan and Rosuvastatin, Metformin, Levonorgestrel/Ethinyl Estradiol-containing Oral Contraceptives, and Carbamazepine</t>
  </si>
  <si>
    <t>NCT06213259</t>
  </si>
  <si>
    <t>A Study of KD6005 in Healthy Participants and Participants With Rheumatoid Arthritis (RA)</t>
  </si>
  <si>
    <t>Shanghai Kanda Biotechnology Co., Ltd.</t>
  </si>
  <si>
    <t>NCT05845008</t>
  </si>
  <si>
    <t>A Multiple-Dose Safety Study of Fixed Combination of Acetaminophen/Naproxen Sodium in Adolescents With Orthodontic Pain</t>
  </si>
  <si>
    <t>Johnson &amp; Johnson Consumer Inc. (J&amp;JCI)</t>
  </si>
  <si>
    <t>NCT06206720</t>
  </si>
  <si>
    <t>A Study of Deuremidevir Hydrobromide for Suspension in Chinese Infants Hospitalized With RSV</t>
  </si>
  <si>
    <t>Vigonvita Life Sciences</t>
  </si>
  <si>
    <t>NCT06219356</t>
  </si>
  <si>
    <t>A Study of GLB-002 in Patients With Relapsed or Refractory Non-Hodgkin Lymphomas</t>
  </si>
  <si>
    <t>Hangzhou GluBio Pharmaceutical Co., Ltd.</t>
  </si>
  <si>
    <t>NCT06224348</t>
  </si>
  <si>
    <t>A Study to Evaluate the Efficacy and Safety of Subcutaneous Amlitelimab in Participants Aged 12 Years and Older With Moderate-to-severe Atopic Dermatitis on Background Topical Corticosteroids</t>
  </si>
  <si>
    <t>NCT06174779</t>
  </si>
  <si>
    <t>A Study to Evaluate Efficacy and Safety of HM11260C in Adult Obesity Patients Without Diabetes Mellitus</t>
  </si>
  <si>
    <t>Hanmi Pharmaceutical Company Limited</t>
  </si>
  <si>
    <t>NCT06206824</t>
  </si>
  <si>
    <t>Leucettinib-21 First-in-Human Phase 1 in Healthy Volunteers and Subjects With Down Syndrome and Alzheimer's Disease</t>
  </si>
  <si>
    <t>Perha Pharmaceuticals</t>
  </si>
  <si>
    <t>NCT06697665</t>
  </si>
  <si>
    <t>An Exploratory Clinical Study to Evaluate the Safety, Tolerability, Immune Response and Preliminary Efficacy of LM103 Injection in Combination With PD-1 in Patients With Advanced Solid Tumours</t>
  </si>
  <si>
    <t>Suzhou BlueHorse Therapeutics Co., Ltd.</t>
  </si>
  <si>
    <t>NCT05486416</t>
  </si>
  <si>
    <t>Safety and Efficacy of HSK3486 Compared to Propofol for Induction of General Anesthesia in Adults With Elective Surgery</t>
  </si>
  <si>
    <t>Haisco-USA Pharmaceuticals, Inc.</t>
  </si>
  <si>
    <t>NCT06035393</t>
  </si>
  <si>
    <t>A Study to Assess the Efficacy and Safety of HRG2005 Inhalation in Patients With Moderate to Severe Chronic Obstructive Pulmonary Disease</t>
  </si>
  <si>
    <t>NCT06112678</t>
  </si>
  <si>
    <t>A Clinical Trial to Evaluate the Tolerability and Pharmacokinetics of CKD-348(6)</t>
  </si>
  <si>
    <t>Chong Kun Dang Pharmaceutical</t>
  </si>
  <si>
    <t>NCT06238778</t>
  </si>
  <si>
    <t>Phase 2b Trial Comparing HDV-Insulin Lispro to Insulin Lispro in Adults With Type 1 Diabetes Receiving Insulin Degludec</t>
  </si>
  <si>
    <t>Diasome Pharmaceuticlas, Inc.</t>
  </si>
  <si>
    <t>NCT06193434</t>
  </si>
  <si>
    <t>A First In Human (FIH) Study of IBI356 in Healthy Participants and in Atopic Dermatitis Patients</t>
  </si>
  <si>
    <t>Innovent Biologics (Suzhou) Co. Ltd.</t>
  </si>
  <si>
    <t>NCT06196580</t>
  </si>
  <si>
    <t>PK Effects of SHR4640 on Repaglinide and Midazolam, and the Impact of SHR4640 on QT Interval</t>
  </si>
  <si>
    <t>NCT06209580</t>
  </si>
  <si>
    <t>AMT-253 in Patients With Advanced Solid Tumours</t>
  </si>
  <si>
    <t>Multitude Therapeutics Inc.</t>
  </si>
  <si>
    <t>NCT06104124</t>
  </si>
  <si>
    <t>A Study to Evaluate the Efficacy and Safety of Dazodalibep in Participants With Sjögren's Syndrome (SS) With Moderate-to-severe Systemic Disease Activity</t>
  </si>
  <si>
    <t>Amgen</t>
  </si>
  <si>
    <t>NCT06181266</t>
  </si>
  <si>
    <t>A Phase 1/1b Study of ZH9 Treatment in Patients With Non-Muscle Invasive Bladder Cancer</t>
  </si>
  <si>
    <t>Prokarium Ltd</t>
  </si>
  <si>
    <t>NCT05956587</t>
  </si>
  <si>
    <t>A Study of SI-B003 and BL-B01D1+SI-B003 in Patients With Locally Advanced or Metastatic Non-small Cell Lung Cancer, Nasopharyngeal Carcinoma and Other Solid Tumors</t>
  </si>
  <si>
    <t>NCT06214481</t>
  </si>
  <si>
    <t>A Study to Evaluate Rocatinlimab (AMG 451) in Healthy Chinese Participants</t>
  </si>
  <si>
    <t>NCT05954767</t>
  </si>
  <si>
    <t>IS-001 Injection in Patients Undergoing Robotic-Assisted Gynecological Surgery</t>
  </si>
  <si>
    <t>Intuitive Surgical</t>
  </si>
  <si>
    <t>NCT06229210</t>
  </si>
  <si>
    <t>Safety and Tolerability Trial of Lumateperone in Pediatric Patients With Schizophrenia, Bipolar Disorder or Autism Spectrum Disorder</t>
  </si>
  <si>
    <t>Intra-Cellular Therapies, Inc.</t>
  </si>
  <si>
    <t>NCT06132360</t>
  </si>
  <si>
    <t>the Study to Evaluate the Safety, Tolerability, Pharmacokinetics, and Pharmacodynamic Effects in Adult Subjects With Elevated LDL-C</t>
  </si>
  <si>
    <t>Shanghai Rona Therapeutics Co., Ltd.</t>
  </si>
  <si>
    <t>NCT06886659</t>
  </si>
  <si>
    <t>A Study to Compare PK, Immunogenicity and Safety of Trastuzumab of Incepta Pharmaceuticals Ltd With Trastuzumab (Roche)</t>
  </si>
  <si>
    <t>Incepta Pharmaceuticals Ltd</t>
  </si>
  <si>
    <t>NCT05802329</t>
  </si>
  <si>
    <t>Phase I Study to Assess the Safety and Efficacy of OCU200 for Center-Involved Diabetic Macular Edema (DME)</t>
  </si>
  <si>
    <t>Ocugen</t>
  </si>
  <si>
    <t>NCT06275464</t>
  </si>
  <si>
    <t>BT-600 Single and Multiple Ascending Oral Doses in Healthy Adult Subjects</t>
  </si>
  <si>
    <t>Biora Therapeutics, Inc.</t>
  </si>
  <si>
    <t>NCT06238466</t>
  </si>
  <si>
    <t>A Study to Investigate Safety, Tolerability, Pharmacokinetics, and Pharmacodynamics of AZD1705 in Participants With Dyslipidemia</t>
  </si>
  <si>
    <t>NCT06143891</t>
  </si>
  <si>
    <t>A Study to Test an Oral Medicine, Belumosudil, in Combination With Corticosteroids in Participants at Least 12 Years of Age With Newly Diagnosed Chronic Graft Versus Host Disease.</t>
  </si>
  <si>
    <t>NCT06072040</t>
  </si>
  <si>
    <t>Subcutaneous Implant Combination Product (AUR-201) in Patients With Unilateral Microtia</t>
  </si>
  <si>
    <t>NCT07235020</t>
  </si>
  <si>
    <t>Platform Study to Evaluate the Efficacy and Safety of Anti-malarial Agents in Participants With Uncomplicated Plasmodium Falciparum Malaria</t>
  </si>
  <si>
    <t>NCT06190561</t>
  </si>
  <si>
    <t>A Study to Learn How Different Products of the Study Medicine Called PF-07940367 Are Taken up Into the Blood in Healthy Adults</t>
  </si>
  <si>
    <t>NCT06950086</t>
  </si>
  <si>
    <t>Study of TYK-00540 Tablets in Patients With Advanced Solid Tumors</t>
  </si>
  <si>
    <t>TYK Medicines, Inc</t>
  </si>
  <si>
    <t>NCT05561491</t>
  </si>
  <si>
    <t>A Study of ONCOS-102 in Combination With Other Novel Immune-therapies in Advanced Treatment-resistant Melanoma Patients</t>
  </si>
  <si>
    <t>Targovax Oy</t>
  </si>
  <si>
    <t>NCT06344026</t>
  </si>
  <si>
    <t>Phase 1/2a Study of ANPD001 in Parkinson Disease</t>
  </si>
  <si>
    <t>Aspen Neuroscience</t>
  </si>
  <si>
    <t>NCT06163326</t>
  </si>
  <si>
    <t>A 52-Week Study to Learn About the Safety and Effects of Ritlecitinib in Participants With Nonsegmental Vitiligo</t>
  </si>
  <si>
    <t>NCT06209671</t>
  </si>
  <si>
    <t>INS19 CAR-T Cells for the Treatment of Relapsed or Refractory Acute B Lymphoblastic Leukemia</t>
  </si>
  <si>
    <t>Beijing Immunochina Medical Science &amp; Technology Co., Ltd.</t>
  </si>
  <si>
    <t>NCT07204236</t>
  </si>
  <si>
    <t>Study to Evaluate Immunogenicity and Safety of TVAX-008 Injection in Non/Treated Chronic Hepatitis B Patients With HBsAg≤20IU/ml or HBsAg Negative Without Serological Conversion</t>
  </si>
  <si>
    <t>Grand Theravac Life Sciences (Nanjing) Co., Ltd.</t>
  </si>
  <si>
    <t>NCT06136598</t>
  </si>
  <si>
    <t>A Study of Opevesostat (MK-5684) in China Participants With Metastatic Castration-Resistant Prostate Cancer (mCRPC) (MK-5684-001)</t>
  </si>
  <si>
    <t>NCT06149611</t>
  </si>
  <si>
    <t>Mass Balance Study of TQB3616</t>
  </si>
  <si>
    <t>Chia Tai Tianqing Pharmaceutical Group Co., Ltd.</t>
  </si>
  <si>
    <t>NCT06098079</t>
  </si>
  <si>
    <t>Effect of Naltrexone Hydrochloride ER and Bupropion Hydrochloride ER Combination (Contrave®/Mysimba®) on Major Adverse Cardiovascular Events (MACE)</t>
  </si>
  <si>
    <t>Currax Pharmaceuticals</t>
  </si>
  <si>
    <t>NCT06450262</t>
  </si>
  <si>
    <t>Bioequivalence Study to Compare Empagliflozin/ Metformin HCl 12.5mg/1000mg Film-coated Tablets</t>
  </si>
  <si>
    <t>Humanis Saglık Anonim Sirketi</t>
  </si>
  <si>
    <t>NCT07256301</t>
  </si>
  <si>
    <t>A Phase Ib, Multicenter, Open-Label Study of Multiple-Dose EA5 in Adults With Paroxysmal Nocturnal Hemoglobinuria (PNH)</t>
  </si>
  <si>
    <t>Shanghai Lanyi Therapeutics Co., Ltd.</t>
  </si>
  <si>
    <t>NCT06308614</t>
  </si>
  <si>
    <t>Estetrol for the Treatment of Female Sexual Arousal Disorder in Postmenopausal Women</t>
  </si>
  <si>
    <t>Estetra</t>
  </si>
  <si>
    <t>NCT06190093</t>
  </si>
  <si>
    <t>A 3-month Study to Assess the Safety and Effectiveness of ONS-5010 in Subjects with Neovascular Age-related Macular Degeneration (AMD)</t>
  </si>
  <si>
    <t>Outlook Therapeutics, Inc.</t>
  </si>
  <si>
    <t>NCT06215950</t>
  </si>
  <si>
    <t>A Clinical Research About CD70-targeted CAR-T in the Treatment of CD70-positive Advanced/Metastatic Gynecologic Cancer</t>
  </si>
  <si>
    <t>Chongqing Precision Biotech Co., Ltd</t>
  </si>
  <si>
    <t>NCT06223958</t>
  </si>
  <si>
    <t>Study to Evaluate the Efficacy and Safety of Intravitreal OTX-TKI (Ocular Therapeutix) (Axitinib Implant) in Subjects With Neovascular Age-Related Macular Degeneration</t>
  </si>
  <si>
    <t>Ocular Therapeutix, Inc.</t>
  </si>
  <si>
    <t>NCT06216392</t>
  </si>
  <si>
    <t>Phase III Study of GR1802 Injection in Patients With Atopic Dermatitis</t>
  </si>
  <si>
    <t>Genrix (Shanghai) Biopharmaceutical Co., Ltd.</t>
  </si>
  <si>
    <t>NCT06137144</t>
  </si>
  <si>
    <t>AZD3470 as Monotherapy and in Combination With Anticancer Agents in Participants With Relapsed/Refractory Haematologic Malignancies.</t>
  </si>
  <si>
    <t>NCT06164288</t>
  </si>
  <si>
    <t>Safety and Efficacy Study of hAESCs Therapy for aGVHD</t>
  </si>
  <si>
    <t>Shanghai iCELL Biotechnology Co., Ltd, Shanghai, China</t>
  </si>
  <si>
    <t>NCT05999968</t>
  </si>
  <si>
    <t>Abemaciclib Plus Darolutamide in Prostate Cancer That Has Spread After Initial Treatment</t>
  </si>
  <si>
    <t>Eli Lilly and Company</t>
  </si>
  <si>
    <t>NCT06278389</t>
  </si>
  <si>
    <t>Single Ascending Dose, Food Effects and Drug-Drug Interactions of ACC017 Tablets in Healthy Adult Participants</t>
  </si>
  <si>
    <t>Jiangsu Aidea Pharmaceutical Group Co., Ltd.</t>
  </si>
  <si>
    <t>NCT06212999</t>
  </si>
  <si>
    <t>A Study to Evaluate the Long-Term Safety and Efficacy of Povorcitinib in Participants With Moderate to Severe Hidradenitis Suppurativa</t>
  </si>
  <si>
    <t>NCT06246513</t>
  </si>
  <si>
    <t>A Trial to Learn More About an Experimental Gene Therapy Called Bidridistrogene Xeboparvovec (SRP-9003) as a Possible Treatment for Limb Girdle Muscular Dystrophy 2E/R4</t>
  </si>
  <si>
    <t>Sarepta Therapeutics, Inc.</t>
  </si>
  <si>
    <t>NCT06224855</t>
  </si>
  <si>
    <t>A Study of DXC006 in Patients With Advanced Solid Tumors and Hematologic Malignancies</t>
  </si>
  <si>
    <t>Hangzhou DAC Biotechnology Co., Ltd.</t>
  </si>
  <si>
    <t>NCT06179407</t>
  </si>
  <si>
    <t>Study of MK-6552 in Participants With Narcolepsy Type 1 (MK-6552-004)</t>
  </si>
  <si>
    <t>NCT07235033</t>
  </si>
  <si>
    <t>Platform Study to Evaluate the Efficacy and Safety of Anti-malarial Agents in Participants With Uncomplicated Plasmodium Falciparum Malaria (Cohort B2)</t>
  </si>
  <si>
    <t>NCT05956509</t>
  </si>
  <si>
    <t>Study of Intramuscular Injections of ABBV-950 to Assess Adverse Events and Change in Disease Activity in Adult Participants With Upper Limb Spasticity</t>
  </si>
  <si>
    <t>NCT05854615</t>
  </si>
  <si>
    <t>Efficacy and Safety of Stempeucel® in Patients With Critical Limb Ischemia (CLI) Due to Buerger's Disease</t>
  </si>
  <si>
    <t>NCT06171750</t>
  </si>
  <si>
    <t>Phase I Study of Tolododekin Alfa (ANK-101) in Advanced Solid Tumors</t>
  </si>
  <si>
    <t>Ankyra Therapeutics, Inc</t>
  </si>
  <si>
    <t>NCT06278350</t>
  </si>
  <si>
    <t>Evaluate the Efficacy and Safety of D-2570 in Participants With Moderate-to-Severe Plaque Psoriasis</t>
  </si>
  <si>
    <t>InventisBio Co., Ltd</t>
  </si>
  <si>
    <t>NCT04731259</t>
  </si>
  <si>
    <t>Study to Evaluate the Safety of ATR-04</t>
  </si>
  <si>
    <t>Azitra Inc.</t>
  </si>
  <si>
    <t>NCT06541093</t>
  </si>
  <si>
    <t>Study to Evaluate the Safety and Immunogenicity of an HIV-1 Vaccine Regimen of Adjuvanted UVAX-1107 Followed by Adjuvanted UVAX-1107 or Adjuvanted UVAX-1197 in Healthy Subjects Aged 25-55 Years.</t>
  </si>
  <si>
    <t>Uvax Bio LLC</t>
  </si>
  <si>
    <t>NCT06194500</t>
  </si>
  <si>
    <t>A Study of Carbon-14-Labeled [14C]-LY3549492 in Healthy Participants</t>
  </si>
  <si>
    <t>NCT05916313</t>
  </si>
  <si>
    <t>A Study to Test How Well Different Doses of BI 764532 Are Tolerated by People With a Tumour in the Brain That is Positive for DLL3</t>
  </si>
  <si>
    <t>NCT05516875</t>
  </si>
  <si>
    <t>Open-Label Extension Study of ASTORIA</t>
  </si>
  <si>
    <t>Contera Pharma A/S</t>
  </si>
  <si>
    <t>NCT06112743</t>
  </si>
  <si>
    <t>A Study to Evaluate Mavacamten Impact on Myocardial Structure in Participants With Symptomatic Obstructive Hypertrophic Cardiomyopathy</t>
  </si>
  <si>
    <t>NCT05906992</t>
  </si>
  <si>
    <t>A Study to Compare Efficacy, Pharmacokinetics, Pharmacodynamics and Safety of CT-P53 and Ocrevus in Patients With Relapsing-remitting Multiple Sclerosis</t>
  </si>
  <si>
    <t>NCT06173895</t>
  </si>
  <si>
    <t>A Relative Bioavailability Study of LY3454738 in Healthy Participants</t>
  </si>
  <si>
    <t>NCT05698238</t>
  </si>
  <si>
    <t>Clinical Study to Evaluate Safety and Dosing of CA9hu-1 in Patients With Advanced Solid Tumours</t>
  </si>
  <si>
    <t>Mabpro, a.s.</t>
  </si>
  <si>
    <t>NCT06241950</t>
  </si>
  <si>
    <t>A Gene Transfer Therapy Study to Evaluate the Safety and Efficacy of Delandistrogene Moxeparvovec (SRP-9001) Following Imlifidase Infusion in Participants With Duchenne Muscular Dystrophy (DMD) Determined to Have Pre-existing Antibodies to Recombinant Adeno-Associated Virus Serotype (rAAVrh74)</t>
  </si>
  <si>
    <t>NCT06079398</t>
  </si>
  <si>
    <t>A Clinical Trial to Evaluate Efficacy and Safety of TransCon CNP Compared With Placebo in Infants (0 to &lt;2 Years of Age) With Achondroplasia</t>
  </si>
  <si>
    <t>Ascendis Pharma A/S</t>
  </si>
  <si>
    <t>NCT06202612</t>
  </si>
  <si>
    <t>A SHR0302 BA Study on Healthy Subjects</t>
  </si>
  <si>
    <t>NCT06438978</t>
  </si>
  <si>
    <t>Tuberculosis Vaccine in Healthy Indian Adults</t>
  </si>
  <si>
    <t>Bharat Biotech International Limited</t>
  </si>
  <si>
    <t>NCT05458674</t>
  </si>
  <si>
    <t>Tucatinib+Trastuzumab+Eribulin in HER2+ MBC</t>
  </si>
  <si>
    <t>Criterium, Inc.</t>
  </si>
  <si>
    <t>NCT05919680</t>
  </si>
  <si>
    <t>A Study of NST-6179 in Subjects With Intestinal Failure-Associated Liver Disease (IFALD).</t>
  </si>
  <si>
    <t>NorthSea Therapeutics B.V.</t>
  </si>
  <si>
    <t>NCT06155396</t>
  </si>
  <si>
    <t>A Study of RC48-ADC Combination With Zimberelimab Injection Therapies at Least First-line Platinum-containing Standard Therapy Failed With Recurrent or Metastatic Cervical Cancer</t>
  </si>
  <si>
    <t>RemeGen Co., Ltd.</t>
  </si>
  <si>
    <t>NCT06385158</t>
  </si>
  <si>
    <t>A Phase I Clinical Study Evaluating the Safety, Tolerability, Pharmacokinetics and Pharmacodynamics of Single and Multiple Oral Dose Escalation of GS1-144 Tablets and the Effects of Food on the Pharmacokinetics of GS1-144 in a Chinese Population</t>
  </si>
  <si>
    <t>Changchun GeneScience Pharmaceutical Co., Ltd.</t>
  </si>
  <si>
    <t>NCT06079281</t>
  </si>
  <si>
    <t>Phase 3 Study of ALXN1850 Versus Placebo in Adolescent and Adult Participants With HPP Who Have Not Previously Been Treated With Asfotase Alfa</t>
  </si>
  <si>
    <t>NCT06198556</t>
  </si>
  <si>
    <t>Effect of Rifampicin on the Pharmacokinetics of HRS-1167 in Healthy Subjects</t>
  </si>
  <si>
    <t>NCT06226766</t>
  </si>
  <si>
    <t>JSKN033 in Patients With Advanced or Metastatic Solid Malignant Tumors</t>
  </si>
  <si>
    <t>Jiangsu Alphamab Biopharmaceuticals Co., Ltd</t>
  </si>
  <si>
    <t>NCT06206356</t>
  </si>
  <si>
    <t>Lumbar Injectrode Feasibility Evaluation</t>
  </si>
  <si>
    <t>Neuronoff, Inc</t>
  </si>
  <si>
    <t>NCT06105632</t>
  </si>
  <si>
    <t>A Study to Learn About the Study Medicine Called PF-07220060 in Combination With Fulvestrant in People With HR-positive, HER2-negative Advanced or Metastatic Breast Cancer Who Progressed After a Prior Line of Treatment</t>
  </si>
  <si>
    <t>NCT06276101</t>
  </si>
  <si>
    <t>NWRD08 DNA Plasmid for HPV-16 and/or HPV-18 Related Cervical HSIL</t>
  </si>
  <si>
    <t>Newish Technology (Beijing) Co., Ltd.</t>
  </si>
  <si>
    <t>NCT06186414</t>
  </si>
  <si>
    <t>A Study to Investigate the Safety, Tolerability, Pharmacokinetics, and Preliminary Efficacy of SIM0237 Alone or in Combination with BCG in NMIBC</t>
  </si>
  <si>
    <t>Jiangsu Simcere Pharmaceutical Co., Ltd.</t>
  </si>
  <si>
    <t>NCT06221475</t>
  </si>
  <si>
    <t>A Study to Learn How BAY2927088 is Taken up and Handled by the Body in Healthy Male Participants</t>
  </si>
  <si>
    <t>NCT06001255</t>
  </si>
  <si>
    <t>ARTEMIS-003: HS-20093 in Patients With Metastatic Castrate-resistant Prostate Cancer (mCRPC) and Advanced Solid Tumors</t>
  </si>
  <si>
    <t>Hansoh BioMedical R&amp;D Company</t>
  </si>
  <si>
    <t>NCT06321341</t>
  </si>
  <si>
    <t>Efficacy and Safety of Vespireit, Prolonged-release Tablets, in Patients With Autonomic Dysfunction Syndrome Accompanied by Functional Vertigo</t>
  </si>
  <si>
    <t>Valenta Pharm JSC</t>
  </si>
  <si>
    <t>NCT06206733</t>
  </si>
  <si>
    <t>ASKB589 in Combination With CAPOX and PD-1 Inhibitor in Patients With Advanced or Metastatic GC/GEJ Adenocarcinoma</t>
  </si>
  <si>
    <t>AskGene Pharma, Inc.</t>
  </si>
  <si>
    <t>NCT06128382</t>
  </si>
  <si>
    <t>First-in-human Study to Evaluate the Safety and Immunogenicity of Three Dose Levels of the OVX033 Coronavirus Vaccine Candidate in Healthy Volunteers</t>
  </si>
  <si>
    <t>Osivax</t>
  </si>
  <si>
    <t>NCT06149520</t>
  </si>
  <si>
    <t>A Study to Learn More About How Well BAY3018250 Works and How Safe it is for People With Proximal Deep Vein Thrombosis</t>
  </si>
  <si>
    <t>NCT05983250</t>
  </si>
  <si>
    <t>LEVosimendan to Improve Exercise Limitation in Patients With PH-HFpEF</t>
  </si>
  <si>
    <t>Tenax Therapeutics, Inc.</t>
  </si>
  <si>
    <t>NCT06300398</t>
  </si>
  <si>
    <t>IAMA-6 Oral Dose Study in Healthy Adults</t>
  </si>
  <si>
    <t>Iama Therapeutics S.r.l.</t>
  </si>
  <si>
    <t>NCT06189638</t>
  </si>
  <si>
    <t>Phase II Study to Evaluate Efficacy and Safety of AMP Peptide PL-5 in Mild Infections of Diabetic Foot Ulcers</t>
  </si>
  <si>
    <t>Jiangsu ProteLight Pharmaceutical &amp; Biotechnology Co., Ltd.</t>
  </si>
  <si>
    <t>NCT06258213</t>
  </si>
  <si>
    <t>A Study to Evaluate the Safety, Tolerability, and Pharmacokinetics of Oral ABP-745 Administration in Healthy Volunteers</t>
  </si>
  <si>
    <t>Atom Therapeutics Co., Ltd</t>
  </si>
  <si>
    <t>NCT06050291</t>
  </si>
  <si>
    <t>Investigating the Effect of Food on the Bioavailability of a Fixed Dose Combination of Obicetrapib and Ezetimibe</t>
  </si>
  <si>
    <t>NewAmsterdam Pharma</t>
  </si>
  <si>
    <t>NCT04347967</t>
  </si>
  <si>
    <t>Mesenchymal Stem Cells for The Treatment of Acute Respiratory Distress Syndrome (ARDS)</t>
  </si>
  <si>
    <t>Meridigen Biotech Co., Ltd.</t>
  </si>
  <si>
    <t>NCT06107894</t>
  </si>
  <si>
    <t>TIL Therapy for Patients With Advanced Solid Tumors</t>
  </si>
  <si>
    <t>NeogenTC</t>
  </si>
  <si>
    <t>NCT06049342</t>
  </si>
  <si>
    <t>A Trial to Evaluate the Safety, Tolerability, and Efficacy of NCR100 Injection in the Treatment of Subjects With KOA</t>
  </si>
  <si>
    <t>Nuwacell Biotechnologies Co., Ltd.</t>
  </si>
  <si>
    <t>NCT05905341</t>
  </si>
  <si>
    <t>Study of PF-07224826, as a Single Agent or in Combination With Endocrine Therapy in Participants With Breast Cancer and Other Advanced Solid Tumors.</t>
  </si>
  <si>
    <t>NCT06173037</t>
  </si>
  <si>
    <t>RC88 in Platinum-Resistant Recurrent Epithelial Ovarian Cancer, Fallopian Tube Cancer, and Primary Peritoneal Cancer</t>
  </si>
  <si>
    <t>NCT06018337</t>
  </si>
  <si>
    <t>A Study of DB-1303/BNT323 vs Investigator's Choice Chemotherapy in HER2-Low, Hormone Receptor Positive Metastatic Breast Cancer (DYNASTY-Breast02)</t>
  </si>
  <si>
    <t>NCT06116617</t>
  </si>
  <si>
    <t>A Phase 1 Study to Evaluate the Safety, Tolerability, PK/PD of SRSD107 in Healthy Participants</t>
  </si>
  <si>
    <t>Sirius Therapeutics Co., Ltd.</t>
  </si>
  <si>
    <t>NCT06144697</t>
  </si>
  <si>
    <t>A Study to Evaluate the Safety, Tolerability, Drug Levels, Food, Formulation, and pH Effects on Relative Absorption of BMS-986465 and Its Active Derivative BMS-986464 in Healthy Participants</t>
  </si>
  <si>
    <t>NCT06228560</t>
  </si>
  <si>
    <t>Efficacy and Safety of LP-003 in Patients With CSU Who Remain Symptomatic Despite Antihistamine (H1) Treatment</t>
  </si>
  <si>
    <t>Longbio Pharma</t>
  </si>
  <si>
    <t>NCT06312475</t>
  </si>
  <si>
    <t>Efficacy and Safety of KN057 Prophylaxis in Patients With Haemophilia A or B With Inhibitors</t>
  </si>
  <si>
    <t>Suzhou Alphamab Co., Ltd.</t>
  </si>
  <si>
    <t>NCT06840119</t>
  </si>
  <si>
    <t>Phase 1/2 Study of IMC-R117C in Selected Advanced Cancers</t>
  </si>
  <si>
    <t>Immunocore Ltd</t>
  </si>
  <si>
    <t>NCT06211751</t>
  </si>
  <si>
    <t>A Clinical Trial of TQB3909 Tablets Combined With TQB3702 Tablets in Patients With Hematologic Malignancy</t>
  </si>
  <si>
    <t>NCT06191263</t>
  </si>
  <si>
    <t>Safety and Efficacy of RVU120 Combined With Venetoclax for Treatment of Relapsed/Refractory AML</t>
  </si>
  <si>
    <t>Ryvu Therapeutics SA</t>
  </si>
  <si>
    <t>NCT06206265</t>
  </si>
  <si>
    <t>Assessment of Psilocybin (TRP-8802) in Concert With Psychotherapy in Patients With Irritable Bowel Syndrome (IBS)</t>
  </si>
  <si>
    <t>TRYP Therapeutics</t>
  </si>
  <si>
    <t>NCT06213610</t>
  </si>
  <si>
    <t>Bioequivalence Study of Perindopril Tablets in Healthy Volunteers Under Fasting Conditions</t>
  </si>
  <si>
    <t>Pharmtechnology LLC</t>
  </si>
  <si>
    <t>NCT06083675</t>
  </si>
  <si>
    <t>Research Study to Compare Semaglutide Tablets With Empagliflozin or Metformin Tablets in People With Type 2 Diabetes</t>
  </si>
  <si>
    <t>Novo Nordisk A/S</t>
  </si>
  <si>
    <t>NCT06836557</t>
  </si>
  <si>
    <t>Open Label Safety Study of Tradipitant in Idiopathic and Diabetic Gastroparesis</t>
  </si>
  <si>
    <t>Vanda Pharmaceuticals</t>
  </si>
  <si>
    <t>NCT05469802</t>
  </si>
  <si>
    <t>A Study of Purified Inactivated Zika Virus Vaccine (PIZV) in Healthy Adults</t>
  </si>
  <si>
    <t>NCT06192108</t>
  </si>
  <si>
    <t>A Study of Orforglipron (LY3502970) Compared With Dapagliflozin in Adult Participants With Type 2 Diabetes and Inadequate Glycemic Control With Metformin</t>
  </si>
  <si>
    <t>NCT06450184</t>
  </si>
  <si>
    <t>Bioequivalence Study of Pimavanserin 34 mg Capsule</t>
  </si>
  <si>
    <t>NCT06466785</t>
  </si>
  <si>
    <t>A Phase 3 Study of Efepoetin Alfa for Treatment of Anemia in Patients With Chronic Kidney Disease on Dialysis</t>
  </si>
  <si>
    <t>Genexine, Inc.</t>
  </si>
  <si>
    <t>NCT06111638</t>
  </si>
  <si>
    <t>Evaluation of the Safety and Efficacy of Hemophilia A Gene Therapy Drugs</t>
  </si>
  <si>
    <t>Shanghai Xinzhi BioMed Co., Ltd.</t>
  </si>
  <si>
    <t>NCT06109818</t>
  </si>
  <si>
    <t>Efficacy, Safety, Pharmacokinetics and Pharmacodynamics of ICP-488 in Patients with Moderate to Severe Plaque Psoriasis</t>
  </si>
  <si>
    <t>Beijing InnoCare Pharma Tech Co., Ltd.</t>
  </si>
  <si>
    <t>NCT05955508</t>
  </si>
  <si>
    <t>A Proof-of-Concept Trial to Study the Safety and Activity of Linvoseltamab in Participants With Smoldering Multiple Myeloma at High Risk of Developing Multiple Myeloma</t>
  </si>
  <si>
    <t>Regeneron Pharmaceuticals</t>
  </si>
  <si>
    <t>NCT06221969</t>
  </si>
  <si>
    <t>A Research Study to See How Much CagriSema Lowers Blood Sugar and Body Weight Compared to Tirzepatide in People With Type 2 Diabetes Treated With Metformin With or Without an SGLT2 Inhibitor</t>
  </si>
  <si>
    <t>NCT06173570</t>
  </si>
  <si>
    <t>A Study to Assess the Efficacy, Safety and Tolerability of Different Doses of AZD0780 in Patients With Dyslipidemia</t>
  </si>
  <si>
    <t>NCT06128954</t>
  </si>
  <si>
    <t>Study Comparing Once Daily Dose of 900mg of TETA 4HCL Against Cuprior® (450mg Trientine Base, Twice Daily).</t>
  </si>
  <si>
    <t>Orphalan</t>
  </si>
  <si>
    <t>NCT05571059</t>
  </si>
  <si>
    <t>Oral Ifetroban in Patients With Idiopathic Pulmonary Fibrosis (IPF)</t>
  </si>
  <si>
    <t>Cumberland Pharmaceuticals</t>
  </si>
  <si>
    <t>NCT06196840</t>
  </si>
  <si>
    <t>Safety and Efficacy of LX102 Gene Therapy in Patients With Neovascular Age-related Macular Degeneration (nAMD) (VENUS)</t>
  </si>
  <si>
    <t>Innostellar Biotherapeutics Co.,Ltd</t>
  </si>
  <si>
    <t>NCT06170190</t>
  </si>
  <si>
    <t>A Multicentre,Study of IBI133 in Subjects WithUnresectable, Locally Advanced or Metastatic SolidTumours</t>
  </si>
  <si>
    <t>NCT06233474</t>
  </si>
  <si>
    <t>Study of Intra-articular Allocetra in Knee Osteoarthritis</t>
  </si>
  <si>
    <t>Enlivex Therapeutics Ltd.</t>
  </si>
  <si>
    <t>NCT06450275</t>
  </si>
  <si>
    <t>Bioequivalence Study to Compare Dolutegravir 50mg Film-coated Tablets</t>
  </si>
  <si>
    <t>NCT04027894</t>
  </si>
  <si>
    <t>Study to Evaluate Safety and Efficacy of Rifamycin SV MMX in Treating Traveler's Diarrhea in Children Age 12 to 17 Years</t>
  </si>
  <si>
    <t>RedHill Biopharma Limited</t>
  </si>
  <si>
    <t>NCT06284798</t>
  </si>
  <si>
    <t>A Research Study of a New Medicine (NNC0650-0013) in Healthy Men</t>
  </si>
  <si>
    <t>NCT06177912</t>
  </si>
  <si>
    <t>A Clinical Study of the V116 Vaccine for Children and Teenagers (V116-013)</t>
  </si>
  <si>
    <t>NCT06148181</t>
  </si>
  <si>
    <t>A Study to Evaluate Adverse Events and How Single Ascending Doses of ABBV-141 Move Through the Body of Healthy Adult Western and Asian Participants</t>
  </si>
  <si>
    <t>NCT06240728</t>
  </si>
  <si>
    <t>A Study of NPX887 for Participants With Solid Tumors Known to Express B7-H7/HHLA2</t>
  </si>
  <si>
    <t>NextPoint Therapeutics, Inc.</t>
  </si>
  <si>
    <t>NCT06342336</t>
  </si>
  <si>
    <t>HS-IT101 Injection in the Treatment of Advanced Solid Tumors</t>
  </si>
  <si>
    <t>Qingdao Sino-Cell Biomedicine Co., Ltd.</t>
  </si>
  <si>
    <t>NCT06179875</t>
  </si>
  <si>
    <t>An Open-label Study (OLE) for Non-responders of VRDN-001-101 and VRDN-001-301</t>
  </si>
  <si>
    <t>Viridian Therapeutics, Inc.</t>
  </si>
  <si>
    <t>NCT05949294</t>
  </si>
  <si>
    <t>Study of AROSOD-1 in Adult Participants With Amyotrophic Lateral Sclerosis (ALS)</t>
  </si>
  <si>
    <t>Arrowhead Pharmaceuticals</t>
  </si>
  <si>
    <t>NCT06079775</t>
  </si>
  <si>
    <t>P1, DDI &amp; MAD PK and Safety Study of Xeruborbactam Oral Prodrug in Combo With Ceftibuten in Healthy Participants</t>
  </si>
  <si>
    <t>Qpex Biopharma, Inc.</t>
  </si>
  <si>
    <t>NCT06064877</t>
  </si>
  <si>
    <t>A Study of Ficlatuzumab in Combination With Cetuximab in Participants With Recurrent or Metastatic (R/M) HPV Negative Head and Neck Squamous Cell Carcinoma</t>
  </si>
  <si>
    <t>AVEO Pharmaceuticals, Inc.</t>
  </si>
  <si>
    <t>NCT05902169</t>
  </si>
  <si>
    <t>Sonocloud-9 in Association With Carboplatin Versus Standard-of-Care Chemotherapies (CCNU or TMZ) in Recurrent GBM</t>
  </si>
  <si>
    <t>CarThera</t>
  </si>
  <si>
    <t>NCT06179524</t>
  </si>
  <si>
    <t>CAR-T-19 Injection in the Treatment of CD19-positive Relapsed/Refractory B-ALL</t>
  </si>
  <si>
    <t>Beijing Yongtai Ruike Biotechnology Company Ltd</t>
  </si>
  <si>
    <t>NCT06133803</t>
  </si>
  <si>
    <t>Lovenox With Aspirin in Thawed Blastocyst Transfer</t>
  </si>
  <si>
    <t>Fertility Center of Las Vegas</t>
  </si>
  <si>
    <t>NCT06213506</t>
  </si>
  <si>
    <t>A Study on the Safety, Reactogenicity, and Immune Response to the GVGH iNTS-GMMA Vaccine Against Invasive Nontyphoidal Salmonella in Adults, Children, and Infants</t>
  </si>
  <si>
    <t>NCT06206564</t>
  </si>
  <si>
    <t>Artesunate Ointment for the Treatment of Anal HSIL in HIV-negative Participants</t>
  </si>
  <si>
    <t>Frantz Viral Therapeutics, LLC</t>
  </si>
  <si>
    <t>NCT05750628</t>
  </si>
  <si>
    <t>Platform Study to Evaluate the Efficacy and Safety of Anti-malarial Agents in Patients With Uncomplicated Plasmodium Falciparum Malaria</t>
  </si>
  <si>
    <t>NCT06162221</t>
  </si>
  <si>
    <t>Study of RAS(ON) Inhibitors in Patients With Advanced RAS-mutated NSCLC</t>
  </si>
  <si>
    <t>Revolution Medicines, Inc.</t>
  </si>
  <si>
    <t>NCT06183216</t>
  </si>
  <si>
    <t>A Phase 1b Clinical Trial of 13-valent Pneumococcal Polysaccharide Conjugate Vaccine</t>
  </si>
  <si>
    <t>Sinovac Research and Development Co., Ltd.</t>
  </si>
  <si>
    <t>NCT06552182</t>
  </si>
  <si>
    <t>Phase 1 Study in Diabetes Mellitus(Fasting)</t>
  </si>
  <si>
    <t>Huons Co., Ltd.</t>
  </si>
  <si>
    <t>NCT06241456</t>
  </si>
  <si>
    <t>FT825/ONO-8250, an Off-the-Shelf, HER2 CAR-T, With or Without Monoclonal Antibodies in Advanced Solid Tumors</t>
  </si>
  <si>
    <t>Fate Therapeutics</t>
  </si>
  <si>
    <t>NCT06294262</t>
  </si>
  <si>
    <t>Safety, Tolerability, Immunogenicity and Immunological Mechanisms of TETRALITE, a Novel Seasonal Influenza Vaccine</t>
  </si>
  <si>
    <t>LiteVax BV</t>
  </si>
  <si>
    <t>NCT06236880</t>
  </si>
  <si>
    <t>A Phase 2a Study to Evaluate the Safety and Tolerability of GM-2505 in Patients With MDD</t>
  </si>
  <si>
    <t>Gilgamesh Pharmaceuticals</t>
  </si>
  <si>
    <t>NCT06174987</t>
  </si>
  <si>
    <t>A Study to Provide Continued Access to and Assess Long-Term Safety of the Study Drug(s)</t>
  </si>
  <si>
    <t>Daiichi Sankyo</t>
  </si>
  <si>
    <t>NCT06246643</t>
  </si>
  <si>
    <t>A Study of Continued Treatment With Regorafenib in Participants With Solid Tumors Who Have Participated in Other Bayer Studies</t>
  </si>
  <si>
    <t>NCT06191315</t>
  </si>
  <si>
    <t>Efficacy and Safety of Subcutaneous Dupilumab in Participants With Asthma/Asthmatic Wheeze Aged 2 to &lt;6 Years (LIBERTY ASTHMA TREKIDS)</t>
  </si>
  <si>
    <t>NCT06205290</t>
  </si>
  <si>
    <t>A Study to Compare the Efficacy and Safety of Lisocabtagene Maraleucel vs Investigator's Choice Options in Adult Participants With Relapsed or Refractory Chronic Lymphocytic Leukemia or Small Lymphocytic Lymphoma, Whose Disease Has Failed Treatment With Both BTKi and BCL2i Therapies</t>
  </si>
  <si>
    <t>NCT05954871</t>
  </si>
  <si>
    <t>Study to Evaluate the Safety, Pharmacokinetics, and Activity of GDC-1971 in Combination With Either Osimertinib in Participants With Unresectable, Locally Advanced, or Metastatic Non-Small Cell Lung Cancer, or With Cetuximab in Participants With Metastatic Colorectal Cancer</t>
  </si>
  <si>
    <t>Genentech, Inc.</t>
  </si>
  <si>
    <t>NCT07337044</t>
  </si>
  <si>
    <t>Evaluate the Safety, Tolerability, and Pharmacokinetics in Healthy Adult Subjects After Subcutaneous Injection of TISA-818-Inj</t>
  </si>
  <si>
    <t>EnliTISA (Shanghai) Pharmaceutical Co., Ltd.</t>
  </si>
  <si>
    <t>NCT06662188</t>
  </si>
  <si>
    <t>JAG201 Gene Therapy Study in Children &amp; Adults With SHANK3 Haploinsufficiency</t>
  </si>
  <si>
    <t>Jaguar Gene Therapy, LLC</t>
  </si>
  <si>
    <t>NCT06248567</t>
  </si>
  <si>
    <t>Pharmacokinetics of ZSP1273 in Participants With Severe Kidney Disease</t>
  </si>
  <si>
    <t>Guangdong Raynovent Biotech Co., Ltd</t>
  </si>
  <si>
    <t>NCT06242600</t>
  </si>
  <si>
    <t>Evaluation of Safety and Performance of the CytaCoat Lubricious Infection Prevention (LIP) Foley Catheter</t>
  </si>
  <si>
    <t>CytaCoat AB</t>
  </si>
  <si>
    <t>NCT06070597</t>
  </si>
  <si>
    <t>A Study in Healthy People to Test Whether Iclepertin Has an Effect on Cardiac Safety</t>
  </si>
  <si>
    <t>NCT06193811</t>
  </si>
  <si>
    <t>A Study in Healthy People to Compare Two Different Tablets of BI 685509 and to Test How Food and Esomeprazole Influence the Amount of BI 685509 in the Blood</t>
  </si>
  <si>
    <t>NCT06246071</t>
  </si>
  <si>
    <t>A Study of TYK-00540 in Adult Patients With Solid Tumors</t>
  </si>
  <si>
    <t>NCT06236841</t>
  </si>
  <si>
    <t>A Phase I Study of XH-S004 in Healthy Volunteers</t>
  </si>
  <si>
    <t>S-INFINITY Pharmaceuticals Co., Ltd</t>
  </si>
  <si>
    <t>NCT06116916</t>
  </si>
  <si>
    <t>Study to Assess the Efficacy &amp; Safety of KHK4951 in Patients With Diabetic Macular Edema</t>
  </si>
  <si>
    <t>NCT06166888</t>
  </si>
  <si>
    <t>A Study of AK131 in Patients With Advanced Solid Tumors</t>
  </si>
  <si>
    <t>Akeso</t>
  </si>
  <si>
    <t>NCT05801146</t>
  </si>
  <si>
    <t>Evaluate the Safety and Efficacy of HG102 as Compared to Botox® in Subject With Moderate to Severe Glabellar Lines</t>
  </si>
  <si>
    <t>Hugel</t>
  </si>
  <si>
    <t>NCT06619678</t>
  </si>
  <si>
    <t>A Study of MK-8507 and Islatravir (MK-8591) in Healthy Adult Participants (MK-8507-016)</t>
  </si>
  <si>
    <t>NCT06260163</t>
  </si>
  <si>
    <t>A Study of Guselkumab in Pediatric Participants With Moderately to Severely Active Ulcerative Colitis</t>
  </si>
  <si>
    <t>NCT06268574</t>
  </si>
  <si>
    <t>Safety and Efficacy of RVU120 for Treatment of Relapsed/Refractory AML</t>
  </si>
  <si>
    <t>NCT06267963</t>
  </si>
  <si>
    <t>A Study to Understand What the Body Does to the Study Medicine Called PF-07220060 When Taken by Healthy Adults</t>
  </si>
  <si>
    <t>NCT06127368</t>
  </si>
  <si>
    <t>Dose-Escalation Study to Assess the Safety, Tolerability, and Pharmacokinetics From Single Dose of Intramuscular (IM) and Subcutaneous (SC) Donepezil (GB-5001) Injections Versus Donepezil Oral Tablet (Aricept®) in Healthy Male Volunteers</t>
  </si>
  <si>
    <t>G2GBio, Inc.</t>
  </si>
  <si>
    <t>NCT07123428</t>
  </si>
  <si>
    <t>Single and Multiple Ascending Doses and Food Effect Study of TRD205 in Healthy Volunteers</t>
  </si>
  <si>
    <t>Beijing Tide Pharmaceutical Co., Ltd</t>
  </si>
  <si>
    <t>NCT06179511</t>
  </si>
  <si>
    <t>Study of AZD9829 in CD123+ Hematological Malignancies</t>
  </si>
  <si>
    <t>NCT06703268</t>
  </si>
  <si>
    <t>A Study on Switching From Daily DPP-4 Inhibitor to HSK7653 in Type 2 Diabetes Patients</t>
  </si>
  <si>
    <t>NCT06010901</t>
  </si>
  <si>
    <t>A Clinical Study of TQB2618 Injection Monotherapy and Combination Regimen (With Penpulimab Injection ±Anlotinib Hydrochloride Capsules) in the Four or Later Lines of Treatment of Advanced Colorectal Cancer.</t>
  </si>
  <si>
    <t>NCT06194864</t>
  </si>
  <si>
    <t>Drug Interaction Study</t>
  </si>
  <si>
    <t>Emalex Biosciences Inc.</t>
  </si>
  <si>
    <t>NCT06235450</t>
  </si>
  <si>
    <t>A Usability Study of iTEAR100 For Combined EyeLid Microblepharoexfoliation and Neurostimulation</t>
  </si>
  <si>
    <t>Olympic Ophthalmics, Inc.</t>
  </si>
  <si>
    <t>NCT06758557</t>
  </si>
  <si>
    <t>A Study to Evaluate the Safety and Efficacy of HB0025 Injection in Patients With Advanced Solid Tumor</t>
  </si>
  <si>
    <t>Huabo Biopharm Co., Ltd.</t>
  </si>
  <si>
    <t>NCT05940844</t>
  </si>
  <si>
    <t>Study of OB-002 in Patients With Refractory Metastatic Cancer</t>
  </si>
  <si>
    <t>Orion Biotechnology Polska Sp. z o.o.</t>
  </si>
  <si>
    <t>NCT06215755</t>
  </si>
  <si>
    <t>A Study of VRG50635 in Participants With Amyotrophic Lateral Sclerosis (ALS)</t>
  </si>
  <si>
    <t>Verge Genomics</t>
  </si>
  <si>
    <t>NCT05679479</t>
  </si>
  <si>
    <t>Study on the Safety and Efficacy of Meplazumab for Injection in Severe Patients With COVID-19</t>
  </si>
  <si>
    <t>Jiangsu Pacific Meinuoke Bio Pharmaceutical Co Ltd</t>
  </si>
  <si>
    <t>NCT06125691</t>
  </si>
  <si>
    <t>Safety and Immunogenicity First-in-human Dose-ranging Study of Self-Amplifying RNA Seasonal Influenza Vaccine in Adults</t>
  </si>
  <si>
    <t>Arcturus Therapeutics, Inc.</t>
  </si>
  <si>
    <t>NCT05955326</t>
  </si>
  <si>
    <t>Study to Assess the Safety and Efficacy of Sovateltide in Patients With Acute Cerebral Ischemic Stroke</t>
  </si>
  <si>
    <t>Pharmazz, Inc.</t>
  </si>
  <si>
    <t>NCT06186622</t>
  </si>
  <si>
    <t>A Drug-Drug Interaction Study of Orforglipron (LY3502970) in Healthy Overweight and Obese Participants</t>
  </si>
  <si>
    <t>NCT05223816</t>
  </si>
  <si>
    <t>An Open-Label, Multiple-Center, Phase IIa/IIb Clinical Trial to Evaluate the Efficacy, Safety and Tolerability of VG161 as Monotherapy and in Combination With Nivolumab for Treatment of Patients With Hepatocellular Carcinoma or Intrahepatic Cholangiocarcinoma</t>
  </si>
  <si>
    <t>Virogin Biotech Canada Ltd</t>
  </si>
  <si>
    <t>NCT05979155</t>
  </si>
  <si>
    <t>A Study of NWY001 in Subjects With Advanced Solid Tumors</t>
  </si>
  <si>
    <t>Chipscreen Biosciences, Ltd.</t>
  </si>
  <si>
    <t>NCT06205381</t>
  </si>
  <si>
    <t>Assessment of the Safety, Tolerability and Pharmacokinetics of AV078 in Healthy Volunteers</t>
  </si>
  <si>
    <t>Aeovian Pharmaceuticals, Inc.</t>
  </si>
  <si>
    <t>NCT06158477</t>
  </si>
  <si>
    <t>A Clinical Trial Evaluating JYP0035 Capsule Monotherapy in Patients With Advanced Solid Tumors</t>
  </si>
  <si>
    <t>Chengdu JOYO pharma Co., Ltd.</t>
  </si>
  <si>
    <t>NCT05923086</t>
  </si>
  <si>
    <t>Preventing Gastrointestinal Disturbance in Patients After Longitudinal Laparotomy.</t>
  </si>
  <si>
    <t>Orexa BV</t>
  </si>
  <si>
    <t>NCT06125522</t>
  </si>
  <si>
    <t>TACTIVE-U: A Study to Learn About the Study Medicine (Vepdegestrant) When Given With Other Medicines in People With Advanced or Metastatic Breast Cancer. (Sub-Study C)</t>
  </si>
  <si>
    <t>NCT06278454</t>
  </si>
  <si>
    <t>Safety and Efficacy of NRT6008 in Patients With Unresectable Locally Advanced Pancreatic Cancer (LAPC)</t>
  </si>
  <si>
    <t>Chengdu New Radiomedicine Technology Co. LTD.</t>
  </si>
  <si>
    <t>NCT06153966</t>
  </si>
  <si>
    <t>PrProfile: A Study to Assess the Safety, Tolerability, Pharmacokinetics and Pharmacodynamics of ION717</t>
  </si>
  <si>
    <t>Ionis Pharmaceuticals, Inc.</t>
  </si>
  <si>
    <t>NCT06228586</t>
  </si>
  <si>
    <t>Study on a MenACYW Conjugate Vaccine Administered as a Single Dose in Participants Aged 12 Months and Older in Vietnam</t>
  </si>
  <si>
    <t>NCT06179069</t>
  </si>
  <si>
    <t>A Study of ZL-1310 in Subjects With Small Cell Lung Cancer</t>
  </si>
  <si>
    <t>Zai Lab (Shanghai) Co., Ltd.</t>
  </si>
  <si>
    <t>NCT06100627</t>
  </si>
  <si>
    <t>A Pharmacodynamic Effect Study of AP301 in Healthy Volunteers</t>
  </si>
  <si>
    <t>Alebund Pty Ltd</t>
  </si>
  <si>
    <t>NCT06173596</t>
  </si>
  <si>
    <t>A Study to Evaluate Potential Drug Interactions Between ALXN2080 and Itraconazole, Fluconazole &amp; Carbamazepine in Healthy Adults</t>
  </si>
  <si>
    <t>NCT06269705</t>
  </si>
  <si>
    <t>ZILRETTA in Subjects With Shoulder Osteoarthritis</t>
  </si>
  <si>
    <t>Pacira Pharmaceuticals, Inc</t>
  </si>
  <si>
    <t>NCT06301529</t>
  </si>
  <si>
    <t>The Efficacy and Tolerability of Canagliflozin in Healthy Individual</t>
  </si>
  <si>
    <t>AgelessRx</t>
  </si>
  <si>
    <t>NCT06109181</t>
  </si>
  <si>
    <t>Gene Therapy for ACM Due to a PKP2 Pathogenic Variant</t>
  </si>
  <si>
    <t>Lexeo Therapeutics</t>
  </si>
  <si>
    <t>NCT06438783</t>
  </si>
  <si>
    <t>TQB2928 Injection Combined Anlotinib Hydrochloride Capsule in Recurrent/Metastatic Osteosarcoma and Other Solid Tumors</t>
  </si>
  <si>
    <t>Chia Tai Tianqing Pharmaceutical Group Nanjing Shunxin Pharmaceutical Co., Ltd.</t>
  </si>
  <si>
    <t>NCT06292650</t>
  </si>
  <si>
    <t>Safety and Efficacy Study of Novel Gene Therapy ZM-02 for Retinitis Pigmentosa Patients</t>
  </si>
  <si>
    <t>Zhongmou Therapeutics</t>
  </si>
  <si>
    <t>NCT04706013</t>
  </si>
  <si>
    <t>Oral Pyridoxal 5'-Phosphate for the Treatment of Patients With PNPO Deficiency</t>
  </si>
  <si>
    <t>Medicure</t>
  </si>
  <si>
    <t>NCT06283589</t>
  </si>
  <si>
    <t>The SEAPORT 1 Study: Evaluation of the Safety and Tolerability of INZ-701 in Adults With End-Stage Kidney Disease Undergoing Hemodialysis</t>
  </si>
  <si>
    <t>Inozyme Pharma</t>
  </si>
  <si>
    <t>NCT06072482</t>
  </si>
  <si>
    <t>A Study to Evaluate Avacopan in Participants With ANCA-associated Vasculitis</t>
  </si>
  <si>
    <t>NCT06185764</t>
  </si>
  <si>
    <t>A Phase 1/2 Study of VX-670 in Adult Participants With Myotonic Dystrophy 1 (DM1)</t>
  </si>
  <si>
    <t>NCT06723782</t>
  </si>
  <si>
    <t>Surgical Release of Hand Tendons with Wrapping of the Released Tendon Using an Amniotic Membrane</t>
  </si>
  <si>
    <t>TBF Genie Tissulaire</t>
  </si>
  <si>
    <t>NCT06091748</t>
  </si>
  <si>
    <t>Gallium (68Ga) Edotreotide PET/CT for Imaging Patients With Gastrointestinal Pancreatic Neuroendocrine Tumors</t>
  </si>
  <si>
    <t>NCT06322394</t>
  </si>
  <si>
    <t>BXOS110 Injection in the Treatment of Acute Ischaemic Stroke</t>
  </si>
  <si>
    <t>Biocells (Beijing) Biotech Co.,Ltd</t>
  </si>
  <si>
    <t>NCT06214741</t>
  </si>
  <si>
    <t>A Study to Test Whether Survodutide (BI 456906) Helps Chinese People Living With Overweight or Obesity to Lose Weight</t>
  </si>
  <si>
    <t>NCT06275841</t>
  </si>
  <si>
    <t>A Study to Learn If the Study Medicine Esomeprazole Changes How the Body Processes the Other Study Medicine Vepdegestrant</t>
  </si>
  <si>
    <t>NCT06077500</t>
  </si>
  <si>
    <t>DAREONᵀᴹ-8: A Study to Test How Well Different Doses of BI 764532 in Addition to Standard of Care Are Tolerated by People With Advanced Small Cell Lung Cancer</t>
  </si>
  <si>
    <t>NCT05827081</t>
  </si>
  <si>
    <t>Phase IIIb Study of Ribociclib + ET in Early Breast Cancer</t>
  </si>
  <si>
    <t>NCT06172348</t>
  </si>
  <si>
    <t>A Study to Learn About Three Forms of The Study Medicine (Ritlecitinib) in Healthy Adults</t>
  </si>
  <si>
    <t>NCT06260709</t>
  </si>
  <si>
    <t>A Research Study to Look at Long-term Treatment With a Medicine Called NNC6019-0001 for People Who Have Heart Failure Due to Transthyretin Amyloidosis</t>
  </si>
  <si>
    <t>NCT06071143</t>
  </si>
  <si>
    <t>Safety and Efficacy of KDSTEM Inj. in Patients With Chronic Kidney Disease</t>
  </si>
  <si>
    <t>EHL Bio Co., Ltd.</t>
  </si>
  <si>
    <t>NCT04992247</t>
  </si>
  <si>
    <t>Study of Allogeneic Adipose-Derived Mesenchymal Stem Cells to Treat Post COVID-19 "Long Haul" Pulmonary Compromise</t>
  </si>
  <si>
    <t>Sorrento Therapeutics, Inc.</t>
  </si>
  <si>
    <t>NCT06232408</t>
  </si>
  <si>
    <t>LIONS (PLK4 Inhibitor in Advanced Solid Tumors)</t>
  </si>
  <si>
    <t>Repare Therapeutics</t>
  </si>
  <si>
    <t>NCT06230523</t>
  </si>
  <si>
    <t>A Study of LY3841136 Compared With Placebo in Adult Participants With Obesity or Overweight</t>
  </si>
  <si>
    <t>NCT05986786</t>
  </si>
  <si>
    <t>Clinical Study to Evaluate the Handling and Safety of AVT06 PFS in Subjects With Chorioretinal Vascular Disease</t>
  </si>
  <si>
    <t>Alvotech Swiss AG</t>
  </si>
  <si>
    <t>NCT06252285</t>
  </si>
  <si>
    <t>Efficacy, Immunogenicity, and Safety Study of a Respiratory Syncytial Virus Vaccine in Infants and Toddlers</t>
  </si>
  <si>
    <t>NCT06497127</t>
  </si>
  <si>
    <t>A Study in Patients With Mixed Dyslipidemia</t>
  </si>
  <si>
    <t>Shanghai Argo Biopharmaceutical Co., Ltd.</t>
  </si>
  <si>
    <t>NCT06040099</t>
  </si>
  <si>
    <t>A US Study to Evaluate Transarterial Radioembolization (TARE) in Combination With Durvalumab and Bevacizumab Therapy in People With Unresectable Hepatocellular Carcinoma Amenable to TARE</t>
  </si>
  <si>
    <t>NCT06335173</t>
  </si>
  <si>
    <t>A Study to Evaluate Efficacy and Safety of Intravenous Sabirnetug in Participants With Early Alzheimer's Disease (ALTITUDE-AD)</t>
  </si>
  <si>
    <t>Acumen Pharmaceuticals</t>
  </si>
  <si>
    <t>NCT06230822</t>
  </si>
  <si>
    <t>Safety, Tolerability and Efficacy of VUM02 Injection in Treatment of Idiopathic Pulmonary Fibrosis (IPF)</t>
  </si>
  <si>
    <t>Wuhan Optics Valley Vcanbiopharma Co., Ltd.</t>
  </si>
  <si>
    <t>NCT06133010</t>
  </si>
  <si>
    <t>A Study of mRNA-1647 Cytomegalovirus Vaccine in Liver Transplant Candidates and Recipients</t>
  </si>
  <si>
    <t>ModernaTX, Inc.</t>
  </si>
  <si>
    <t>NCT06239324</t>
  </si>
  <si>
    <t>Evaluation of Latanoprost Combined With Fractional Erbium- YAG Laser</t>
  </si>
  <si>
    <t>Egymedicalpedia</t>
  </si>
  <si>
    <t>NCT06230588</t>
  </si>
  <si>
    <t>A Clinical Trial of TQH3906 Capsules in Healthy Volunteers</t>
  </si>
  <si>
    <t>NCT06343779</t>
  </si>
  <si>
    <t>Study of Oral Deucrictibant Soft Capsule for On-Demand Treatment of Angioedema Attacks in Adolescents and Adults With Hereditary Angioedema</t>
  </si>
  <si>
    <t>Pharvaris Netherlands B.V.</t>
  </si>
  <si>
    <t>NCT06006559</t>
  </si>
  <si>
    <t>A Study to Assess the Efficacy, Safety and Pharmacokinetics of EYU688 in Patients With Dengue Fever</t>
  </si>
  <si>
    <t>NCT06247670</t>
  </si>
  <si>
    <t>Study of CMP-CPS-001 in Healthy Volunteers</t>
  </si>
  <si>
    <t>CAMP4 Therapeutics Corporation</t>
  </si>
  <si>
    <t>NCT05534620</t>
  </si>
  <si>
    <t>Effect of Moderate Renal Impairment and Race/Ethnicity on Treosulfan Pharmacokinetics</t>
  </si>
  <si>
    <t>medac GmbH</t>
  </si>
  <si>
    <t>NCT06243770</t>
  </si>
  <si>
    <t>Study to Investigate Safety and Tolerability of mRNA-0184 Administered Under Different Infusion Conditions in Healthy Participants</t>
  </si>
  <si>
    <t>NCT05975983</t>
  </si>
  <si>
    <t>Study Evaluating INS018_055 Administered Orally to Subjects With Idiopathic Pulmonary Fibrosis</t>
  </si>
  <si>
    <t>InSilico Medicine Hong Kong Limited</t>
  </si>
  <si>
    <t>NCT06533358</t>
  </si>
  <si>
    <t>A Clinical Study of MT1002 in Subjects With Acute Coronary Syndrome Undergoing PCI</t>
  </si>
  <si>
    <t>Shaanxi Micot Pharmaceutical Technology Co., Ltd.</t>
  </si>
  <si>
    <t>NCT06239467</t>
  </si>
  <si>
    <t>First-in-Human Study of OKI-219 in Advanced Solid Tumors and Advanced Breast Cancer</t>
  </si>
  <si>
    <t>OnKure, Inc.</t>
  </si>
  <si>
    <t>NCT06233071</t>
  </si>
  <si>
    <t>Drospirenone (3 mg) + Ethinyl Estradiol (0.02 mg) Tablets Relative to Yaz®</t>
  </si>
  <si>
    <t>Bio-innova Co., Ltd</t>
  </si>
  <si>
    <t>NCT06243354</t>
  </si>
  <si>
    <t>Phase 1/2 Study of HYP-2090PTSA in Patients With Advanced Solid Tumors Harboring KRAS Mutation</t>
  </si>
  <si>
    <t>Sichuan Huiyu Pharmaceutical Co., Ltd</t>
  </si>
  <si>
    <t>NCT05621616</t>
  </si>
  <si>
    <t>A Study to Learn How Effective and Safe the Drug 'Mirabegron' is and How Long it Stays in the Body of Children Aged 6 Months to Less Than 3 Years of Age With Neurogenic Detrusor Overactivity</t>
  </si>
  <si>
    <t>NCT06331715</t>
  </si>
  <si>
    <t>Bioequivalence Study of Palbociclib 125 mg Capsules of Iclos vs. Ibrance (Palbociclib) Capsules 125 mg</t>
  </si>
  <si>
    <t>Megalabs</t>
  </si>
  <si>
    <t>NCT06215170</t>
  </si>
  <si>
    <t>SafeMedWaste At-Home, Environmentally-Friendly Opioid Disposal Kit for Orthopedic Post-Operative Surgical Patients to Reduce Opioids Available for Diversion</t>
  </si>
  <si>
    <t>SafeMedWaste, Inc.</t>
  </si>
  <si>
    <t>NCT06121843</t>
  </si>
  <si>
    <t>A Study to Evaluate the Safety, Effectiveness and Tolerable Dose of Arlocabtagene Autoleucel (BMS-986393) in Novel Combinations in Participants With Relapsed and/or Refractory Multiple Myeloma</t>
  </si>
  <si>
    <t>NCT06293742</t>
  </si>
  <si>
    <t>ECC5004 DDI Study With Atorvastatin, Rosuvastatin, Digoxin and Midazolam in Healthy Participants</t>
  </si>
  <si>
    <t>Eccogene</t>
  </si>
  <si>
    <t>NCT06225973</t>
  </si>
  <si>
    <t>A Study of TL-925 Ophthalmic Emulsion as a Treatment for Dry Eye Disease</t>
  </si>
  <si>
    <t>Telios Pharma, Inc.</t>
  </si>
  <si>
    <t>NCT06091930</t>
  </si>
  <si>
    <t>A Study to Test Different Doses of BI 765049 Alone and in Combination With Ezabenlimab in Asian People With Advanced Cancer (Solid Tumours) Positive for B7-H6</t>
  </si>
  <si>
    <t>NCT06121297</t>
  </si>
  <si>
    <t>RESET-SLE: A Phase 1/2 Open-Label Study to Evaluate the Safety and Efficacy of CABA-201 in Subjects With Active Systemic Lupus Erythematosus</t>
  </si>
  <si>
    <t>Cabaletta Bio</t>
  </si>
  <si>
    <t>NCT06126497</t>
  </si>
  <si>
    <t>Study Evaluating Safety and Efficacy of Ropanicant in MDD Patients</t>
  </si>
  <si>
    <t>Suven Life Sciences Limited</t>
  </si>
  <si>
    <t>NCT06751121</t>
  </si>
  <si>
    <t>Study to Evaluate the Efficacy and Safety of DWP14012-based Triple Therapy in Eradication of Helicobacter Pylori</t>
  </si>
  <si>
    <t>Daewoong Pharmaceutical Co. LTD.</t>
  </si>
  <si>
    <t>NCT06277609</t>
  </si>
  <si>
    <t>A Trial Investigating Lu AF28996 in Healthy Adult Participants</t>
  </si>
  <si>
    <t>H. Lundbeck A/S</t>
  </si>
  <si>
    <t>NCT06161844</t>
  </si>
  <si>
    <t>Efficacy and Safety of Semaglutide Injection (HD1916) in Patients With Type 2 Diabetes Mellitus</t>
  </si>
  <si>
    <t>CSPC ZhongQi Pharmaceutical Technology Co., Ltd.</t>
  </si>
  <si>
    <t>NCT06163898</t>
  </si>
  <si>
    <t>A Study to Evaluate Alnuctamab in Combination With Mezigdomide in Participants With Relapsed and/or Refractory Multiple Myeloma</t>
  </si>
  <si>
    <t>Celgene</t>
  </si>
  <si>
    <t>NCT06713447</t>
  </si>
  <si>
    <t>NTI164 Human PK Study</t>
  </si>
  <si>
    <t>Fenix Innovation Group</t>
  </si>
  <si>
    <t>NCT06052748</t>
  </si>
  <si>
    <t>A Study to Evaluate the Efficacy and Safety of AD-223</t>
  </si>
  <si>
    <t>Addpharma Inc.</t>
  </si>
  <si>
    <t>NCT06176508</t>
  </si>
  <si>
    <t>Efficacy and Safety of HS-10374 Compared to Placebo in Adults With Active Psoriatic Arthritis</t>
  </si>
  <si>
    <t>NCT06250205</t>
  </si>
  <si>
    <t>Evaluate the Pharmacokinetics of a Combined Oral Contraceptive (COC) With and Without Obicetrapib</t>
  </si>
  <si>
    <t>NCT06239311</t>
  </si>
  <si>
    <t>Efficacy and Safety of Methotrexate Versus Placebo in Adults With Atopic Dermatitis.</t>
  </si>
  <si>
    <t>NCT06388902</t>
  </si>
  <si>
    <t>A Phase I Study of BR115 for Injection Alone in Subjects With Advanced Solid Malignancies</t>
  </si>
  <si>
    <t>BioRay Pharmaceutical Co., Ltd.</t>
  </si>
  <si>
    <t>NCT06153095</t>
  </si>
  <si>
    <t>A Study of IMPT-514 in Active Refractory Lupus Nephritis (LN) and Systemic Lupus Erythematosus (SLE)</t>
  </si>
  <si>
    <t>Lyell Immunopharma, Inc.</t>
  </si>
  <si>
    <t>NCT06279234</t>
  </si>
  <si>
    <t>A Study to Learn How Different Amounts of PF-06954522 Are Tolerated and Act in Adults With Type 2 Diabetes Mellitus</t>
  </si>
  <si>
    <t>NCT06286475</t>
  </si>
  <si>
    <t>A Study of VRG50635 in Healthy Volunteers</t>
  </si>
  <si>
    <t>NCT06112704</t>
  </si>
  <si>
    <t>HS-20093 in Patients with Advanced Esophageal Carcinoma and Other Advanced Solid Tumors</t>
  </si>
  <si>
    <t>NCT06074510</t>
  </si>
  <si>
    <t>PYLARIFY® PET/CT or PET/MRI in Men With Favorable Intermediate Risk (FIR) Prostate Cancer</t>
  </si>
  <si>
    <t>Lantheus Medical Imaging</t>
  </si>
  <si>
    <t>NCT06309953</t>
  </si>
  <si>
    <t>A Study to Evaluate Early Treatment Outcomes With Miebo™ in Subjects With Dry Eye Disease</t>
  </si>
  <si>
    <t>Bausch &amp; Lomb Incorporated</t>
  </si>
  <si>
    <t>NCT06309277</t>
  </si>
  <si>
    <t>A Clinical Study to Evaluate of Single and Multiple Oral Doses of GM-1020 in Patients With MDD</t>
  </si>
  <si>
    <t>NCT06272487</t>
  </si>
  <si>
    <t>Zilebesiran as Add-on Therapy in Patients With High Cardiovascular Risk and Hypertension Not Adequately Controlled by Standard of Care Antihypertensive Medications (KARDIA-3)</t>
  </si>
  <si>
    <t>Alnylam Pharmaceuticals</t>
  </si>
  <si>
    <t>NCT06161025</t>
  </si>
  <si>
    <t>A Study of Raludotatug Deruxtecan (R-DXd) in Subjects With Platinum-resistant, High-grade Ovarian, Primary Peritoneal, or Fallopian Tube Cancer</t>
  </si>
  <si>
    <t>NCT06104917</t>
  </si>
  <si>
    <t>Effect of Maolactin on Gastrointestinal Tract (GIT) Health</t>
  </si>
  <si>
    <t>RDC Clinical Pty Ltd</t>
  </si>
  <si>
    <t>NCT06235541</t>
  </si>
  <si>
    <t>A First-in-human Study of GENA-104A16 in Patients With Advanced Solid Tumors</t>
  </si>
  <si>
    <t>Genome &amp; Company</t>
  </si>
  <si>
    <t>NCT06254261</t>
  </si>
  <si>
    <t>A Study of RAY1225 in Participants With Obesity</t>
  </si>
  <si>
    <t>NCT06296706</t>
  </si>
  <si>
    <t>A Clinical Study of Docetaxel for Injection (Albumin-bound) in Patients With Gastric Cancer</t>
  </si>
  <si>
    <t>NCT05910827</t>
  </si>
  <si>
    <t>Study of an Anti-HER3 Antibody, HMBD-001, With Docetaxel +/- Cetuximab in Advanced Squamous Non-small Cell Lung Cancers, and HMBD-001 + Cetuximab in Advanced Squamous Cell Cancers</t>
  </si>
  <si>
    <t>Hummingbird Bioscience</t>
  </si>
  <si>
    <t>NCT06285097</t>
  </si>
  <si>
    <t>A Study of PF-07820435 as a Single Agent and in Combination in Participants With Advanced Solid Tumors</t>
  </si>
  <si>
    <t>NCT06151574</t>
  </si>
  <si>
    <t>Beamion LUNG-2: A Study to Test Whether Zongertinib (BI 1810631) Helps People With Advanced Non-small Cell Lung Cancer With HER2 Mutations Compared With Standard Treatment</t>
  </si>
  <si>
    <t>NCT06189508</t>
  </si>
  <si>
    <t>A Study to Evaluate Single Subcutaneous Doses of NXT007 Among Injection Sites Abdomen, Upper Arm, and Thigh in Healthy Male Participants</t>
  </si>
  <si>
    <t>Hoffmann-La Roche</t>
  </si>
  <si>
    <t>NCT06106308</t>
  </si>
  <si>
    <t>Study of Onvansertib in Combination With FOLFIRI and Bevacizumab or FOLFOX and Bevacizumab Versus FOLFIRI and Bevacizumab or FOLFOX and Bevacizumab for First-Line Treatment of Metastatic Colorectal Cancer in Adult Participants With a KRAS or NRAS Mutation</t>
  </si>
  <si>
    <t>Cardiff Oncology</t>
  </si>
  <si>
    <t>NCT06120504</t>
  </si>
  <si>
    <t>A Safety Study of PF-08046045/SGN-35T in Adults With Advanced Cancers</t>
  </si>
  <si>
    <t>Seagen, a wholly owned subsidiary of Pfizer</t>
  </si>
  <si>
    <t>NCT06220838</t>
  </si>
  <si>
    <t>Study SC-101 in Subjects With Advanced Malignancies</t>
  </si>
  <si>
    <t>Tianjin ConjuStar Biologics Co., Ltd.</t>
  </si>
  <si>
    <t>NCT06120140</t>
  </si>
  <si>
    <t>Enhanced Dermatological Care to Reduce Rash and Paronychia in Epidermal Growth Factor Receptor (EGRF)-Mutated Non-Small Cell Lung Cancer (NSCLC) Treated First-line With Amivantamab Plus Lazertinib</t>
  </si>
  <si>
    <t>NCT06273813</t>
  </si>
  <si>
    <t>Treatment of Topical Ketorolac Gel in Acute Gouty Flare</t>
  </si>
  <si>
    <t>Novilla Pharmaceuticals</t>
  </si>
  <si>
    <t>NCT05645887</t>
  </si>
  <si>
    <t>Human Albumin Treatment in Adult Septic Shock. A Study Evaluating Immune Response and Organ Failure.</t>
  </si>
  <si>
    <t>Albimmune SL</t>
  </si>
  <si>
    <t>NCT06246110</t>
  </si>
  <si>
    <t>A Phase 2 Study of EIK1001 in Combo With Pembrolizumab and Chemotherapy in Patients With Stage 4 NSCLC</t>
  </si>
  <si>
    <t>Eikon Therapeutics</t>
  </si>
  <si>
    <t>NCT06366568</t>
  </si>
  <si>
    <t>Efficacy of a Eugenol-based Product to Improve the Quality of Toothbrushing and Relieving Gum Discomfort Areas</t>
  </si>
  <si>
    <t>NCT06469853</t>
  </si>
  <si>
    <t>Study to Assess the Safety, Pharmacokinetics, and Pharmacodynamics of MBF-015 in Huntington's Disease Patients</t>
  </si>
  <si>
    <t>Medibiofarma S.L.</t>
  </si>
  <si>
    <t>NCT06835361</t>
  </si>
  <si>
    <t>Efficacy and Safety of Clotrimazole+Lactulose Vaginal Suppositories Vs. Clotrimazole Monotherapy in Adult Women with Candidal Vaginitis/Vulvovaginitis</t>
  </si>
  <si>
    <t>AVVA Pharmaceuticals Ltd.</t>
  </si>
  <si>
    <t>NCT06207877</t>
  </si>
  <si>
    <t>A Research Study to Look at How CagriSema Influences Food Intake, Appetite and Emptying of the Stomach in People With Excess Body Weight</t>
  </si>
  <si>
    <t>NCT06212245</t>
  </si>
  <si>
    <t>A Clinical Research Study of Inebilizumab in Neuromyelitis Optica Spectrum Disorders</t>
  </si>
  <si>
    <t>NCT06213831</t>
  </si>
  <si>
    <t>A Study to Evaluate the Safety and Tolerability of Maximal Use Ruxolitinib Cream</t>
  </si>
  <si>
    <t>NCT06246175</t>
  </si>
  <si>
    <t>A Study of HRS9531 in Participants With Impaired Kidney Function and Healthy Subjects</t>
  </si>
  <si>
    <t>Fujian Shengdi Pharmaceutical Co., Ltd.</t>
  </si>
  <si>
    <t>NCT06255665</t>
  </si>
  <si>
    <t>A Study of JNJ-79032421 Targeting Mesothelin for Advanced Stage Solid Tumors</t>
  </si>
  <si>
    <t>NCT06222892</t>
  </si>
  <si>
    <t>A Study of Camlipixant in Male and Female Healthy Participants and Participants With Hepatic Impairment Aged 18-75 Years of Age</t>
  </si>
  <si>
    <t>Bellus Health Inc. - a GSK company</t>
  </si>
  <si>
    <t>NCT06932107</t>
  </si>
  <si>
    <t>Efficacy and Safety Study of Aprepitant Injection for Prevention of Post-operative Nausea and Vomiting</t>
  </si>
  <si>
    <t>Qilu Pharmaceutical (Hainan) Co., Ltd.</t>
  </si>
  <si>
    <t>NCT05907096</t>
  </si>
  <si>
    <t>ARGX-117 in Deceased Donor Kidney Transplant Recipients at Risk for Delayed Graft Function</t>
  </si>
  <si>
    <t>argenx</t>
  </si>
  <si>
    <t>NCT06199037</t>
  </si>
  <si>
    <t>Safety and Pharmacodynamics of SHR-1707 in Alzheimer's Disease Patients</t>
  </si>
  <si>
    <t>Shanghai Hengrui Pharmaceutical Co., Ltd.</t>
  </si>
  <si>
    <t>NCT06117774</t>
  </si>
  <si>
    <t>Study Evaluating Tarlatamab After Chemoradiotherapy in Limited-Stage Small-Cell Lung Cancer (LS-SCLC)</t>
  </si>
  <si>
    <t>NCT06215118</t>
  </si>
  <si>
    <t>A Study to Learn About the Effects of the Combination of Elranatamab (PF-06863135) and Iberdomide in Patients With Relapsed or Refractory Multiple Myeloma (MagnetisMM-30)</t>
  </si>
  <si>
    <t>NCT06234423</t>
  </si>
  <si>
    <t>A Study of CUSP06 in Patients With Platinum-Refractory/Resistant Ovarian Cancer and Other Advanced Solid Tumors</t>
  </si>
  <si>
    <t>OnCusp Therapeutics, Inc.</t>
  </si>
  <si>
    <t>NCT06241742</t>
  </si>
  <si>
    <t>Evaluating Ability of HT-6184 to Reduce Inflammation and Pain After Third Molar Extraction</t>
  </si>
  <si>
    <t>Halia Therapeutics, Inc.</t>
  </si>
  <si>
    <t>NCT06049082</t>
  </si>
  <si>
    <t>A Study of KB408 for the Treatment of Alpha-1 Antitrypsin Deficiency</t>
  </si>
  <si>
    <t>Krystal Biotech, Inc.</t>
  </si>
  <si>
    <t>NCT06215911</t>
  </si>
  <si>
    <t>A Study to Assess Safety &amp; Effectiveness of Tovinontrine in Chronic Heart Failure With Reduced Ejection Fraction (Cycle-1-REF)</t>
  </si>
  <si>
    <t>Cardurion Pharmaceuticals, Inc.</t>
  </si>
  <si>
    <t>NCT06244771</t>
  </si>
  <si>
    <t>A Study Evaluating FMC-376 in Participants With KRAS G12C Mutated Solid Tumors</t>
  </si>
  <si>
    <t>Frontier Medicines Corporation</t>
  </si>
  <si>
    <t>NCT06247345</t>
  </si>
  <si>
    <t>A Phase Ia/Ib, First-in-human (FIH) Study for Safety, Tolerability, Pharmacokinetics (PK), and Clinical Activity Evaluation of ADEL-Y01</t>
  </si>
  <si>
    <t>Alzheimer's Disease Expert Lab (ADEL), Inc.</t>
  </si>
  <si>
    <t>NCT06232096</t>
  </si>
  <si>
    <t>A Study of MBS314 in Participants With Relapsed/Refractory Multiple Myeloma.</t>
  </si>
  <si>
    <t>Beijing Mabworks Biotech Co., Ltd.</t>
  </si>
  <si>
    <t>NCT06016270</t>
  </si>
  <si>
    <t>A Study of hSTC810 in Combination With Paclitaxel in Relapsed or Refractory Extensive Stage Small Cell Lung Cancer</t>
  </si>
  <si>
    <t>STCube, Inc.</t>
  </si>
  <si>
    <t>NCT06184568</t>
  </si>
  <si>
    <t>A Study Comparing IBI362 vs Semaglutide in Chinese Adults With Early Type 2 Diabetes and Obesity</t>
  </si>
  <si>
    <t>NCT06208124</t>
  </si>
  <si>
    <t>A Study of IMM-6-415 in RAS/RAF Mutant Solid Tumors</t>
  </si>
  <si>
    <t>Immuneering Corporation</t>
  </si>
  <si>
    <t>NCT06169722</t>
  </si>
  <si>
    <t>TDI01 Suspension in the Treatment of Chronic Graft-versus-host Disease (cGVHD))</t>
  </si>
  <si>
    <t>NCT06211023</t>
  </si>
  <si>
    <t>A Study of SHR-A1921 With or Without Carboplatin in Subjects With Ovarian Cancer</t>
  </si>
  <si>
    <t>Suzhou Suncadia Biopharmaceuticals Co., Ltd.</t>
  </si>
  <si>
    <t>NCT06271408</t>
  </si>
  <si>
    <t>Comparison of Bronchodilator Response From Three Different Aerosol Delivery Methods in Patients With COPD Using Hyperpolarized Xe 129 MRI Ventilation Imaging</t>
  </si>
  <si>
    <t>Polarean, Inc.</t>
  </si>
  <si>
    <t>NCT06204250</t>
  </si>
  <si>
    <t>A Study to Assess Safety and Tolerability of GS1-144 in Healthy Volunteers</t>
  </si>
  <si>
    <t>NCT06264440</t>
  </si>
  <si>
    <t>A Study to Assess the Potential for Gastric-pH Dependent Drug-Drug Interactions of BIIB122 With a Proton Pump Inhibitor in Healthy Participants</t>
  </si>
  <si>
    <t>NCT06154187</t>
  </si>
  <si>
    <t>Study to Evaluate the Efficacy and Safety of PBK_L2201 in Postmenopausal Women With Osteoporosis</t>
  </si>
  <si>
    <t>Pharmbio Korea Co., Ltd.</t>
  </si>
  <si>
    <t>NCT06226727</t>
  </si>
  <si>
    <t>A Study to Evaluate the Pharmacokinetics and the Safety After Administration of "BR1019" and Co-administration of "BR1019-1" and "BR1019-2"</t>
  </si>
  <si>
    <t>Boryung Pharmaceutical Co., Ltd</t>
  </si>
  <si>
    <t>NCT05935215</t>
  </si>
  <si>
    <t>Efficacy and Safety of Switching From Anti-C5 Antibody Treatment to Iptacopan Treatment in Study Participants With Atypical Hemolytic Uremic Syndrome (aHUS)</t>
  </si>
  <si>
    <t>NCT06038474</t>
  </si>
  <si>
    <t>Descartes-08 for Patients With Systemic Lupus Erythematosus</t>
  </si>
  <si>
    <t>Cartesian Therapeutics</t>
  </si>
  <si>
    <t>NCT06143878</t>
  </si>
  <si>
    <t>A Study of JNJ-77242113 for the Treatment of Participants With Moderate to Severe Plaque Psoriasis</t>
  </si>
  <si>
    <t>NCT06128044</t>
  </si>
  <si>
    <t>CRISPR-Edited Allogeneic Anti-CLL-1 CAR-T Cell Therapy in Patients With Relapsed/Refractory Acute Myeloid Leukemia</t>
  </si>
  <si>
    <t>Caribou Biosciences, Inc.</t>
  </si>
  <si>
    <t>NCT05901831</t>
  </si>
  <si>
    <t>A Study to Learn How Well the Study Treatment Finerenone Works and How Safe it is in People With Long-term Decrease in the Kidneys' Ability to Work Properly (Chronic Kidney Disease) Together With Type 1 Diabetes</t>
  </si>
  <si>
    <t>NCT06206915</t>
  </si>
  <si>
    <t>Phase I Study of XZ120 in Malignant Tumors</t>
  </si>
  <si>
    <t>Shandong New Time Pharmaceutical Co., LTD</t>
  </si>
  <si>
    <t>NCT06329687</t>
  </si>
  <si>
    <t>A Study Evaluating the Safety of the Nasal Pump</t>
  </si>
  <si>
    <t>Oyster Point Pharma, Inc.</t>
  </si>
  <si>
    <t>NCT06237335</t>
  </si>
  <si>
    <t>A Phase 2 Study Evaluating Safety and Tolerability of RCT2100 (CFTR mRNA) in Healthy Participants and in Participants With CF</t>
  </si>
  <si>
    <t>ReCode Therapeutics</t>
  </si>
  <si>
    <t>NCT06226090</t>
  </si>
  <si>
    <t>A Study of TG103 Injection in the Management of Non-diabetic Overweight or Obesity</t>
  </si>
  <si>
    <t>CSPC Baike (Shandong) Biopharmaceutical Co., Ltd.</t>
  </si>
  <si>
    <t>NCT06012435</t>
  </si>
  <si>
    <t>A Study of SGN-B6A Versus Docetaxel in Previously Treated Non-small Cell Lung Cancer</t>
  </si>
  <si>
    <t>NCT06225843</t>
  </si>
  <si>
    <t>Sotevtamab (AB-16B5) Combined With FOLFOX as Neoadjuvant Treatment Prior to Resection of Colorectal Cancer Liver Metastasis</t>
  </si>
  <si>
    <t>Alethia Biotherapeutics</t>
  </si>
  <si>
    <t>NCT05996003</t>
  </si>
  <si>
    <t>NS-089/NCNP-02-201 in Boys With Duchenne Muscular Dystrophy (DMD)</t>
  </si>
  <si>
    <t>NS Pharma, Inc.</t>
  </si>
  <si>
    <t>NCT06169579</t>
  </si>
  <si>
    <t>An Open-label, Phase 1 Study to Determine the Maximum Tolerated Dose of ND-003 in Patients With Advanced Solid Cancers</t>
  </si>
  <si>
    <t>Shenzhen NewDEL Biotech, Co., Ltd</t>
  </si>
  <si>
    <t>NCT04903951</t>
  </si>
  <si>
    <t>Impact of Early Ventilation in Stroke Outcomes in Patients With Sleep Apnea After First Ever Stroke</t>
  </si>
  <si>
    <t>Philips Portuguesa S.A.</t>
  </si>
  <si>
    <t>NCT06191744</t>
  </si>
  <si>
    <t>Study of Subcutaneous Epcoritamab in Combination With Intravenous Rituximab and Oral Lenalidomide (R2) to Assess Adverse Events and Change in Disease Activity in Adult Participants With Previously Untreated Follicular Lymphoma</t>
  </si>
  <si>
    <t>NCT06326671</t>
  </si>
  <si>
    <t>A Trial to Assess the Bioequivalence of Generic Tiotropium Bromide Inhalation Powder and Reference Product in Healthy Adult Participants Under Fasting Conditions (Pilot)</t>
  </si>
  <si>
    <t>NCT06206408</t>
  </si>
  <si>
    <t>A Study to Confirm if Fezolinetant Helps Reduce Hot Flashes in Japanese Women Going Through Menopause</t>
  </si>
  <si>
    <t>Astellas Pharma Inc</t>
  </si>
  <si>
    <t>NCT06214052</t>
  </si>
  <si>
    <t>VH4524184 Proof-of-Concept in Treatment-Naïve Adults Living With HIV-1</t>
  </si>
  <si>
    <t>ViiV Healthcare</t>
  </si>
  <si>
    <t>NCT06198751</t>
  </si>
  <si>
    <t>A Study of Neoadjuvant Treatment With TQB2102 for Injection for Human Epidermal Growth Factor Receptor 2 (HER2) Positive Breast Cancer</t>
  </si>
  <si>
    <t>NCT06269107</t>
  </si>
  <si>
    <t>A Research Study to See How Well New Weekly Medicine IcoSema, Which is a Combination of Insulin Icodec and Semaglutide, Controls Blood Sugar Levels in People With Type 2 Diabetes (T2D), Compared to Daily Insulin Glargine (COMBINE 4)</t>
  </si>
  <si>
    <t>NCT06273839</t>
  </si>
  <si>
    <t>A Study to Learn How Different Forms of Study Medicine Tafamidis Are Taken Up Into The Blood in Healthy Adults</t>
  </si>
  <si>
    <t>NCT06811246</t>
  </si>
  <si>
    <t>A Clinical Study of Islatravir and Its Interaction With Lamivudine (MK-8591-058)</t>
  </si>
  <si>
    <t>NCT06102174</t>
  </si>
  <si>
    <t>A Study to Learn About the Amount of the Study Medicine (Sisunatovir) in Blood and Its Safety in Infants and Children With Pneumonia Caused by RSV</t>
  </si>
  <si>
    <t>NCT06282159</t>
  </si>
  <si>
    <t>A Phase 2 Study to Evaluate DNTH103 in Adults With Generalized Myasthenia Gravis (MAGIC)</t>
  </si>
  <si>
    <t>Dianthus Therapeutics</t>
  </si>
  <si>
    <t>NCT06316973</t>
  </si>
  <si>
    <t>A Clinical Study to Evaluate the Safety of CS-1103 in Healthy Participants</t>
  </si>
  <si>
    <t>Clear Scientific, Inc.</t>
  </si>
  <si>
    <t>NCT06268860</t>
  </si>
  <si>
    <t>A Study to Assess Bioavailability of Rocatinlimab (AMG 451) Vial and Prefilled Syringe in Healthy Participants</t>
  </si>
  <si>
    <t>NCT06196203</t>
  </si>
  <si>
    <t>A Study of AK117 in Combination With Azacitidine in Patients With Myelodysplastic Syndromes</t>
  </si>
  <si>
    <t>NCT06252298</t>
  </si>
  <si>
    <t>A Clinical Study of SCTC21C in Participants With CD38+ Hematologic Malignancies</t>
  </si>
  <si>
    <t>Sinocelltech Ltd.</t>
  </si>
  <si>
    <t>NCT06172478</t>
  </si>
  <si>
    <t>A Study of HER3-DXd in Subjects With Locally Advanced or Metastatic Solid Tumors</t>
  </si>
  <si>
    <t>NCT06015516</t>
  </si>
  <si>
    <t>Bioavailability Clinical Trial of Oral Minoxidil 1 mg</t>
  </si>
  <si>
    <t>Industrial Farmacéutica Cantabria, S.A.</t>
  </si>
  <si>
    <t>NCT06242691</t>
  </si>
  <si>
    <t>Safety and Efficacy of MK-1200 in Participants With Advanced Solid Tumors (MK-1200-002)</t>
  </si>
  <si>
    <t>NCT06157255</t>
  </si>
  <si>
    <t>An ADME Study of [14C]AZD4604 and the Absolute Bioavailability of AZD4604</t>
  </si>
  <si>
    <t>NCT06293898</t>
  </si>
  <si>
    <t>Open Label Study to Evaluate BL-M07D1 in HER2 Expressing Malignant Solid Tumors</t>
  </si>
  <si>
    <t>SystImmune Inc.</t>
  </si>
  <si>
    <t>NCT04186559</t>
  </si>
  <si>
    <t>Topical Pentoxifylline Gel on Behcet's Disease Genital Ulcers</t>
  </si>
  <si>
    <t>Silk Road Therapies, Inc.</t>
  </si>
  <si>
    <t>NCT06277154</t>
  </si>
  <si>
    <t>MASCT-I Combined With Doxorubicin and Ifosfamide for First-line Treatment of Advanced Soft Tissue Sarcoma</t>
  </si>
  <si>
    <t>HRYZ Biotech Co.</t>
  </si>
  <si>
    <t>NCT06295692</t>
  </si>
  <si>
    <t>A Study of JNJ-77242113 for the Treatment of Participants With Generalized Pustular Psoriasis or Erythrodermic Psoriasis</t>
  </si>
  <si>
    <t>Janssen Pharmaceutical K.K.</t>
  </si>
  <si>
    <t>NCT06250946</t>
  </si>
  <si>
    <t>Efficacy and Safety of HRS-7535 Tablets in Obese Subjects .</t>
  </si>
  <si>
    <t>Shandong Suncadia Medicine Co., Ltd.</t>
  </si>
  <si>
    <t>NCT06235983</t>
  </si>
  <si>
    <t>A Study of LY3537982 in Chinese Participants With Advanced Solid Tumors</t>
  </si>
  <si>
    <t>NCT06372483</t>
  </si>
  <si>
    <t>Single Dose Trial of VMX-C001 in Healthy Subjects with and Without FXa Direct Oral Anticoagulant</t>
  </si>
  <si>
    <t>VarmX B.V.</t>
  </si>
  <si>
    <t>NCT06298409</t>
  </si>
  <si>
    <t>Evaluating the Effect Of Rifaximin on the Gut Microbiota and Metabolome in SIBO Using CapScan®</t>
  </si>
  <si>
    <t>Envivo Bio Inc</t>
  </si>
  <si>
    <t>NCT06236295</t>
  </si>
  <si>
    <t>Investigating the Safety and Efficacy of SHR6508 Injection in the Treatment of Secondary Hyperparathyroidism in Hemodialysis Patients : A Multicenter, Long-term Clinical Trial</t>
  </si>
  <si>
    <t>NCT05962606</t>
  </si>
  <si>
    <t>Safety and Efficacy of AON-D21 in Severe Community-Acquired Pneumonia.</t>
  </si>
  <si>
    <t>Aptarion Biotech AG</t>
  </si>
  <si>
    <t>NCT06247813</t>
  </si>
  <si>
    <t>Pilot Study: Impact of Biomarker-Guided Dietary Supplementation on Quality-of-Life Measures in Subjects With Chronic Pain</t>
  </si>
  <si>
    <t>Ethos Research &amp; Development</t>
  </si>
  <si>
    <t>NCT06122389</t>
  </si>
  <si>
    <t>SHR2554 Clinical Study of Chidamide in the Treatment of T-cell Lymphoma</t>
  </si>
  <si>
    <t>NCT06692647</t>
  </si>
  <si>
    <t>A Clinical Study of MK-4318 and Diltiazem in Healthy People (MK-4318-003)</t>
  </si>
  <si>
    <t>NCT06415279</t>
  </si>
  <si>
    <t>A Study to Evaluate the Reduction in Sebum (Skin Oil) Induced by Clascoterone Cream 1% in Acne Patients</t>
  </si>
  <si>
    <t>Sun Pharmaceutical Industries Limited</t>
  </si>
  <si>
    <t>NCT06284902</t>
  </si>
  <si>
    <t>Bioavailability Study of Fexofenadine HCl New Formulation Tablet</t>
  </si>
  <si>
    <t>Opella Healthcare Group SAS, a Sanofi Company</t>
  </si>
  <si>
    <t>NCT06177431</t>
  </si>
  <si>
    <t>An Open Label Extension Study of Monepantel in Individuals With Motor Neurone Disease</t>
  </si>
  <si>
    <t>Neurizon Therapeutics Limited</t>
  </si>
  <si>
    <t>NCT06278766</t>
  </si>
  <si>
    <t>A Study to Assess the Mass Balance of [14C] ABBV-552 in Healthy Male Participants Following Single Oral Dose Administration</t>
  </si>
  <si>
    <t>NCT06213844</t>
  </si>
  <si>
    <t>A First-in-human, Single-ascending-dose Study of IBI3002 in Healthy Participants and Mild to Moderate Asthmatics</t>
  </si>
  <si>
    <t>NCT05986864</t>
  </si>
  <si>
    <t>Phase I/II Study of SKG0106 Intravitreal Injection in Patients With Neovascular Age-related Macular Degeneration (nAMD)</t>
  </si>
  <si>
    <t>Skyline Therapeutics (US) Inc.</t>
  </si>
  <si>
    <t>NCT06225804</t>
  </si>
  <si>
    <t>A Study to Assess Safety, Tolerability, and Pharmacokinetics of ABSK112 in Patients With Non-Small Cell Lung Cancer</t>
  </si>
  <si>
    <t>Abbisko Therapeutics Co, Ltd</t>
  </si>
  <si>
    <t>NCT06279793</t>
  </si>
  <si>
    <t>Intravenous Fish Oil Based Lipid Emulsion to Enhance Recovery in High-Risk Cardiac Surgery Patients</t>
  </si>
  <si>
    <t>GCP-Service International West GmbH</t>
  </si>
  <si>
    <t>NCT06901648</t>
  </si>
  <si>
    <t>A Study of HS-20094 in Patients With T2DM</t>
  </si>
  <si>
    <t>NCT06254742</t>
  </si>
  <si>
    <t>A Trial of HHPG-19K Injection and Auto-HHPG-19K Injection in Prevention of Chemotherapy-related Moderate to Severe Neutropenia of Patients With Nonmyeloid Malignancies</t>
  </si>
  <si>
    <t>NCT06266767</t>
  </si>
  <si>
    <t>Programmed Intermittent Epidural Bolus (PIEB) Techniques for Labour Analgesia</t>
  </si>
  <si>
    <t>Hamad Medical Corporation</t>
  </si>
  <si>
    <t>NCT05933057</t>
  </si>
  <si>
    <t>Efficacy, Safety and Tolerability of Givinostat in Non-ambulant Patients With Duchenne Muscular Dystrophy</t>
  </si>
  <si>
    <t>Italfarmaco</t>
  </si>
  <si>
    <t>NCT06277492</t>
  </si>
  <si>
    <t>A First-In-Human Study of Single and Multiple Ascending Doses of Oral SUL-238 in Healthy Subjects</t>
  </si>
  <si>
    <t>GEN İlaç ve Sağlık Ürünleri A.Ş.</t>
  </si>
  <si>
    <t>NCT06298955</t>
  </si>
  <si>
    <t>Long-Term Safety, Tolerability and Efficacy of OMS906 in Paroxysmal Nocturnal Hemoglobinuria</t>
  </si>
  <si>
    <t>Omeros Corporation</t>
  </si>
  <si>
    <t>NCT06235905</t>
  </si>
  <si>
    <t>Open-Label of SPN-820 in Adults With Major Depressive Disorder</t>
  </si>
  <si>
    <t>Navitor Pharmaceuticals, Inc.</t>
  </si>
  <si>
    <t>NCT06326502</t>
  </si>
  <si>
    <t>A Safety and Efficacy Study of Multiple Tyrosine Kinase Inhibitor Drug (ETN101) in Advanced Hepatocellular Carcinoma</t>
  </si>
  <si>
    <t>Etnova Therapeutics Corp.</t>
  </si>
  <si>
    <t>NCT06206837</t>
  </si>
  <si>
    <t>A Study to Learn About Vepdegestrant When Given With PF-07220060 to People With Advanced or Metastatic Breast Cancer.</t>
  </si>
  <si>
    <t>NCT05853575</t>
  </si>
  <si>
    <t>Trial of Two Adagrasib Dosing Regimens in NSCLC With KRAS G12C Mutation (KRYSTAL 21)</t>
  </si>
  <si>
    <t>Mirati Therapeutics Inc.</t>
  </si>
  <si>
    <t>NCT06230224</t>
  </si>
  <si>
    <t>A Trial to Learn How Effective and Safe Odronextamab is Compared to Standard of Care for Adult Participants With Previously Treated Aggressive B-cell Non-Hodgkin Lymphoma</t>
  </si>
  <si>
    <t>NCT06269484</t>
  </si>
  <si>
    <t>A Phase IIb Study to Evaluate the Safety of Zibotentan/Dapagliflozin in Participants With Cirrhosis-ZEAL-UNLOCK</t>
  </si>
  <si>
    <t>NCT05964335</t>
  </si>
  <si>
    <t>Cough Reduction in IPF With Nalbuphine ER</t>
  </si>
  <si>
    <t>Trevi Therapeutics</t>
  </si>
  <si>
    <t>NCT06226363</t>
  </si>
  <si>
    <t>Phase I Study of LNF1901 in Advanced Malignant Tumors</t>
  </si>
  <si>
    <t>NCT06280391</t>
  </si>
  <si>
    <t>A Proof-of-Concept Study to Assess the Efficacy, Safety and Tolerability of Itepekimab (Anti-IL-33 mAb) in Participants With Non-cystic Fibrosis Bronchiectasis</t>
  </si>
  <si>
    <t>NCT06220864</t>
  </si>
  <si>
    <t>SNV1521 in Participants with Advanced Solid Tumors</t>
  </si>
  <si>
    <t>Synnovation Therapeutics, Inc.</t>
  </si>
  <si>
    <t>NCT06289504</t>
  </si>
  <si>
    <t>A Study on How CagriSema Affects Levels of Atorvastatin and Warfarin in the Blood of Participants With Excess Body Weight</t>
  </si>
  <si>
    <t>NCT06217393</t>
  </si>
  <si>
    <t>Trial of Itopride 150mg Once a Day Versus Itopride 50 mg Thrice a Day; in Patients With Functional Dyspepsia</t>
  </si>
  <si>
    <t>Abbott</t>
  </si>
  <si>
    <t>NCT06264921</t>
  </si>
  <si>
    <t>A Study With NKT3447 for Adults With Advanced/Metastatic Solid Tumors</t>
  </si>
  <si>
    <t>NiKang Therapeutics, Inc.</t>
  </si>
  <si>
    <t>NCT06158958</t>
  </si>
  <si>
    <t>A Study to Assess the Safety, Pharmacokinetics, and Efficacy of Intravenous (IV) ABBV-303, as Monotherapy and in Combination With IV Infused Budigalimab (ABBV-181), in Adults With Advanced Solid Tumors</t>
  </si>
  <si>
    <t>NCT06097663</t>
  </si>
  <si>
    <t>A Study to Investigate the Efficacy, Safety, and Tolerability of DFV890 and MAS825 for Inflammatory Marker Reduction in Adult Participants With Coronary Heart Disease and Clonal Hematopoiesis of Indeterminate Potential (CHIP)</t>
  </si>
  <si>
    <t>NCT05979311</t>
  </si>
  <si>
    <t>A Study to Evaluate the Efficacy, Safety, and Tolerability of Using an Oral Once-daily 2 Drug Regimen Compared to an Oral Once-daily 3 Drug Regimen for the Treatment of Human Immunodeficiency Virus (HIV)-1 in Adults Who Have Not Previously Taken Antiretroviral Therapy</t>
  </si>
  <si>
    <t>NCT06234904</t>
  </si>
  <si>
    <t>Study of IBR733 Cell Injection in Acute Myeloid Leukemia</t>
  </si>
  <si>
    <t>Imbioray (Hangzhou) Biomedicine Co., Ltd.</t>
  </si>
  <si>
    <t>NCT06206421</t>
  </si>
  <si>
    <t>A Study to Assess Long-term Safety of Fezolinetant Given to Japanese Women Going Through Menopause</t>
  </si>
  <si>
    <t>NCT05751356</t>
  </si>
  <si>
    <t>TR128 in Patients With Advanced Solid Tumors</t>
  </si>
  <si>
    <t>Tarapeutics Science Inc.</t>
  </si>
  <si>
    <t>NCT05925530</t>
  </si>
  <si>
    <t>Study to Assess Neoadjuvant Durvalumab (D) and Platinum-Based Chemotherapy (CT), Followed by Either Surgery and Adjuvant D or CRT and Consolidation D, in Resectable or Borderline Resectable Stage IIB-IIIB NSCLC (MDT-BRIDGE)</t>
  </si>
  <si>
    <t>NCT06194734</t>
  </si>
  <si>
    <t>A Study of KC1036 Versus Investigator's Choice of Chemotherapy in Patients With Advanced Esophageal Cancer</t>
  </si>
  <si>
    <t>Beijing Konruns Pharmaceutical Co., Ltd.</t>
  </si>
  <si>
    <t>NCT06279533</t>
  </si>
  <si>
    <t>Safety and Pharmacokinetics Study of Multiple Ascending Doses and Food Effect of LV232 Capsules</t>
  </si>
  <si>
    <t>NCT06239714</t>
  </si>
  <si>
    <t>A Study to Evaluate SGB-3403 in Healthy Volunteers and Subjects With Elevated Low-Density Lipoprotein Cholesterol (LDL-C)</t>
  </si>
  <si>
    <t>Suzhou Sanegene Bio Inc.</t>
  </si>
  <si>
    <t>NCT06304571</t>
  </si>
  <si>
    <t>A Study of HC006 in Subjects With Advanced Solid Tumors</t>
  </si>
  <si>
    <t>HC Biopharma Inc.</t>
  </si>
  <si>
    <t>NCT06222879</t>
  </si>
  <si>
    <t>Study of HRS-8080 or SHR-A2009 Combined With Anti-tumor Therapy in Patients With Unresectable or Metastatic Breast Cancer</t>
  </si>
  <si>
    <t>NCT06182579</t>
  </si>
  <si>
    <t>Phase I Study of RiMO-401 With Radiation in Advanced Tumors</t>
  </si>
  <si>
    <t>Coordination Pharmaceuticals, Inc.</t>
  </si>
  <si>
    <t>NCT06288412</t>
  </si>
  <si>
    <t>A Study to Test How a New Long-acting Insulin Works in the Body of Patients With Type 2 Diabetes During Exercise and Prolonged Fasting</t>
  </si>
  <si>
    <t>NCT06897228</t>
  </si>
  <si>
    <t>PANK-003 Cell Injection Combined with Standard Adjuvant Chemotherapy After Surgery in Patients with Solid Tumors</t>
  </si>
  <si>
    <t>Shenzhen Celconta Life Science Co., Ltd.</t>
  </si>
  <si>
    <t>NCT06238544</t>
  </si>
  <si>
    <t>Long-term Safety and Tolerability of HRS-5965 in Patients With Paroxysmal Nocturnal Hemoglobinuria</t>
  </si>
  <si>
    <t>Chengdu Suncadia Medicine Co., Ltd.</t>
  </si>
  <si>
    <t>NCT07065032</t>
  </si>
  <si>
    <t>A Study of ZT002 Injection in Adult Chinese Subjects With Type 2 Diabetes Mellitus (T2DM)</t>
  </si>
  <si>
    <t>Beijing QL Biopharmaceutical Co.,Ltd</t>
  </si>
  <si>
    <t>NCT06279364</t>
  </si>
  <si>
    <t>A Study of SKB264 Versus Investigator's Choice Chemotherapy in Patients With Unresectable Recurrent or Metastatic Triple-Negative Breast Cancer</t>
  </si>
  <si>
    <t>Sichuan Kelun-Biotech Biopharmaceutical Co., Ltd.</t>
  </si>
  <si>
    <t>NCT06267092</t>
  </si>
  <si>
    <t>A Study of How CagriSema Works on Appetite in People With Excess Body Weight</t>
  </si>
  <si>
    <t>NCT06131983</t>
  </si>
  <si>
    <t>Study of ARO-DUX4 in Adult and Adolescent Patients With Facioscapulohumeral Muscular Dystrophy Type 1</t>
  </si>
  <si>
    <t>NCT06140303</t>
  </si>
  <si>
    <t>SkinTE® for the Treatment of Wagner 1 Diabetic Foot Ulcers (COVER DFUS II)</t>
  </si>
  <si>
    <t>PolarityTE</t>
  </si>
  <si>
    <t>NCT06095505</t>
  </si>
  <si>
    <t>A Study of Alisertib in Patients With Extensive Stage Small Cell Lung Cancer</t>
  </si>
  <si>
    <t>Puma Biotechnology, Inc.</t>
  </si>
  <si>
    <t>NCT06232239</t>
  </si>
  <si>
    <t>Empagliflozin 10 mg Tablets Relative to Jardiance 10 mg</t>
  </si>
  <si>
    <t>NCT06232109</t>
  </si>
  <si>
    <t>Drug-Drug Interaction of ASN51 With Fluvoxamine, Itraconazole and Paroxetine in Healthy Subjects</t>
  </si>
  <si>
    <t>Asceneuron S.A.</t>
  </si>
  <si>
    <t>NCT06234098</t>
  </si>
  <si>
    <t>Study to Investigate the Safety, Tolerability, Pharmacokinetics, Pharmocodynamics and Preliminary Antitumor Activity of AT-1965 in Patients With Advanced, Refractory or Recurrent Solid Tumors</t>
  </si>
  <si>
    <t>Alyssum Therapeutics</t>
  </si>
  <si>
    <t>NCT05676749</t>
  </si>
  <si>
    <t>C-TIL051 in Non-Small Cell Lung Cancer</t>
  </si>
  <si>
    <t>AbelZeta Inc.</t>
  </si>
  <si>
    <t>NCT06244485</t>
  </si>
  <si>
    <t>A Study of Valemetostat Tosylate in Combination With DXd ADCs in Subjects With Solid Tumors</t>
  </si>
  <si>
    <t>NCT06220123</t>
  </si>
  <si>
    <t>A Study to Evaluate the Efficacy and Safety of SHR-2004 Injection in Preventing Postoperative Venous Thromboembolism in Patients Undergoing Ovarian Cancer Surgery</t>
  </si>
  <si>
    <t>Beijing Suncadia Pharmaceuticals Co., Ltd</t>
  </si>
  <si>
    <t>NCT06231381</t>
  </si>
  <si>
    <t>Efficacy and Safety of HB0034 in Patients with Generalized Pustular Psoriasis (GPP)</t>
  </si>
  <si>
    <t>Shanghai Huaota Biopharmaceutical Co., Ltd.</t>
  </si>
  <si>
    <t>NCT06271837</t>
  </si>
  <si>
    <t>A Study of T-DXd as Monotherapy or in Combination With Anti-cancer Agents in Patients With Selected HER2-expressing Tumors</t>
  </si>
  <si>
    <t>NCT06204237</t>
  </si>
  <si>
    <t>Safety, Tolerability, and Biodistribution of [89Zr]Zr-DFO-APAC in Subjects With PAOD/CLI and Healthy Volunteers (Acronyms: 89Zr = Zirconium-89, DFO = Desferrioxamine, APAC = AntiPlatelet AntiCoagulant, PET/CT = Positron Emission Tomography/Computed Tomography)</t>
  </si>
  <si>
    <t>Aplagon Oy</t>
  </si>
  <si>
    <t>NCT06775405</t>
  </si>
  <si>
    <t>A Study to Confirm the Effectiveness and Safety of AK0529 in Treating RSV Infections in Hospitalized Infants</t>
  </si>
  <si>
    <t>Shanghai Ark Biopharmaceutical Co., Ltd.</t>
  </si>
  <si>
    <t>NCT06268145</t>
  </si>
  <si>
    <t>ECC5004 RBA FE Study in Healthy Participants</t>
  </si>
  <si>
    <t>NCT06342778</t>
  </si>
  <si>
    <t>Pharmacokinetics and Bioequivalence of Doxylamine+Pyridoxine and Diclectin Under Fed Conditions in Healthy Volunteers</t>
  </si>
  <si>
    <t>NCT06088979</t>
  </si>
  <si>
    <t>A Study to Investigate Efficacy and Safety of TOUR006 in Participants 18 to 80 Years of Age With Thyroid Eye Disease</t>
  </si>
  <si>
    <t>Tourmaline Bio, Inc.</t>
  </si>
  <si>
    <t>NCT06525168</t>
  </si>
  <si>
    <t>Safety, Tolerability and Pharmacokinetic Characteristics Evaluation on DA414</t>
  </si>
  <si>
    <t>Chendu DIAO Nine Hong Pharmaceutical Factory</t>
  </si>
  <si>
    <t>NCT06193408</t>
  </si>
  <si>
    <t>Assessment of a Novel Fixed-dose Combination (FDC) Drug VR-AD-1005 for the Treatment of Acute Watery Diarrhea in Cholera</t>
  </si>
  <si>
    <t>Hunazine Biotech S.L.</t>
  </si>
  <si>
    <t>NCT06131450</t>
  </si>
  <si>
    <t>A Study of BL-M07D1 in Patients With HER2-expressing Recurrent or Metastatic Gynecologic Malignancies</t>
  </si>
  <si>
    <t>NCT06272695</t>
  </si>
  <si>
    <t>Glucagon Rescue of Insulin-Induced Hypoglycemia in Adults With Type 1 Diabetes Treated With Volagidemab</t>
  </si>
  <si>
    <t>REMD Biotherapeutics, Inc.</t>
  </si>
  <si>
    <t>NCT06298032</t>
  </si>
  <si>
    <t>A Study Investigating the Safety, Tolerability, Immunogenicity and Pharmacokinetics of Olamkicept in Healthy Persons</t>
  </si>
  <si>
    <t>Ferring Pharmaceuticals</t>
  </si>
  <si>
    <t>NCT06296966</t>
  </si>
  <si>
    <t>A Study to Evaluate the Safety and Efficacy of VSJ-110 Compared to Placebo in the Treatment of Dry Eye</t>
  </si>
  <si>
    <t>NCT06218251</t>
  </si>
  <si>
    <t>A Study to Evaluate Participant Satisfaction and Natural Outcomes Following Administration of BOTOX Cosmetic Injections in Adult Participants for Treatment of Upper Facial Lines</t>
  </si>
  <si>
    <t>NCT06277245</t>
  </si>
  <si>
    <t>A Phase 3 Study of LNK01001 Capsule in Subjects With Moderate to Severe Atopic Dermatitis.</t>
  </si>
  <si>
    <t>Lynk Pharmaceuticals Co., Ltd</t>
  </si>
  <si>
    <t>NCT06260722</t>
  </si>
  <si>
    <t>Effect of Retatrutide Compared With Semaglutide in Adult Participants With Type 2 Diabetes and Inadequate Glycemic Control With Metformin With or Without SGLT2 Inhibitor (TRANSCEND-T2D-2)</t>
  </si>
  <si>
    <t>NCT05990738</t>
  </si>
  <si>
    <t>DAREON™-9: A Study to Test How Well Different Doses of BI 764532 Are Tolerated by People With Small Cell Lung Cancer When Taken Together With a Single Agent Chemotherapy</t>
  </si>
  <si>
    <t>NCT06957379</t>
  </si>
  <si>
    <t>Sirolimus for Injection (Albumin-bound) in Combination With Endocrine Therapy for HR+/HER2- Advanced/Metastatic Breast Cancer Patients Who Have Failed Standard Therapy</t>
  </si>
  <si>
    <t>NCT06241846</t>
  </si>
  <si>
    <t>A Phase II Study to Evaluate the Safety, Efficacy, and Pharmacokinetics of YL201 in Patients With mCRPC</t>
  </si>
  <si>
    <t>MediLink Therapeutics (Suzhou) Co., Ltd.</t>
  </si>
  <si>
    <t>NCT06256510</t>
  </si>
  <si>
    <t>A Study to Learn If the Study Medicine Called Vepdegestrant Changes How the Body Processes the Other Study Medicine Called Midazolam</t>
  </si>
  <si>
    <t>NCT06126237</t>
  </si>
  <si>
    <t>A Study of CM313 in Subjects With Relapsed or Refractory Multiple Myeloma</t>
  </si>
  <si>
    <t>Keymed Biosciences Co.Ltd</t>
  </si>
  <si>
    <t>NCT06195319</t>
  </si>
  <si>
    <t>Open-label Study of the Absorption, Metabolism, and Excretion of [14C]-Simufilam Following a Single Oral Dose in Healthy Male Subjects</t>
  </si>
  <si>
    <t>Cassava Sciences, Inc.</t>
  </si>
  <si>
    <t>NCT06206811</t>
  </si>
  <si>
    <t>Phase 1 Study to Investigate OD-07656 in Healthy Adult Participants</t>
  </si>
  <si>
    <t>Odyssey Therapeutics</t>
  </si>
  <si>
    <t>NCT06255834</t>
  </si>
  <si>
    <t>Phase 1 Study for IPG11406 in Health Volunteer</t>
  </si>
  <si>
    <t>Nanjing Immunophage Biotech Co., Ltd</t>
  </si>
  <si>
    <t>NCT06423911</t>
  </si>
  <si>
    <t>Study of Olverembatinib (HQP1351) in Patients With CP-CML</t>
  </si>
  <si>
    <t>Ascentage Pharma Group Inc.</t>
  </si>
  <si>
    <t>NCT05736406</t>
  </si>
  <si>
    <t>A Dose-escalation Clinical Study of Intraoperative Photodynamic Therapy of Glioblastoma</t>
  </si>
  <si>
    <t>Hemerion Therapeutics</t>
  </si>
  <si>
    <t>NCT05374915</t>
  </si>
  <si>
    <t>Efficacy and Safety Study of REM-001 Photodynamic Therapy for Treatment of Cutaneous Metastatic Breast Cancer (CMBC)</t>
  </si>
  <si>
    <t>Kintara Therapeutics, Inc.</t>
  </si>
  <si>
    <t>NCT06194032</t>
  </si>
  <si>
    <t>A Study to Investigate the Effect on QTcF of Baxdrostat Compared With Placebo, Using Moxifloxacin as a Positive Control, in Healthy Participants</t>
  </si>
  <si>
    <t>NCT06247735</t>
  </si>
  <si>
    <t>Study to Evaluate the Efficacy and Safety of K-808 (Pemafibrate) in Participants With Primary Biliary Cholangitis (PBC) With Inadequate Response to Ursodeoxycholic Acid (UDCA) and/or Obeticholic Acid (OCA) Treatment.</t>
  </si>
  <si>
    <t>Kowa Research Institute, Inc.</t>
  </si>
  <si>
    <t>NCT06257355</t>
  </si>
  <si>
    <t>Study to Evaluate the Safety and Efficacy of CSB-001 Ophthalmic Solution 0.1% in Subjects With Corneal Scars</t>
  </si>
  <si>
    <t>Claris Biotherapeutics, Inc.</t>
  </si>
  <si>
    <t>NCT06241118</t>
  </si>
  <si>
    <t>A Study to Evaluate the Efficacy and Safety of Subcutaneous Amlitelimab on Background Topical Corticosteroids Therapy in Participants Aged 12 Years and Older With Moderate-to-severe AD Who Have Had an Inadequate Response to Prior Biologic Therapy or an Oral JAK Inhibitor</t>
  </si>
  <si>
    <t>NCT06126718</t>
  </si>
  <si>
    <t>Phase I Randomized, Open-label, Parallel-controlled, Pharmacokinetic and Safety Study of BR201 Injection Versus Cosentyx in Healthy Male Subjects</t>
  </si>
  <si>
    <t>NCT03696485</t>
  </si>
  <si>
    <t>Study to Assess the Safety and Efficacy of an IT Administration of SCM-010 in SPMS</t>
  </si>
  <si>
    <t>Stem Cell Medicine Ltd.</t>
  </si>
  <si>
    <t>NCT06265025</t>
  </si>
  <si>
    <t>GM103 Intratumoral Injection in Patients With Locally Advanced, Unresectable, Refractory and/or Metastatic Solid Tumors</t>
  </si>
  <si>
    <t>GeneMedicine Co., Ltd.</t>
  </si>
  <si>
    <t>NCT06314724</t>
  </si>
  <si>
    <t>Immunogenicity and Safety of Varicella Vaccine, Live in Healthy Children Aged 12~15 Months in the Philippines</t>
  </si>
  <si>
    <t>Sinovac (Dalian) Vaccine Technology Co., Ltd.</t>
  </si>
  <si>
    <t>NCT06286033</t>
  </si>
  <si>
    <t>Single and Multiple Ascending Dose Study and Food Effect Study for AG181</t>
  </si>
  <si>
    <t>Agios Pharmaceuticals, Inc.</t>
  </si>
  <si>
    <t>NCT06227975</t>
  </si>
  <si>
    <t>A Study to Evaluate the Absorption, Metabolism, and Excretion of Orally Administered [14C]-BMS-986368 in Healthy Male Participants</t>
  </si>
  <si>
    <t>NCT06996704</t>
  </si>
  <si>
    <t>A Clinical Study of AK0610</t>
  </si>
  <si>
    <t>NCT06484868</t>
  </si>
  <si>
    <t>Open-label Study to Evaluate Metreleptin in Patients With Partial Lipodystrophy</t>
  </si>
  <si>
    <t>Amryt Pharma</t>
  </si>
  <si>
    <t>NCT06302140</t>
  </si>
  <si>
    <t>A Mass Balance Study of [14C]-Nanatinostat and Relative Bioavailability Study of Nanatinostat in Patients With Advanced Cancers</t>
  </si>
  <si>
    <t>Viracta Therapeutics, Inc.</t>
  </si>
  <si>
    <t>NCT06265012</t>
  </si>
  <si>
    <t>Study to Evaluate the Recombinant VSV (rVSV)-Marburg Virus Vaccine Candidate (PHV01) in Healthy Adult Subjects</t>
  </si>
  <si>
    <t>NCT06291285</t>
  </si>
  <si>
    <t>A Study to Test How Either a Capsule or a Tablet With NDec (Decitabine and Tetrahydrouridine) Works in the Body of Healthy People</t>
  </si>
  <si>
    <t>NCT06001788</t>
  </si>
  <si>
    <t>Safety and Tolerability of Ziftomenib Combinations in Patients With Relapsed/Refractory Acute Myeloid Leukemia</t>
  </si>
  <si>
    <t>Kura Oncology, Inc.</t>
  </si>
  <si>
    <t>NCT06245915</t>
  </si>
  <si>
    <t>AB-2100, an Integrated Circuit T Cell Therapy in Patients With Recurrent Clear-cell Renal Cell Carcinoma (ccRCC)</t>
  </si>
  <si>
    <t>Arsenal Biosciences, Inc.</t>
  </si>
  <si>
    <t>NCT06227377</t>
  </si>
  <si>
    <t>QTX3034 in Patients With KRAS G12D Mutation</t>
  </si>
  <si>
    <t>Quanta Therapeutics</t>
  </si>
  <si>
    <t>NCT06254274</t>
  </si>
  <si>
    <t>A Study of RAY1225 in Participants With Type 2 Diabetes</t>
  </si>
  <si>
    <t>NCT06319287</t>
  </si>
  <si>
    <t>Phase 2a Multi-Center Prospective, Randomized Trial to Evaluate the Safety &amp; Efficacy of Topical PEP-TISSEEL for Diabetic Foot Ulcers (DFU)</t>
  </si>
  <si>
    <t>Rion Inc.</t>
  </si>
  <si>
    <t>NCT06306872</t>
  </si>
  <si>
    <t>A Clinical Trial to Evaluate the Relative Bioavailability of New and Old ABSK-011 Capsules</t>
  </si>
  <si>
    <t>NCT06152575</t>
  </si>
  <si>
    <t>MagnetisMM-32: A Study to Learn About the Study Medicine Called Elranatamab in People With Multiple Myeloma (MM) That Has Come Back After Taking Other Treatments (Including Prior Treatment With an Anti-CD38 Antibody and Lenalidomide)</t>
  </si>
  <si>
    <t>NCT06213363</t>
  </si>
  <si>
    <t>A Phase Ib/II Clinical Study in Patients With Refractory Chronic Cough</t>
  </si>
  <si>
    <t>NCT06112275</t>
  </si>
  <si>
    <t>A Clinical Study to Evaluate the Safety and Efficacy of ETX101, an AAV9-Delivered Gene Therapy in Children With SCN1A-positive Dravet Syndrome (Australia Only)</t>
  </si>
  <si>
    <t>Encoded Therapeutics</t>
  </si>
  <si>
    <t>NCT06299839</t>
  </si>
  <si>
    <t>PAS-004 in Patients With Advanced Solid Tumors</t>
  </si>
  <si>
    <t>Pasithea Therapeutics Corp.</t>
  </si>
  <si>
    <t>NCT06255964</t>
  </si>
  <si>
    <t>A Study of IAP0971 in Combination With Bacillus Calmette Guerin in High Risk Non-muscular Invasive Bladder Cancer</t>
  </si>
  <si>
    <t>SUNHO（China）BioPharmaceutical CO., Ltd.</t>
  </si>
  <si>
    <t>NCT06465485</t>
  </si>
  <si>
    <t>STEP: Phase IIIb Study of Benralizumab to Step-down Maintenance Therapy in Patients With Severe Eosinophilic Asthma</t>
  </si>
  <si>
    <t>NCT05983068</t>
  </si>
  <si>
    <t>A Study of Long-term Effect of Dupilumab on Skin Barrier Function in Pediatric Participants With Atopic Dermatitis</t>
  </si>
  <si>
    <t>NCT06221748</t>
  </si>
  <si>
    <t>DV Combined With Cadonilimab in Subjects With HER2-expressing Gastric Cancer and Gastroesophageal Junction Adenocarcinoma After Progression on First-line Therapy</t>
  </si>
  <si>
    <t>NCT05886088</t>
  </si>
  <si>
    <t>Efficacy and Safety of LID104 in the Treatment of Type II Diabetes Mellitus</t>
  </si>
  <si>
    <t>EMS</t>
  </si>
  <si>
    <t>NCT06188624</t>
  </si>
  <si>
    <t>Clinical Trial of TQB2922 for Injection in Patients With Advanced Cancers</t>
  </si>
  <si>
    <t>NCT06199531</t>
  </si>
  <si>
    <t>Safety and Efficacy of GS-100 Gene Therapy in Patients With NGLY1 Deficiency</t>
  </si>
  <si>
    <t>Grace Science, LLC</t>
  </si>
  <si>
    <t>NCT06283966</t>
  </si>
  <si>
    <t>A Study Evaluating the Efficacy of Budesonide, Glycopyrronium and Formoterol Fumarate Metered Dosed Inhaler on Cardiopulmonary Outcomes in Chronic Obstructive Pulmonary Disease</t>
  </si>
  <si>
    <t>NCT05761795</t>
  </si>
  <si>
    <t>Efficacy of IVMED-85 on Pediatric Myopia</t>
  </si>
  <si>
    <t>iVeena Delivery Systems, Inc.</t>
  </si>
  <si>
    <t>NCT06333483</t>
  </si>
  <si>
    <t>Obe-cel in Adolescent [Applicable in UK Only] and Adult Severe, Refractory Systemic Lupus Erythematosus</t>
  </si>
  <si>
    <t>Autolus Limited</t>
  </si>
  <si>
    <t>NCT06215586</t>
  </si>
  <si>
    <t>Safety &amp; Effectiveness of Tovinontrine in Chronic Heart Failure With Preserved Ejection Fraction (Cycle-2-PEF)</t>
  </si>
  <si>
    <t>NCT06196879</t>
  </si>
  <si>
    <t>A Study to Investigate the Efficacy and Safety of Verekitug (UPB-101) in Adult Participants With Severe Asthma (VALIANT)</t>
  </si>
  <si>
    <t>Upstream Bio Inc.</t>
  </si>
  <si>
    <t>NCT06147856</t>
  </si>
  <si>
    <t>A Dose-finding Study to Evaluate mRNA-3210 in Participants With Phenylketonuria</t>
  </si>
  <si>
    <t>NCT06233461</t>
  </si>
  <si>
    <t>A Study on the Safety of TAK-279 and Whether it Can Reduce Inflammation in the Bowel of Participants With Moderately to Severely Active Crohn's Disease</t>
  </si>
  <si>
    <t>NCT06238479</t>
  </si>
  <si>
    <t>A Study of LY4101174 in Participants With Recurrent, Advanced or Metastatic Solid Tumors</t>
  </si>
  <si>
    <t>NCT06217822</t>
  </si>
  <si>
    <t>First-in-human Study of 225Ac-PSMA-Trillium (BAY 3563254) in Participants With Advanced Metastatic Castration-resistant Prostate Cancer (mCRPC)</t>
  </si>
  <si>
    <t>NCT06277765</t>
  </si>
  <si>
    <t>Study of CM310 Injection in Adolescent Subjects With Atopic Dermatis</t>
  </si>
  <si>
    <t>NCT06327997</t>
  </si>
  <si>
    <t>An Exploratory Study by Fast CAR T Cells</t>
  </si>
  <si>
    <t>Shanghai Cell Therapy Group Co.,Ltd</t>
  </si>
  <si>
    <t>NCT06005597</t>
  </si>
  <si>
    <t>Study of Obicetrapib &amp; Ezetimibe Fixed Dose Combination on Top of Maximum Tolerated Lipid-Modifying Therapies</t>
  </si>
  <si>
    <t>NCT06432296</t>
  </si>
  <si>
    <t>Treatment of Malignant Ascites Caused by Advanced Epithelial Solid Tumors With M701 Bispecific Antibody</t>
  </si>
  <si>
    <t>Wuhan YZY Biopharma Co., Ltd.</t>
  </si>
  <si>
    <t>NCT06289894</t>
  </si>
  <si>
    <t>A Study of BRY805 in Participants With Advanced Solid Tumors</t>
  </si>
  <si>
    <t>NCT06199973</t>
  </si>
  <si>
    <t>Injection of SHR-A1811 Versus Physician Choiced Treatment in Patients With Advanced Colorectal Cancer Who Had Failed to Respond to Oxaliplatin, 5-fu, and Irinotecan</t>
  </si>
  <si>
    <t>NCT06258499</t>
  </si>
  <si>
    <t>Bone Healing Accelerant (BHA) Versus Autologous Bone Grafting (ABG) for Hindfoot or Ankle Arthrodesis</t>
  </si>
  <si>
    <t>Carmell Therapeutics Corporation</t>
  </si>
  <si>
    <t>NCT06210815</t>
  </si>
  <si>
    <t>A Study of HLX42 in Advanced/Metastatic Solid Tumors</t>
  </si>
  <si>
    <t>Shanghai Henlius Biotech</t>
  </si>
  <si>
    <t>NCT06237426</t>
  </si>
  <si>
    <t>An Evaluation of the Long-term Efficacy and Safety of Methylone for the Treatment of PTSD</t>
  </si>
  <si>
    <t>Transcend Therapeutics</t>
  </si>
  <si>
    <t>NCT06346392</t>
  </si>
  <si>
    <t>AZD0901 Compared With Investigator's Choice of Therapy in Participants With Second- or Later-line Advanced or Metastatic Gastric or Gastroesophageal Junction Adenocarcinoma Expressing Claudin18.2</t>
  </si>
  <si>
    <t>NCT05939414</t>
  </si>
  <si>
    <t>An Open-label Study Comparing Lutetium (177Lu) Vipivotide Tetraxetan Versus Observation in PSMA Positive OMPC.</t>
  </si>
  <si>
    <t>NCT06256445</t>
  </si>
  <si>
    <t>Evaluate the Efficacy and Safety of AYP-101 for the Reduction of Submental Fat in Chin Area</t>
  </si>
  <si>
    <t>AMIpharm Co., Ltd.</t>
  </si>
  <si>
    <t>NCT06220669</t>
  </si>
  <si>
    <t>A Study of LY3541860 in Adult Participants With Relapsing Multiple Sclerosis</t>
  </si>
  <si>
    <t>NCT06387966</t>
  </si>
  <si>
    <t>A Phase I Clinical Study of Flonoltinib Maleate Tablets in Healthy Subjects</t>
  </si>
  <si>
    <t>Chengdu Zenitar Biomedical Technology Co., Ltd</t>
  </si>
  <si>
    <t>NCT05879432</t>
  </si>
  <si>
    <t>LSALT Peptide for Prevention or Attenuation of Acute Kidney Injury (AKI) in Patients Undergoing On-Pump Cardiac Surgery</t>
  </si>
  <si>
    <t>Arch Biopartners Inc.</t>
  </si>
  <si>
    <t>NCT06318845</t>
  </si>
  <si>
    <t>Phase 1 Study of DHP2302R1 and DHP2302R2 in Healthy Adult Volunteers</t>
  </si>
  <si>
    <t>Daehwa Pharmaceutical Co., Ltd.</t>
  </si>
  <si>
    <t>NCT06360419</t>
  </si>
  <si>
    <t>Progressing TAAR-1, Dopamine, and Norepinephrine in Depression Using Solriamfetol</t>
  </si>
  <si>
    <t>Axsome Therapeutics, Inc.</t>
  </si>
  <si>
    <t>NCT06566092</t>
  </si>
  <si>
    <t>Study of Autologous Tumor-Infiltrating Lymphocytes in Pediatric, Adolescent, and Young Adult Participants</t>
  </si>
  <si>
    <t>Iovance Biotherapeutics, Inc.</t>
  </si>
  <si>
    <t>NCT06239116</t>
  </si>
  <si>
    <t>A Study of RM-718 in Healthy Subjects and Patients With MC4R Pathway Impairment</t>
  </si>
  <si>
    <t>Rhythm Pharmaceuticals, Inc.</t>
  </si>
  <si>
    <t>NCT06128213</t>
  </si>
  <si>
    <t>NRX-101 for Complicated Urinary Tract Infection (UTI) Including Pyelonephritis</t>
  </si>
  <si>
    <t>NeuroRx, Inc.</t>
  </si>
  <si>
    <t>NCT06308978</t>
  </si>
  <si>
    <t>A Phase 1 Study of FT819 in B-cell Mediated Autoimmune Disease</t>
  </si>
  <si>
    <t>NCT06280235</t>
  </si>
  <si>
    <t>A Study to Test Different Doses of BI 1569912 in People With Depression Who Take Anti-depressive Medicine</t>
  </si>
  <si>
    <t>NCT06170723</t>
  </si>
  <si>
    <t>A Study to Assess the Effects of Itraconazole, Food, and pH on the Drug Levels of BMS-986368 in Healthy Participants</t>
  </si>
  <si>
    <t>NCT05999747</t>
  </si>
  <si>
    <t>A Study to Find Out if ASP5354 Can Clearly Help Show the Ureter During Surgery in People With or Without Kidney Disease</t>
  </si>
  <si>
    <t>NCT06841861</t>
  </si>
  <si>
    <t>Spermatogonial Differentiation Via Testicular Organoid</t>
  </si>
  <si>
    <t>CellARTs Inc.</t>
  </si>
  <si>
    <t>NCT06171074</t>
  </si>
  <si>
    <t>Study of CM310 in Subjects With Seasonal Allergic Rhinitis</t>
  </si>
  <si>
    <t>NCT06308198</t>
  </si>
  <si>
    <t>A Study to Evaluate AGN-151586 Intramuscular Injections in Adult Participants for Treatment of Glabellar Lines</t>
  </si>
  <si>
    <t>NCT06285916</t>
  </si>
  <si>
    <t>A Study to Assess the Efficacy, Safety, and Tolerability of Oral NORA520 in Adults With Severe Postpartum Depression</t>
  </si>
  <si>
    <t>DuKang Pharmaceuticals, Inc.</t>
  </si>
  <si>
    <t>NCT06226714</t>
  </si>
  <si>
    <t>A Clinical Trial of ACYW135 Group Meningococcal Polysaccharide Conjugate Vaccine (CRM197 Vector) in 18-59 Year Olds</t>
  </si>
  <si>
    <t>NCT06206174</t>
  </si>
  <si>
    <t>TGRX-814 Chinese Phase I/II in Patients With Hematological Malignancies</t>
  </si>
  <si>
    <t>Shenzhen TargetRx, Inc.</t>
  </si>
  <si>
    <t>NCT06342596</t>
  </si>
  <si>
    <t>A Study of Carbon-14-Labelled [14C] LY3473329 in Healthy Male Participants</t>
  </si>
  <si>
    <t>NCT06277752</t>
  </si>
  <si>
    <t>A Study to Investigate the Pharmacokinetic/Pharmacodynamic Characteristics of IBI128(A New Xanthine Oxidase Inhibitor)</t>
  </si>
  <si>
    <t>NCT06485401</t>
  </si>
  <si>
    <t>To Compare the Safety and PK/ PD Characteristics of ADC189 Between Hepatic Impairment and Normal Hepatic Function Subjects</t>
  </si>
  <si>
    <t>Jiaxing AnDiCon Biotech Co.,Ltd</t>
  </si>
  <si>
    <t>NCT06325930</t>
  </si>
  <si>
    <t>A Study to Investigate the Absorption, Metabolism, and Excretion of [14C]-HU6</t>
  </si>
  <si>
    <t>Rivus Pharmaceuticals, Inc.</t>
  </si>
  <si>
    <t>NCT06245642</t>
  </si>
  <si>
    <t>Compound Ciwujia Granules Treat Chronic Fatigue Syndrome</t>
  </si>
  <si>
    <t>Heilongjiang Quanle Pharmaceutical Co., Ltd.</t>
  </si>
  <si>
    <t>NCT06213818</t>
  </si>
  <si>
    <t>A Study to Evaluate the Safety, Tolerability, and Pharmacokinetics of INCB160058 When Administered Orally to Healthy Adult Participant</t>
  </si>
  <si>
    <t>NCT06193148</t>
  </si>
  <si>
    <t>A Study to Evaluate the Effect of Jaktinib on QT/QTc Interval in Healthy Participants</t>
  </si>
  <si>
    <t>Suzhou Zelgen Biopharmaceuticals Co.,Ltd</t>
  </si>
  <si>
    <t>NCT06281158</t>
  </si>
  <si>
    <t>A Phase 1, Open-label Study of the Absorption, Metabolism, and Excretion of [14C]-DNL343 Following a Single Oral Dose in Healthy Male Participants</t>
  </si>
  <si>
    <t>Denali Therapeutics Inc.</t>
  </si>
  <si>
    <t>NCT06289933</t>
  </si>
  <si>
    <t>A Study to Compare the Pharmacokinetics and the Safety Between a Fixed-dose Combination Administration of "BR3005" and Co-administration of "BR3005-1" and "BR3005-2" Under Fed Conditions in Healthy Adult Volunteers</t>
  </si>
  <si>
    <t>NCT06253871</t>
  </si>
  <si>
    <t>A Phase 1/1b Study of IAM1363 in HER2 Cancers</t>
  </si>
  <si>
    <t>Iambic Therapeutics, Inc</t>
  </si>
  <si>
    <t>NCT06491446</t>
  </si>
  <si>
    <t>Evaluating Clearance of High-Risk HPV and Safety After Administration of ABI-2280 Vaginal Inserts</t>
  </si>
  <si>
    <t>Antiva Biosciences</t>
  </si>
  <si>
    <t>NCT06323174</t>
  </si>
  <si>
    <t>A Research Study to See How Much CagriSema Lowers Blood Sugar and Body Weight Compared to Placebo in People With Type 2 Diabetes Treated With Diet and Exercise</t>
  </si>
  <si>
    <t>NCT06163430</t>
  </si>
  <si>
    <t>A Phase 1/2 Clinical Study to Evaluate the Safety, Tolerability, Pharmacokinetics, and Efficacy of TERN-701 in Participants With Chronic Myeloid Leukemia (CARDINAL)</t>
  </si>
  <si>
    <t>Terns, Inc.</t>
  </si>
  <si>
    <t>NCT06292208</t>
  </si>
  <si>
    <t>A Clinical Trial to Evaluate Effect of IBD0333 in Patients With Advanced Malignant Tumors</t>
  </si>
  <si>
    <t>NCT07038941</t>
  </si>
  <si>
    <t>Phase I Clinical Trial of CG2001 in Chinese Adult Male Participants With Androgenetic Alopecia</t>
  </si>
  <si>
    <t>Beijing Dayspring Pharmaceutical Technology Co., Ltd</t>
  </si>
  <si>
    <t>NCT06363370</t>
  </si>
  <si>
    <t>Human Interferon α1b Inhalation Solution Against Respiratory Syncytial Virus in Children With Lower Respiratory Tract Infections</t>
  </si>
  <si>
    <t>Kexing Biopharm Co., Ltd.</t>
  </si>
  <si>
    <t>NCT06131398</t>
  </si>
  <si>
    <t>A Study of AMG 355 Alone and in Combination With Pembrolizumab in Participants With Advanced Solid Tumors</t>
  </si>
  <si>
    <t>NCT06270511</t>
  </si>
  <si>
    <t>A Study to Investigate Different Formulations of S-337395 in Healthy Adult Participants</t>
  </si>
  <si>
    <t>Shionogi</t>
  </si>
  <si>
    <t>NCT06328764</t>
  </si>
  <si>
    <t>CS-101 in Patients With β-thalassemia</t>
  </si>
  <si>
    <t>CorrectSequence Therapeutics Co., Ltd</t>
  </si>
  <si>
    <t>NCT06391918</t>
  </si>
  <si>
    <t>Phase 1 Study of GEN2 in Patients With Advanced Solid Tumors</t>
  </si>
  <si>
    <t>GenVivo, Inc.</t>
  </si>
  <si>
    <t>NCT06305910</t>
  </si>
  <si>
    <t>CD200AR-L and Allogeneic Tumor Lysate Vaccine Immunotherapy for Recurrent HGG and Newly Diagnosed DMG/DIPG in Children and Young Adults</t>
  </si>
  <si>
    <t>OX2 Therapeutics</t>
  </si>
  <si>
    <t>NCT06361485</t>
  </si>
  <si>
    <t>Safety and Feasibility of Umbilical Cord Wharton's Jelly Allograft Injections for Lumbar Pain</t>
  </si>
  <si>
    <t>R3 Stem Cell</t>
  </si>
  <si>
    <t>NCT06310876</t>
  </si>
  <si>
    <t>A Thorough QT Study of ABBV-CLS-7262 in Healthy Subjects</t>
  </si>
  <si>
    <t>Calico Life Sciences LLC</t>
  </si>
  <si>
    <t>NCT06308393</t>
  </si>
  <si>
    <t>Randomized, Double-blind, Placebo-controlled Study of RSS0393 Ointment in Healthy and Psoriatic Subjects</t>
  </si>
  <si>
    <t>NCT06308406</t>
  </si>
  <si>
    <t>A Phase Ib/II Clinical Study of HRS-1167 in Combination With Bevacizumab in Patients With Recurrent Ovarian Cancer</t>
  </si>
  <si>
    <t>NCT06420297</t>
  </si>
  <si>
    <t>OLE Study of Carbetocin Nasal Spray for the Treatment of Hyperphagia in Prader-Willi Syndrome</t>
  </si>
  <si>
    <t>ACADIA Pharmaceuticals Inc.</t>
  </si>
  <si>
    <t>NCT06248814</t>
  </si>
  <si>
    <t>A Study to Evaluate the Safety, Tolerability, Drug Levels, and Drug Effects of BMS-986326 in Participants With Atopic Dermatitis</t>
  </si>
  <si>
    <t>NCT06297408</t>
  </si>
  <si>
    <t>Relma-cel for Moderate to Severe Active Systemic Lupus Erythematosus</t>
  </si>
  <si>
    <t>Shanghai Ming Ju Biotechnology Co., Ltd.</t>
  </si>
  <si>
    <t>NCT06293716</t>
  </si>
  <si>
    <t>CVL237 Tablets for APDS/PASLI</t>
  </si>
  <si>
    <t>Convalife (Shanghai) Co., Ltd.</t>
  </si>
  <si>
    <t>NCT07246252</t>
  </si>
  <si>
    <t>Compare the PK, Safety, and Immunogenicity of Process-Changed CMAB007 and Xolair in Healthy Adult Male Subjects</t>
  </si>
  <si>
    <t>Taizhou Mabtech Pharmaceutical Co.,Ltd</t>
  </si>
  <si>
    <t>NCT06378658</t>
  </si>
  <si>
    <t>A Study to Learn About How Food and Esomeprazole Affect the Level of BAY2927088 in the Blood When Taken Together in Healthy Participants</t>
  </si>
  <si>
    <t>NCT06309147</t>
  </si>
  <si>
    <t>A Study to Assess the Safety of BMS-984923 Compared to Placebo, in People With Parkinson's</t>
  </si>
  <si>
    <t>Allyx Therapeutics</t>
  </si>
  <si>
    <t>NCT06201416</t>
  </si>
  <si>
    <t>Study of Single Doses of SBT777101 in Subjects With Rheumatoid Arthritis</t>
  </si>
  <si>
    <t>Sonoma Biotherapeutics, Inc.</t>
  </si>
  <si>
    <t>NCT06130540</t>
  </si>
  <si>
    <t>Study to Evaluate the Pharmacokinetics, Safety and Tolerability of Intravenous Secukinumab in Patients With GCA or PMR</t>
  </si>
  <si>
    <t>NCT06289452</t>
  </si>
  <si>
    <t>Safety and Efficacy Study of IVB102 Injection in Subjects With X-linked Retinoschisis</t>
  </si>
  <si>
    <t>InnoVec Biotherapeutics Inc.</t>
  </si>
  <si>
    <t>NCT06302348</t>
  </si>
  <si>
    <t>A Study of Sepiapterin in Participants With Phenylketonuria (PKU)</t>
  </si>
  <si>
    <t>PTC Therapeutics</t>
  </si>
  <si>
    <t>NCT06570941</t>
  </si>
  <si>
    <t>Benefits of a Cannabidiolic Acid Topical Cream for the Treatment of Restless Leg Syndrome</t>
  </si>
  <si>
    <t>Synthonics Inc</t>
  </si>
  <si>
    <t>NCT05950841</t>
  </si>
  <si>
    <t>Safety and Effectiveness of IHAT in Iron Deficient Pre-menopausal Woman</t>
  </si>
  <si>
    <t>NCT06220604</t>
  </si>
  <si>
    <t>A Study of JNJ-77242113 for the Treatment of Participants With Moderate to Severe Plaque Psoriasis (ICONIC-ADVANCE 2)</t>
  </si>
  <si>
    <t>NCT06307626</t>
  </si>
  <si>
    <t>A Study of Efgartigimod PH20 SC Given by Prefilled Syringe in Adults With Thyroid Eye Disease.</t>
  </si>
  <si>
    <t>NCT06630117</t>
  </si>
  <si>
    <t>A Study of V330 in Healthy Younger (18 to 49 Years Inclusive) and Healthy Older (60 to 79 Years Inclusive) Participants (V330-001)</t>
  </si>
  <si>
    <t>NCT06138743</t>
  </si>
  <si>
    <t>Study of ARO-DM1 in Subjects With Type 1 Myotonic Dystrophy</t>
  </si>
  <si>
    <t>NCT05646381</t>
  </si>
  <si>
    <t>A Multicenter Trial Assessing the Impact of Lipoprotein(a) Lowering With Pelacarsen (TQJ230) on the Progression of Calcific Aortic Valve Stenosis</t>
  </si>
  <si>
    <t>NCT06397872</t>
  </si>
  <si>
    <t>A Study to Evaluate the Pharmacokinetics, Safety, and Tolerability of Multiple Oral Doses (6 Days) of 100 mg Resmetirom in Subjects With Severe Renal Impairment and in Matched Healthy Control Subjects With Normal Renal Function</t>
  </si>
  <si>
    <t>Madrigal Pharmaceuticals, Inc.</t>
  </si>
  <si>
    <t>NCT06411912</t>
  </si>
  <si>
    <t>A Study of NIDO-361 in Patients With SBMA</t>
  </si>
  <si>
    <t>Nido Biosciences, Inc.</t>
  </si>
  <si>
    <t>NCT06100887</t>
  </si>
  <si>
    <t>Phase 2 Study of EDG-5506 in Children and Adolescents With Duchenne Muscular Dystrophy Previously Treated With Gene Therapy</t>
  </si>
  <si>
    <t>Edgewise Therapeutics, Inc.</t>
  </si>
  <si>
    <t>NCT05731492</t>
  </si>
  <si>
    <t>A Study of Macitentan in Children Below 2 Years of Age</t>
  </si>
  <si>
    <t>Actelion</t>
  </si>
  <si>
    <t>NCT05737628</t>
  </si>
  <si>
    <t>First-in-human Dose Escalation and Expansion Study With the SIRPα-directed Monoclonal Antibody BYON4228</t>
  </si>
  <si>
    <t>Byondis B.V.</t>
  </si>
  <si>
    <t>NCT06313697</t>
  </si>
  <si>
    <t>A Study to Evaluate the Safety, Immunogenicity, and Pharmacokinetics of GR2102 in Healthy Adult</t>
  </si>
  <si>
    <t>NCT06715540</t>
  </si>
  <si>
    <t>Safety, Pharmacodynamics, Pharmacokinetics, and Immunogenicity of Ascending Doses BCD-261 in Healthy Subjects</t>
  </si>
  <si>
    <t>Biocad</t>
  </si>
  <si>
    <t>NCT06849973</t>
  </si>
  <si>
    <t>To Study the Efficacy &amp; Safety of Oral NA-921 (Bionetide) in Girls and Women with Rett Syndrome</t>
  </si>
  <si>
    <t>Biomed Industries, Inc.</t>
  </si>
  <si>
    <t>NCT06240546</t>
  </si>
  <si>
    <t>First-in-Human Study of LPM6690176 in Patients With Advanced Solid Tumors.</t>
  </si>
  <si>
    <t>NCT06300177</t>
  </si>
  <si>
    <t>D-1553 Tablet Versus Docetaxel Injection for KRAS G12C Mutation-positive Locally Advanced or Metastatic Non-small Cell Lung Cancer After Prior Standard Therapy Failure</t>
  </si>
  <si>
    <t>NCT06174298</t>
  </si>
  <si>
    <t>The Role of Granulocyte Colony Stimulating Factor in Embryo Transfer Outcomes</t>
  </si>
  <si>
    <t>Newlife Fertility Centre</t>
  </si>
  <si>
    <t>NCT06253546</t>
  </si>
  <si>
    <t>Safety, Tolerability, and Pharmacokinetic Study of TV-44749 in Chinese Patients With Schizophrenia</t>
  </si>
  <si>
    <t>Teva Branded Pharmaceutical Products R&amp;D, Inc.</t>
  </si>
  <si>
    <t>NCT06362642</t>
  </si>
  <si>
    <t>A Study to Investigate the Effects of Itraconazole on the Pharmacokinetics of PC14586 in Healthy Participants</t>
  </si>
  <si>
    <t>PMV Pharmaceuticals, Inc</t>
  </si>
  <si>
    <t>NCT06267729</t>
  </si>
  <si>
    <t>Study of AZD0754 in Participants With Metastatic Prostate Cancer</t>
  </si>
  <si>
    <t>NCT06306339</t>
  </si>
  <si>
    <t>A Study to Assess the Efficacy and Safety of Burfiralimab (hzVSF-v13) and DMRD (Disease-modifying Antirheumatic Drug)</t>
  </si>
  <si>
    <t>ImmuneMed, Inc.</t>
  </si>
  <si>
    <t>NCT06131554</t>
  </si>
  <si>
    <t>A Clinical Trial to Evaluate the Immunogenicity and Safety of Group ACYW135 Meningococcal Conjugate Vaccine (CRM197) in Adults Aged 18 to 55 Years</t>
  </si>
  <si>
    <t>NCT06392074</t>
  </si>
  <si>
    <t>A Study Investigating the Safety, Absorption, and Elimination of MB04, a New Compound That May Potentially be Used in the Treatment of Autoimmune Disorders</t>
  </si>
  <si>
    <t>mAbxience Research S.L.</t>
  </si>
  <si>
    <t>NCT06767813</t>
  </si>
  <si>
    <t>Clinical Study of TQB2868 Injection Combined With Anlotinib Capsule and Chemotherapy in the First-line Treatment of Metastatic Pancreatic Neoplasms</t>
  </si>
  <si>
    <t>NCT06241235</t>
  </si>
  <si>
    <t>Study of ZG005 in Combination With Paclitaxel＋Platinum-based ± Bevacizumab in Patients With Advanced Cervical Carcinoma</t>
  </si>
  <si>
    <t>NCT06640647</t>
  </si>
  <si>
    <t>Phase Ia Clinical Study of HDM1005 Injection</t>
  </si>
  <si>
    <t>Hangzhou Zhongmei Huadong Pharmaceutical Co., Ltd.</t>
  </si>
  <si>
    <t>NCT06335849</t>
  </si>
  <si>
    <t>A Safety and Immunogenicity Trial of the Recombinant Zoster Vaccine （CHO Cell）, LYB004 in Adults Aged 50 to 70 Years</t>
  </si>
  <si>
    <t>Guangzhou Patronus Biotech Co., Ltd.</t>
  </si>
  <si>
    <t>NCT06566248</t>
  </si>
  <si>
    <t>A Clinical Trial to Evaluate the Efficacy and Safety of TQA3810 Tablets in Combination/Non Combination With Nucleoside (Acid) Analogues in Patients With Primary/Treated Chronic Hepatitis B</t>
  </si>
  <si>
    <t>NCT06258720</t>
  </si>
  <si>
    <t>A Trial Investigating Lu AF82422 in Healthy Chinese and Caucasian Adults</t>
  </si>
  <si>
    <t>NCT06301074</t>
  </si>
  <si>
    <t>The Phase I Study of HS-10509 in Chinese Adult Subjects</t>
  </si>
  <si>
    <t>NCT06342349</t>
  </si>
  <si>
    <t>A Clinical Trial of Quadrivalent Influenza Virus Split Vaccine (MDCK Cells) for Individuals Aged 6 Months and Above.</t>
  </si>
  <si>
    <t>Shanghai Institute Of Biological Products</t>
  </si>
  <si>
    <t>NCT06337071</t>
  </si>
  <si>
    <t>A Study of the ACYW135 Meningococcal Polysaccharide Conjugate Vaccine</t>
  </si>
  <si>
    <t>Aimei Vacin BioPharm (Zhejiang) Co., Ltd.</t>
  </si>
  <si>
    <t>NCT06317064</t>
  </si>
  <si>
    <t>Diagnostic and Therapeutic Potential of Substance P/ NK1R Receptor in Primary Dysmenorrhea</t>
  </si>
  <si>
    <t>Lahore Medical Research Center, LLP</t>
  </si>
  <si>
    <t>NCT06252220</t>
  </si>
  <si>
    <t>First in Human Study in Subjects With Obesity, But Otherwise Healthy</t>
  </si>
  <si>
    <t>NeuroBo Pharmaceuticals Inc.</t>
  </si>
  <si>
    <t>NCT06140485</t>
  </si>
  <si>
    <t>A Trial to Investigate the Efficacy and Safety of NW Low-Glu® in Patients With Type II Diabetes Mellitus</t>
  </si>
  <si>
    <t>Natural Wellness Egypt</t>
  </si>
  <si>
    <t>NCT06331156</t>
  </si>
  <si>
    <t>A Study on the Immune Response and Safety of Inactivated Poliovirus Vaccine (IPV) When Co-administered With Human Rotavirus (HRV) Porcine Circovirus (PCV)-Free Vaccine in Healthy Chinese Infants</t>
  </si>
  <si>
    <t>NCT06950645</t>
  </si>
  <si>
    <t>Clinical Trial on the Oral Hexavalent Reassortant Rotavirus Attenuated Live Vaccine (Vero Cells)</t>
  </si>
  <si>
    <t>Sinovac Life Sciences Co., Ltd.</t>
  </si>
  <si>
    <t>NCT06304974</t>
  </si>
  <si>
    <t>A Study Comparing BL-B01D1 With Chemotherapy of Physician's Choice in Patients With Recurrent or Metastatic Esophageal Squamous Cell Carcinoma</t>
  </si>
  <si>
    <t>NCT06327815</t>
  </si>
  <si>
    <t>Efficacy of FDC Regimen of Dapagliflozin/Metformin Compared to Co-administered Dual Therapy on Glycemic Control, Satisfaction and Adherence in Chinese Patients With T2DM</t>
  </si>
  <si>
    <t>NCT06266988</t>
  </si>
  <si>
    <t>Viatris Inc.</t>
  </si>
  <si>
    <t>NCT06539195</t>
  </si>
  <si>
    <t>DZD8586 in Patients With Relapsed or Refractory Diffuse Large B-cell Lymphoma (TAI-SHAN9)</t>
  </si>
  <si>
    <t>Dizal Pharmaceuticals</t>
  </si>
  <si>
    <t>NCT06512428</t>
  </si>
  <si>
    <t>A Study of Simmitinib Plus Irinotecan in Advanced Esophageal Squamous Cell Carcinoma</t>
  </si>
  <si>
    <t>NCT06254612</t>
  </si>
  <si>
    <t>A Study of the Efficacy and Safety of SP-624 in the Treatment of Adults With Major Depressive Disorder</t>
  </si>
  <si>
    <t>Sirtsei Pharmaceuticals, Inc.</t>
  </si>
  <si>
    <t>NCT05046314</t>
  </si>
  <si>
    <t>A Clinical Study of TK216 in Patients With Relapsed or Refractory Ewing's Sarcoma</t>
  </si>
  <si>
    <t>NCT06257264</t>
  </si>
  <si>
    <t>A Study to Examine the Safety of Different Doses of BG-68501 Given to Participants With Advanced-Stage Tumors</t>
  </si>
  <si>
    <t>BeiGene</t>
  </si>
  <si>
    <t>NCT06145373</t>
  </si>
  <si>
    <t>A Study to Test a Medicine (Fitusiran) for Preventing Bleeds in People With Severe Hemophilia Who Previously Received Preventive Treatment With Emicizumab</t>
  </si>
  <si>
    <t>NCT06285227</t>
  </si>
  <si>
    <t>Study of CM313 in Healthy Subjects</t>
  </si>
  <si>
    <t>NCT06752746</t>
  </si>
  <si>
    <t>A Study of Safety, Tolerability, Pharmacokinetics, Pharmacodynamics, and Immunogenicity of 9MW3011 in Patients With Polycythemia Vera</t>
  </si>
  <si>
    <t>Mabwell (Shanghai) Bioscience Co., Ltd.</t>
  </si>
  <si>
    <t>NCT06120751</t>
  </si>
  <si>
    <t>A Clinical Trial to Evaluate the Safety and Immunogenicity of a Single Dose of Adsorbed Tetanus Vaccine in a Population Aged 18 Years and Over</t>
  </si>
  <si>
    <t>NCT06261359</t>
  </si>
  <si>
    <t>A Study of CEND-1 With Chemotherapy as First-Line Therapy in Patients With Pancreatic Ductal Adenocarcinoma</t>
  </si>
  <si>
    <t>NCT06176560</t>
  </si>
  <si>
    <t>Phase III Multicentre Trial of Oral Mesalazine in Patients With Mild to Moderate Ulcerative Colitis.</t>
  </si>
  <si>
    <t>Faes Farma, S.A.</t>
  </si>
  <si>
    <t>NCT05983523</t>
  </si>
  <si>
    <t>A Study of PEP07 (Checkpoint Kinase 1 Inhibitor) in Patients with Advanced or Metastatic Solid Tumors</t>
  </si>
  <si>
    <t>PharmaEngine</t>
  </si>
  <si>
    <t>NCT06336005</t>
  </si>
  <si>
    <t>A Study to See How Safe a New Medicine (NNC6022-0001) is in Healthy People</t>
  </si>
  <si>
    <t>NCT04850118</t>
  </si>
  <si>
    <t>A Clinical Trial Evaluating the Safety and Efficacy of a Single Subretinal Injection of AGTC-501 in Participants With XLRP</t>
  </si>
  <si>
    <t>Beacon Therapeutics</t>
  </si>
  <si>
    <t>NCT06086626</t>
  </si>
  <si>
    <t>A Study to Assess the Safety, Tolerability, and Pharmacokinetics of Cefiderocol in Hospitalized Neonates and Infants</t>
  </si>
  <si>
    <t>NCT06301971</t>
  </si>
  <si>
    <t>A Study to Assess Mass Balance, Pharmacokinetics, Metabolism, and Excretion of Emraclidine in Healthy Adult Male Participants</t>
  </si>
  <si>
    <t>Cerevel Therapeutics, LLC</t>
  </si>
  <si>
    <t>NCT06116565</t>
  </si>
  <si>
    <t>A Study of CM310 in Subjects With Moderate-to-Severe Atopic Dermatitis</t>
  </si>
  <si>
    <t>NCT06031259</t>
  </si>
  <si>
    <t>Extension Study of Idursulfase-IT Along With Elaprase in Children and Adults With Hunter Syndrome and Cognitive Impairment</t>
  </si>
  <si>
    <t>NCT06318273</t>
  </si>
  <si>
    <t>A Study to Assess Adverse Events, and How Intravenously (IV) Infused ABBV-969 Moves Through the Bodies of Adult Participants With Metastatic Castration-Resistant Prostate Cancer</t>
  </si>
  <si>
    <t>NCT06326606</t>
  </si>
  <si>
    <t>A Study to Evaluate the Safety, Tolerability, and Pharmacokinetics of MLS101 in Healthy Participants</t>
  </si>
  <si>
    <t>MycoMedica Life Sciences PBC</t>
  </si>
  <si>
    <t>NCT06260267</t>
  </si>
  <si>
    <t>A Phase 1b Proof-of-concept Trial Exploring the Effects of FE 999322 and FE 999324 in Adults With Mild to Moderate Ulcerative Colitis</t>
  </si>
  <si>
    <t>NCT06353971</t>
  </si>
  <si>
    <t>A Dose Escalation Trial of Safety, Pharmacokinetic/Pharmacodynamic and Preliminary Clinical Activity of Briquilimab in Adult Patients With Chronic Inducible Urticaria (CIndU) Who Remain Symptomatic Despite Treatment With H1- Antihistamines</t>
  </si>
  <si>
    <t>Jasper Therapeutics, Inc.</t>
  </si>
  <si>
    <t>NCT06290375</t>
  </si>
  <si>
    <t>A Study of HSK21542 in a Peritoneal Dialysis Pruritus Population.</t>
  </si>
  <si>
    <t>Xizang Haisco Pharmaceutical Co., Ltd</t>
  </si>
  <si>
    <t>NCT06340958</t>
  </si>
  <si>
    <t>A Study of CLE-100 (Oral Esketamine) as an Adjunctive Treatment to Standard Antidepressants for Major Depressive Disorder</t>
  </si>
  <si>
    <t>NCT05776277</t>
  </si>
  <si>
    <t>Iltamiocel Compared to Placebo for Chronic Fecal Incontinence in Females With Obstetric Injury</t>
  </si>
  <si>
    <t>Cook MyoSite</t>
  </si>
  <si>
    <t>NCT06304740</t>
  </si>
  <si>
    <t>Safety and Pharmacokinetics of Subcutaneous Dose of IMG-007 in Healthy Participants</t>
  </si>
  <si>
    <t>Inmagene LLC</t>
  </si>
  <si>
    <t>NCT06307613</t>
  </si>
  <si>
    <t>A Study of Efgartigimod PH20 SC Given by Prefilled Syringe in Adults With Thyroid Eye Disease</t>
  </si>
  <si>
    <t>NCT06640530</t>
  </si>
  <si>
    <t>Clinical Study of the Efficacy and Safety of BCD-263 and Opdivo® as Monotherapy in Subjects With Advanced Melanoma of the Skin</t>
  </si>
  <si>
    <t>NCT05725902</t>
  </si>
  <si>
    <t>Study of the Effect of Etavopivat on Cerebral Hemodynamic Response in Children With Sickle Cell Disease</t>
  </si>
  <si>
    <t>NCT06294561</t>
  </si>
  <si>
    <t>TGRX-326 Pharmacokinetic Drug Interaction</t>
  </si>
  <si>
    <t>NCT06242470</t>
  </si>
  <si>
    <t>A Study of MGC026 in Participants With Advanced Solid Tumors</t>
  </si>
  <si>
    <t>MacroGenics</t>
  </si>
  <si>
    <t>NCT06233058</t>
  </si>
  <si>
    <t>Drospirenone (3 mg) + Ethinyl Estradiol (0.03 mg) Tablets Relative to Yasmin®</t>
  </si>
  <si>
    <t>NCT06176352</t>
  </si>
  <si>
    <t>A Study to Evaluate the Efficacy and Safety of Faricimab in Patients With Choroidal Neovascularization Secondary to Pathologic Myopia</t>
  </si>
  <si>
    <t>NCT05814523</t>
  </si>
  <si>
    <t>To Evaluate the Efficacy, Safety, and Tolerability of Intravenous Ganaxolone Added to Standard of Care in Refractory Status Epilepticus (RSE)</t>
  </si>
  <si>
    <t>Marinus Pharmaceuticals</t>
  </si>
  <si>
    <t>NCT06072781</t>
  </si>
  <si>
    <t>A Study of Avutometinib (VS-6766) + Defactinib (VS-6063) in Recurrent Low-Grade Serous Ovarian Cancer</t>
  </si>
  <si>
    <t>Verastem, Inc.</t>
  </si>
  <si>
    <t>NCT06119217</t>
  </si>
  <si>
    <t>Phase 2 Study of TTX-030 and Chemotherapy With or Without Budigalimab for 1L mPDAC Patients</t>
  </si>
  <si>
    <t>Trishula Therapeutics, Inc.</t>
  </si>
  <si>
    <t>NCT06308523</t>
  </si>
  <si>
    <t>A Study to Evaluate the Safety, Tolerability, PK and PD of AP303 in Healthy Chinese Participants</t>
  </si>
  <si>
    <t>Alebund Pharmaceuticals</t>
  </si>
  <si>
    <t>NCT06318676</t>
  </si>
  <si>
    <t>A Study to Evaluate the Drug Levels of Mezigdomide in Adult Participants With Renal Impairment</t>
  </si>
  <si>
    <t>NCT07093697</t>
  </si>
  <si>
    <t>A Study to Evaluate the Efficacy and Safety of DW5121 Compared to DW51211 and DW51212</t>
  </si>
  <si>
    <t>Daewon Pharmaceutical Co., Ltd.</t>
  </si>
  <si>
    <t>NCT06205121</t>
  </si>
  <si>
    <t>Efficacy and Safety Study of OATD-01 in Patients With Active Pulmonary Sarcoidosis</t>
  </si>
  <si>
    <t>Molecure S.A.</t>
  </si>
  <si>
    <t>NCT05643638</t>
  </si>
  <si>
    <t>A Study of CYP-001 in Combination With Corticosteroids in Adults With High-risk aGvHD</t>
  </si>
  <si>
    <t>Cynata Therapeutics Limited</t>
  </si>
  <si>
    <t>NCT06258148</t>
  </si>
  <si>
    <t>A Study of TG103 Injection Monotherapy in Treatment of Type 2 Diabetes Mellitus</t>
  </si>
  <si>
    <t>NCT06270225</t>
  </si>
  <si>
    <t>A Study of SSGJ-613 in Gout Subjects Initiating Urate-Lowering Treatment.</t>
  </si>
  <si>
    <t>NCT06307925</t>
  </si>
  <si>
    <t>A Phase I Study to Evaluate the Safety, Pharmacokinetics and Antitumor Activity of HC010 in Patients With Advanced Solid Tumors</t>
  </si>
  <si>
    <t>NCT07002203</t>
  </si>
  <si>
    <t>Personalized Neoantigen Peptide Vaccines for Solid Tumors</t>
  </si>
  <si>
    <t>Seqker Biosciences, Inc.</t>
  </si>
  <si>
    <t>NCT06268873</t>
  </si>
  <si>
    <t>A Phase III Study to Investigate the Efficacy and Safety of Baxdrostat in Combination With Dapagliflozin on CKD Progression in Participants With CKD and High Blood Pressure.</t>
  </si>
  <si>
    <t>NCT06388642</t>
  </si>
  <si>
    <t>Pharmacokinetics of Afamelanotide in EPP Patients</t>
  </si>
  <si>
    <t>Clinuvel Europe Limited</t>
  </si>
  <si>
    <t>NCT06557603</t>
  </si>
  <si>
    <t>Bioequivalence Study of Ivermectin 1% Cream and Soolantra (Ivermectin) 10 mg/g Cream</t>
  </si>
  <si>
    <t>NCT06223256</t>
  </si>
  <si>
    <t>A Study of NBL-028 in Patients With Advanced Solid Tumors</t>
  </si>
  <si>
    <t>NovaRock Biotherapeutics, Ltd</t>
  </si>
  <si>
    <t>NCT05764122</t>
  </si>
  <si>
    <t>A Study to Evaluate the Efficacy and Safety of BIIB131 for Participants With Ischemic Stroke Between 4.5 and 24 Hours After Last Known Well</t>
  </si>
  <si>
    <t>NCT06319170</t>
  </si>
  <si>
    <t>Open-label Trial Characterizing the PK of 3 SC Olanzapine Extended-release Formulations in Participants With Schizophrenia/Schizoaffective Disorder</t>
  </si>
  <si>
    <t>Teva Branded Pharmaceutical Products R&amp;D LLC</t>
  </si>
  <si>
    <t>NCT06221241</t>
  </si>
  <si>
    <t>Evaluate the Efficacy and Safety of JMKX000623 in Participants With Diabetic Peripheral Neuropathic Pain</t>
  </si>
  <si>
    <t>Jemincare</t>
  </si>
  <si>
    <t>NCT06245122</t>
  </si>
  <si>
    <t>A Study of CS23546 in Subjects With Advanced Tumors</t>
  </si>
  <si>
    <t>NCT05842954</t>
  </si>
  <si>
    <t>Efficacy, Safety and Tolerability of KLU156 in Adults and Children With Uncomplicated P. Falciparum Malaria</t>
  </si>
  <si>
    <t>NCT06318169</t>
  </si>
  <si>
    <t>A Study Evaluating the Efficacy and Safety of Pegozafermin in Participants With MASH and Fibrosis (ENLIGHTEN-Fibrosis)</t>
  </si>
  <si>
    <t>89bio, Inc.</t>
  </si>
  <si>
    <t>NCT06060067</t>
  </si>
  <si>
    <t>A Study of Dengue Vaccine in Healthy Children, Teenagers and Adults in India</t>
  </si>
  <si>
    <t>NCT06331884</t>
  </si>
  <si>
    <t>Phase 1 Study to Evaluate Safety, Tolerability and Pharmacokinetics/-Dynamics of AK1967 (Procizumab)</t>
  </si>
  <si>
    <t>4TEEN4 Pharmaceuticals GmbH</t>
  </si>
  <si>
    <t>NCT06270030</t>
  </si>
  <si>
    <t>Safety, Tolerability and Pharmacokinetics of LNZ101 and LNZ100 Ophthalmic Solutions in Healthy Adult Chinese With Presbyopia</t>
  </si>
  <si>
    <t>Corxel Pharmaceuticals</t>
  </si>
  <si>
    <t>NCT06246565</t>
  </si>
  <si>
    <t>A Study of HS-10383 in Chinese Adult Subjects With Refractory or Unexplained Chronic Cough (RUCC)</t>
  </si>
  <si>
    <t>NCT06290050</t>
  </si>
  <si>
    <t>A Study of the Interaction of Other Drugs With TAK-279 in Healthy Adults</t>
  </si>
  <si>
    <t>NCT06322706</t>
  </si>
  <si>
    <t>A Clinical Trial to Evaluate a High-Fat Meal and Omeprazole Enteric-coated Tablets on ASBK021</t>
  </si>
  <si>
    <t>NCT05116462</t>
  </si>
  <si>
    <t>Neoadjuvant and Adjuvant Therapy Studies of Sindilizumab in Resectable Lung Cancer</t>
  </si>
  <si>
    <t>NCT06297486</t>
  </si>
  <si>
    <t>Study of a Gene Therapy Treatment for Hemophilia A</t>
  </si>
  <si>
    <t>Spark Therapeutics, Inc.</t>
  </si>
  <si>
    <t>NCT06672094</t>
  </si>
  <si>
    <t>A Study to Investigate the Safety and Efficacy of NeuroQ on Cognitive Function in Health Adults with Self-Reported Memory Problems</t>
  </si>
  <si>
    <t>LifeSeasons Inc.</t>
  </si>
  <si>
    <t>NCT06273553</t>
  </si>
  <si>
    <t>A Study in Subjects With Human Papillomavirus 16 or 18 Associated Cervical Intraepithelial Neoplasia Grade 2 or 3</t>
  </si>
  <si>
    <t>RinuaGene Biotechnology Co., Ltd.</t>
  </si>
  <si>
    <t>NCT06016972</t>
  </si>
  <si>
    <t>Qlaris Phase 2 Study of QLS-111 in POAG And/or OHT Patients</t>
  </si>
  <si>
    <t>Qlaris Bio, Inc.</t>
  </si>
  <si>
    <t>NCT05509777</t>
  </si>
  <si>
    <t>A Study of Mirikizumab (LY3074828) in Pediatric Participants With Crohn's Disease</t>
  </si>
  <si>
    <t>NCT06285240</t>
  </si>
  <si>
    <t>Efficacy and Safety of MK-1167 in Participants With Alzheimer's Disease Dementia Taking Stable Donepezil Treatment (MK-1167-007)</t>
  </si>
  <si>
    <t>NCT06254950</t>
  </si>
  <si>
    <t>A Study on the Safety of TAK-279 and Whether it Can Reduce Inflammation in the Bowel of Participants With Moderately to Severely Active Ulcerative Colitis</t>
  </si>
  <si>
    <t>NCT06050122</t>
  </si>
  <si>
    <t>Efficacy and Safety of Patidegib Gel 2% for Preventing Basal Cell Carcinomas on the Face of Adults With Gorlin Syndrome</t>
  </si>
  <si>
    <t>Sol-Gel Technologies, Ltd.</t>
  </si>
  <si>
    <t>NCT06228924</t>
  </si>
  <si>
    <t>Open-label, Dose Escalation Study of Safety and Preliminary Efficacy of TN-401 in Adults With PKP2 Mutation-associated ARVC</t>
  </si>
  <si>
    <t>Tenaya Therapeutics</t>
  </si>
  <si>
    <t>NCT06264310</t>
  </si>
  <si>
    <t>To Evaluate the Safety, Tolerability and Efficacy of R2R01 Combined With SOC as Compared to SOC Alone in Outpatients With Worsening Heart Failure (WHF)</t>
  </si>
  <si>
    <t>River 2 Renal Corp.</t>
  </si>
  <si>
    <t>NCT06289920</t>
  </si>
  <si>
    <t>A Study to Compare the Pharmacokinetics and the Safety Between a Fixed-dose Combination Administration of "BR3005" and Co-administration of "BR3005-1" and "BR3005-2" Under Fasting Conditions in Healthy Adult Volunteers</t>
  </si>
  <si>
    <t>NCT04147871</t>
  </si>
  <si>
    <t>Study Evaluating Patients With Cystinuria and Efficacy and Safety Exploratory Study in the Youngest Children</t>
  </si>
  <si>
    <t>Advicenne Pharma</t>
  </si>
  <si>
    <t>NCT06224400</t>
  </si>
  <si>
    <t>A First-in-Human SAD/MAD Study to Evaluate the Safety, Tolerability, and Pharmacokinetics of ENC1018 in Healthy Adult Subjects</t>
  </si>
  <si>
    <t>EnnovaBio Australia Pharmaceuticals Pty Ltd</t>
  </si>
  <si>
    <t>NCT06328725</t>
  </si>
  <si>
    <t>Evaluate the Efficacy and Safety of EN001 in Patients With Duchenne Muscular Dystrophy</t>
  </si>
  <si>
    <t>ENCell</t>
  </si>
  <si>
    <t>NCT06222671</t>
  </si>
  <si>
    <t>A Study to Evaluate 608 in Patients With Non- Radiographic Axial Spondyloarthritis (Nr-axSpA)</t>
  </si>
  <si>
    <t>NCT06292013</t>
  </si>
  <si>
    <t>A Study to Investigate the Effect of Lepodisiran on the Reduction of Major Adverse Cardiovascular Events in Adults With Elevated Lipoprotein(a) - ACCLAIM-Lp(a)</t>
  </si>
  <si>
    <t>NCT06335355</t>
  </si>
  <si>
    <t>A Phase II/III Study of Adebrelimab in Combination With SHR-8068 and Chemotherapy in Advanced or Metastatic NSCLC Patients</t>
  </si>
  <si>
    <t>Shanghai Shengdi Pharmaceutical Co., Ltd</t>
  </si>
  <si>
    <t>NCT06144723</t>
  </si>
  <si>
    <t>Study of HS-20105 for Injection in Patients With Advanced Solid Tumors.</t>
  </si>
  <si>
    <t>NCT06256588</t>
  </si>
  <si>
    <t>A Study of Dostarlimab vs Placebo After Chemoradiation in Adult Participants With Locally Advanced Unresected Head and Neck Squamous Cell Carcinoma</t>
  </si>
  <si>
    <t>NCT06984588</t>
  </si>
  <si>
    <t>A Study to Compare Uliledlimab Combined With Toripalimab, Toripalimab Monotherapy, and Pembrolizumab Monotherapy in Patients With Previously Untreated Locally Advanced Unresectable or Metastatic PD-L1- and CD73- Selected Non-Small Cell Lung Cancer</t>
  </si>
  <si>
    <t>TJ Biopharma Co., Ltd.</t>
  </si>
  <si>
    <t>NCT06202521</t>
  </si>
  <si>
    <t>CX-4945 in Viral Community Acquired Pneumonia</t>
  </si>
  <si>
    <t>Senhwa Biosciences, Inc.</t>
  </si>
  <si>
    <t>NCT06132893</t>
  </si>
  <si>
    <t>A Study to Determine if BHV-7000 is Effective and Safe in Adults With Refractory Focal Onset Epilepsy</t>
  </si>
  <si>
    <t>Biohaven Therapeutics Ltd.</t>
  </si>
  <si>
    <t>NCT06218914</t>
  </si>
  <si>
    <t>Phase 1 Study to Investigate TCRTs KRAS Mutation in Unresectable, Advanced, and/or Metastatic Solid Tumors</t>
  </si>
  <si>
    <t>NCT06299709</t>
  </si>
  <si>
    <t>A Study To Evaluate the Relative Bioavailability, Food Effect, and Dose Proportionality of a Granule Formulation of Vanzacaftor/Tezacaftor/Deutivacaftor(VNZ/TEZ/D-IVA)</t>
  </si>
  <si>
    <t>NCT06313086</t>
  </si>
  <si>
    <t>DP303c Versus Trastuzumab Emtansine in in Patients With HER2-positive Advanced Breast Cancer</t>
  </si>
  <si>
    <t>NCT06275893</t>
  </si>
  <si>
    <t>IC14 (Atibuclimab) in Arrhythmogenic Cardiomyopathy</t>
  </si>
  <si>
    <t>Implicit Bioscience</t>
  </si>
  <si>
    <t>NCT06321250</t>
  </si>
  <si>
    <t>A Study of JMKX003948 Tablets in Patients With Renal Cell Carcinoma</t>
  </si>
  <si>
    <t>NCT06326047</t>
  </si>
  <si>
    <t>A Research Study Comparing How Well Different Doses of the Medicine NN0519-0130 Lower Blood Sugar in People With Type 2 Diabetes</t>
  </si>
  <si>
    <t>NCT06189209</t>
  </si>
  <si>
    <t>Efficacy and Safety of Tenalisib in Patients With Metastatic Triple Negative Breast Cancer (TNBC)</t>
  </si>
  <si>
    <t>Rhizen Pharmaceuticals SA</t>
  </si>
  <si>
    <t>NCT06264453</t>
  </si>
  <si>
    <t>A Study to Evaluate the Efficacy and Safety of KH001 in Patients with Dentin Hypersensitivity</t>
  </si>
  <si>
    <t>HysensBio Co., Ltd</t>
  </si>
  <si>
    <t>NCT05948566</t>
  </si>
  <si>
    <t>Strategy for Improving Stroke Treatment Response</t>
  </si>
  <si>
    <t>Translational Sciences, Inc.</t>
  </si>
  <si>
    <t>NCT05546723</t>
  </si>
  <si>
    <t>LMY-920 for Treatment of Relapsed or Refractory Myeloma</t>
  </si>
  <si>
    <t>Luminary Therapeutics</t>
  </si>
  <si>
    <t>NCT05991349</t>
  </si>
  <si>
    <t>A Study of IBI129 in Subjects With Unresectable, Locally Advanced or Metastatic Solid Tumors</t>
  </si>
  <si>
    <t>NCT06369298</t>
  </si>
  <si>
    <t>Study of JK07 in Patients With Chronic Heart Failure</t>
  </si>
  <si>
    <t>Salubris Biotherapeutics Inc</t>
  </si>
  <si>
    <t>NCT06256055</t>
  </si>
  <si>
    <t>Phase 1 Study of UCMYM802 Injection in Mesothelin-positive Advanced Malignant Solid Tumors</t>
  </si>
  <si>
    <t>UTC Therapeutics Inc.</t>
  </si>
  <si>
    <t>NCT06277804</t>
  </si>
  <si>
    <t>A Phase I Study of LTC004 Combin With FC in Patients With Advanced/Metastatic Malignancies Tumor</t>
  </si>
  <si>
    <t>Letolab</t>
  </si>
  <si>
    <t>NCT03938922</t>
  </si>
  <si>
    <t>A Study to Evaluate ENT-01 for the Treatment of Parkinson's Disease Dementia</t>
  </si>
  <si>
    <t>Enterin Inc.</t>
  </si>
  <si>
    <t>NCT06200467</t>
  </si>
  <si>
    <t>A Study to Test Whether Multiple Doses of BI 456906 Have an Effect on Cardiac Safety in People With Overweight or Obesity</t>
  </si>
  <si>
    <t>NCT06281132</t>
  </si>
  <si>
    <t>Clinical Trial to Compare and Evaluate the Safety and Pharmacokinetic After Oral Administration of CKD-341 and D956 in Healthy Adults</t>
  </si>
  <si>
    <t>NCT06209736</t>
  </si>
  <si>
    <t>Safety and Efficacy Study of OMS906 in Patients With C3G and ICGN</t>
  </si>
  <si>
    <t>NCT06432738</t>
  </si>
  <si>
    <t>ZL-82 Double-blind Clinical Trial</t>
  </si>
  <si>
    <t>NCT06464991</t>
  </si>
  <si>
    <t>A Phase III Study of Eque-cel in Subjects With Len-refractory RRMM (FUMANBA-03)</t>
  </si>
  <si>
    <t>Nanjing IASO Biotechnology Co., Ltd.</t>
  </si>
  <si>
    <t>NCT06245213</t>
  </si>
  <si>
    <t>A Study of ANAVEX3-71 in Adults With Schizophrenia</t>
  </si>
  <si>
    <t>Anavex Life Sciences Corp.</t>
  </si>
  <si>
    <t>NCT07050446</t>
  </si>
  <si>
    <t>Vizol S DIGI EYE Efficacy and Safety Study in Patients With Dry Eye</t>
  </si>
  <si>
    <t>Jadran Galenski laboratorij d.d.</t>
  </si>
  <si>
    <t>NCT06484829</t>
  </si>
  <si>
    <t>Purinostat Mesylate Combined With Pomalidomide Capsules and Low-dose Dexamethasone in Patients With Relapsed or Refractory Multiple Myeloma</t>
  </si>
  <si>
    <t>NCT06409195</t>
  </si>
  <si>
    <t>A Trial to Study the Safety and Efficacy of SM-020 Gel 1.0% in Subjects With Seborrheic Keratoses and Non-Melanoma Skin Cancers</t>
  </si>
  <si>
    <t>DermBiont, Inc.</t>
  </si>
  <si>
    <t>NCT06342700</t>
  </si>
  <si>
    <t>A Food Effect and Relative Bioavailability Study of Rilzabrutinib in Healthy Participants</t>
  </si>
  <si>
    <t>NCT06293326</t>
  </si>
  <si>
    <t>A First-in-Human Study to Learn How Well a Bi-Layer Calcium Carbonate Antacid Tablet Works Compared to a Standard, Non-Layered Calcium Carbonate Tablet in Healthy Male Participants</t>
  </si>
  <si>
    <t>NCT05081102</t>
  </si>
  <si>
    <t>Fixed-dose Combination of Oxycodone [OXIcodona] + IbuproFEN in Pain Relief After Third Molar Extraction</t>
  </si>
  <si>
    <t>Eurofarma Laboratorios S.A.</t>
  </si>
  <si>
    <t>NCT06311656</t>
  </si>
  <si>
    <t>A Study to Evaluate Safety, Tolerability of LY4100511 (DC-853) in Healthy Asian and Non-Asian Participants</t>
  </si>
  <si>
    <t>DICE Therapeutics, Inc., a wholly owned subsidiary of Eli Lilly and Company</t>
  </si>
  <si>
    <t>NCT06229145</t>
  </si>
  <si>
    <t>A Trial to Investigate the Non-inferiority of Pegloticase Administered Every 4 Weeks (Q4W) With MTX Compared With Every 2 Weeks (Q2W) With MTX in Participants With Uncontrolled Refractory Gout</t>
  </si>
  <si>
    <t>NCT06437223</t>
  </si>
  <si>
    <t>Study of Xiflam™ Treatment in Patients Post COVID-19 Infection Suffering From What is Known as Long COVID (LC)</t>
  </si>
  <si>
    <t>Inflammx Therapeutics Inc</t>
  </si>
  <si>
    <t>NCT06310304</t>
  </si>
  <si>
    <t>A Study to Evaluate the Relative Bioavailability of Ruxolitinib Extended Release (XR) Tablets Compared With Ruxolitinib Immediate Release (IR) Tablets Administered Orally in Healthy Participants.</t>
  </si>
  <si>
    <t>NCT06433726</t>
  </si>
  <si>
    <t>A Phase l Study of By101921, an Oral PARP7 Inhibitor, in Patients With Advanced Solid Tumors</t>
  </si>
  <si>
    <t>Chengdu Baiyu Pharmaceutical Co., Ltd.</t>
  </si>
  <si>
    <t>NCT06150664</t>
  </si>
  <si>
    <t>A Phase 1 of CTX-8371 in Patients With Advanced Malignancies</t>
  </si>
  <si>
    <t>Compass Therapeutics</t>
  </si>
  <si>
    <t>NCT06271265</t>
  </si>
  <si>
    <t>Study to Evaluate the Pharmacokinetics and Safety of EXPAREL for Postoperative Analgesia in Subjects Undergoing Cardiac Surgery</t>
  </si>
  <si>
    <t>NCT06093672</t>
  </si>
  <si>
    <t>Study on Efficacy and Safety of Givinostat Versus Hydroxyurea in Patients With Polycythemia Vera</t>
  </si>
  <si>
    <t>NCT06290934</t>
  </si>
  <si>
    <t>Study of GS-1427 in Participants With Moderately to Severely Active Ulcerative Colitis</t>
  </si>
  <si>
    <t>NCT06253663</t>
  </si>
  <si>
    <t>Study of KTE-X19 in Adult Japanese Participants With Relapsed/Refractory Mantle Cell Lymphoma or Relapsed/Refractory B-precursor Acute Lymphoblastic Leukemia</t>
  </si>
  <si>
    <t>Kite, A Gilead Company</t>
  </si>
  <si>
    <t>NCT02478450</t>
  </si>
  <si>
    <t>Study to Investigate the Safety of the Transplantation (by Injection) of Human Glial Restricted Progenitor Cells (hGRPs; Q-Cells®) Into Subjects With Amyotrophic Lateral Sclerosis (ALS)</t>
  </si>
  <si>
    <t>Q Therapeutics, Inc.</t>
  </si>
  <si>
    <t>NCT06380660</t>
  </si>
  <si>
    <t>Study of ACE-86225106 to Treat Patients With Advanced Solid Tumors</t>
  </si>
  <si>
    <t>Acerand Therapeutics (Shanghai) Limited</t>
  </si>
  <si>
    <t>NCT06428903</t>
  </si>
  <si>
    <t>Comparative Bioavailability Study of Tablet and Granule Formulations of ADC189 and the Study of Ultra-high Dose</t>
  </si>
  <si>
    <t>NCT06310616</t>
  </si>
  <si>
    <t>A Study to Investigate the Potential Drug-Drug Interaction Between VH4524184 and Oral Contraceptive (Loestrin) in Healthy Adult Female Participants</t>
  </si>
  <si>
    <t>NCT06088654</t>
  </si>
  <si>
    <t>Phase1/2 Study of IPH6501 in Patients With Relapsed /Refractory B-Cell Non-Hodgkin Lymphoma</t>
  </si>
  <si>
    <t>Innate Pharma</t>
  </si>
  <si>
    <t>NCT06289166</t>
  </si>
  <si>
    <t>Safety and Efficacy of STSP-0601 in Adult Patients with Hemophilia a or B with Inhibitor</t>
  </si>
  <si>
    <t>Staidson (Beijing) Biopharmaceuticals Co., Ltd</t>
  </si>
  <si>
    <t>NCT06731699</t>
  </si>
  <si>
    <t>A Phase 1 Study of FD-001 in Recurrent /Refractory (R/R)AML/NHL/MM/MDS</t>
  </si>
  <si>
    <t>Chengdu FenDi Pharmaceutical Co., Ltd.</t>
  </si>
  <si>
    <t>NCT06242652</t>
  </si>
  <si>
    <t>A Study to Evaluate 608 in Patients with Ankylosing Spondylitis (AS)</t>
  </si>
  <si>
    <t>NCT06139536</t>
  </si>
  <si>
    <t>Assessment of Safety, Tolerability and Pharmacokinetics With BAT4706 and BAT1308 in Advanced Solid Tumors Patients</t>
  </si>
  <si>
    <t>Bio-Thera Solutions</t>
  </si>
  <si>
    <t>NCT06299098</t>
  </si>
  <si>
    <t>A Study to Test if Trevogrumab or Trevogrumab With Garetosmab When Taken With Semaglutide is Safe and How Well They Work in Adult Patients With Obesity for Weight Loss, Fat Loss, and Lean Mass Preservation</t>
  </si>
  <si>
    <t>NCT06303648</t>
  </si>
  <si>
    <t>A Single, Ascending Dose Evaluation of the Safety, Pharmacokinetics of Methylone in Healthy Subjects</t>
  </si>
  <si>
    <t>NCT06342804</t>
  </si>
  <si>
    <t>Food Effect on the Bioavailability of 4-MUST, Tablets, 128 mg</t>
  </si>
  <si>
    <t>NCT06724835</t>
  </si>
  <si>
    <t>Treating Nectin-4-positive Advanced Breast Cancer with XKDCT293 (Nectin-4-CAR-T)</t>
  </si>
  <si>
    <t>NCT07181187</t>
  </si>
  <si>
    <t>Phase II Clinical Trial of MH004 Ointment in Patients With Non-segmental Vitiligo</t>
  </si>
  <si>
    <t>Minghui Pharmaceutical (Hangzhou) Ltd</t>
  </si>
  <si>
    <t>NCT06348199</t>
  </si>
  <si>
    <t>A Study to Compare the Efficacy, Safety, Pharmacokinetics, and Immunogenicity Between SB27 and Keytruda in Subjects With Metastatic Non-squamous Non-small Cell Lung Cancer</t>
  </si>
  <si>
    <t>NCT06141200</t>
  </si>
  <si>
    <t>NW Roselle in Grade 1 Essential Hypertension: Phase III Clinical Trial</t>
  </si>
  <si>
    <t>NCT06024499</t>
  </si>
  <si>
    <t>Phase 2 Trial of HY209gel in Atopic Dermatitis Patients</t>
  </si>
  <si>
    <t>Shaperon</t>
  </si>
  <si>
    <t>NCT06268886</t>
  </si>
  <si>
    <t>Study to Evaluate the Efficacy, Safety, and Tolerability of an Anti-MTBR Tau Monoclonal Antibody (BMS-986446) in Participants With Early Alzheimer's Disease</t>
  </si>
  <si>
    <t>NCT06331702</t>
  </si>
  <si>
    <t>Immunogenicity of Japanese Encephalitis Vaccine Co-administered With Measles-Mumps-Rubella Vaccine (MMR)</t>
  </si>
  <si>
    <t>Liaoning Chengda Biotechnology CO., LTD</t>
  </si>
  <si>
    <t>NCT06317350</t>
  </si>
  <si>
    <t>Clinical Study to Evaluate the Efficacy and Safety of GNS-212-E in Bowel Preparation for Colonoscopy</t>
  </si>
  <si>
    <t>Gunkang Pharmaceuticals, Inc</t>
  </si>
  <si>
    <t>NCT06326060</t>
  </si>
  <si>
    <t>A Research Study Comparing How Well Different Doses of the Medicine NN0519-0130 Help People With Excess Body Weight Lose Weight</t>
  </si>
  <si>
    <t>NCT06223841</t>
  </si>
  <si>
    <t>A Clinical Trial to Evaluate Effect of IAP0971 in Patients With Advanced Malignant Tumors</t>
  </si>
  <si>
    <t>NCT06250400</t>
  </si>
  <si>
    <t>Efficacy and Safety of Histamine Human Immunoglobulin in the Treatment of Chronic Spontaneous Urticaria (CSU)</t>
  </si>
  <si>
    <t>Hangzhou Grand Biologic Pharmaceutical, Inc.</t>
  </si>
  <si>
    <t>NCT06587685</t>
  </si>
  <si>
    <t>A Study to Assess the Efficacy and Safety of PG-011 Gel in Adolescents and Adults With Atopic Dermatitis</t>
  </si>
  <si>
    <t>Prime Gene Therapeutics Co., Ltd.</t>
  </si>
  <si>
    <t>NCT05923073</t>
  </si>
  <si>
    <t>A Study of Guselkumab in Pediatric Participants With Moderately to Severely Active Crohn's Disease</t>
  </si>
  <si>
    <t>NCT06267846</t>
  </si>
  <si>
    <t>A Study to Evaluate the Efficacy and Safety of NBI-1070770 in Adults With Major Depressive Disorder</t>
  </si>
  <si>
    <t>Neurocrine Biosciences</t>
  </si>
  <si>
    <t>NCT06334432</t>
  </si>
  <si>
    <t>Safety and Efficacy Study of NUV-1511 in Adult Patients With Advanced Solid Tumors</t>
  </si>
  <si>
    <t>Nuvation Bio Inc.</t>
  </si>
  <si>
    <t>NCT06477237</t>
  </si>
  <si>
    <t>Study of Efficacy and Safety of HB0017 in Patients With Moderate to Severe Plaque Psoriasis</t>
  </si>
  <si>
    <t>NCT06267001</t>
  </si>
  <si>
    <t>A Study of Tiragolumab Plus Atezolizumab Compared With Placebo Plus Atezolizumab in Participants With Completely Resected Non-small Cell Lung Cancer Who Have Received Adjuvant Platinum-based Chemotherapy</t>
  </si>
  <si>
    <t>NCT06315283</t>
  </si>
  <si>
    <t>An Open-Label Trial to Assess the Comparative Bioavailability of TV-44749 to Oral Olanzapine in Participants With Schizophrenia</t>
  </si>
  <si>
    <t>NCT06226545</t>
  </si>
  <si>
    <t>A Study to Evaluate the Efficacy and Safety of LASN01 in Patients With Thyroid Eye Disease</t>
  </si>
  <si>
    <t>Lassen Therapeutics Inc.</t>
  </si>
  <si>
    <t>NCT06220201</t>
  </si>
  <si>
    <t>A Study to Evaluate the Safety, Tolerability, Efficacy, and Drug Levels of CC-97540 in Participants With Relapsing Forms of Multiple Sclerosis, Progressive Forms of Multiple Sclerosis or Refractory Myasthenia Gravis (MG) (Breakfree-2)</t>
  </si>
  <si>
    <t>NCT06583486</t>
  </si>
  <si>
    <t>A Study on the Efficacy and Safety of Repeated Treatments With Recombinant Botulinum Toxin Type A for Injection in the Treatment of Moderate to Severe Glabellar Lines</t>
  </si>
  <si>
    <t>Chongqing Claruvis Pharmaceutical Co., Ltd.</t>
  </si>
  <si>
    <t>NCT06240741</t>
  </si>
  <si>
    <t>A Prospective, Open-label Study of [68Ga]Ga-DOTA-TATE in Patients With Neuroendocrine Neoplasms (NENs) and Healthy Volunteers in Japan</t>
  </si>
  <si>
    <t>NCT06332638</t>
  </si>
  <si>
    <t>PK, PD and Safety of Tegoprazan 12.5 mg After Oral Administration in Healthy Subjects</t>
  </si>
  <si>
    <t>HK inno.N Corporation</t>
  </si>
  <si>
    <t>NCT05644626</t>
  </si>
  <si>
    <t>Safety, Pharmacokinetics and Antitumor Activity of BGB-B167 Alone and in Combination With Tislelizumab in Participants With Solid Tumors in Chinese Participants</t>
  </si>
  <si>
    <t>NCT06333808</t>
  </si>
  <si>
    <t>Study to Compare Bictegravir/Lenacapavir Versus Current Therapy in People With HIV-1 Who Are Successfully Treated With Biktarvy</t>
  </si>
  <si>
    <t>NCT06372223</t>
  </si>
  <si>
    <t>A Food Effect Study of SPH5030 Tablets.</t>
  </si>
  <si>
    <t>NCT05979857</t>
  </si>
  <si>
    <t>Study of SP-3164 in Relapsed or Refractory Non-Hodgkin's Lymphoma</t>
  </si>
  <si>
    <t>Salarius Pharmaceuticals, LLC</t>
  </si>
  <si>
    <t>NCT06604546</t>
  </si>
  <si>
    <t>Hyaluronidase Assisted Subcutaneous Infusion</t>
  </si>
  <si>
    <t>Shanghai Bao Pharmaceuticals Co., Ltd.</t>
  </si>
  <si>
    <t>NCT06334393</t>
  </si>
  <si>
    <t>Phase 1 Trial to Assess the Safety and Immunogenicity of an Inactivated, Adjuvanted Whole Zika Virus Vaccine Candidate (VLA1601) in Healthy Adults</t>
  </si>
  <si>
    <t>Valneva Austria GmbH</t>
  </si>
  <si>
    <t>NCT06305767</t>
  </si>
  <si>
    <t>A Clinical Study of Intismeran Autogene (V940) Treatment and Pembrolizumab in People With Bladder Cancer (V940-005/INTerpath-005)</t>
  </si>
  <si>
    <t>NCT06619665</t>
  </si>
  <si>
    <t>A Study of MK-6552 in Sleep Deprived Healthy Participants (MK-6552-003)</t>
  </si>
  <si>
    <t>NCT06069778</t>
  </si>
  <si>
    <t>Safety, Tolerability, and Efficacy of mFOLFIRINOX ± BNT321 as Adjuvant Therapy Following Curative Resection in Patients With Pancreatic Adenocarcinoma</t>
  </si>
  <si>
    <t>BioNTech SE</t>
  </si>
  <si>
    <t>NCT06323356</t>
  </si>
  <si>
    <t>A Study of TAK-279 in Adult Participants With Generalized Pustular Psoriasis or Erythrodermic Psoriasis</t>
  </si>
  <si>
    <t>NCT06237257</t>
  </si>
  <si>
    <t>A Study of Chemoradiotherapy With SHR-1316 For Treatment of Locally Advanced Cervical Cancer</t>
  </si>
  <si>
    <t>NCT06247956</t>
  </si>
  <si>
    <t>Study of SHR-8068 Combined With Adebrelimab and Platinum-containing Chemotherapy in the Treatment of Advanced Gastric and Esophageal Cancer</t>
  </si>
  <si>
    <t>NCT06285201</t>
  </si>
  <si>
    <t>Study of Felzartamab in Healthy Adult Subjects</t>
  </si>
  <si>
    <t>NCT06290388</t>
  </si>
  <si>
    <t>Study of 23ME-01473 in Patients With Advanced Solid Malignancies</t>
  </si>
  <si>
    <t>23andMe, Inc.</t>
  </si>
  <si>
    <t>NCT06165341</t>
  </si>
  <si>
    <t>Study to Learn About the Safety of Fazirsiran and if it Can Help People With Alpha-1 Antitrypsin Liver Disease With Mild Liver Scarring (Fibrosis)</t>
  </si>
  <si>
    <t>NCT06255340</t>
  </si>
  <si>
    <t>A Study in Healthy Men to Test How Different Doses of BI 3031185 Are Tolerated and How Food Influences the Amount of BI 3031185 in the Blood</t>
  </si>
  <si>
    <t>NCT07180420</t>
  </si>
  <si>
    <t>Proof of Concept (PoC) Evaluation of Naloxone Unique Intramuscular (IM) Injection</t>
  </si>
  <si>
    <t>STAT Therapeutics Inc</t>
  </si>
  <si>
    <t>NCT06185985</t>
  </si>
  <si>
    <t>Open-label Safety and Efficacy of SPN-812 (Viloxazine Extended-release Capsule) in Adults With ADHD and Mood Symptoms</t>
  </si>
  <si>
    <t>Supernus Pharmaceuticals, Inc.</t>
  </si>
  <si>
    <t>NCT06395610</t>
  </si>
  <si>
    <t>Effect of Erythromycin on the Absorption, Metabolism and Elimination of CHF6001 in Healthy Volunteers</t>
  </si>
  <si>
    <t>Chiesi Farmaceutici S.p.A.</t>
  </si>
  <si>
    <t>NCT06299696</t>
  </si>
  <si>
    <t>A Study of Vanzacaftor/Tezacaftor/Deutivacaftor (VNZ/TEZ/D-IVA) in Healthy Adult Panelists</t>
  </si>
  <si>
    <t>NCT06310551</t>
  </si>
  <si>
    <t>First Time in Human Study of Long Acting VH4524184 Formulations</t>
  </si>
  <si>
    <t>NCT06691906</t>
  </si>
  <si>
    <t>A Clinical Study of Enlicitide Decanoate (MK-0616) in Healthy Adult Participants (MK-0616-025)</t>
  </si>
  <si>
    <t>NCT06105021</t>
  </si>
  <si>
    <t>Phase I Study of Autologous CD8+ and CD4+ Engineered T Cell Receptor T Cells in Subjects With Advanced or Metastatic Solid Tumor</t>
  </si>
  <si>
    <t>Affini-T Therapeutics, Inc.</t>
  </si>
  <si>
    <t>NCT06308263</t>
  </si>
  <si>
    <t>Tuvusertib (M1774) Human Mass Balance and Absolute Bioavailability Study (DDRIVER Solid Tumors 303)</t>
  </si>
  <si>
    <t>Merck Healthcare KGaA, Darmstadt, Germany, an affiliate of Merck KGaA, Darmstadt, Germany</t>
  </si>
  <si>
    <t>NCT06328400</t>
  </si>
  <si>
    <t>A Study to Evaluate the Safety, Tolerability, and Pharmacokinetics of Oral Deuremidevir Hydrobromide for Suspension</t>
  </si>
  <si>
    <t>NCT06359600</t>
  </si>
  <si>
    <t>A Study of HS-10501 Tablets in Healthy Subjects</t>
  </si>
  <si>
    <t>NCT06313528</t>
  </si>
  <si>
    <t>A Study to Measure Calorie Consumption and Usage in Participants With Obesity Using LY3437943</t>
  </si>
  <si>
    <t>NCT06128837</t>
  </si>
  <si>
    <t>Study of LY01610 in Patients With Recurrent Small Cell Lung Cancer</t>
  </si>
  <si>
    <t>NCT06358651</t>
  </si>
  <si>
    <t>Fasedienol Nasal Spray for the Acute Treatment of Anxiety in Adults With Social Anxiety Disorder (PALISADE-3)</t>
  </si>
  <si>
    <t>VistaGen Therapeutics, Inc.</t>
  </si>
  <si>
    <t>NCT06255951</t>
  </si>
  <si>
    <t>Studies Evaluating the Effects of Itraconazole or Rifampicin on the Pharmacokinetics of TY-9591 Tablets in Healthy Subjects</t>
  </si>
  <si>
    <t>NCT06402331</t>
  </si>
  <si>
    <t>FPI-2265 (225Ac-PSMA-I&amp;T) for Patients With PSMA-Positive Metastatic Castration-Resistant Prostate Cancer (mCRPC)</t>
  </si>
  <si>
    <t>Fusion Pharmaceuticals Inc.</t>
  </si>
  <si>
    <t>NCT06299761</t>
  </si>
  <si>
    <t>Study of the RNR Inhibitor BBI-825 in Subjects With Tumors With Resistance Gene Amplifications</t>
  </si>
  <si>
    <t>Boundless Bio, Inc.</t>
  </si>
  <si>
    <t>NCT06314373</t>
  </si>
  <si>
    <t>A Study for HSK39775 in Participants With Solid Tumors</t>
  </si>
  <si>
    <t>NCT06325657</t>
  </si>
  <si>
    <t>A Study to Learn About the Vaccine RSVpreF In Pregnant Participants With HIV and Their Infants</t>
  </si>
  <si>
    <t>NCT06062030</t>
  </si>
  <si>
    <t>Efficacy and Safety of DWJ1609 for Bowel Cleansing Before Colonoscopy;</t>
  </si>
  <si>
    <t>NCT06297603</t>
  </si>
  <si>
    <t>Effect of Retatrutide Compared With Placebo in Participants With Type 2 Diabetes and Moderate or Severe Renal Impairment, With Inadequate Glycemic Control on Basal Insulin, With or Without Metformin and/or SGLT2 Inhibitor (TRANSCEND-T2D-3)</t>
  </si>
  <si>
    <t>NCT06671509</t>
  </si>
  <si>
    <t>Pharmacokinetics and Safety Study of YZJ-1139 in Subjects With Mild, Moderate and Normal Hepatic Impairment</t>
  </si>
  <si>
    <t>Shanghai Haiyan Pharmaceutical Technology Co., Ltd.</t>
  </si>
  <si>
    <t>NCT06168409</t>
  </si>
  <si>
    <t>A Study to Investigate the Effect of Baxdrostat on Ambulatory Blood Pressure in Participants With Resistant Hypertension</t>
  </si>
  <si>
    <t>NCT04985890</t>
  </si>
  <si>
    <t>A Proof of Concept Study to Evaluate the Effect of UB-421 in Combination With Chidamide on HIV Viral Reservoir</t>
  </si>
  <si>
    <t>UBP Greater China (Shanghai) Co., Ltd</t>
  </si>
  <si>
    <t>NCT06656897</t>
  </si>
  <si>
    <t>Preliminary Clinical Trial- FallScape-D</t>
  </si>
  <si>
    <t>Brookside Research &amp; Development Company</t>
  </si>
  <si>
    <t>NCT06297226</t>
  </si>
  <si>
    <t>Study of Arlocabtagene Autoleucel (BMS-986393) a GPRC5D-directed CAR T Cell Therapy in Adult Participants With Relapsed or Refractory Multiple Myeloma</t>
  </si>
  <si>
    <t>NCT06291376</t>
  </si>
  <si>
    <t>Study of Ravulizumab in Immunoglobulin A Nephropathy (IgAN)</t>
  </si>
  <si>
    <t>NCT07293390</t>
  </si>
  <si>
    <t>A Clinical Trial of Mass Balance of [14C] TQ05105 in Healthy Chinese Subjects</t>
  </si>
  <si>
    <t>NCT06176040</t>
  </si>
  <si>
    <t>A Study of TAVO101 in Atopic Dermatitis Patients</t>
  </si>
  <si>
    <t>Tavotek Biotherapeutics</t>
  </si>
  <si>
    <t>NCT06243198</t>
  </si>
  <si>
    <t>A Study to Investigate the Safety and Pharmacokinetics of Lebrikizumab in Healthy Chinese Participants</t>
  </si>
  <si>
    <t>NCT06121882</t>
  </si>
  <si>
    <t>Microfragmented Adipose Tissue Compared to Saline Injection for the Treatment of Knee Osteoarthritis</t>
  </si>
  <si>
    <t>Lipogems International spa</t>
  </si>
  <si>
    <t>NCT06313996</t>
  </si>
  <si>
    <t>A Study to Evaluate the Efficacy and Safety of Liso-cel Compared to Standard of Care in Adults With Relapsed or Refractory Follicular Lymphoma</t>
  </si>
  <si>
    <t>NCT06241313</t>
  </si>
  <si>
    <t>Study of Oral Atogepant Tablets to Assess Safety and Efficacy in Adult Participants With Migraine</t>
  </si>
  <si>
    <t>NCT06358950</t>
  </si>
  <si>
    <t>A Study to Evaluate the Safety and Effectiveness of ALKS 2680 in Subjects With Narcolepsy Type 1 (ALKS 2680-201)</t>
  </si>
  <si>
    <t>Alkermes, Inc.</t>
  </si>
  <si>
    <t>NCT06277934</t>
  </si>
  <si>
    <t>A Study of RGT001-075 in Participants With Obesity or Overweight With Weight-Related Comorbidities</t>
  </si>
  <si>
    <t>Regor Pharmaceuticals Inc.</t>
  </si>
  <si>
    <t>NCT06284915</t>
  </si>
  <si>
    <t>Study on Immunogenicity and Safety of a Meningococcal ACYW Conjugate Vaccine in Healthy Infants and Toddlers</t>
  </si>
  <si>
    <t>NCT06107036</t>
  </si>
  <si>
    <t>A Study in Healthy People to Test Whether Different Doses of BI 1015550 Have Potential to Induce Heart Rhythm Abnormalities</t>
  </si>
  <si>
    <t>NCT06173869</t>
  </si>
  <si>
    <t>A Randomised Trial Comparing the Ovarian Response of a Starting Dose of Either 10 μg or 15 μg Follitropin Delta (FE 999049) to a Starting Dose of Either 150 IU or 225 IU Follitropin Alfa (GONAL-F) in Conventional Regimens in China</t>
  </si>
  <si>
    <t>NCT06315426</t>
  </si>
  <si>
    <t>A Study of IL4Rα Monoclonal Antibody in Patients With Seasonal Allergic Rhinitis(SAR).</t>
  </si>
  <si>
    <t>NCT06280768</t>
  </si>
  <si>
    <t>Study on the Safety and Tolerability, Pharmacokinetics and Pharmacodynamics of SHR-2004 Injection in Adult Patients With Atrial Fibrillation</t>
  </si>
  <si>
    <t>NCT06305416</t>
  </si>
  <si>
    <t>A Efficacy and Safety Study of Ranibizumab 10mg/ml Injection (Incepta) in Patients With Diabetic Macular Edema</t>
  </si>
  <si>
    <t>NCT05835310</t>
  </si>
  <si>
    <t>An Efficacy and Safety Study of Intravenous Anifrolumab to Treat Systemic Lupus Erythematosus in Pediatric Participants</t>
  </si>
  <si>
    <t>NCT04781140</t>
  </si>
  <si>
    <t>Evaluation of SPN-812 (Viloxazine Extended-release Capsule) in Preschool-age Children With ADHD</t>
  </si>
  <si>
    <t>NCT06205628</t>
  </si>
  <si>
    <t>Safety, Tolerability, PK and PD of ADX-850 in Participants With Hypertension</t>
  </si>
  <si>
    <t>ADARx Pharmaceuticals, Inc.</t>
  </si>
  <si>
    <t>NCT06391593</t>
  </si>
  <si>
    <t>PD, PK, and Safety of ALTO-203 in Patients With MDD</t>
  </si>
  <si>
    <t>Alto Neuroscience</t>
  </si>
  <si>
    <t>NCT06727630</t>
  </si>
  <si>
    <t>A Phase Ib Study of PRJ1-3024 for Treatment of Advanced or Metastatic Melanoma</t>
  </si>
  <si>
    <t>Zhuhai Yufan Biotechnologies Co., Ltd</t>
  </si>
  <si>
    <t>NCT06257875</t>
  </si>
  <si>
    <t>A Study to Assess Adverse Events and Change in Disease Activity From Intravenous (IV) and Subcutaneous (SC) Lutikizumab in Adult Participants With Active Ulcerative Colitis</t>
  </si>
  <si>
    <t>NCT06279871</t>
  </si>
  <si>
    <t>Immunogenicity and Safety Study of Self-amplifying mRNA COVID-19 Vaccine Administered With Influenza Vaccines in Adults</t>
  </si>
  <si>
    <t>NCT06375733</t>
  </si>
  <si>
    <t>A Study of GFH009 in Combination With Zanubrutinib in Subjects With Relapsed or Refractory DLBCL</t>
  </si>
  <si>
    <t>Genfleet Therapeutics (Shanghai) Inc.</t>
  </si>
  <si>
    <t>NCT06336096</t>
  </si>
  <si>
    <t>A Study to Evaluate the Relative Bioavailability and Food Effect of a New Tablet Formulation and Strength of Suzetrigine</t>
  </si>
  <si>
    <t>NCT06172257</t>
  </si>
  <si>
    <t>A Pivotal Safety and Efficacy Study of OCS-01 Eye Drops in Participants With Diabetic Macular Edema (DIAMOND 2)</t>
  </si>
  <si>
    <t>Oculis</t>
  </si>
  <si>
    <t>NCT06169397</t>
  </si>
  <si>
    <t>An Open-label Extension Study of XTMAB-16 in Patients With Pulmonary Sarcoidosis</t>
  </si>
  <si>
    <t>Xentria, Inc.</t>
  </si>
  <si>
    <t>NCT05872867</t>
  </si>
  <si>
    <t>Study of WM-A1-3389 in Participants With Advanced or Metastatic Solid Tumors and Non-Small Cell Lung Cancer (MK-3475-E90/KEYNOTE-E90)</t>
  </si>
  <si>
    <t>Wellmarker Bio</t>
  </si>
  <si>
    <t>NCT06285799</t>
  </si>
  <si>
    <t>Safety and Effectiveness of Iron Hydroxide Adipate Tartrate (IHAT) in Iron Deficient Premenopausal Women</t>
  </si>
  <si>
    <t>Nemysis Ltd</t>
  </si>
  <si>
    <t>NCT06224595</t>
  </si>
  <si>
    <t>A Phase 1 Study to Evaluate the Safety, Tolerability, Pharmacokinetic, Pharmacodynamic Profiles and Food Effect of CS32582 Capsules</t>
  </si>
  <si>
    <t>NCT06323161</t>
  </si>
  <si>
    <t>A Research Study to See How Much CagriSema Lowers Blood Sugar and Body Weight Compared to Placebo in People With Type 2 Diabetes Treated With Once-daily Basal Insulin With or Without Metformin</t>
  </si>
  <si>
    <t>NCT06329895</t>
  </si>
  <si>
    <t>A Study to Learn About How BAY2927088 Affects the Level of Dabigatran or Rosuvastatin in the Blood When These Drugs Are Taken Together in Healthy Participants</t>
  </si>
  <si>
    <t>NCT06312566</t>
  </si>
  <si>
    <t>A Study to Assess the Bioequivalence Between Brivaracetam Tablet and Dry Syrup in Healthy Japanese Male Study Participants</t>
  </si>
  <si>
    <t>UCB Biopharma SRL</t>
  </si>
  <si>
    <t>NCT06048627</t>
  </si>
  <si>
    <t>Anti-gingivitis Mouthrinse</t>
  </si>
  <si>
    <t>NCT06222294</t>
  </si>
  <si>
    <t>A Study of Remimazolam Tosilate for Sedation in the ICU</t>
  </si>
  <si>
    <t>NCT06879782</t>
  </si>
  <si>
    <t>Phase III Clinical Study of Lifitegrast Ophthalmic Solution for the Treatment of Dry Eye Disease</t>
  </si>
  <si>
    <t>Lunan Better Pharmaceutical Co., LTD.</t>
  </si>
  <si>
    <t>NCT06118788</t>
  </si>
  <si>
    <t>Phase I Clinical Study: BG1805 Injection in the Treatment of Relapsed or Refractory Acute Myeloid Leukemia</t>
  </si>
  <si>
    <t>Guangzhou Bio-gene Technology Co., Ltd</t>
  </si>
  <si>
    <t>NCT06331559</t>
  </si>
  <si>
    <t>Study of SIM0501 Alone and in Combination in Patients With Advanced Solid Tumors</t>
  </si>
  <si>
    <t>NCT06041386</t>
  </si>
  <si>
    <t>REIMAGINE - Real World EvaluatIon of Mepolizumab in Severe Asthma achievinG on Treatment clinIcal remissioN, a prospEctive Study</t>
  </si>
  <si>
    <t>NCT06706427</t>
  </si>
  <si>
    <t>Safety and Efficacy Study of NGGT001 in Bietti Crystalline Corneoretinal Dystrophy Subjects</t>
  </si>
  <si>
    <t>NGGT (Suzhou) Biotechnology Co., Ltd.</t>
  </si>
  <si>
    <t>NCT06864182</t>
  </si>
  <si>
    <t>Relative Bioavailability Study of CX2101A for the Treatment of COVID-19</t>
  </si>
  <si>
    <t>Heronova Pharmaceuticals</t>
  </si>
  <si>
    <t>NCT07008703</t>
  </si>
  <si>
    <t>Phase I Study of sss40 Injection for Moderate-to-Severe Bone Metastatic Cancer Pain</t>
  </si>
  <si>
    <t>Shenyang Sunshine Pharmaceutical Co., LTD.</t>
  </si>
  <si>
    <t>NCT06438172</t>
  </si>
  <si>
    <t>A Study to Evaluate Efficacy and Safety of HCP1803 Compared to RLD2001-1 in Patients with Essential Hypertension</t>
  </si>
  <si>
    <t>NCT06370039</t>
  </si>
  <si>
    <t>Study of INV-102 Ophthalmic Solution in Adults With Moderate to Severe Dry Eye Disease</t>
  </si>
  <si>
    <t>Invirsa, Inc.</t>
  </si>
  <si>
    <t>NCT06608641</t>
  </si>
  <si>
    <t>Efficacy and Safety of Endoxifen in Bipolar I Disorder Patients</t>
  </si>
  <si>
    <t>Jina Pharmaceuticals Inc.</t>
  </si>
  <si>
    <t>NCT05962788</t>
  </si>
  <si>
    <t>Long-Term Voclosporin Treatment in Adolescent and Pediatric Subjects With Lupus Nephritis</t>
  </si>
  <si>
    <t>Aurinia Pharmaceuticals Inc.</t>
  </si>
  <si>
    <t>NCT06221059</t>
  </si>
  <si>
    <t>Efficacy and Safety of HRS-1780 Tablets and Henagliflozin Proline Tablets in Patients With Chronic Kidney Disease</t>
  </si>
  <si>
    <t>NCT07011186</t>
  </si>
  <si>
    <t>A Clinical Trial of TQB3909 Tablets in Combination With Azacitidine for the Treatment of Myeloid Malignancies</t>
  </si>
  <si>
    <t>NCT06299410</t>
  </si>
  <si>
    <t>PET Study to Evaluate Brain Receptor Occupancy, Safety and Pharmacokinetics of ITI-1284 in Healthy Subjects</t>
  </si>
  <si>
    <t>NCT06322628</t>
  </si>
  <si>
    <t>A Phase 2 Clinical Trial to Evaluate the Efficacy and Safety of VSA006 in Chinese NASH Patients</t>
  </si>
  <si>
    <t>Visirna Therapeutics HK Limited</t>
  </si>
  <si>
    <t>NCT06344936</t>
  </si>
  <si>
    <t>Drug-drug Interaction Study of HRS-1780 Tablets in Healthy Subjects</t>
  </si>
  <si>
    <t>NCT06285422</t>
  </si>
  <si>
    <t>Study Evaluating SC262 in Subjects With r/r Non-Hodgkin's Lymphoma (VIVID)</t>
  </si>
  <si>
    <t>Sana Biotechnology</t>
  </si>
  <si>
    <t>NCT06431893</t>
  </si>
  <si>
    <t>A Phase 3 Long-term Extension Study to Assess the Long-term Safety and Efficacy of Pegtibatinase Treatment in Participants ≥5 to ≤65 Years of Age With Classical Homocystinuria (HCU) (ENSEMBLE)</t>
  </si>
  <si>
    <t>Travere Therapeutics, Inc.</t>
  </si>
  <si>
    <t>NCT06360133</t>
  </si>
  <si>
    <t>Study of 5% VVN001 Ophthalmic Solution in Dry Eye Disease</t>
  </si>
  <si>
    <t>NCT06099418</t>
  </si>
  <si>
    <t>Efficacy and Safety of VB10.16 Alone or in Combination With Atezolizumab in Patients With Advanced Cervical Cancer.</t>
  </si>
  <si>
    <t>Nykode Therapeutics ASA</t>
  </si>
  <si>
    <t>NCT06383468</t>
  </si>
  <si>
    <t>A Phase III Study to Evaluate the Efficacy and Safety of AK120 in Patients With Moderate to Severe Atopic Dermatitis</t>
  </si>
  <si>
    <t>NCT06372496</t>
  </si>
  <si>
    <t>Pragmatic Open - Label Randomized Clinical Trial of FF/UMEC/VI vs Non-ellipta Usual Care ICS-LABA for Adult Participants With Uncontrolled Asthma</t>
  </si>
  <si>
    <t>NCT06188559</t>
  </si>
  <si>
    <t>A Study of BB-1701 in Previously Treated Participants With Human Epidermal Growth Factor Receptor 2 (HER2)-Positive or HER2-low Unresectable or Metastatic Breast Cancer</t>
  </si>
  <si>
    <t>Eisai Inc.</t>
  </si>
  <si>
    <t>NCT06356194</t>
  </si>
  <si>
    <t>Drug-drug Interaction Study of Biktarvy and Bemnifosbuvir/Ruzasvir</t>
  </si>
  <si>
    <t>Atea Pharmaceuticals, Inc.</t>
  </si>
  <si>
    <t>NCT06311786</t>
  </si>
  <si>
    <t>A Study to Look at How a Single Oral Dose of Carbon-14-Labelled [14C] BIIB091 Moves Through and is Processed by the Body in Healthy Male Participants</t>
  </si>
  <si>
    <t>NCT06158854</t>
  </si>
  <si>
    <t>A Study to Assess Change in Disease Activity and Adverse Events (AE)s in Adult Participants With Immunoglobulin Light Chain (AL) Amyloidosis Receiving Etentamig (ABBV-383) as an Intravenous (IV) Infusion</t>
  </si>
  <si>
    <t>NCT07359222</t>
  </si>
  <si>
    <t>Vis Pre Surgery Medical Food Validation Study</t>
  </si>
  <si>
    <t>TM Nutrition LLC</t>
  </si>
  <si>
    <t>NCT06258265</t>
  </si>
  <si>
    <t>A Study of TAK-279 in Healthy Adults on the Effect on ECG Measurements</t>
  </si>
  <si>
    <t>NCT05545202</t>
  </si>
  <si>
    <t>A Randomized, Comparative, Double-blind Trial of Pentaisomaltose and Dimethyl Sulphoxide for Cryoprotection of Hematopoietic Stem Cells in Subjects With Multiple Myeloma or Malignant Lymphoma With a Need for Autologous Transplantation</t>
  </si>
  <si>
    <t>Pharmacosmos A/S</t>
  </si>
  <si>
    <t>NCT06194448</t>
  </si>
  <si>
    <t>To Evaluate the Efficacy/Safety of Osimertinib Prior to CRT and Maintenance of it With Stage III, Unresectable NSCLC With EGFR Mutations</t>
  </si>
  <si>
    <t>NCT06295809</t>
  </si>
  <si>
    <t>A Study of (Neo)Adjuvant Intismeran Autogene (V940) and Pembrolizumab in Cutaneous Squamous Cell Carcinoma (V940-007)</t>
  </si>
  <si>
    <t>NCT06424444</t>
  </si>
  <si>
    <t>A Clinical Trial to Assess the Safety and Efficacy of Subjects With Dry Eye Disease</t>
  </si>
  <si>
    <t>Aldeyra Therapeutics, Inc.</t>
  </si>
  <si>
    <t>NCT07437404</t>
  </si>
  <si>
    <t>Efficacy and Safety Evaluation Study of SCT800 in Previously Untreated Hemophilia A Patients.</t>
  </si>
  <si>
    <t>NCT06398808</t>
  </si>
  <si>
    <t>A Study to Evaluate the Efficacy and Safety of ZYIL1 Oral Capsules for the Treatment of Patients With Mild to Moderately Active Ulcerative Colitis Resistant or Intolerant to Oral Aminosalicylates</t>
  </si>
  <si>
    <t>Zydus Lifesciences Limited</t>
  </si>
  <si>
    <t>NCT06114511</t>
  </si>
  <si>
    <t>A Study of BL-M07D1 in Patients With HER2-mutated, Locally Advanced or Metastatic Non-small-cell Lung Cancer</t>
  </si>
  <si>
    <t>NCT06290349</t>
  </si>
  <si>
    <t>Efficacy and Safety of DA5221-T When Added to Ongoing DA5221-B1 and DA5221-B2 Combination Therapy in Patients With Type 2 Diabetes Who Have Inadequate Glycemic Control</t>
  </si>
  <si>
    <t>NCT06274515</t>
  </si>
  <si>
    <t>A Study to Investigate Mechanisms of Resistance to Breast Cancer Therapies</t>
  </si>
  <si>
    <t>NCT06355856</t>
  </si>
  <si>
    <t>Efficacy/ Safety of DNN.22.17.036 in Male Patients With Pattern Hair Loss</t>
  </si>
  <si>
    <t>Ache Laboratorios Farmaceuticos S.A.</t>
  </si>
  <si>
    <t>NCT06379893</t>
  </si>
  <si>
    <t>A Real-World Evidence Study to Evaluate the Effects of Voltaren Use on Mobility and Quality of Life in Participants With Knee Osteoarthritis Pain</t>
  </si>
  <si>
    <t>HALEON</t>
  </si>
  <si>
    <t>NCT06236061</t>
  </si>
  <si>
    <t>Study of Efficacy and Safety of LCZ696/Amlodipine in Grade 1 and 2 Hypertension Patients Uncontrolled by LCZ696 Monotherapy</t>
  </si>
  <si>
    <t>NCT06383052</t>
  </si>
  <si>
    <t>A Phase 1/2 Study of 177Lu-NYM032 Injection in mCRPC</t>
  </si>
  <si>
    <t>Norroy Bioscience Co., LTD</t>
  </si>
  <si>
    <t>NCT06357533</t>
  </si>
  <si>
    <t>Phase III, Open-label, Study of First-line Dato-DXd in Combination With Rilvegostomig for Advanced Non-squamous NSCLC With High PD-L1 Expression (TC ≥ 50%) and Without Actionable Genomic Alterations</t>
  </si>
  <si>
    <t>NCT06357520</t>
  </si>
  <si>
    <t>A Study to Investigate the Pharmacokinetics of Baxdrostat When Given Alone and in Combination With Itraconazole in Healthy Participants</t>
  </si>
  <si>
    <t>NCT06312176</t>
  </si>
  <si>
    <t>A Study of Sacituzumab Tirumotecan (MK-2870) as a Single Agent and in Combination With Pembrolizumab (MK-3475) Versus Treatment of Physician's Choice in Participants With HR+/HER2- Unresectable Locally Advanced or Metastatic Breast Cancer (MK-2870-010)</t>
  </si>
  <si>
    <t>NCT06233240</t>
  </si>
  <si>
    <t>Sitagliptin and Metformin Hydrochloride Tablets 50 mg/1000 mg Relative to Originator</t>
  </si>
  <si>
    <t>NCT06331624</t>
  </si>
  <si>
    <t>Biomarker Modulation and the Inhibition of NKT1 Cells by Oral GRI-0621 in Patients With IPF</t>
  </si>
  <si>
    <t>GRI Bio Operations, Inc.</t>
  </si>
  <si>
    <t>NCT06045754</t>
  </si>
  <si>
    <t>A Study of Vedolizumab Intravenous (IV) and Adalimumab or Vedolizumab and Ustekinumab in Adults With Crohn's Disease</t>
  </si>
  <si>
    <t>NCT06374888</t>
  </si>
  <si>
    <t>Nilatinib Maleate Tablets Combined With Capecitabine in the Treatment of HER2-positive Advanced Esophageal/Esophagogastric Junction/Gastric Adenocarcinoma With Brain Metastases</t>
  </si>
  <si>
    <t>NCT06772168</t>
  </si>
  <si>
    <t>Evaluate the Efficacy and Safety of CMG190303 in Patients With Type 2 Diabetes and Dyslipidemia</t>
  </si>
  <si>
    <t>CMG Pharmaceutical Co. Ltd</t>
  </si>
  <si>
    <t>NCT06229366</t>
  </si>
  <si>
    <t>[Ac-225]-PSMA-62 Trial in Oligometastatic Hormone Sensitive and Metastatic Castration Resistant Prostate Cancer</t>
  </si>
  <si>
    <t>NCT06422377</t>
  </si>
  <si>
    <t>A Study Evaluating Soticlestat in Participants With Dravet Syndrome or Lennox-Gastaut Syndrome Who Have Been Exposed to Fenfluramine</t>
  </si>
  <si>
    <t>NCT06345404</t>
  </si>
  <si>
    <t>Safety, Tolerability, and Preliminary Efficacy of Soquelitinib in Participants With Moderate to Severe AD</t>
  </si>
  <si>
    <t>Corvus Pharmaceuticals, Inc.</t>
  </si>
  <si>
    <t>NCT06592417</t>
  </si>
  <si>
    <t>To Evaluate the Phase I Clinical Study of JSKN016 in Chinese Patients With Advanced Malignant Solid Tumors</t>
  </si>
  <si>
    <t>NCT06402136</t>
  </si>
  <si>
    <t>Evaluation Safety, Tolerability, and Pharmacokinetics of Single and Multiple Ascending Doses of 83-0060 in Healthy Volunteers</t>
  </si>
  <si>
    <t>Traws Pharma, Inc.</t>
  </si>
  <si>
    <t>NCT05951777</t>
  </si>
  <si>
    <t>Autologous Adipose-Derived Mesenchymal Stem Cells for Chronic Traumatic Brain Injury</t>
  </si>
  <si>
    <t>Hope Biosciences LLC</t>
  </si>
  <si>
    <t>NCT06328673</t>
  </si>
  <si>
    <t>A Study of DM919 Alone and in Combination With Pembrolizumab in Advanced Solid Tumors</t>
  </si>
  <si>
    <t>D2M Biotherapeutics Inc.</t>
  </si>
  <si>
    <t>NCT06435936</t>
  </si>
  <si>
    <t>A Study to Assess the Safety of SAB-176 to Prevent the Flu, Given IM in Healthy Adults Compared With Placebo</t>
  </si>
  <si>
    <t>SAb Biotherapeutics, Inc.</t>
  </si>
  <si>
    <t>NCT06387420</t>
  </si>
  <si>
    <t>A Study of AK117 in Combination With Azactidine Plus Venetoclax in Patients With Acute Myeloid Leukemia</t>
  </si>
  <si>
    <t>NCT05037279</t>
  </si>
  <si>
    <t>Evaluating Safety and Efficacy of Verity-BCG in BCG-naïve Patients with Intermediate and High-risk Non-muscle Invasive Bladder (NMIBC)</t>
  </si>
  <si>
    <t>Verity Pharmaceuticals Inc.</t>
  </si>
  <si>
    <t>NCT06367114</t>
  </si>
  <si>
    <t>Clinical Trial of ssCART-19 Cell Injection in the Treatment of Relapsed or Refractory Acute Lymphoblastic Leukemia (Including Central Nervous System Infiltration)</t>
  </si>
  <si>
    <t>Shanghai Unicar-Therapy Bio-medicine Technology Co.,Ltd</t>
  </si>
  <si>
    <t>NCT06384235</t>
  </si>
  <si>
    <t>Phase II Clinical Study of LTC004 in Patients With mCRC</t>
  </si>
  <si>
    <t>NCT06354556</t>
  </si>
  <si>
    <t>Effect of Verapamil Tablets on the Pharmacokinetic of HRS-1893 Tablets in Healthy Subjects</t>
  </si>
  <si>
    <t>NCT06348355</t>
  </si>
  <si>
    <t>A Positron-emission Tomography Study to Determine Brain Exposure of [11C]Savolitinib in Healthy Volunteers</t>
  </si>
  <si>
    <t>NCT06215261</t>
  </si>
  <si>
    <t>An Evaluation of the Safety and Efficacy of Methylone for the Treatment of PTSD</t>
  </si>
  <si>
    <t>NCT06346067</t>
  </si>
  <si>
    <t>A Study to Assess Naporafenib (ERAS-254) Administered With Trametinib in Patients With NRAS-mutant Melanoma (SEACRAFT-2)</t>
  </si>
  <si>
    <t>Erasca, Inc.</t>
  </si>
  <si>
    <t>NCT06350097</t>
  </si>
  <si>
    <t>Phase III, Open-label Study of First-line Osimertinib With or Without Datopotamab Deruxtecan for EGFRm Locally Advanced or Metastatic Non-small Cell Lung Cancer</t>
  </si>
  <si>
    <t>NCT06256432</t>
  </si>
  <si>
    <t>Endothelin Receptor Antagonism With Ambrisentan to Treat Hepatorenal Syndrome</t>
  </si>
  <si>
    <t>Noorik Biopharmaceuticals AG</t>
  </si>
  <si>
    <t>NCT06348498</t>
  </si>
  <si>
    <t>Pharmacokinetic and Pharmacodynamic of Jia Shen Tablets in Chronic Heart Failure</t>
  </si>
  <si>
    <t>Tasly Pharmaceutical Group Co., Ltd</t>
  </si>
  <si>
    <t>NCT06325748</t>
  </si>
  <si>
    <t>SENTI-202: Off-the-shelf Logic Gated CAR NK Cell Therapy in Adults With CD33 and/or FLT3 Blood Cancers Including AML/MDS</t>
  </si>
  <si>
    <t>Senti Biosciences</t>
  </si>
  <si>
    <t>NCT06366750</t>
  </si>
  <si>
    <t>A Study of Barzolvolimab in Patients With Prurigo Nodularis</t>
  </si>
  <si>
    <t>Celldex Therapeutics</t>
  </si>
  <si>
    <t>NCT06273540</t>
  </si>
  <si>
    <t>Phase1, STP7 Cocaine Drug-Drug Interaction Study</t>
  </si>
  <si>
    <t>Stalicla SA</t>
  </si>
  <si>
    <t>NCT06995001</t>
  </si>
  <si>
    <t>Phase I Study on the Safety, Tolerability, Pharmacokinetics and Pharmacodynamics of a Single Subcutaneous Injection of SHR-2173 in Healthy Subjects</t>
  </si>
  <si>
    <t>Guangdong Hengrui Pharmaceutical Co., Ltd</t>
  </si>
  <si>
    <t>NCT06171048</t>
  </si>
  <si>
    <t>Study Evaluating the Pharmacokinetics of CM310 in Healthy Subjects</t>
  </si>
  <si>
    <t>NCT06311760</t>
  </si>
  <si>
    <t>A Study to Assess the Safety, Tolerability, and Pharmacokinetics of a Single Ascending Dose of AZD0292 In Healthy Participants</t>
  </si>
  <si>
    <t>NCT06319794</t>
  </si>
  <si>
    <t>Study on the Safety and Efficacy of Bimiralisib Gel in Participants Suffering From Actinic Keratosis</t>
  </si>
  <si>
    <t>TORQUR</t>
  </si>
  <si>
    <t>NCT06972888</t>
  </si>
  <si>
    <t>A Phase II Clinical Study of AC-201 Tablets in Subjects With Plaque Psoriasis</t>
  </si>
  <si>
    <t>Accro Bioscience (Suzhou) Limited</t>
  </si>
  <si>
    <t>NCT06345482</t>
  </si>
  <si>
    <t>A Study of MHB039A for Advanced Solid Tumor</t>
  </si>
  <si>
    <t>NCT06221072</t>
  </si>
  <si>
    <t>A Study to Assess the Prevention of Bone-related Events in Patients With Bone Metastases From Malignant Solid Tumors Treated With JMT103 Compared to Zoledronic Acid</t>
  </si>
  <si>
    <t>NCT06345794</t>
  </si>
  <si>
    <t>A Study to Assess LY4100511 (DC-853) in Healthy Adult Participants</t>
  </si>
  <si>
    <t>NCT06772792</t>
  </si>
  <si>
    <t>A Study to Evaluate the Drug-Drug Interaction Between Enlicitide Decanoate (MK-0616) and Alendronate in Healthy Adult Participants (MK-0616-027)</t>
  </si>
  <si>
    <t>NCT06401213</t>
  </si>
  <si>
    <t>A First-in-Human Safety Trial of MTX-463</t>
  </si>
  <si>
    <t>Mediar Therapeutics</t>
  </si>
  <si>
    <t>NCT06498284</t>
  </si>
  <si>
    <t>Evaluate HM-002-1005 in Subjects With Type 2 Diabetes Mellitus</t>
  </si>
  <si>
    <t>Hua Medicine Limited</t>
  </si>
  <si>
    <t>NCT06014762</t>
  </si>
  <si>
    <t>P-CD19CD20-ALLO1 Allogeneic CAR-T Cells in the Treatment of Subjects With B Cell Malignancies</t>
  </si>
  <si>
    <t>Poseida Therapeutics, Inc.</t>
  </si>
  <si>
    <t>NCT06363461</t>
  </si>
  <si>
    <t>Study of TDM-180935 in Atopic Dermatitis Patients</t>
  </si>
  <si>
    <t>Technoderma Medicines Inc.</t>
  </si>
  <si>
    <t>NCT06358053</t>
  </si>
  <si>
    <t>CRTE7A2-01 TCR-T Cells for HPV-16 Positive Advanced Cancers</t>
  </si>
  <si>
    <t>Corregene Biotechnology Co., Ltd</t>
  </si>
  <si>
    <t>NCT06391736</t>
  </si>
  <si>
    <t>Evaluation of the Safety and Efficacy of Late-onset Pompe Disease Gene Therapy Drug</t>
  </si>
  <si>
    <t>GeneCradle Inc</t>
  </si>
  <si>
    <t>NCT06391164</t>
  </si>
  <si>
    <t>Study to Evaluate the Efficacy and Safety of XC243 in Patients With Exacerbation of Chronic Cystitis</t>
  </si>
  <si>
    <t>PHARMENTERPRISES LLC</t>
  </si>
  <si>
    <t>NCT06079372</t>
  </si>
  <si>
    <t>Phase 3 Study of ALXN1850 in Pediatric Participants With HPP Previously Treated With Asfotase Alfa</t>
  </si>
  <si>
    <t>NCT06165250</t>
  </si>
  <si>
    <t>A Study to Evaluate the Efficacy and Safety of Co-administrated BR1018B and BR1018C</t>
  </si>
  <si>
    <t>NCT06569108</t>
  </si>
  <si>
    <t>Efficacy and Safety of KN057 Prophylaxis in Patients With Haemophilia A or B Without Inhibitors</t>
  </si>
  <si>
    <t>NCT06344052</t>
  </si>
  <si>
    <t>To Assess the Safety and Efficacy of SP-002 with Vismodegib for the Treatment of Locally Advanced Basal Cell Carcinoma</t>
  </si>
  <si>
    <t>Stamford Pharmaceuticals, Inc.</t>
  </si>
  <si>
    <t>NCT06729853</t>
  </si>
  <si>
    <t>PK and Safety Evaluation Study of SAP-001 in Adult Subjects With Normal and Impaired Renal Function</t>
  </si>
  <si>
    <t>Shanton Pharma Pte. Ltd.</t>
  </si>
  <si>
    <t>NCT06349811</t>
  </si>
  <si>
    <t>A Study of BL-M05D1 in Patients With Locally Advanced or Metastatic Solid Tumors</t>
  </si>
  <si>
    <t>NCT06357221</t>
  </si>
  <si>
    <t>A Study to Assess Efficacy and Tolerability of Topical Skincare Products on Psoriasis Patients</t>
  </si>
  <si>
    <t>Galderma R&amp;D</t>
  </si>
  <si>
    <t>NCT06336707</t>
  </si>
  <si>
    <t>HS-20089 Combination Treatment in Subjects With Advanced Solid Tumors</t>
  </si>
  <si>
    <t>NCT06253221</t>
  </si>
  <si>
    <t>A Study to Evaluate Mavacamten in Adolescents With Symptomatic Obstructive Hypertrophic Cardiomyopathy</t>
  </si>
  <si>
    <t>NCT06340347</t>
  </si>
  <si>
    <t>A Study to Learn How the Body Processes the Study Medicine Called Osivelotor (PF-07940367) in People With Loss of Liver Function</t>
  </si>
  <si>
    <t>NCT06194201</t>
  </si>
  <si>
    <t>A Trial of Intravenous HRS9432 in the Treatment of Subjects With Candidemia and/or Invasive Candidiasis</t>
  </si>
  <si>
    <t>NCT06819774</t>
  </si>
  <si>
    <t>Phase III Clinical Study of Cetirizine Hydrochloride Injection in Treatment of Acute Urticaria</t>
  </si>
  <si>
    <t>NCT07075328</t>
  </si>
  <si>
    <t>A Phase I/II Study of OJP-001 in Patients With Adult T-cell Leukemia/Lymphoma</t>
  </si>
  <si>
    <t>Otsuka Medical Devices Co., Ltd. Japan</t>
  </si>
  <si>
    <t>NCT06334211</t>
  </si>
  <si>
    <t>Safety, Tolerability, and Pharmacokinetics, of Single and Multiple Ascending Doses of FP-020 in Healthy Adult Volunteers</t>
  </si>
  <si>
    <t>Foresee Pharmaceuticals Co., Ltd.</t>
  </si>
  <si>
    <t>NCT06008093</t>
  </si>
  <si>
    <t>A Study to Investigate the Efficacy of Durvalumab Plus Tremelimumab in Combination With Chemotherapy Compared With Pembrolizumab in Combination With Chemotherapy in Metastatic NSCLC Patients With Non-squamous Histology Who Have Mutations and/or Co-mutations in STK11, KEAP1, or KRAS</t>
  </si>
  <si>
    <t>NCT06312137</t>
  </si>
  <si>
    <t>A Study to Assess Efficacy and Safety of Pembrolizumab With or Without Sacituzumab Tirumotecan (MK- 2870) in Adult Participants With Resectable Non Small Cell Lung Cancer (NSCLC) Not Achieving Pathological Complete Response (pCR) (MK-2870-019)</t>
  </si>
  <si>
    <t>NCT06309043</t>
  </si>
  <si>
    <t>A Randomized, Single Intravenous Dose, Parallel Phase I Clinical Study to Compare the Pharmacokinetic Characteristics, Safety, and Immunogenicity of HLX05 Vs. Erbitux® (Cetuximab) in Healthy Adult Male Chinese Subjects</t>
  </si>
  <si>
    <t>NCT06381466</t>
  </si>
  <si>
    <t>A Study to Investigate Safety, Tolerability, and Pharmacokinetics of Oral AZD0233 Compared With Placebo in Healthy Adult Participants.</t>
  </si>
  <si>
    <t>NCT06387394</t>
  </si>
  <si>
    <t>A Study to Assess BOTOX Injections in Adult Participants for the Change of Masseter Muscle Prominence</t>
  </si>
  <si>
    <t>NCT06462365</t>
  </si>
  <si>
    <t>Prevention of GvHD in Participants With Hematological Malignancies Undergoing Hematopoietic Stem Cell Transplant (HSCT)</t>
  </si>
  <si>
    <t>Tr1X, Inc.</t>
  </si>
  <si>
    <t>NCT06016088</t>
  </si>
  <si>
    <t>A Double-Blind, Active-Controlled, Multiple-Ascending Dose Study of Aerosolized RSP-1502 in Subjects With CF and Chronic PA Lung Infection</t>
  </si>
  <si>
    <t>Respirion Pharmaceuticals Pty Ltd</t>
  </si>
  <si>
    <t>NCT06361875</t>
  </si>
  <si>
    <t>A Study to Investigate the Safety and Immunogenicity of the Quadrivalent Influenza mRNA Vaccines in Adults Aged 18 Years and Above</t>
  </si>
  <si>
    <t>NCT06155500</t>
  </si>
  <si>
    <t>Long-term Follow-up (LTFU) of Patients Treated With Genome-edited Autologous Hematopoietic Stem and Progenitor Cells (HSPC)</t>
  </si>
  <si>
    <t>NCT06326411</t>
  </si>
  <si>
    <t>A Study to Investigate the Safety and Efficacy of NST-628 Oral Tablets in Subjects With Solid Tumors</t>
  </si>
  <si>
    <t>Nested Therapeutics, Inc</t>
  </si>
  <si>
    <t>NCT03990493</t>
  </si>
  <si>
    <t>Intratumoral Injection of PV-001-DV Plus DC in Patients With Melanoma</t>
  </si>
  <si>
    <t>PrimeVax Immuno-Oncology Inc.</t>
  </si>
  <si>
    <t>NCT06304883</t>
  </si>
  <si>
    <t>Long-term Extension of Phase 3 Study of ALZ- 801 in APOE4/4 Early AD Subjects</t>
  </si>
  <si>
    <t>Alzheon Inc.</t>
  </si>
  <si>
    <t>NCT06282458</t>
  </si>
  <si>
    <t>Dose-Finding Study Evaluating Effect on Body Composition of Enobosarm in Patients Taking a GLP-1 for Chronic Weight Mgmt</t>
  </si>
  <si>
    <t>Veru Inc.</t>
  </si>
  <si>
    <t>NCT06280378</t>
  </si>
  <si>
    <t>Β-Thalassemia Treatment with KL003 Cell Injection</t>
  </si>
  <si>
    <t>Kanglin Biotechnology (Hangzhou) Co., Ltd.</t>
  </si>
  <si>
    <t>NCT06233942</t>
  </si>
  <si>
    <t>Phase 1a/1b First-in-Human Study of BG-C9074 Alone and in Combination With Other Anticancer Therapies in Patients With Advanced Solid Tumors</t>
  </si>
  <si>
    <t>BeOne Medicines</t>
  </si>
  <si>
    <t>NCT06293651</t>
  </si>
  <si>
    <t>Clinical Trial to Investigate Safety, Tolerability, Pharmacokinetics, Pharmacodynamics, and Efficacy of DA-4505 as a Single Agent and in Combination With Pembrolizumab in Adult Patients With Locally Advanced or Metastatic Solid Tumors</t>
  </si>
  <si>
    <t>NCT06372145</t>
  </si>
  <si>
    <t>A Study to Investigate Long-term Safety and Tolerability of Tolebrutinib in Participants With Multiple Sclerosis.</t>
  </si>
  <si>
    <t>NCT06346925</t>
  </si>
  <si>
    <t>Study of the Food Effects of Herombopag Olamine Tablets in Healthy Subjects.</t>
  </si>
  <si>
    <t>NCT06353360</t>
  </si>
  <si>
    <t>TTField in Combination With Temozolomide and Tislelizumab in The Treatment of Newly Diagnosed Glioblastoma.</t>
  </si>
  <si>
    <t>Jiangsu Healthy Life Innovation Medical Technology Co., Ltd</t>
  </si>
  <si>
    <t>NCT03803397</t>
  </si>
  <si>
    <t>Arm 1: Lysate Pulsed Dendritic Cells (PV-001-DC) in Patients With Melanoma</t>
  </si>
  <si>
    <t>NCT05865886</t>
  </si>
  <si>
    <t>A Study to Test How Well BI 1291583 is Tolerated by People With Cystic Fibrosis Bronchiectasis (Clairafly™)</t>
  </si>
  <si>
    <t>NCT06359912</t>
  </si>
  <si>
    <t>Safety and Preliminary Efficacy of Allogeneic Endothelial Progenitor Cells (EPCs) in Patients With Critical Limb Ischemia</t>
  </si>
  <si>
    <t>Allife Medical Science and Technology Co., Ltd.</t>
  </si>
  <si>
    <t>NCT06227156</t>
  </si>
  <si>
    <t>Disitamab Vedotin in the Treatment With HER2- Expression, Subjects With Locally Advanced or Metastatic Castration-resistant Prostate Cancer</t>
  </si>
  <si>
    <t>NCT06257680</t>
  </si>
  <si>
    <t>A Phase I Study on ReT01 ACT for the Treatment of Advanced Solid Tumors</t>
  </si>
  <si>
    <t>Aeonvital Biomedicine</t>
  </si>
  <si>
    <t>NCT06395948</t>
  </si>
  <si>
    <t>A Study Evaluating APG777 in Atopic Dermatitis</t>
  </si>
  <si>
    <t>Apogee Therapeutics, Inc.</t>
  </si>
  <si>
    <t>NCT06235099</t>
  </si>
  <si>
    <t>Copper Cu 64 PSMA I&amp;T PET Imaging in Men With Suspected Recurrence of Prostate Cancer</t>
  </si>
  <si>
    <t>Curium US LLC</t>
  </si>
  <si>
    <t>NCT06245408</t>
  </si>
  <si>
    <t>A Safety and Efficacy Study of Dazodalibep in Participants With Sjögren's Syndrome (SS) With Moderate-to-Severe Symptom State</t>
  </si>
  <si>
    <t>NCT06360250</t>
  </si>
  <si>
    <t>Safety, Tolerability, Pharmacokinetics, Pharmacodynamics, and Immunogenicity of the Fully Human Anti-tetanus Toxin Monoclonal Antibody A82 / B86 Injection Combination Formulation</t>
  </si>
  <si>
    <t>Changchun BCHT Biotechnology Co.</t>
  </si>
  <si>
    <t>NCT06255782</t>
  </si>
  <si>
    <t>An Open-label Study to Investigate ECUR-506 in Male Babies Less Than 9 Months of Age With Neonatal Onset OTC Deficiency</t>
  </si>
  <si>
    <t>iECURE, Inc.</t>
  </si>
  <si>
    <t>NCT06361537</t>
  </si>
  <si>
    <t>Study of IV Human Plasma-derived C1 Esterase Inhibitor Concentrate in Patients With Congenital C1-INH Deficiency for Treatment and Pre-procedure Preventing of Acute Hereditary Angioedema Attacks</t>
  </si>
  <si>
    <t>Octapharma</t>
  </si>
  <si>
    <t>NCT06373146</t>
  </si>
  <si>
    <t>A Study of Tirzepatide (LY3298176) Plus Mibavademab Compared With Tirzepatide Alone in Adult Participants With Obesity</t>
  </si>
  <si>
    <t>NCT06345066</t>
  </si>
  <si>
    <t>A Study of LY3841136 in Overweight and Obese Participants</t>
  </si>
  <si>
    <t>NCT05989126</t>
  </si>
  <si>
    <t>Study to Evaluate an 8 mg Aflibercept (EYLEA®) Prefilled Syringe (PFS)</t>
  </si>
  <si>
    <t>NCT05932862</t>
  </si>
  <si>
    <t>A Phase 1 Study of XL309 (ISM3091) Alone and in Combination in Participants With Advanced Solid Tumors</t>
  </si>
  <si>
    <t>NCT06332170</t>
  </si>
  <si>
    <t>ARTEMIS-101: A Study of HS-20093 Combinations in Patients With Advanced Solid Tumors</t>
  </si>
  <si>
    <t>NCT06340854</t>
  </si>
  <si>
    <t>A Research Study to See How Switching From a Daily Basal Insulin to a New Weekly Insulin, Insulin Icodec, Helps in Reducing the Blood Sugar Compared to Daily Insulin Glargine in Adults With Type 2 Diabetes</t>
  </si>
  <si>
    <t>NCT06483243</t>
  </si>
  <si>
    <t>Clinical Trial to Compare and Evaluate the Safety and Pharmacokinetic of CKD-501, D745, and D150 for Healthy Subjects in Fed State.</t>
  </si>
  <si>
    <t>NCT04677777</t>
  </si>
  <si>
    <t>Safety Study of PP-007 in Subjects With Acute Ischemic Stroke</t>
  </si>
  <si>
    <t>Prolong Pharmaceuticals</t>
  </si>
  <si>
    <t>NCT06343935</t>
  </si>
  <si>
    <t>A National Multicenter, Real-world Study of Linperlisib in the Treatment of Lymphoma</t>
  </si>
  <si>
    <t>Shanghai YingLi Pharmaceutical Co. Ltd.</t>
  </si>
  <si>
    <t>NCT06370715</t>
  </si>
  <si>
    <t>A Study of LY900014 in Adult Participants With Type 2 Diabetes Mellitus in India</t>
  </si>
  <si>
    <t>NCT06228326</t>
  </si>
  <si>
    <t>A Study Assessing KB707 for the Treatment of Advanced Solid Tumor Malignancies Affecting the Lungs</t>
  </si>
  <si>
    <t>NCT06403735</t>
  </si>
  <si>
    <t>A Phase I Clinical Study of QLC1101 in Patients With Advanced Solid Tumors</t>
  </si>
  <si>
    <t>NCT06339008</t>
  </si>
  <si>
    <t>A Study of Lebrikizumab in Adult Participants With Perennial Allergic Rhinitis (PREPARED-1)</t>
  </si>
  <si>
    <t>NCT06618079</t>
  </si>
  <si>
    <t>Drug-Drug Interaction Study Between HUC2-565-A and HUC2-565-B</t>
  </si>
  <si>
    <t>NCT06217861</t>
  </si>
  <si>
    <t>A Study to Evaluate the Tolerability, Safety and Efficacy of VGM-R02b</t>
  </si>
  <si>
    <t>Shanghai Vitalgen BioPharma Co., Ltd.</t>
  </si>
  <si>
    <t>NCT06192927</t>
  </si>
  <si>
    <t>Efficacy and Safety of TenoMiR in Lateral Epicondylitis</t>
  </si>
  <si>
    <t>Causeway Therapeutics</t>
  </si>
  <si>
    <t>NCT06375772</t>
  </si>
  <si>
    <t>A Controlled Human Rhinovirus Infection Study of 2-Deoxy-D-Glucose in Healthy Adults</t>
  </si>
  <si>
    <t>G.ST Antivirals GmbH</t>
  </si>
  <si>
    <t>NCT06432673</t>
  </si>
  <si>
    <t>The Attractive 2 Trial - Pharmacokinetics of ATR-258 Oral Capsule vs. Oral Solution Formulations in Healthy Volunteers</t>
  </si>
  <si>
    <t>Atrogi AB</t>
  </si>
  <si>
    <t>NCT06384482</t>
  </si>
  <si>
    <t>SNC115 Injections in Patients With Recurrent/Refractory Small Cell Lung Cancer and Lung Large Cell Neuroendocrine Carcinoma</t>
  </si>
  <si>
    <t>Shanghai Simnova Biotechnology Co.,Ltd.</t>
  </si>
  <si>
    <t>NCT06485219</t>
  </si>
  <si>
    <t>A Phase IIa Clinical Study of Purinostat Mesylate for Injection in Patients With Peripheral T-Cell Lymphoma and Cutaneous T-Cell Lymphoma</t>
  </si>
  <si>
    <t>NCT06432647</t>
  </si>
  <si>
    <t>A SAD and MAD Study of the Safety, Tolerability, and Pharmacokinetics of ATH-1105</t>
  </si>
  <si>
    <t>LeonaBio</t>
  </si>
  <si>
    <t>NCT06332092</t>
  </si>
  <si>
    <t>FID-007 and Cetuximab in Treating Patients With Advanced Head and Neck Squamous Cell Carcinoma</t>
  </si>
  <si>
    <t>Fulgent Pharma LLC.</t>
  </si>
  <si>
    <t>NCT06399718</t>
  </si>
  <si>
    <t>A Study to Assess BOTOX Injections for the Change of Masseter Muscle Prominence in Adult Participants</t>
  </si>
  <si>
    <t>NCT06343948</t>
  </si>
  <si>
    <t>A Study Comparing BL-B01D1 With Chemotherapy of Physician's Choice in Patients With Unresectable Locally Advanced, Recurrent, or Metastatic HR+HER2- Breast Cancer</t>
  </si>
  <si>
    <t>NCT06346288</t>
  </si>
  <si>
    <t>A Study to Assess the Concentrations of Risankizumab in the Breast Milk of Adult Lactating Women With Inflammatory Bowel Disease</t>
  </si>
  <si>
    <t>NCT06253195</t>
  </si>
  <si>
    <t>BGB-43395 Alone or as Part of Combination Therapies in Chinese Participants With HR+/HER2- Breast Cancer and Other Advanced Solid Tumors</t>
  </si>
  <si>
    <t>NCT06051695</t>
  </si>
  <si>
    <t>A Study to Evaluate the Safety and Efficacy of Mesothelin-Targeting Logic-gated CAR T, in Participants With Solid Tumors That Express MSLN and Have Lost HLA-A*02 Expression</t>
  </si>
  <si>
    <t>A2 Biotherapeutics Inc.</t>
  </si>
  <si>
    <t>NCT06385795</t>
  </si>
  <si>
    <t>A Study of NOE-115 in Women With Vasomotor Symptoms Due to Menopause</t>
  </si>
  <si>
    <t>Noema Pharma AG</t>
  </si>
  <si>
    <t>NCT03989895</t>
  </si>
  <si>
    <t>Intratumoral Injection of Dengue Virus-1 #45AZ5 (PV-001-DV) in Patients With Melanoma</t>
  </si>
  <si>
    <t>NCT06397508</t>
  </si>
  <si>
    <t>Relative Bioavailability and Effect of Food Study With AGMB-129 in Healthy Participants</t>
  </si>
  <si>
    <t>Agomab Spain S.L.</t>
  </si>
  <si>
    <t>NCT06588517</t>
  </si>
  <si>
    <t>Comparative Pharmacokinetic(PK) Study of Pirfenidone Modified-Release Tablets and Pirfenidone Tablets in Healthy Subjects Under Fed Conditions</t>
  </si>
  <si>
    <t>Overseas Pharmaceuticals, Ltd.</t>
  </si>
  <si>
    <t>NCT06371534</t>
  </si>
  <si>
    <t>A Study Comparing Pharmacokinetic and Safety of QL2109 and DARZALEX FASPRO® in Healthy Adults</t>
  </si>
  <si>
    <t>NCT06360081</t>
  </si>
  <si>
    <t>A Study in Healthy People to See How Zongertinib is Taken up Into the Blood When Given as Tablets Made by Two Different Manufacturers</t>
  </si>
  <si>
    <t>NCT06236438</t>
  </si>
  <si>
    <t>Study to Evaluate Adverse Events, Optimal Dose, and Change in Disease Activity, With Livmoniplimab in Combination With Budigalimab Plus Chemotherapy Versus IV Infused Pembrolizumab Plus Chemotherapy in Adult Participants With Untreated Metastatic Non-Squamous Non-Small Cell Lung Cancer (NSCLC)</t>
  </si>
  <si>
    <t>NCT06370819</t>
  </si>
  <si>
    <t>A Research Study Looking Into Blood Levels of the Medicine NNC0519-0130 in the Body in Participants With Normal or Reduced Kidney Function</t>
  </si>
  <si>
    <t>NCT05949632</t>
  </si>
  <si>
    <t>A Study of INCB099280 in Combination With Axitinib in Adults With Advanced Solid Tumors</t>
  </si>
  <si>
    <t>NCT06368986</t>
  </si>
  <si>
    <t>A Study to Investigate the Effect of Food on the Bioavailability of a Capsid Inhibitor (CAI) in Male and Female Healthy Participants</t>
  </si>
  <si>
    <t>NCT06389214</t>
  </si>
  <si>
    <t>A Clinical Trial to Assess the Efficacy and Safety of Subjects With Dry Eye Disease</t>
  </si>
  <si>
    <t>NCT06492850</t>
  </si>
  <si>
    <t>Gene Therapy for RPGR Gene Mutation-associated X-linked Retinitis Pigmentosa</t>
  </si>
  <si>
    <t>Frontera Therapeutics</t>
  </si>
  <si>
    <t>NCT06337110</t>
  </si>
  <si>
    <t>A Study Investigating the Movement of Lu AF28996 Into, Through, and Out of the Body of Healthy Men</t>
  </si>
  <si>
    <t>NCT06539182</t>
  </si>
  <si>
    <t>DZD8586 in Patients With Relapsed or Refractory CLL/SLL (TAI-SHAN8)</t>
  </si>
  <si>
    <t>NCT06351527</t>
  </si>
  <si>
    <t>Evaluate the Safety, Tolerability, Pharmacokinetics, and Preliminary Efficacy of ICP-248 as Monotherapy or in Combination With Anti-CD20 Monoclonal Antibody in Mature B-cell Malignancies</t>
  </si>
  <si>
    <t>InnoCare Pharma Inc.</t>
  </si>
  <si>
    <t>NCT06310746</t>
  </si>
  <si>
    <t>A Randomized, Double-Blind, Placebo-Controlled, Single-Dose Escalation Phase I Clinical Study to Assess the Safety, Pharmacokinetics, and Immunogenicity of HLX6018 in Healthy Subjects</t>
  </si>
  <si>
    <t>NCT06345703</t>
  </si>
  <si>
    <t>First-into-human Study of NS-136 in Healthy Subjects</t>
  </si>
  <si>
    <t>NeuShen Therapeutics</t>
  </si>
  <si>
    <t>NCT06490484</t>
  </si>
  <si>
    <t>Efficacy and Safety of HSK16149 Capsule in Chinese Patients With Diabetic Peripheral Neuropathic Pain Who Had an Inadequate Response to Pregabalin</t>
  </si>
  <si>
    <t>NCT06028841</t>
  </si>
  <si>
    <t>A Clinical Phase 3 Trial of VLA1553 in Adult Participants with Human Immunodeficiency Virus (HIV)</t>
  </si>
  <si>
    <t>NCT06131372</t>
  </si>
  <si>
    <t>A Research Study to See if Kidney Damage in People With Chronic Kidney Disease and Type 2 Diabetes Living With Overweight or Obesity Can be Reduced by CagriSema Compared to Semaglutide, Cagrilintide and Placebo</t>
  </si>
  <si>
    <t>NCT06319820</t>
  </si>
  <si>
    <t>A Study to Evaluate TAR-210 Versus Single Agent Intravesical Cancer Treatment in Participants With Bladder Cancer</t>
  </si>
  <si>
    <t>NCT06772779</t>
  </si>
  <si>
    <t>A Study of Enlicitide Decanoate (MK-0616), Warfarin, and Lisinopril in Healthy Adult Participants (MK-0616-026)</t>
  </si>
  <si>
    <t>NCT06384248</t>
  </si>
  <si>
    <t>Phase II Clinical Study of LTC004 in Patients With Advanced Sarcoma</t>
  </si>
  <si>
    <t>NCT06345755</t>
  </si>
  <si>
    <t>A Phase 1 Study to Evaluate Safety, Tolerability, and Pharmacokinetics of VX-407 in Healthy Participants</t>
  </si>
  <si>
    <t>NCT06040346</t>
  </si>
  <si>
    <t>Open-Label Study to Assess Meplazumab in Adult Patients Diagnosed with Plasmodium Falciparum</t>
  </si>
  <si>
    <t>NCT06327256</t>
  </si>
  <si>
    <t>A Study in Healthy People to Test How Well Different Doses of BI 3000202 Are Tolerated and How They Affect the Way the Body Handles Midazolam</t>
  </si>
  <si>
    <t>NCT06307431</t>
  </si>
  <si>
    <t>A Study of Adjuvant Intismeran Autogene (V940) and Pembrolizumab in Renal Cell Carcinoma (V940-004).</t>
  </si>
  <si>
    <t>NCT06354114</t>
  </si>
  <si>
    <t>A Study to Evaluate the Efficacy and Safety in Subjects With Advanced Breast Cancer Treated With SYHX2011</t>
  </si>
  <si>
    <t>CSPC Ouyi Pharmaceutical Co., Ltd.</t>
  </si>
  <si>
    <t>NCT06150716</t>
  </si>
  <si>
    <t>Orbit Study: A Study to Evaluate the Safety, Pharmacokinetics, and Pharmacodynamics of Intrathecally Administered ION356 in Participants With Pelizaeus Merzbacher Disease (PMD)</t>
  </si>
  <si>
    <t>NCT06344533</t>
  </si>
  <si>
    <t>Study of JMKX003142 Injection in Chinese Healthy Subjects</t>
  </si>
  <si>
    <t>NCT06249152</t>
  </si>
  <si>
    <t>Qlaris Study of QLS-111 in Combination With a PGA for OAG and/or OHT Patients</t>
  </si>
  <si>
    <t>NCT06342947</t>
  </si>
  <si>
    <t>ALG-055009 in Non-cirrhotic Adults With MASH (HERALD)</t>
  </si>
  <si>
    <t>Aligos Therapeutics</t>
  </si>
  <si>
    <t>NCT06347861</t>
  </si>
  <si>
    <t>A Study to Learn How Various Tablets of the Study Medicine Vepdegestrant Are Taken up Into the Blood of Healthy Adults</t>
  </si>
  <si>
    <t>NCT06304818</t>
  </si>
  <si>
    <t>Aims to Explore the Safety, Tolerability, and Preliminary Efficacy of SCTB14 in Adult Patients With Advanced Malignant Solid Tumours.</t>
  </si>
  <si>
    <t>NCT06312787</t>
  </si>
  <si>
    <t>A Study to Evaluate the Relative Bioavailability and Food Effect of a VX-118 Tablet Formulation</t>
  </si>
  <si>
    <t>NCT06352892</t>
  </si>
  <si>
    <t>A Study to Evaluate AMG 133 in Chinese Participants With Obesity or Overweight</t>
  </si>
  <si>
    <t>NCT06445517</t>
  </si>
  <si>
    <t>Study Evaluating ISM8207 in Participants With Advanced Solid Tumors and Relapsed/Refractory B-Cell Lymphoma</t>
  </si>
  <si>
    <t>NCT06344104</t>
  </si>
  <si>
    <t>A Study to Investigate the Efficacy and Safety of Baxdrostat in Participants With Uncontrolled Hypertension on Two or More Medications Including Participants With Resistant Hypertension</t>
  </si>
  <si>
    <t>NCT06329661</t>
  </si>
  <si>
    <t>A Clinical Trial to Evaluate the Corneal Endothelial Health of DED Subjects Treated With Cyclosporine</t>
  </si>
  <si>
    <t>Novaliq GmbH</t>
  </si>
  <si>
    <t>NCT06297616</t>
  </si>
  <si>
    <t>A Study of LY3841136 in Japanese Participants With Obesity or Overweight</t>
  </si>
  <si>
    <t>NCT06340360</t>
  </si>
  <si>
    <t>A Phase 2b Study to Evaluate Rezpegaldesleukin (Rezpeg) in the Treatment of Severe to Very Severe Alopecia Areata in Adult Patients (Rezolve AA)</t>
  </si>
  <si>
    <t>Nektar Therapeutics</t>
  </si>
  <si>
    <t>NCT06224192</t>
  </si>
  <si>
    <t>A Study With Self-administered Rocatinlimab in Adolescent and Adult Participants With Moderate-to-severe Atopic Dermatitis</t>
  </si>
  <si>
    <t>NCT06136819</t>
  </si>
  <si>
    <t>RT-310 Dose Escalation BPH Study</t>
  </si>
  <si>
    <t>Resurge Therapeutics Inc.</t>
  </si>
  <si>
    <t>NCT06180278</t>
  </si>
  <si>
    <t>Long-term, Open-label, Safety Study of Inebilizumab in Neuromyelitis Optica Spectrum Disorder (NMOSD)</t>
  </si>
  <si>
    <t>NCT06273852</t>
  </si>
  <si>
    <t>A Study of the Intratumoral Microdose Administration of PBA-0405 in Patients With Solid Tumors</t>
  </si>
  <si>
    <t>Pure Biologics S.A.</t>
  </si>
  <si>
    <t>NCT06384807</t>
  </si>
  <si>
    <t>A Phase 1/2 Study of BHV-1510 (Previously PBI-410) in Advanced Solid Tumors</t>
  </si>
  <si>
    <t>NCT06188702</t>
  </si>
  <si>
    <t>S095035 as a Single Agent and in Combination in Adult Participants With Advanced or Metastatic Solid Tumors With Deletion of MTAP</t>
  </si>
  <si>
    <t>Servier Bio-Innovation LLC</t>
  </si>
  <si>
    <t>NCT06194877</t>
  </si>
  <si>
    <t>A Study to Investigate BGB-3245 (Brimarafenib) With Panitumumab in Participants With Advanced or Metastatic RAS Mutant Colorectal and Pancreatic Ductal Cancers</t>
  </si>
  <si>
    <t>MapKure, LLC</t>
  </si>
  <si>
    <t>NCT06248008</t>
  </si>
  <si>
    <t>A Study to Evaluate Safety of ASC40 Tablets in Patients With Moderate to Severe Acne Vulgaris</t>
  </si>
  <si>
    <t>NCT06938204</t>
  </si>
  <si>
    <t>Single Ascending Dose, Multiple Ascending Dose, Food Effect Study</t>
  </si>
  <si>
    <t>Innovo Therapeutics, Inc.</t>
  </si>
  <si>
    <t>NCT06150833</t>
  </si>
  <si>
    <t>Efficacy and Safety and Pharmacokinetics of Boya IVIG</t>
  </si>
  <si>
    <t>Azidus Brasil</t>
  </si>
  <si>
    <t>NCT06663839</t>
  </si>
  <si>
    <t>A Study of NILK-2301 in Patients with Locally Advanced or Metastatic Low Tumor Volume (LTV) Colorectal Cancer</t>
  </si>
  <si>
    <t>Light Chain Bioscience - Novimmune SA</t>
  </si>
  <si>
    <t>NCT06780124</t>
  </si>
  <si>
    <t>Сlinical Study Aiming to Evaluate the Safety, Tolerability, Pharmacokinetics and Pharmacodynamics of Single and Multiple Ascending Doses of ZE63-0302 in Healthy Volunteers</t>
  </si>
  <si>
    <t>Eilean Therapeutics</t>
  </si>
  <si>
    <t>NCT06243835</t>
  </si>
  <si>
    <t>A Study to Test the Effects of Kindolor at Different Doses in Healthy Adults</t>
  </si>
  <si>
    <t>Lohocla Research Corporation</t>
  </si>
  <si>
    <t>NCT06354660</t>
  </si>
  <si>
    <t>Effect of Retatrutide Compared With Placebo in Adult Participants With Type 2 Diabetes and Inadequate Glycemic Control With Diet and Exercise Alone (TRANSCEND-T2D-1)</t>
  </si>
  <si>
    <t>NCT06273774</t>
  </si>
  <si>
    <t>A Study of MK-8189 in Participants With Bipolar I Disorder (MK-8189-020)</t>
  </si>
  <si>
    <t>NCT06323928</t>
  </si>
  <si>
    <t>A Dose-finding Trial With Lu-AG09222 in Adults With Migraine Who Have Not Been Helped by Prior Preventive Treatments</t>
  </si>
  <si>
    <t>NCT06164730</t>
  </si>
  <si>
    <t>A Study of VERVE-102 in Patients With Familial Hypercholesterolemia or Premature Coronary Artery Disease</t>
  </si>
  <si>
    <t>Verve Therapeutics, Inc.</t>
  </si>
  <si>
    <t>NCT05966194</t>
  </si>
  <si>
    <t>RRx-001 for Reducing Oral Mucositis in Patients Receiving Chemotherapy and Radiation for Head and Neck Cancer</t>
  </si>
  <si>
    <t>EpicentRx, Inc.</t>
  </si>
  <si>
    <t>NCT06294236</t>
  </si>
  <si>
    <t>Study Evaluating SC291 in Subjects With Severe r/r B-cell Mediated Autoimmune Diseases (GLEAM)</t>
  </si>
  <si>
    <t>NCT06235151</t>
  </si>
  <si>
    <t>Copper Cu 64 PSMA I&amp;T PET Imaging in Men With Newly Diagnosed Prostate Cancer</t>
  </si>
  <si>
    <t>NCT06318884</t>
  </si>
  <si>
    <t>A First-in-human Study of SCTB35 in Patients With Relapse/Refractory B-cell Non-Hodgkin Lymphoma</t>
  </si>
  <si>
    <t>NCT06881264</t>
  </si>
  <si>
    <t>A Study Comparing HR17031 With Insulin Glargine in Patients With Type 2 Diabetes</t>
  </si>
  <si>
    <t>NCT06389006</t>
  </si>
  <si>
    <t>To Evaluate the Efficacy and Safety of Disitamab Vedotin Combined With Toripalimab Sequential Chemotherapy as Neoadjuvant Treatment in Patients With HR-positive, HER2-low Breast Cancer</t>
  </si>
  <si>
    <t>NCT06351917</t>
  </si>
  <si>
    <t>Effect of Topical PlexoZome® Levagen® Spray on Relief of Post Exercise Knee Joint Pain</t>
  </si>
  <si>
    <t>NCT06385119</t>
  </si>
  <si>
    <t>A Study of the Effects of Food and Cobicistat on Plixorafenib Pharmacokinetics in Healthy Volunteers.</t>
  </si>
  <si>
    <t>Fore Biotherapeutics</t>
  </si>
  <si>
    <t>NCT06167707</t>
  </si>
  <si>
    <t>Pharmacokinetics and Pharmacodynamics of Subcutaneous vs Intravenous Furosemide in Healthy Volunteers</t>
  </si>
  <si>
    <t>scPharmaceuticals, Inc.</t>
  </si>
  <si>
    <t>NCT06304961</t>
  </si>
  <si>
    <t>A Study to Investigate Relative Bioavailability of Two Different Dosage Forms for Tozorakimab Via Subcutaneous Administration in Healthy Volunteers</t>
  </si>
  <si>
    <t>NCT06411002</t>
  </si>
  <si>
    <t>Phase 2a Study of DaxibotulinumtoxinA-lanm for Injection in Dynamic Forehead Lines and Glabellar Lines</t>
  </si>
  <si>
    <t>Revance Therapeutics, Inc.</t>
  </si>
  <si>
    <t>NCT06439771</t>
  </si>
  <si>
    <t>A Phase 2 Study to Evaluate the Efficacy, Safety and Pharmacokinetics of YL202 in Patients With BC</t>
  </si>
  <si>
    <t>NCT06387069</t>
  </si>
  <si>
    <t>A Study to Evaluate HMPL-306 in Patients With IDH1or IDH2-mutated Acute Myeloid Leukemia</t>
  </si>
  <si>
    <t>Hutchmed</t>
  </si>
  <si>
    <t>NCT06414005</t>
  </si>
  <si>
    <t>A Phase 2b/3 Study of TPX-115 on Partial-thickness Rotator Cuff Tear</t>
  </si>
  <si>
    <t>Tego Science, Inc.</t>
  </si>
  <si>
    <t>NCT06410859</t>
  </si>
  <si>
    <t>Botulinum Toxin Type A for Injection (HengLi®) in the Treatment of Trigeminal Neuralgia</t>
  </si>
  <si>
    <t>LKGS_277</t>
  </si>
  <si>
    <t>NCT06265688</t>
  </si>
  <si>
    <t>First In Human Study of CX-2051 in Advanced Solid Tumors</t>
  </si>
  <si>
    <t>CytomX Therapeutics</t>
  </si>
  <si>
    <t>NCT06347159</t>
  </si>
  <si>
    <t>A Study of EDG-7500 in Adults With Hypertrophic Cardiomyopathy (CIRRUS-HCM)</t>
  </si>
  <si>
    <t>NCT06281678</t>
  </si>
  <si>
    <t>A Study of IBI363 in Subjects with Advanced Solid Malignancies</t>
  </si>
  <si>
    <t>NCT06297668</t>
  </si>
  <si>
    <t>A Study to Assess the Pharmacokinetics and Safety of Budesonide, Glycopyrronium, &amp; Formoterol (BGF) Metered Dose Inhaler (MDI) With a Next-Generation Propellant (NGP) With a Spacer, BGF MDI Hydrofluoroalkane (HFA) With a Spacer, as Well as BGF MDI NGP Without a Spacer</t>
  </si>
  <si>
    <t>NCT06251180</t>
  </si>
  <si>
    <t>Phase Ib Study of Rocbrutinib in Combination with R-CHOP in Patients with Newly Diagnosed B-cell Non-Hodgkin Lymphoma</t>
  </si>
  <si>
    <t>Guangzhou Lupeng Pharmaceutical Company LTD.</t>
  </si>
  <si>
    <t>NCT06364696</t>
  </si>
  <si>
    <t>A Study to Find a Suitable Dose of ASP4396 in Adults With Solid Tumors</t>
  </si>
  <si>
    <t>NCT06276491</t>
  </si>
  <si>
    <t>Phase 1, Safety and Tolerability Study of XmAb541 in Advanced Solid Tumors</t>
  </si>
  <si>
    <t>Xencor, Inc.</t>
  </si>
  <si>
    <t>NCT06004661</t>
  </si>
  <si>
    <t>Study of Lutetium (177Lu) Vipivotide Tetraxetan in mCRPC Participants With Moderately and Severely Impaired and With Normal Renal Function</t>
  </si>
  <si>
    <t>NCT06265727</t>
  </si>
  <si>
    <t>A Phase 1/2 Study to Investigate CRB-701 in Solid Tumors</t>
  </si>
  <si>
    <t>Corbus Pharmaceuticals Inc.</t>
  </si>
  <si>
    <t>NCT05808764</t>
  </si>
  <si>
    <t>A Study to Investigate the Pharmacokinetics and Safety of Risdiplam in Infants With Spinal Muscular Atrophy</t>
  </si>
  <si>
    <t>NCT06309992</t>
  </si>
  <si>
    <t>A Study to Test Whether Survodutide Helps People Living With Obesity or Overweight and With a Confirmed or Presumed Liver Disease Called Non-alcoholic Steatohepatitis (NASH) to Reduce Liver Fat and to Lose Weight</t>
  </si>
  <si>
    <t>NCT06265220</t>
  </si>
  <si>
    <t>AB-101 in Combination With B-Cell Depleting mAb in Patients Who Failed Treatment for Class III or IV Lupus Nephritis or Other Forms of Refractory Systemic Lupus Erythematosus</t>
  </si>
  <si>
    <t>Artiva Biotherapeutics, Inc.</t>
  </si>
  <si>
    <t>NCT06267274</t>
  </si>
  <si>
    <t>A Randomized, Double-blind, Parallel-group, Two-arm, Multiple Dose, Multicenter, Bioequivalence Study With Clinical Endpoint in the Treatment of Subjects With Chronic Open-angle Glaucoma or Ocular Hypertension in Both Eyes</t>
  </si>
  <si>
    <t>Amneal Pharmaceuticals, LLC</t>
  </si>
  <si>
    <t>NCT06114745</t>
  </si>
  <si>
    <t>A Trial of SHR-1707 Infusion in Patients With Mild Cognitive Impairment Due to Alzheimer's Disease and Mild Alzheimer's Disease</t>
  </si>
  <si>
    <t>Atridia Pty Ltd.</t>
  </si>
  <si>
    <t>NCT06310005</t>
  </si>
  <si>
    <t>A Study in Healthy Japanese Men to Test How Well Different Doses of BI 3006337 Are Tolerated</t>
  </si>
  <si>
    <t>NCT06251024</t>
  </si>
  <si>
    <t>Study of a Respiratory Syncytial Virus Candidate Formulation in Adults Aged 60 Years and Older</t>
  </si>
  <si>
    <t>NCT06297655</t>
  </si>
  <si>
    <t>A Clinical Study of Recombinant Human Coagulation Factor VIII for Injection in Patients With Severe Hemophilia A</t>
  </si>
  <si>
    <t>NCT06341114</t>
  </si>
  <si>
    <t>A Clinical Study Evaluating the Safety, Tolerability, Pharmacokinetic Characteristics, and Preliminary Efficacy of the Combination of BAT8008 With BAT1308 in Patients With Advanced Solid Tumors</t>
  </si>
  <si>
    <t>NCT06273254</t>
  </si>
  <si>
    <t>NCT06354998</t>
  </si>
  <si>
    <t>A Study of an Investigational mRNA-1273.815 COVID-19 Vaccine in Previously Vaccinated Adults</t>
  </si>
  <si>
    <t>NCT06307652</t>
  </si>
  <si>
    <t>Study to Evaluate the Effect of Balcinrenone/Dapagliflozin in Patients With Heart Failure and Impaired Kidney Function</t>
  </si>
  <si>
    <t>NCT06795204</t>
  </si>
  <si>
    <t>Effects of HSK3486 on Cardiac Repolarization in Health Subjects (TQT)</t>
  </si>
  <si>
    <t>NCT06330064</t>
  </si>
  <si>
    <t>A Study To Evaluate The Efficacy And Safety Of Ifinatamab Deruxtecan (I-DXd) In Subjects With Recurrent Or Metastatic Solid Tumors (IDeate-PanTumor02)</t>
  </si>
  <si>
    <t>NCT06238817</t>
  </si>
  <si>
    <t>A Study to Evaluate the Efficacy, and Safety Study of Ruxolitinib Cream in Adults With Moderate Atopic Dermatitis</t>
  </si>
  <si>
    <t>NCT05972551</t>
  </si>
  <si>
    <t>Study to Evaluate Efficacy and Safety of Romosozumab Compared With Bisphosphonates in Children and Adolescents With Osteogenesis Imperfecta</t>
  </si>
  <si>
    <t>NCT06349759</t>
  </si>
  <si>
    <t>Safety and Efficacy of 0.75% Phentolamine Ophthalmic Solution in Subjects With Post-refractive Surgery Visual Disturbances</t>
  </si>
  <si>
    <t>Ocuphire Pharma, Inc.</t>
  </si>
  <si>
    <t>NCT06675032</t>
  </si>
  <si>
    <t>Phase I Clinical Trial of PCV24 in Children Aged 2 Months (Minimum 6 Weeks) to 17 Years</t>
  </si>
  <si>
    <t>Shanghai Reinovax Biologics Co.,LTD</t>
  </si>
  <si>
    <t>NCT06645509</t>
  </si>
  <si>
    <t>Severe Primary Hand Hyperhidrosis Treatment With Topical Administration of Victorhy</t>
  </si>
  <si>
    <t>Dryox Health</t>
  </si>
  <si>
    <t>NCT06291207</t>
  </si>
  <si>
    <t>A Study to Evaluate the Efficacy and Safety of AD-224</t>
  </si>
  <si>
    <t>NCT06405984</t>
  </si>
  <si>
    <t>Trans-Abdominal Fetal Pulse Oximetry - EFS-IDE</t>
  </si>
  <si>
    <t>Raydiant Oximetry, Inc.</t>
  </si>
  <si>
    <t>NCT06343714</t>
  </si>
  <si>
    <t>A Study of FB1003 in Healthy and Osteoarthritis Pain Subjects</t>
  </si>
  <si>
    <t>4B Technologies Limited</t>
  </si>
  <si>
    <t>NCT06271252</t>
  </si>
  <si>
    <t>A Study to Evaluate the Safety, PK/PD of (OriCAR-017) in Subjects With RR/MM - RIGEL Study</t>
  </si>
  <si>
    <t>OriCell Therapeutics Co., Ltd.</t>
  </si>
  <si>
    <t>NCT06379958</t>
  </si>
  <si>
    <t>Drug-Drug Interaction (DDI) Study of Leramistat in Healthy Adult Subjects</t>
  </si>
  <si>
    <t>Modern Biosciences Ltd</t>
  </si>
  <si>
    <t>NCT07442149</t>
  </si>
  <si>
    <t>An Investigational Study to Evaluate the Safety and Tolerability of Single and Multiple Ascending Doses of A-005</t>
  </si>
  <si>
    <t>Alumis Inc</t>
  </si>
  <si>
    <t>NCT06374394</t>
  </si>
  <si>
    <t>A Study on the Immune Response and Safety of a Vaccine Against Respiratory Syncytial Virus (RSV) When Given Alone and Together With a COVID-19 mRNA Vaccine in Adults Aged 50 Years and Above</t>
  </si>
  <si>
    <t>NCT06241781</t>
  </si>
  <si>
    <t>Autologous Tumor Infiltrating Lymphocytes (GT101 Injection) in Patients with Recurrent or Metastatic Cervical Cancer</t>
  </si>
  <si>
    <t>Grit Biotechnology</t>
  </si>
  <si>
    <t>NCT06297941</t>
  </si>
  <si>
    <t>Study of REM-422 in Patients With AML or Higher Risk MDS</t>
  </si>
  <si>
    <t>Remix Therapeutics</t>
  </si>
  <si>
    <t>NCT06393517</t>
  </si>
  <si>
    <t>A Study to Learn How Different Forms of the Study Medicine Called PF-06954522 Are Taken up Into the Blood in Healthy Adults</t>
  </si>
  <si>
    <t>NCT06385080</t>
  </si>
  <si>
    <t>A Study of Amivantamab Alone or in Addition to Other Treatment Agents in Participants With Head and Neck Cancer</t>
  </si>
  <si>
    <t>NCT06321068</t>
  </si>
  <si>
    <t>BAT1308 in Combination With Platinum-containing Chemotherapy is Used for the First-line Treatment of Advanced or Recurrent dMMR Endometrial Cancer</t>
  </si>
  <si>
    <t>NCT06534320</t>
  </si>
  <si>
    <t>Safety, Tolerability and Pharmacokinetic Characteristics Evaluation of DA-302168S Tablets</t>
  </si>
  <si>
    <t>Chendu DIAO Pharmaceutical Group CO., LTD.</t>
  </si>
  <si>
    <t>NCT06376474</t>
  </si>
  <si>
    <t>To Evaluate the Pharmacokinetics of Hemay005 Tablets in Subjects With Liver Damage</t>
  </si>
  <si>
    <t>Ganzhou Hemay Pharmaceutical Co., Ltd</t>
  </si>
  <si>
    <t>NCT06408935</t>
  </si>
  <si>
    <t>Transmural Healing and Disease-Modifying Effect of Guselkumab in Crohn's Disease Patients</t>
  </si>
  <si>
    <t>Janssen-Cilag Ltd.</t>
  </si>
  <si>
    <t>NCT06291415</t>
  </si>
  <si>
    <t>The Safety, Tolerability, Pharmacokinetics, and Preliminary Efficacy of HMPL-523 in Adult Subjects With Immune Thrombocytopenia (ITP)</t>
  </si>
  <si>
    <t>NCT06385925</t>
  </si>
  <si>
    <t>A Study of TSN1611 Treating Patients With Advanced Solid Tumors Harboring KRAS G12D Mutation</t>
  </si>
  <si>
    <t>Tyligand Pharmaceuticals (Suzhou) Limited</t>
  </si>
  <si>
    <t>NCT06345339</t>
  </si>
  <si>
    <t>A Study to Assess the Safety and Efficacy of Oral Armour Thyroid Compared to Synthetic T4 for the Treatment of Primary Hypothyroidism in Adult Participants</t>
  </si>
  <si>
    <t>NCT06317285</t>
  </si>
  <si>
    <t>A Study to Evaluate the Efficacy and Safety of GSK3915393 in Participants With Idiopathic Pulmonary Fibrosis (IPF)</t>
  </si>
  <si>
    <t>NCT06194799</t>
  </si>
  <si>
    <t>ACP-204 in Adults With Alzheimer's Disease Psychosis Open Label Extension Study</t>
  </si>
  <si>
    <t>NCT06178055</t>
  </si>
  <si>
    <t>A Study of the Efficacy and Safety of KUS121 in Participants With Acute Non-Arteritic Central Retinal Artery Occlusion (CRAO)</t>
  </si>
  <si>
    <t>Kyoto Drug Discovery and Development Co., Ltd.</t>
  </si>
  <si>
    <t>NCT06329401</t>
  </si>
  <si>
    <t>A Study Evaluating the Safety and Efficacy of Inhaled AP01 in Participants With Progressive Pulmonary Fibrosis</t>
  </si>
  <si>
    <t>Avalyn Pharma Inc.</t>
  </si>
  <si>
    <t>NCT06319456</t>
  </si>
  <si>
    <t>A Global Study of Lisaftoclax (APG-2575) Combined With Acalabrutinib Versus Immunochemotherapy for Newly Diagnosed CLL/SLL.</t>
  </si>
  <si>
    <t>NCT05686629</t>
  </si>
  <si>
    <t>An Efficacy and Safety Study of Jaktinib Hydrochloride Tablets in the Treatment of Severe Novel Coronavirus Pneumonia</t>
  </si>
  <si>
    <t>NCT05828745</t>
  </si>
  <si>
    <t>A Study to Evaluate the Safety, Tolerability, Pharmacokinetics, and Pharmacodynamics of CB06-036 in Subjects With Chronic Hepatitis B</t>
  </si>
  <si>
    <t>Shanghai Zhimeng Biopharma, Inc.</t>
  </si>
  <si>
    <t>NCT06206902</t>
  </si>
  <si>
    <t>F01 in the Treatment of Relapsed/Refractory Non-hodgkin's Lymphoma</t>
  </si>
  <si>
    <t>NCT06209177</t>
  </si>
  <si>
    <t>Study of ARO-CFB in Adult Healthy Volunteers and Patients With Complement-Mediated Kidney Disease</t>
  </si>
  <si>
    <t>NCT06338995</t>
  </si>
  <si>
    <t>A Study of Lebrikizumab (LY3650150) in Participants With Chronic Rhinosinusitis and Nasal Polyps Treated With Intranasal Corticosteroids (CONTRAST-NP)</t>
  </si>
  <si>
    <t>NCT06234605</t>
  </si>
  <si>
    <t>A Study of HC-7366 in Combination With Belzutifan (WELIREG™) in Patients With Renal Cell Carcinoma</t>
  </si>
  <si>
    <t>HiberCell, Inc.</t>
  </si>
  <si>
    <t>NCT06344351</t>
  </si>
  <si>
    <t>A Clinical Trial of TQB3006 Tablets in Patients With Advanced Malignant Cancer</t>
  </si>
  <si>
    <t>NCT05688839</t>
  </si>
  <si>
    <t>A Study of Jaktinib Hydrochloride Tablets in the Treatment of Severe Novel Coronavirus Pneumonia</t>
  </si>
  <si>
    <t>NCT06554054</t>
  </si>
  <si>
    <t>A Study of GZR18 Tablet in Chinese Healthy Subjects</t>
  </si>
  <si>
    <t>Gan and Lee Pharmaceuticals, USA</t>
  </si>
  <si>
    <t>NCT06640920</t>
  </si>
  <si>
    <t>A Study to Investigate Efficacy and Safety of NSI-8226 in Healthy Participants</t>
  </si>
  <si>
    <t>Uniquity One (UNI)</t>
  </si>
  <si>
    <t>NCT06517823</t>
  </si>
  <si>
    <t>Efficacy and Safety of Etoricoxib/Cyanocobalamin Versus Etoricoxib for Acute Low Back Pain</t>
  </si>
  <si>
    <t>Laboratorios Silanes S.A. de C.V.</t>
  </si>
  <si>
    <t>NCT06857617</t>
  </si>
  <si>
    <t>This Study Will Investigate the Safety, Tolerability, Pharmacokinetics, and Efficacy of MET097 in Adult Participants With Overweight or Obesity</t>
  </si>
  <si>
    <t>Metsera, a wholly owned subsidiary of Pfizer</t>
  </si>
  <si>
    <t>NCT06383390</t>
  </si>
  <si>
    <t>The Effect of Retatrutide Once Weekly on Cardiovascular Outcomes and Kidney Outcomes in Adults Living With Obesity (TRIUMPH-Outcomes)</t>
  </si>
  <si>
    <t>NCT06516094</t>
  </si>
  <si>
    <t>Efficacy and Safety in the Combination of Celecoxib / Pregabalin / Vitamin B for Low Back Chronic Pain</t>
  </si>
  <si>
    <t>NCT06301854</t>
  </si>
  <si>
    <t>Long-term Safety of TPN171H Tablet in Erectile Dysfunction.</t>
  </si>
  <si>
    <t>NCT07101965</t>
  </si>
  <si>
    <t>Phase I Clinical Study of the Safety, Tolerability, Pharmacokinetics, and Pharmacodynamics of RSS0343 Tablets in Healthy Subjects After Single and Multiple Oral Administration and the Effect of Food on the Pharmacokinetics of RSS0343</t>
  </si>
  <si>
    <t>NCT06089122</t>
  </si>
  <si>
    <t>Efficacy, Safety, and Pharmacokinetics of Shu Yang IVIG</t>
  </si>
  <si>
    <t>NCT06312189</t>
  </si>
  <si>
    <t>Long-term Study to Evaluate Safety and Tolerability of Valbenazine in Participants With Chorea Associated With Huntington Disease in Canada</t>
  </si>
  <si>
    <t>NCT06073132</t>
  </si>
  <si>
    <t>An International, Multicenter, Randomized, Double-Blind, Parallel Group, Vehicle-Controlled, Phase 2/3 Study With Open-Label Extension Evaluating the Efficacy and Safety of Diacerein 1% Ointment for the Treatment of Generalized Epidermolysis Bullosa Simplex (EBS)</t>
  </si>
  <si>
    <t>TWi Biotechnology, Inc.</t>
  </si>
  <si>
    <t>NCT06347458</t>
  </si>
  <si>
    <t>BG1805 Injection in the Treatment of Relapsed or Refractory Acute Myeloid Leukemia in Children</t>
  </si>
  <si>
    <t>NCT05983471</t>
  </si>
  <si>
    <t>Efficacy and Safety of ME-015 (Suplatast Tosilate) in Cough Related to Idiopathic Pulmonary Fibrosis (COSMIC-IPF)</t>
  </si>
  <si>
    <t>Melius Pharma AB</t>
  </si>
  <si>
    <t>NCT06352528</t>
  </si>
  <si>
    <t>A Study to Assess the Drug Levels of Repotrectinib in Healthy Participants and Participants With Moderate and Severe Hepatic Impairment</t>
  </si>
  <si>
    <t>NCT05980806</t>
  </si>
  <si>
    <t>A Study of Selinexor Monotherapy in Subjects With JAK Inhibitor-naïve Myelofibrosis and Moderate Thrombocytopenia</t>
  </si>
  <si>
    <t>Karyopharm Therapeutics Inc</t>
  </si>
  <si>
    <t>NCT06603142</t>
  </si>
  <si>
    <t>Phase II/III Study of AR882 Capsules Compared to Febuxostat Tablets in Patients with Primary Gout and Hyperuricemia</t>
  </si>
  <si>
    <t>Guangzhou Ruianbo Pharmaceutical Technology Co., Ltd</t>
  </si>
  <si>
    <t>NCT06429241</t>
  </si>
  <si>
    <t>Evaluate the Distribution and Dynamic Behavior of TH-SC01 Cells in Vivo in Patients With Perianal Fistula</t>
  </si>
  <si>
    <t>Jiangsu Topcel-KH Pharmaceutical Co., Ltd.</t>
  </si>
  <si>
    <t>NCT06291961</t>
  </si>
  <si>
    <t>A Safety and Efficacy Study Evaluating CS-101 in Subjects With β-Thalassemia Major</t>
  </si>
  <si>
    <t>NCT06551740</t>
  </si>
  <si>
    <t>Phase 1 Study in Diabetes Mellitus(Fed)</t>
  </si>
  <si>
    <t>NCT06389487</t>
  </si>
  <si>
    <t>A Study on the Immune Response and Safety of Vaccine Against Respiratory Syncytial Virus (RSV) Given to Adults 18 to 49 Years of Age at Increased Risk for Respiratory Syncytial Virus Disease, Compared to Older Adults 60 Years of Age and Above</t>
  </si>
  <si>
    <t>NCT06462326</t>
  </si>
  <si>
    <t>A Study to Compare the Effect of Omadacycline Versus Moxifloxacin in Healthy Adult Volunteers</t>
  </si>
  <si>
    <t>Zai Lab (Hong Kong), Ltd.</t>
  </si>
  <si>
    <t>NCT06237309</t>
  </si>
  <si>
    <t>REGN5381 in Adult Participants With Heart Failure With Reduced Ejection Fraction</t>
  </si>
  <si>
    <t>NCT06305247</t>
  </si>
  <si>
    <t>A Study to Assess IPN01194 When Administered Alone in Adults With Advanced Solid Tumours</t>
  </si>
  <si>
    <t>Ipsen</t>
  </si>
  <si>
    <t>NCT06348290</t>
  </si>
  <si>
    <t>Study to Evaluate the Drug-drug Interaction of JMKX001899 in Healthy Subjects</t>
  </si>
  <si>
    <t>NCT06382311</t>
  </si>
  <si>
    <t>A Study to Find and Confirm the Dose and Assess Safety, Reactogenicity and Immune Response of a Vaccine Against Pandemic H5N1 Influenza Virus in Healthy Younger and Older Adults</t>
  </si>
  <si>
    <t>NCT06333509</t>
  </si>
  <si>
    <t>Anti-GPRC5D CAR-T Cells (CT071) in Participants With RRMM or RRpPCL</t>
  </si>
  <si>
    <t>CARsgen Therapeutics Co., Ltd.</t>
  </si>
  <si>
    <t>NCT06288893</t>
  </si>
  <si>
    <t>SHEN211 Tablets for the Treatment of Mild and Moderate Novel Corona Virus Infections (COVID-19)</t>
  </si>
  <si>
    <t>JKT Biopharma Co., Ltd.</t>
  </si>
  <si>
    <t>NCT06084416</t>
  </si>
  <si>
    <t>A Study of Sovilnesib in Subjects With Ovarian Cancer</t>
  </si>
  <si>
    <t>Volastra Therapeutics, Inc.</t>
  </si>
  <si>
    <t>NCT06346509</t>
  </si>
  <si>
    <t>Randomized, Double-Blind, Placebo-Controlled, Single and Multiple Ascending Dose Study of PORT-77 Administered to Healthy Adult Participants</t>
  </si>
  <si>
    <t>Portal Therapeutics, Inc.</t>
  </si>
  <si>
    <t>NCT06382662</t>
  </si>
  <si>
    <t>Assess the Effect of Metaxalone 640 mg (M640) Compared to Tizanidine 8 mg on Truck Driving Ability and Cognition</t>
  </si>
  <si>
    <t>Primus Pharmaceuticals</t>
  </si>
  <si>
    <t>NCT06211764</t>
  </si>
  <si>
    <t>A Study of TAR-200 Versus Intravesical Chemotherapy in Participants With Recurrent High-Risk Non-Muscle-Invasive Bladder Cancer (HR-NMIBC) After Bacillus Calmette-Guérin (BCG)</t>
  </si>
  <si>
    <t>NCT06368167</t>
  </si>
  <si>
    <t>A Phase II Study of SHR2554 in Patients With Relapsed or Refractory Follicular Lymphoma</t>
  </si>
  <si>
    <t>NCT06298552</t>
  </si>
  <si>
    <t>A Phase 3 Study to Evaluate the Efficacy and Safety of Efgartigimod IV in Patients With Acetylcholine Receptor Binding Antibody Seronegative Generalized Myasthenia Gravis</t>
  </si>
  <si>
    <t>NCT06704334</t>
  </si>
  <si>
    <t>The Study of Ginkgo Leaf Dropping Pills and Huperzine a Injection Combined with Median Nerve Electrical Stimulation in the Treatment of Cognitive Impairment After Brain Injury</t>
  </si>
  <si>
    <t>Wanbangde Pharmaceutical Group Co., LTD</t>
  </si>
  <si>
    <t>NCT06431399</t>
  </si>
  <si>
    <t>To Evaluate the Safety, Pharmacokinetic Characteristics and the Effect of Food After Administration of JLP-2004</t>
  </si>
  <si>
    <t>Jeil Pharmaceutical Co., Ltd.</t>
  </si>
  <si>
    <t>NCT06394414</t>
  </si>
  <si>
    <t>A Phase 1 Study to Evaluate the Safety, Efficacy, and Pharmacokinetics of YL201 in Advanced Solid Tumors</t>
  </si>
  <si>
    <t>NCT06311578</t>
  </si>
  <si>
    <t>A Study of JNJ-87704916, as Monotherapy and in Combination for Advanced Solid Tumors</t>
  </si>
  <si>
    <t>Johnson &amp; Johnson Enterprise Innovation Inc.</t>
  </si>
  <si>
    <t>NCT05745740</t>
  </si>
  <si>
    <t>A Study of RC48-ADC Combined With Pyrotinib For Treatment of Local Advanced or Metastasis NSCLC With HER2 Mutation</t>
  </si>
  <si>
    <t>NCT06411145</t>
  </si>
  <si>
    <t>Open-label Trial to Evaluate Efficacy and Safety of rhNGF on Corneal Thickness Via AS-OCT in Neurotrophic Keratitis</t>
  </si>
  <si>
    <t>NCT06367426</t>
  </si>
  <si>
    <t>A Phase I Study of DDN-A-0101 in Healthy Volunteers and Elder People</t>
  </si>
  <si>
    <t>Pharmacobio</t>
  </si>
  <si>
    <t>NCT06159790</t>
  </si>
  <si>
    <t>A Study to Compare Efficacy, Safety, and Immunogenicity of GME751 and EU-authorized Keytruda in Adult Participants With Untreated Metastatic Non-squamous Non-small Cell Lung Cancer (NSCLC)</t>
  </si>
  <si>
    <t>Sandoz</t>
  </si>
  <si>
    <t>NCT06346340</t>
  </si>
  <si>
    <t>A Study to Evaluate the Effect of Miebo™ on Preoperative Biometry/Keratometry and Postoperative Refractive Accuracy</t>
  </si>
  <si>
    <t>NCT06344728</t>
  </si>
  <si>
    <t>A Study to Assess the Relative Bioavailability of Brensocatib Pediatric Oral Solution to Oral Tablets in Healthy Participants</t>
  </si>
  <si>
    <t>Insmed Incorporated</t>
  </si>
  <si>
    <t>NCT06293820</t>
  </si>
  <si>
    <t>A Study Of TL-925 For The Treatment of AC</t>
  </si>
  <si>
    <t>NCT06331026</t>
  </si>
  <si>
    <t>A Bioequivalence Study of Two Different PEG-rhGH Preparations.</t>
  </si>
  <si>
    <t>NCT06280716</t>
  </si>
  <si>
    <t>A Study of Lebrikizumab (LY3650150) With/Without Topical Corticosteroid Treatment in Participants With Moderate-to-Severe Atopic Dermatitis</t>
  </si>
  <si>
    <t>NCT06821334</t>
  </si>
  <si>
    <t>A Single Dose Study of MK-6194 in Healthy Chinese Participants (MK-6194-014)</t>
  </si>
  <si>
    <t>NCT06685978</t>
  </si>
  <si>
    <t>Efficacy and Safety of Xiangjurupining Capsule for Hyperplasia of Mammary Glands</t>
  </si>
  <si>
    <t>NCT06413433</t>
  </si>
  <si>
    <t>Elucidating TAAR-1, Dopamine, and Norepinephrine in Binge Eating Disorder Using Solriamfetol</t>
  </si>
  <si>
    <t>NCT06380348</t>
  </si>
  <si>
    <t>JMT101 in Combination With Osimertinib, Versus Cisplatin-pemetrexed in Participants With Locally Advanced or Metastatic Non-small Cell Lung Cancer (NSCLC) Characterized by Epithermal Growth Factor Receptor (EGFR) Exon 20ins Mutations</t>
  </si>
  <si>
    <t>NCT06453668</t>
  </si>
  <si>
    <t>A Study of TCD601 (Siplizumab) in Newly Diagnosed Adult Amyotrophic Lateral Sclerosis (ALS) Patients</t>
  </si>
  <si>
    <t>ITB-Med LLC</t>
  </si>
  <si>
    <t>NCT06267560</t>
  </si>
  <si>
    <t>Lp(a) Lowering Study of Pelacarsen (TQJ230) in US Black/African American and Hispanic Participants With Elevated Lp(a) and Established ASCVD</t>
  </si>
  <si>
    <t>NCT05906524</t>
  </si>
  <si>
    <t>KD6001 in Combination With Anti-PD-1 Antibody±Bevacizumab in Patients With Advanced HCC and Other Solid Tumors</t>
  </si>
  <si>
    <t>NCT06352424</t>
  </si>
  <si>
    <t>A Study in People With Overweight or Obesity to Test How BI 1820237, BI 456906, or a Combination of Both Affects Brain Activity</t>
  </si>
  <si>
    <t>NCT06354257</t>
  </si>
  <si>
    <t>A Study to Investigate the Pharmacokinetics of a Combined Oral Contraceptive When Given Alone and in Combination With GSK3036656 in Female Participants of Non-childbearing Potential Aged 18 to 65 Years of Age</t>
  </si>
  <si>
    <t>NCT06200207</t>
  </si>
  <si>
    <t>A Research Study Looking Into How Ziltivekimab Works Compared to Placebo in Participants With Heart Failure and Inflammation</t>
  </si>
  <si>
    <t>NCT06195930</t>
  </si>
  <si>
    <t>A Study to Learn How Safe Starting Vericiguat at a Dose of 5 Milligrams is in Participants With Chronic Heart Failure With Reduced Ejection Fraction</t>
  </si>
  <si>
    <t>NCT06400511</t>
  </si>
  <si>
    <t>A Phase 3 Study to Evaluate the Efficacy and Safety of Pimecrolimus 0.3% Ophthalmic Ointment</t>
  </si>
  <si>
    <t>Famy Life Sciences, a Viatris Company</t>
  </si>
  <si>
    <t>NCT06360211</t>
  </si>
  <si>
    <t>A Study to Learn About How BAY2927088 Affects the Level of Midazolam in the Blood When Both Drugs Are Taken Together in Healthy Participants</t>
  </si>
  <si>
    <t>NCT06316297</t>
  </si>
  <si>
    <t>Study to Evaluate Safety, Efficacy and Immunogenicity of Acne mRNA Vaccine in Adults With Moderate to Severe Acne</t>
  </si>
  <si>
    <t>NCT06348888</t>
  </si>
  <si>
    <t>A Study to Learn About How Itraconazole and Carbamazepine Affect the Level of BAY2927088 in the Blood When These Drugs Are Taken Together by Healthy Participants</t>
  </si>
  <si>
    <t>NCT06678620</t>
  </si>
  <si>
    <t>Phase II Clinical Trial of 24-valent Pneumococcal Polysaccharide Conjugate Vaccine</t>
  </si>
  <si>
    <t>NCT06391931</t>
  </si>
  <si>
    <t>A Multicenter, Open, Controlled, Phase III Clinical Study to Evaluate the Efficacy and Safety of Cipepofol Injection for General Anesthesia in Pediatric Patients Undergoing Elective Surgery</t>
  </si>
  <si>
    <t>NCT06276556</t>
  </si>
  <si>
    <t>Extension Study of ABP-671 in Participants With Gout</t>
  </si>
  <si>
    <t>NCT06339086</t>
  </si>
  <si>
    <t>Efficacy and Safety of Semaglutide Injection in Subjects With Type 2 Diabetes</t>
  </si>
  <si>
    <t>Chengdu Brilliant Pharmaceutical Co., Ltd.</t>
  </si>
  <si>
    <t>NCT06484673</t>
  </si>
  <si>
    <t>Bioequivalence Study to Compare Bosentan 32 mg Dispersible Tablets Versus Tracleer® 32 mg Tablets</t>
  </si>
  <si>
    <t>NCT06235086</t>
  </si>
  <si>
    <t>A Study of TG103 Injection Combined With Metformin in Treatment of Type 2 Diabetes Mellitus</t>
  </si>
  <si>
    <t>NCT06597175</t>
  </si>
  <si>
    <t>Evaluating Investigational Medical Device for Breast Tumor Diagnosis Using Diffusion Optical Spectroscopy</t>
  </si>
  <si>
    <t>Olive Healthcare</t>
  </si>
  <si>
    <t>NCT06294912</t>
  </si>
  <si>
    <t>A Study to Evaluate Antimalarial Activity and Safety of MK-7602 in Healthy Adults (MK-7602-003)</t>
  </si>
  <si>
    <t>NCT06363630</t>
  </si>
  <si>
    <t>A Study to Evaluate the Effect of Cytochrome P450 (CYP) 3A Inhibitor (Itraconazole) and Inducer (Rifampin) on the Drug Levels of Golcadomide (BMS-986369) in Healthy Participants</t>
  </si>
  <si>
    <t>NCT06125951</t>
  </si>
  <si>
    <t>Effect of 10 mg Xanamem on Dementia Due to Alzheimer's Disease</t>
  </si>
  <si>
    <t>Actinogen Medical</t>
  </si>
  <si>
    <t>NCT05953831</t>
  </si>
  <si>
    <t>Reverse Remodeling Effects of CDR132L in Patients With Heart Failure With Mildly Reduced or Preserved Ejection Fraction and Cardiac Hypertrophy</t>
  </si>
  <si>
    <t>Cardior Pharmaceuticals GmbH</t>
  </si>
  <si>
    <t>NCT07257627</t>
  </si>
  <si>
    <t>Comparative PK/PD of Single-Dose THDB0206 at Different Injection Sites</t>
  </si>
  <si>
    <t>Tonghua Dongbao Pharmaceutical Co.,Ltd</t>
  </si>
  <si>
    <t>NCT06674694</t>
  </si>
  <si>
    <t>The Purpose of This Study is to Determine the Safety, Tolerability, and Pharmacokinetics of Brexpiprazole Long-acting Injection Following a Single Administration in Healthy Subjects/Patients With Schizophrenia.</t>
  </si>
  <si>
    <t>Sichuan Kelun Pharmaceutical Research Institute Co., Ltd.</t>
  </si>
  <si>
    <t>NCT06055374</t>
  </si>
  <si>
    <t>A Study to Investigate the Safety, Tolerability, and Efficacy of BxC-I17e Repeated-dose SC Injection in Patients With Moderate to Severe Atopic Dermatitis</t>
  </si>
  <si>
    <t>Brexogen Inc.</t>
  </si>
  <si>
    <t>NCT06053242</t>
  </si>
  <si>
    <t>Safety, Tolerability, and Effectiveness of Intramuscular Injection of CELZ-201-DDT for the Treatment of Chronic Lower Back Pain</t>
  </si>
  <si>
    <t>Creative Medical Technology Holdings Inc</t>
  </si>
  <si>
    <t>NCT06280703</t>
  </si>
  <si>
    <t>A Study of LY3938577 in Healthy Participants and Participants With Type 1 Diabetes Mellitus (T1DM)</t>
  </si>
  <si>
    <t>NCT06391775</t>
  </si>
  <si>
    <t>Trial to Assess the Safety and Preliminary Efficacy of GEN1055 on Malignant Solid Tumors as Monotherapy and as Combination Therapy</t>
  </si>
  <si>
    <t>NCT06673641</t>
  </si>
  <si>
    <t>A Study Comparing Clindamycin Phosphate, Adapalene, and Benzoyl Peroxide Topical Gel 0.15%;3.1%;1.2% (Taro Pharmaceuticals U.S.A., Inc.) and CABTREO Topical Gel for the Treatment of Acne Vulgaris.</t>
  </si>
  <si>
    <t>Sun Pharmaceutical Industries, Inc.</t>
  </si>
  <si>
    <t>NCT06345729</t>
  </si>
  <si>
    <t>A Study of Calderasib (MK-1084) Plus Pembrolizumab (MK-3475) in Participants With KRAS G12C Mutant Non-small Cell Lung Cancer (NSCLC) With Programmed Cell Death Ligand 1 (PD-L1) Tumor Proportion Score (TPS) ≥50% (MK-1084-004/KANDLELIT-004)</t>
  </si>
  <si>
    <t>NCT06295731</t>
  </si>
  <si>
    <t>INBRX-106 in Combination With Pembrolizumab in First-line PD-L1 CPS≥20 HNSCC</t>
  </si>
  <si>
    <t>Inhibrx Biosciences, Inc</t>
  </si>
  <si>
    <t>NCT06390774</t>
  </si>
  <si>
    <t>A Study to Evaluate the Safety, Tolerability and Preliminary Efficacy of SSGJ-705 Monotherapy in Patients with Advanced Malignant Tumors</t>
  </si>
  <si>
    <t>NCT05919238</t>
  </si>
  <si>
    <t>Padeliporfin VTP Treatment for Unresectable Pancreatic Adenocarcinoma</t>
  </si>
  <si>
    <t>Impact Biotech Ltd</t>
  </si>
  <si>
    <t>NCT06457425</t>
  </si>
  <si>
    <t>A Phase II Clinical Trial of Flonoltinib Maleate Tablet in Intermediate-High Risk Myelofibrosis</t>
  </si>
  <si>
    <t>NCT06412666</t>
  </si>
  <si>
    <t>A Study to Evaluate the Effect of Aficamten in Pediatric Patients With Symptomatic Obstructive Hypertrophic Cardiomyopathy (oHCM).</t>
  </si>
  <si>
    <t>Cytokinetics</t>
  </si>
  <si>
    <t>NCT06370585</t>
  </si>
  <si>
    <t>Clinical Study to Evaluate the Safety and Tolerability of PRO-229 Ophthalmic Solution Compared to Lagricel® Ofteno PF</t>
  </si>
  <si>
    <t>NCT05921929</t>
  </si>
  <si>
    <t>First-In-Human (FIH), Single Ascending Dose (SAD) Study of FluoroEthylNorMemantine (FENM)</t>
  </si>
  <si>
    <t>ReST Therapeutics</t>
  </si>
  <si>
    <t>NCT06425003</t>
  </si>
  <si>
    <t>Study of [14C] ABBV-CLS-7262 in Healthy Male Volunteers Following Single Oral Dose Administration</t>
  </si>
  <si>
    <t>NCT06385327</t>
  </si>
  <si>
    <t>A Study to Assess the Safety, Pharmacokinetics, and Antiviral Activity of ABI-5366 in Healthy Participants and Participants Seropositive for HSV-2 With Recurrent Genital Herpes</t>
  </si>
  <si>
    <t>Assembly Biosciences</t>
  </si>
  <si>
    <t>NCT06422039</t>
  </si>
  <si>
    <t>Bioavailability and Food Effects of HRS-7535 Tablets With Different Formulating Processes in Healthy Subjects</t>
  </si>
  <si>
    <t>NCT06355232</t>
  </si>
  <si>
    <t>Covid-19 and Influenza Oral Vaccine Study</t>
  </si>
  <si>
    <t>Vaxine Pty Ltd</t>
  </si>
  <si>
    <t>NCT05606757</t>
  </si>
  <si>
    <t>A Study to Evaluate Adverse Events and Effectiveness of OnabotulinumtoxinA in Participants Undergoing Open Abdominal Ventral Hernia Repair for the Achievement of Primary Fascial Closure Without the Use of Component Separation Technique</t>
  </si>
  <si>
    <t>NCT06261957</t>
  </si>
  <si>
    <t>A Study to Assess and Compare Safety and Tolerability of 3 Months Treatment With Salbutamol Administered Via MDI Containing Propellant HFA-152a or HFA-134a in Participants ≥ 18 Years of Age With Asthma</t>
  </si>
  <si>
    <t>NCT06309966</t>
  </si>
  <si>
    <t>Study to Determine if BHV-7000 is Effective and Safe in Adults With Refractory Focal Onset Epilepsy</t>
  </si>
  <si>
    <t>NCT06158841</t>
  </si>
  <si>
    <t>Study Assessing Activity of Intravenous (IV) Etentamig Monotherapy Versus Standard Available Therapies in Adult Participants With Relapsed or Refractory Multiple Myeloma</t>
  </si>
  <si>
    <t>NCT06133972</t>
  </si>
  <si>
    <t>Phase 3 Extension Study to Evaluate Long-term Safety of Ianalumab in Participants With Systemic Lupus Erythematosus (SIRIUS-SLE Extension).</t>
  </si>
  <si>
    <t>NCT06216093</t>
  </si>
  <si>
    <t>Phase I, First-In Human Study to Evaluate Safety and Tolerability of EuRSV in Healthy Adults Aged Between 19 Years and 80 Years</t>
  </si>
  <si>
    <t>EuBiologics Co.,Ltd</t>
  </si>
  <si>
    <t>NCT06490263</t>
  </si>
  <si>
    <t>the Safety, Tolerability and Pharmacokinetics of Mulberry Twig Alkaloids in Human</t>
  </si>
  <si>
    <t>Beijing Wehand-Bio Pharmaceutical Co., Ltd</t>
  </si>
  <si>
    <t>NCT06385509</t>
  </si>
  <si>
    <t>A Phase 4 Study to Evaluate Adrenal Function in Hypogonadal Men Treated With JATENZO® for 12 Months</t>
  </si>
  <si>
    <t>Tolmar Inc.</t>
  </si>
  <si>
    <t>NCT06380907</t>
  </si>
  <si>
    <t>A Phase 2 Study of ZL-1102 in Patients With Chronic Plaque Psoriasis</t>
  </si>
  <si>
    <t>NCT06875193</t>
  </si>
  <si>
    <t>DM Treatment to Evaluate the Efficacy and Safety of Dapagliflozin or Pioglitazone in Patients with Type 2 Diabetes</t>
  </si>
  <si>
    <t>Dong Wha Pharmaceutical Co. Ltd.</t>
  </si>
  <si>
    <t>NCT06417398</t>
  </si>
  <si>
    <t>Preliminary Clinical Study of UTAA09 Injection in the Treatment of Relapsed/Refractory Autoimmune Diseases</t>
  </si>
  <si>
    <t>PersonGen BioTherapeutics (Suzhou) Co., Ltd.</t>
  </si>
  <si>
    <t>NCT06308159</t>
  </si>
  <si>
    <t>An Open-label Study of a Gene Therapy Product (Vebeglogene Autotemcel) in Transfusion Dependent Beta-Thalassemia</t>
  </si>
  <si>
    <t>Lantu Biopharma</t>
  </si>
  <si>
    <t>NCT06388070</t>
  </si>
  <si>
    <t>To Evaluate the Efficacy and Safety of HUC3-053 in Patients With Dry Eye Syndrome</t>
  </si>
  <si>
    <t>NCT06142461</t>
  </si>
  <si>
    <t>Safety and Immunogenicity of HPV Vaccine Administered Intradermally and Intramuscularly Via Needle-Free Injection System</t>
  </si>
  <si>
    <t>PharmaJet, Inc.</t>
  </si>
  <si>
    <t>NCT06220773</t>
  </si>
  <si>
    <t>A Study to Evaluate the Efficacy and Safety of BR1019A and BR1019B Combination Therapy</t>
  </si>
  <si>
    <t>NCT06476509</t>
  </si>
  <si>
    <t>A Study to Assess Serotonin Transporter Occupancy of Healthy Adults Using 11C-DASB PET</t>
  </si>
  <si>
    <t>NCT06412926</t>
  </si>
  <si>
    <t>A Study to Learn About How Much Emodepside Gets Absorbed in the Blood and How Food Affects Its Absorption When Given as a New Type of Tablet to Healthy Participants</t>
  </si>
  <si>
    <t>NCT06553924</t>
  </si>
  <si>
    <t>Macitentan and Tadalafil Film-coated Tablets 10 mg/40 mg and 'PrOpsynvi®' Macitentan and Tadalafil Film-coated Tablets 10 mg/40 mg</t>
  </si>
  <si>
    <t>NCT06419582</t>
  </si>
  <si>
    <t>BHV-7000 Acute Treatment of Bipolar Mania</t>
  </si>
  <si>
    <t>NCT07234162</t>
  </si>
  <si>
    <t>A Phase 3 Multinational Study of Golidocitinib Versus Investigator's Choice in r/r PTCL (JACKPOT19)</t>
  </si>
  <si>
    <t>NCT06392659</t>
  </si>
  <si>
    <t>A Phase 1, Open-label Study Evaluating the Pharmacokinetics and Drug-drug Interaction of VX-993 in Healthy Adults</t>
  </si>
  <si>
    <t>NCT06290102</t>
  </si>
  <si>
    <t>Pharmacokinetic Profile and Safety of Fluticasone Propionate and Albuterol Sulfate in Combination When Compared to Fluticasone Propionate Multidose Dry Powder Inhaler (Fp MDPI) in Children Aged 4 to 11 Years Old</t>
  </si>
  <si>
    <t>NCT06615700</t>
  </si>
  <si>
    <t>Phase 1 to Study Safety, Tolerability, Pharmacokinetics, and Pharmacodynamics of NA-931 in Obese Participants and Patients With Type 2 Diabetes Mellitus</t>
  </si>
  <si>
    <t>NCT06393673</t>
  </si>
  <si>
    <t>A Study to Find the Best Dose of HS-10384 to Treat Vasomotor Symptoms in Postmenopausal Women</t>
  </si>
  <si>
    <t>NCT06314828</t>
  </si>
  <si>
    <t>A Tolerability, Safety and Efficacy Study of RJMty19 in Subjects With Relapsed or Refractory B-NHL</t>
  </si>
  <si>
    <t>Guangdong Ruishun Biotech Co., Ltd</t>
  </si>
  <si>
    <t>NCT06373731</t>
  </si>
  <si>
    <t>ReNEW:Phase 3 Study of Efficacy, Safety &amp; Pharmacokinetics of Subcutaneous Injections of Elamipretide in Subjects With Dry Age-Related Macular Degeneration (Dry AMD)</t>
  </si>
  <si>
    <t>Stealth BioTherapeutics Inc.</t>
  </si>
  <si>
    <t>NCT06353386</t>
  </si>
  <si>
    <t>Substudy 01A: Safety and Efficacy of Opevesostat (MK-5684)-Based Treatment Combinations or Opevesostat Alone in Participants With Metastatic Castration-resistant Prostate Cancer (mCRPC) (MK-5684-01A)</t>
  </si>
  <si>
    <t>NCT06427681</t>
  </si>
  <si>
    <t>An Relative Bioavailability Study of BH006 for Injection in Healthy Subjects</t>
  </si>
  <si>
    <t>Zhuhai Beihai Biotech Co., Ltd</t>
  </si>
  <si>
    <t>NCT06395753</t>
  </si>
  <si>
    <t>A Dose Finding Study of Debio 4228 in Participants With Advanced Prostate Cancer</t>
  </si>
  <si>
    <t>Debiopharm International SA</t>
  </si>
  <si>
    <t>NCT06445075</t>
  </si>
  <si>
    <t>Efficacy and Safety of Apitegromab for the Treatment of Adults Who Are Overweight or Obese</t>
  </si>
  <si>
    <t>Scholar Rock, Inc.</t>
  </si>
  <si>
    <t>NCT07131189</t>
  </si>
  <si>
    <t>A Study of FL115 Monotherapy in Unresectable or Metastatic Solid Tumors</t>
  </si>
  <si>
    <t>Suzhou Forlong Biotechnology Co., Ltd</t>
  </si>
  <si>
    <t>NCT06260748</t>
  </si>
  <si>
    <t>A Study of Chenodeoxycholic Acid (CDCA) in Newly Diagnosed Participants With Cerebrotendinous Xanthomatosis (CTX)</t>
  </si>
  <si>
    <t>Leadiant Biosciences, Inc.</t>
  </si>
  <si>
    <t>NCT06401044</t>
  </si>
  <si>
    <t>A Study of AMG 732 in Healthy Participants and Participants With Thyroid Eye Disease</t>
  </si>
  <si>
    <t>NCT06352411</t>
  </si>
  <si>
    <t>A Study to Test How BI 456906 is Taken up in the Blood of People With and Without Kidney Problems</t>
  </si>
  <si>
    <t>NCT06428500</t>
  </si>
  <si>
    <t>QTX3046 in Patients With KRAS G12D Mutations</t>
  </si>
  <si>
    <t>NCT06346834</t>
  </si>
  <si>
    <t>Sequential Vaccination of Poliomyelitis Vaccine (Vero Cells), Inactivated, Sabin Strains From Different Manufacturers</t>
  </si>
  <si>
    <t>Sinovac Biotech Co., Ltd</t>
  </si>
  <si>
    <t>NCT06388616</t>
  </si>
  <si>
    <t>Study to Investigate the Effect of Hepatic Impairment on the Pharmacokinetics, Safety, and Tolerability of Balcinrenone</t>
  </si>
  <si>
    <t>NCT06609525</t>
  </si>
  <si>
    <t>Comparing Efficacy and Safety of CTO0303 in Pediatric Subjects</t>
  </si>
  <si>
    <t>Taejoon Pharmaceutical Co., Ltd.</t>
  </si>
  <si>
    <t>NCT06374485</t>
  </si>
  <si>
    <t>Study of AU409 Capsule in Advanced Hepatocellular Carcinoma Patients Who Failed Standard Treatment</t>
  </si>
  <si>
    <t>Lee's Pharmaceutical Limited</t>
  </si>
  <si>
    <t>NCT04406948</t>
  </si>
  <si>
    <t>Study of Safety and Efficacy of MGCND00EP1 as an Add on Treatment in Children and Adolescents With Resistant Epilepsies</t>
  </si>
  <si>
    <t>MGC Pharmaceuticals d.o.o</t>
  </si>
  <si>
    <t>NCT06419608</t>
  </si>
  <si>
    <t>Efficacy and Safety Study of BHV-7000 Monotherapy in Major Depression</t>
  </si>
  <si>
    <t>NCT06368440</t>
  </si>
  <si>
    <t>A Study to Investigate the Safety and Pharmacokinetics of AZD6793 in Healthy Japanese and Chinese Participants</t>
  </si>
  <si>
    <t>NCT06470438</t>
  </si>
  <si>
    <t>A Study of JNJ-88998377 for Relapsed/Refractory B-cell Non-Hodgkin's Lymphoma</t>
  </si>
  <si>
    <t>NCT06309394</t>
  </si>
  <si>
    <t>A Study Assessing the Mass Balance, Pharmacokinetics, and Metabolite Profiles of a Single Oral Dose of [14C]INCB099280 in Healthy Male Participants</t>
  </si>
  <si>
    <t>NCT06137183</t>
  </si>
  <si>
    <t>A Study to Evaluate the Efficacy, Safety, and Pharmacokinetics of Vixarelimab in Participants With Moderate to Severe Ulcerative Colitis (UC)</t>
  </si>
  <si>
    <t>NCT06408311</t>
  </si>
  <si>
    <t>Safety of ENC-201-CED ENCRT</t>
  </si>
  <si>
    <t>Encellin</t>
  </si>
  <si>
    <t>NCT06287463</t>
  </si>
  <si>
    <t>Study of DCC-3084 in Participants With Advanced Malignancies Driven by the Mitogen-Activated Protein Kinase (MAPK) Pathway</t>
  </si>
  <si>
    <t>Deciphera Pharmaceuticals, LLC</t>
  </si>
  <si>
    <t>NCT06416787</t>
  </si>
  <si>
    <t>Safety and Tolerability of IBI355 in Healthy Volunteers</t>
  </si>
  <si>
    <t>NCT06413121</t>
  </si>
  <si>
    <t>Clinical Study to Assess the Immunogenicity and Safety of Hexavalent Vaccine Containing Reduced Dose IPV</t>
  </si>
  <si>
    <t>Serum Institute of India Pvt. Ltd.</t>
  </si>
  <si>
    <t>NCT06377072</t>
  </si>
  <si>
    <t>Efficacy and Safety of Shenqi Sherong Pill in Participants With Cervical Spondylotic Myelopathy</t>
  </si>
  <si>
    <t>Shanghai Hutchison Pharmaceuticals Limited</t>
  </si>
  <si>
    <t>NCT06380881</t>
  </si>
  <si>
    <t>PK/PD Study of SHR-2017 Injection in Patients With Bone Metastases</t>
  </si>
  <si>
    <t>NCT06490328</t>
  </si>
  <si>
    <t>Efficacy and Safety of DKF-MA102 in Patients With Prostate Cancer</t>
  </si>
  <si>
    <t>Dongkook Pharmaceutical Co., Ltd.</t>
  </si>
  <si>
    <t>NCT06361888</t>
  </si>
  <si>
    <t>A Phase II/III Trial to Evaluate the Efficacy and Safety of Surufatinib Combined With Camrelizumab, Nab-paclitaxel, and Gemcitabine in Metastatic Pancreatic Cancer</t>
  </si>
  <si>
    <t>NCT06419634</t>
  </si>
  <si>
    <t>Study of BMS-986497 (ORM-6151) as a Monotherapy, in Double and Triple Combination With Azacitidine and Venetoclax in Participants With Relapsed or Refractory Acute Myeloid Leukemia or Myelodysplastic Syndrome</t>
  </si>
  <si>
    <t>NCT06406400</t>
  </si>
  <si>
    <t>Drug-Drug Interaction and Safety of AZD4041 Study (Part 1) and Efficacy, Safety, Pharmacokinetics and Pharmacodynamics of AZD4041 Study in Opioid Use Disorder (Part 2).</t>
  </si>
  <si>
    <t>NCT06360874</t>
  </si>
  <si>
    <t>A Study to Evaluate Safety, Tolerability and Pharmacokinetic of ND-003 Tablets in Healthy Adults</t>
  </si>
  <si>
    <t>NCT06245941</t>
  </si>
  <si>
    <t>A Clinical Trial of TQ05105 Tablets Combined With TQB3909 Tablets in the Treatment of Myelofibrosis (MF)</t>
  </si>
  <si>
    <t>NCT06024408</t>
  </si>
  <si>
    <t>A Trial to Learn if Receiving ALN-PNP siRNA is Safe and Well Tolerated, and How it Works in Adult Participants With Nonalcoholic Fatty Liver Disease (NAFLD) and a Genetic Risk Factor</t>
  </si>
  <si>
    <t>NCT06868849</t>
  </si>
  <si>
    <t>A Study of JMT203 in Patients With Cancer Cachexia</t>
  </si>
  <si>
    <t>NCT06231771</t>
  </si>
  <si>
    <t>Safety and Efficacy of Stem Cells for Diabetic Foot Ulcer</t>
  </si>
  <si>
    <t>Supergenics Life Science Sdn. Bhd.</t>
  </si>
  <si>
    <t>NCT06327880</t>
  </si>
  <si>
    <t>A Study to Learn About the Study Medicine Called PF-07054894 in People of Japanese Origin</t>
  </si>
  <si>
    <t>NCT06299982</t>
  </si>
  <si>
    <t>An Phase III Study of Recombinant Anti-IL-17A Humanized Monoclonal Antibody in Chinese Participants With PsO</t>
  </si>
  <si>
    <t>NCT06521255</t>
  </si>
  <si>
    <t>Evaluate the Safety and Efficacy of Tafasitamab and Lenalidomide in Combination With Gemcitabine and Oxaliplatin Versus Rituximab in Combination With Gemcitabine and Oxaliplatin in Patients With Relapsed/Refractory Diffuse Large B-Cell Lymphoma</t>
  </si>
  <si>
    <t>NCT06411288</t>
  </si>
  <si>
    <t>Global Study of Del-desiran for the Treatment of DM1</t>
  </si>
  <si>
    <t>NCT06359899</t>
  </si>
  <si>
    <t>A Study to Evaluate the Efficacy, Safety and Tolerability of Oral AK0901 in Children With ADHD</t>
  </si>
  <si>
    <t>NCT06346184</t>
  </si>
  <si>
    <t>A Study to Evaluate the Pharmacokinetics and Safety Between HCP2303 and Co-administration of Each Component in Healthy Volunteers</t>
  </si>
  <si>
    <t>NCT06215846</t>
  </si>
  <si>
    <t>A Clinical Study Evaluating the Safety and Efficacy of BioTTT001 in Patients With Malignant Solid Tumors</t>
  </si>
  <si>
    <t>Beijing Bio-Targeting Therapeutics Technology Co., Ltd</t>
  </si>
  <si>
    <t>NCT06380153</t>
  </si>
  <si>
    <t>To Evaluate the Pharmacokinetics of Hemay005 Tablets in Patients With Renal Impairment</t>
  </si>
  <si>
    <t>NCT05795140</t>
  </si>
  <si>
    <t>Evaluate Long-term Safety, Tolerability and Efficacy of Iptacopan in Study Participants With aHUS</t>
  </si>
  <si>
    <t>NCT06381050</t>
  </si>
  <si>
    <t>The Clinical Study of SHR-7631 for Injection in Patients With Advanced Solid Tumors</t>
  </si>
  <si>
    <t>NCT06366789</t>
  </si>
  <si>
    <t>Dose Escalation and Expansion Study to Evaluate the Safety, PK, PD and Efficacy of ZE46-0134 in Adults With FLT3 Mutated or Spliceosome Mutated Relapsed or Refractory Acute Myeloid Leukemia</t>
  </si>
  <si>
    <t>Lomond Therapeutics Holdings, Inc.</t>
  </si>
  <si>
    <t>NCT06298058</t>
  </si>
  <si>
    <t>A Clinical Trial of SIBP-A13 Injection in the Treatment of Advanced Malignant Solid Tumor Patients.</t>
  </si>
  <si>
    <t>NCT06372626</t>
  </si>
  <si>
    <t>Study of ZG005 in Combination With Etoposide and Cisplatin in Participants With Advanced Neuroendocrine Carcinoma.</t>
  </si>
  <si>
    <t>NCT06539208</t>
  </si>
  <si>
    <t>A Phase I/IIa，Open-label, Single Ascending Dose and Dose-expansion Clinical Study to Evaluate the Safety, Tolerability, Pharmacokinetics and Pharmacodynamics of YOLT-201 in Patients With Transthyretin Amyloidosis Polyneuropathy (ATTR-PN) or Transthyretin Amyloidosis Cardiomyopathy (ATTR-CM)</t>
  </si>
  <si>
    <t>YolTech Therapeutics Co., Ltd</t>
  </si>
  <si>
    <t>NCT06270836</t>
  </si>
  <si>
    <t>A Study to Evaluate the Efficacy and Safety of Tarcocimab Tedromer Compared With Sham Treatment in Participants With Diabetic Retinopathy (DR)</t>
  </si>
  <si>
    <t>Kodiak Sciences Inc</t>
  </si>
  <si>
    <t>NCT06471673</t>
  </si>
  <si>
    <t>A Study of BRIA-OTS Cellular Immunotherapy in Metastatic Recurrent Breast Cancer</t>
  </si>
  <si>
    <t>BriaCell Therapeutics Corporation</t>
  </si>
  <si>
    <t>NCT06104683</t>
  </si>
  <si>
    <t>A Study of Pirtobrutinib (LY3527727 [LOXO-305]) Versus Placebo in Participants With Relapsing Multiple Sclerosis</t>
  </si>
  <si>
    <t>Loxo Oncology, Inc.</t>
  </si>
  <si>
    <t>NCT06339788</t>
  </si>
  <si>
    <t>Pharmacokinetics of HD-P023 and Co-administration of Teneligliptin and Empagliflozin High in Healthy Volunteers</t>
  </si>
  <si>
    <t>Handok Inc.</t>
  </si>
  <si>
    <t>NCT06422507</t>
  </si>
  <si>
    <t>A Study to Learn More About How Well 8 Milligram Aflibercept Works and How Safe it is in Chinese Participants With Diabetic Macular Edema</t>
  </si>
  <si>
    <t>NCT06376136</t>
  </si>
  <si>
    <t>A Multicenter Open Clinical Study of Safety, Tolerability, Pharmacokinetic Profile, and Initial Clinical Efficacy of BAT 8010 for Injection Combined With BAT 1006 in the Treatment of Locally Advanced or Metastatic Tumors</t>
  </si>
  <si>
    <t>NCT06452316</t>
  </si>
  <si>
    <t>Study to Evaluate the Safety and Efficacy of CSB-001 Ophthalmic Solution 0.1% in Subjects With Limbal Stem Cell Deficiency</t>
  </si>
  <si>
    <t>NCT06414798</t>
  </si>
  <si>
    <t>A Study to Assess the Safety, Tolerability, and Pharmacokinetics of ABBV-1088 Oral Dose in Healthy Adult Participants.</t>
  </si>
  <si>
    <t>NCT06431607</t>
  </si>
  <si>
    <t>A Study to Find the Dose and Assess the Immune Response and Safety of a Vaccine Against Influenza in Healthy Younger and Older Adults</t>
  </si>
  <si>
    <t>NCT06380205</t>
  </si>
  <si>
    <t>A Study to Evaluate the Drug Interaction Between Povorcitinib and the Oral Contraceptive Levonorgestrel/Ethinyl Estradiol in Healthy Adult Females</t>
  </si>
  <si>
    <t>NCT06400472</t>
  </si>
  <si>
    <t>A Study of LY4170156 in Participants With Selected Advanced Solid Tumors</t>
  </si>
  <si>
    <t>NCT06871761</t>
  </si>
  <si>
    <t>A Trial Comparing HR17031 With Insulin Glargine in Patients With Type 2 Diabetes</t>
  </si>
  <si>
    <t>NCT06449703</t>
  </si>
  <si>
    <t>A Trial to Investigate the Single Dose Pharmacokinetics of Insulin Degludec/Liraglutide in Healthy Chinese Subjects</t>
  </si>
  <si>
    <t>NCT06297642</t>
  </si>
  <si>
    <t>TQB2928 Injection Combined With Penpulimab in Treatment of Advanced Malignant Tumors.</t>
  </si>
  <si>
    <t>NCT06417697</t>
  </si>
  <si>
    <t>A Phase 1b Study to Evaluate the Safety of XEN-101</t>
  </si>
  <si>
    <t>Xeno Biosciences</t>
  </si>
  <si>
    <t>NCT06308679</t>
  </si>
  <si>
    <t>A Bioequivalence Study of Two Formulations of 10-mg Empagliflozin Tablets in Healthy Thai Volunteers Under Fasting Conditions</t>
  </si>
  <si>
    <t>Pharma Nueva</t>
  </si>
  <si>
    <t>NCT06369454</t>
  </si>
  <si>
    <t>A Study to Learn About How Different Forms of the Study Medicine Called Ritlecitinib Pass the Intestines of Healthy Male Adults When Taken With or Without Food</t>
  </si>
  <si>
    <t>NCT06279286</t>
  </si>
  <si>
    <t>Phase Ⅰb/Ⅱ Study of HS-10506 in Chinese Participants With Insomnia Disorder</t>
  </si>
  <si>
    <t>NCT06259903</t>
  </si>
  <si>
    <t>Subcutaneous Administration of MD-18 in Healthy Subjects</t>
  </si>
  <si>
    <t>Cohen Global, Ltd.</t>
  </si>
  <si>
    <t>NCT06435923</t>
  </si>
  <si>
    <t>A Trial to Assess the Absorption, Metabolism, Excretion, and Mass Balance of [14C]-Darigabat After a Single Oral Dose in Healthy Male Participants</t>
  </si>
  <si>
    <t>NCT06320080</t>
  </si>
  <si>
    <t>Clinical Study of TQB2223 Injection Combined With AK105 Injection in the Treatment of Advanced Hepatocellular Carcinoma.</t>
  </si>
  <si>
    <t>NCT06361108</t>
  </si>
  <si>
    <t>MAD Study to Assess the Safety, Tolerability, PKs and Efficacy of YJ001 for Spray Use in Patients With DPNP</t>
  </si>
  <si>
    <t>Zhejiang Hanmai Pharmaceutical Technology Co., Ltd.</t>
  </si>
  <si>
    <t>NCT06348303</t>
  </si>
  <si>
    <t>Study to Assess Drowsiness, Cognition, Fall Risk After Metaxalone 640 mg and Metaxalone 800 mg</t>
  </si>
  <si>
    <t>NCT06388551</t>
  </si>
  <si>
    <t>A Phase 1, SAD Study to Evaluate the Safety and Tolerability of LY03017</t>
  </si>
  <si>
    <t>NCT06283212</t>
  </si>
  <si>
    <t>A Clinical Study to Evaluate the Safety and Efficacy of ETX101, an AAV9-Delivered Gene Therapy in Children With SCN1A-positive Dravet Syndrome</t>
  </si>
  <si>
    <t>NCT06393712</t>
  </si>
  <si>
    <t>A Phase 2 Trial of ALN-APP in Patients With Cerebral Amyloid Angiopathy</t>
  </si>
  <si>
    <t>NCT06364072</t>
  </si>
  <si>
    <t>Safety, Tolerability, Analgesic Effect, and Feasibility of Intranasal CT001 in Pediatric Patients</t>
  </si>
  <si>
    <t>Cessatech A/S</t>
  </si>
  <si>
    <t>NCT06395519</t>
  </si>
  <si>
    <t>A Study of PARG Inhibitor ETX-19477 in Patients With Advanced Solid Malignancies</t>
  </si>
  <si>
    <t>858 Therapeutics, Inc.</t>
  </si>
  <si>
    <t>NCT06361927</t>
  </si>
  <si>
    <t>A Phase II Study of SSGJ-707 Monotherapy in First-line PD-L1 Positive Advanced NSCLC Patients</t>
  </si>
  <si>
    <t>NCT06157892</t>
  </si>
  <si>
    <t>A Study of Disitamab Vedotin With Other Anticancer Drugs in Solid Tumors</t>
  </si>
  <si>
    <t>NCT06393348</t>
  </si>
  <si>
    <t>Efficacy and Safety of HRS-7535 Tablets in T2DM Subjects Poorly Controlled With Metformin and SGLT2i.</t>
  </si>
  <si>
    <t>NCT06302491</t>
  </si>
  <si>
    <t>A Study of Safety and Efficiency of AND017 in Patients With β-thalassemia</t>
  </si>
  <si>
    <t>Kind Pharmaceuticals LLC</t>
  </si>
  <si>
    <t>NCT06421831</t>
  </si>
  <si>
    <t>Evaluation of Safety and Efficacy of Gene Therapy Drug in the Treatment of Spinal Muscular Atrophy (SMA) Type 3 Patients</t>
  </si>
  <si>
    <t>NCT06390722</t>
  </si>
  <si>
    <t>A Study to Assess the Effect of Upadacitinib in Atopic Dermatitis-induced Sleep Disturbance in Adults With Moderate to Severe Atopic Dermatitis</t>
  </si>
  <si>
    <t>NCT06386328</t>
  </si>
  <si>
    <t>A Clinical Trial to Evaluate the Food Effect of CKD-378</t>
  </si>
  <si>
    <t>NCT06396429</t>
  </si>
  <si>
    <t>To Compare the Efficacy and Safety of HRS9531 and Placebo in Subjects With Overweight or Obese</t>
  </si>
  <si>
    <t>NCT06356311</t>
  </si>
  <si>
    <t>A Study to Evaluate Sacituzumab Tirumotecan (MK-2870) in Advanced/Metastatic Gastroesophageal Adenocarcinoma (MK-2870-015)</t>
  </si>
  <si>
    <t>NCT06106672</t>
  </si>
  <si>
    <t>Evaluate the Safety, Tolerability, Pharmacodynamics and Efficacy of CNP-106 in Subjects With Myasthenia Gravis</t>
  </si>
  <si>
    <t>COUR Pharmaceutical Development Company, Inc.</t>
  </si>
  <si>
    <t>NCT06433661</t>
  </si>
  <si>
    <t>A Research Study of the Effect of Food on Etavopivat in Healthy Participants</t>
  </si>
  <si>
    <t>NCT06433505</t>
  </si>
  <si>
    <t>A Study to Evaluate the Drug Levels, Metabolism and Excretion, and Absolute Bioavailability of BMS-986365 in Healthy Male Participants</t>
  </si>
  <si>
    <t>NCT06436183</t>
  </si>
  <si>
    <t>A Study of the Effects of Camoteskimab in Adults With Moderate to Severe Atopic Dermatitis</t>
  </si>
  <si>
    <t>Apollo Therapeutics Ltd</t>
  </si>
  <si>
    <t>NCT05861986</t>
  </si>
  <si>
    <t>A Study Evaluating the Effectiveness and Safety of Risdiplam Administered as an Early Intervention in Pediatric Participants With Spinal Muscular Atrophy After Gene Therapy</t>
  </si>
  <si>
    <t>NCT06138639</t>
  </si>
  <si>
    <t>A Study of SGT-003 Gene Therapy in Duchenne Muscular Dystrophy (INSPIRE DUCHENNE)</t>
  </si>
  <si>
    <t>Solid Biosciences Inc.</t>
  </si>
  <si>
    <t>NCT06316531</t>
  </si>
  <si>
    <t>A Study Comparing BL-M07D1 With T-DM1 in Patients With Unresectable Locally Advanced or Metastatic HER2-positive Breast Cancer</t>
  </si>
  <si>
    <t>NCT06199908</t>
  </si>
  <si>
    <t>AMT-562 in Patients With Selected Advanced Solid Tumors</t>
  </si>
  <si>
    <t>Multitude Therapeutics (Australia) Pty Ltd</t>
  </si>
  <si>
    <t>NCT06348576</t>
  </si>
  <si>
    <t>Phase III Study to Evaluate the Efficacy and Safety of AD-209</t>
  </si>
  <si>
    <t>NCT06548906</t>
  </si>
  <si>
    <t>A Study of GZR4 Injection at Different Injection Sites</t>
  </si>
  <si>
    <t>NCT06402838</t>
  </si>
  <si>
    <t>A Study to Evaluate the Safety and Biomarker Effects of RO7269162 in Participants at Risk for or at the Prodromal Stage of Alzheimer's Disease (AD)</t>
  </si>
  <si>
    <t>NCT06163391</t>
  </si>
  <si>
    <t>A Study to Assess Safety and Efficacy of SOT201 in Patients With Advanced/Metastatic Cancer</t>
  </si>
  <si>
    <t>SOTIO Biotech AG</t>
  </si>
  <si>
    <t>NCT06174766</t>
  </si>
  <si>
    <t>A Study to Evaluate Efficacy and Safety of HGP2102 in Essential Hypertension Patients</t>
  </si>
  <si>
    <t>NCT06238622</t>
  </si>
  <si>
    <t>A Follow-up Study to Test Long-term Treatment With Nerandomilast in People With Pulmonary Fibrosis Who Took Part in a Previous Study With Nerandomilast</t>
  </si>
  <si>
    <t>NCT06507839</t>
  </si>
  <si>
    <t>Study to Assess the Safety, Tolerability, Pharmacokinetic of Thrv-1268</t>
  </si>
  <si>
    <t>Thryv Therapeutics, Inc.</t>
  </si>
  <si>
    <t>NCT06383702</t>
  </si>
  <si>
    <t>A Study to Evaluate Pregabalin in Painful Diabetic Peripheral Neuropathy</t>
  </si>
  <si>
    <t>NCT06493045</t>
  </si>
  <si>
    <t>First-In-Human (FIH) Trial Evaluating the Safety and Tolerability of Single and Multiple Ascending Oral Doses of IRL757 in Healthy Volunteers</t>
  </si>
  <si>
    <t>Integrative Research Laboratories AB</t>
  </si>
  <si>
    <t>NCT05926258</t>
  </si>
  <si>
    <t>Efficacy and Safety of Chloroprocaine 3% Gel and Oxybuprocaine 0.4% Eye Drops Anesthesia in Pediatric Population</t>
  </si>
  <si>
    <t>Sintetica SA</t>
  </si>
  <si>
    <t>NCT06237452</t>
  </si>
  <si>
    <t>VE303 for Prevention of Recurrent Clostridioides Difficile Infection</t>
  </si>
  <si>
    <t>Vedanta Biosciences, Inc.</t>
  </si>
  <si>
    <t>NCT06384547</t>
  </si>
  <si>
    <t>A Randomized, Controlled, Safety and Tolerability Study of VRDN-001 in Participants With Thyroid Eye Disease (TED)</t>
  </si>
  <si>
    <t>NCT06259981</t>
  </si>
  <si>
    <t>A 16-Week Study to Evaluate the Efficacy, Safety, and Tolerability of GLY-200 in Participants With Obesity</t>
  </si>
  <si>
    <t>Glyscend, Inc.</t>
  </si>
  <si>
    <t>NCT06146101</t>
  </si>
  <si>
    <t>RePOSA-Revealing the Efficacy of IHL-42X Use in Patients With OSA</t>
  </si>
  <si>
    <t>Incannex Healthcare Ltd</t>
  </si>
  <si>
    <t>NCT05419492</t>
  </si>
  <si>
    <t>A Clinical Study to Evaluate the Safety and Efficacy of ETX101 in Infants and Children With SCN1A-Positive Dravet Syndrome</t>
  </si>
  <si>
    <t>NCT06524804</t>
  </si>
  <si>
    <t>A Phase Ib/II Study of BY101298 , an Oral DNA-PK Inhibitor, Combined with Radiotherapy in Patients with Malignant Solid Tumors</t>
  </si>
  <si>
    <t>NCT06438809</t>
  </si>
  <si>
    <t>Umbilical-Cord-Derived Mesenchymal Stem Cells Injection for Chronic Radiation Proctitis</t>
  </si>
  <si>
    <t>NCT06351631</t>
  </si>
  <si>
    <t>A Study to Evaluate Safety and Efficacy of Bomedemstat (MK-3543-017)</t>
  </si>
  <si>
    <t>NCT06387082</t>
  </si>
  <si>
    <t>A Clinical Study of HMPL-506 in Patients With Hematological Malignancies</t>
  </si>
  <si>
    <t>NCT06394492</t>
  </si>
  <si>
    <t>SHR-A1921 for Injection in Patients With Platinum-Resistant Recurrent Epithelial Ovarian Cancer</t>
  </si>
  <si>
    <t>NCT06390995</t>
  </si>
  <si>
    <t>A Study of TAK-853 in Adult Participants With Folate Receptor Alpha-Positive Advanced Ovarian Cancer And Other Solid Tumors</t>
  </si>
  <si>
    <t>NCT06446128</t>
  </si>
  <si>
    <t>A Dose Escalating Study of CD19/CD22/BCMA CAR-T Therapy in Relapsed or Refractory B Cell Non-Hodgkin Lymphoma(NHL)</t>
  </si>
  <si>
    <t>NCT06426485</t>
  </si>
  <si>
    <t>To Evaluate the Long-term Efficacy and Safety of Toludevenlafaxine Hydrochloride Sustained-release Tablets</t>
  </si>
  <si>
    <t>NCT06375044</t>
  </si>
  <si>
    <t>Study of SIM0500 Alone in Participants With Relapsed or Refractory Multiple Myeloma</t>
  </si>
  <si>
    <t>NCT06465420</t>
  </si>
  <si>
    <t>A Study to Evaluate Safety and Immunogenicity of Haemophilus Influenzae Serotype A Vaccine</t>
  </si>
  <si>
    <t>InventVacc Biologicals Inc.</t>
  </si>
  <si>
    <t>NCT06548217</t>
  </si>
  <si>
    <t>A Phase I Study of ONO-4538HSC in Subjects With Advanced or Metastatic Solid Tumors</t>
  </si>
  <si>
    <t>NCT06385964</t>
  </si>
  <si>
    <t>A Study to Evaluate the Safety, Tolerability, Pharmacokinetics, and Pharmacodynamics of SHR-4597 Inhalation in Healthy Subjects and Asthmatic Patients</t>
  </si>
  <si>
    <t>NCT06946160</t>
  </si>
  <si>
    <t>A Non-inferiority Clinical Trial to Compare Efficacy and Safety of Abobotulinumtoxin A (Espad Pharmed) Versus AbobotulinumtoxinA (Dysport®, Ipsen Co.) for Correction of Moderate to Severe Glabellar Lines</t>
  </si>
  <si>
    <t>Espad Pharmed</t>
  </si>
  <si>
    <t>NCT06357910</t>
  </si>
  <si>
    <t>A Study to Evaluate the Pharmacokinetics and Safety Between HCP2303 and Co-administration of Each Component in Healthy Volunteers Under Fed Conditions</t>
  </si>
  <si>
    <t>NCT06451497</t>
  </si>
  <si>
    <t>Phase 1 Trial of ZM008 as Single Agent and in Combination With Pembrolizumab in Patients With Advanced Solid Tumors</t>
  </si>
  <si>
    <t>Zumutor Biologics Inc.</t>
  </si>
  <si>
    <t>NCT06328738</t>
  </si>
  <si>
    <t>ELVN-002 With Trastuzumab +/- Chemotherapy in HER2+ Solid Tumors, Colorectal and Breast Cancer</t>
  </si>
  <si>
    <t>Enliven Therapeutics</t>
  </si>
  <si>
    <t>NCT06406348</t>
  </si>
  <si>
    <t>A Phase 1 Trial to Assess Safety, Tolerability and Pharmacokinetics of ALIA-1758 in Healthy Participants</t>
  </si>
  <si>
    <t>NCT06866158</t>
  </si>
  <si>
    <t>Autologous Dendritic Cell as Adjunct Therapy for Diabetic Kidney Disease</t>
  </si>
  <si>
    <t>PT. JES Kasih Nusantara Sejahterah</t>
  </si>
  <si>
    <t>NCT06413693</t>
  </si>
  <si>
    <t>A STUDY TO LEARN HOW THE STUDY MEDICINE CALLED PF-07293893 AFFECTS MUSCLE BIOMARKERS OF HEALTHY ADULTS</t>
  </si>
  <si>
    <t>NCT06483373</t>
  </si>
  <si>
    <t>A Clinical Study of SPH7854 Granules in Healthy Subjects.</t>
  </si>
  <si>
    <t>NCT06349473</t>
  </si>
  <si>
    <t>A Study of Safety, Tolerability, Pharmacokinetics, and Pharmacodynamics of SR604 in Two Participants Groups (Part A: Healthy Participants, and Part B: Participants With Hemophilia A or Hemophilia B or Factor VII Deficiency)</t>
  </si>
  <si>
    <t>Equilibra Bioscience LLC</t>
  </si>
  <si>
    <t>NCT06432140</t>
  </si>
  <si>
    <t>A Trial to Evaluate Safety and Efficacy of a Product Named VGN-R09b in Severe AADC Deficiency</t>
  </si>
  <si>
    <t>NCT06347133</t>
  </si>
  <si>
    <t>Phase 3 Study of Plozasiran in Adults With Hypertriglyceridemia</t>
  </si>
  <si>
    <t>NCT06372964</t>
  </si>
  <si>
    <t>Multicenter Study of Lumateperone for the Treatment of Bipolar Depression in Pediatric Patients</t>
  </si>
  <si>
    <t>NCT06434467</t>
  </si>
  <si>
    <t>The Efficacy and Safety of Nelarabine Injection in Patients With T-lymphoblastic Leukemia and T-lymphoblastic Lymphoma</t>
  </si>
  <si>
    <t>NCT06405425</t>
  </si>
  <si>
    <t>A Study of BL-B01D1 + PD-1 in Patients With Locally Advanced or Metastatic Urothelial Carcinoma</t>
  </si>
  <si>
    <t>NCT06419374</t>
  </si>
  <si>
    <t>A Study to Evaluate the Efficacy and Safety of Pegozafermin in Participants With Compensated Cirrhosis Due to MASH</t>
  </si>
  <si>
    <t>NCT06403761</t>
  </si>
  <si>
    <t>Investigating How CagriSema, Semaglutide and Cagrilintide Regulate Insulin Effects in the Body of People With Type 2 Diabetes</t>
  </si>
  <si>
    <t>NCT06300320</t>
  </si>
  <si>
    <t>A Clinical Trial of TQ05105 Tablets in the Treatment of Chronic Graft-versus-host Disease</t>
  </si>
  <si>
    <t>NCT06532942</t>
  </si>
  <si>
    <t>A Study to Evaluate Safety, Tolerability and Pharmacokinetics of MKND-201 in Healthy Volunteers</t>
  </si>
  <si>
    <t>Mannkind Corporation</t>
  </si>
  <si>
    <t>NCT06570655</t>
  </si>
  <si>
    <t>The Study of Pharmacokinetics and Pharmacodynamics of Huperzine a Injection in Healthy Chinese Subjects</t>
  </si>
  <si>
    <t>NCT06416358</t>
  </si>
  <si>
    <t>A Study to Evaluate the Efficacy of ALMB-0168 in Solid Tumor Patients With Bone Metastatic Whose Prior Standard Treatment Have Failed</t>
  </si>
  <si>
    <t>AlaMab Therapeutics (Shanghai) Inc.</t>
  </si>
  <si>
    <t>NCT06726564</t>
  </si>
  <si>
    <t>A Study of MT027 in Patients with Pleural Malignant Tumors</t>
  </si>
  <si>
    <t>Suzhou Maximum Bio-tech Co., Ltd.</t>
  </si>
  <si>
    <t>NCT06417229</t>
  </si>
  <si>
    <t>Study to Evaluate Safety, Drug Levels, Food and Relative Bioavailability of BMS-986365 in Healthy Adult Male Participants</t>
  </si>
  <si>
    <t>NCT06448364</t>
  </si>
  <si>
    <t>A Study in Advanced/Metastatic Solid Tumors With the Study Medicine (PF-07329640) When Given Alone or In Combination</t>
  </si>
  <si>
    <t>NCT06435221</t>
  </si>
  <si>
    <t>Safety Study of Cytisinicline in Adult Combustible and/or E-cigarette Smokers</t>
  </si>
  <si>
    <t>Achieve Life Sciences</t>
  </si>
  <si>
    <t>NCT06319313</t>
  </si>
  <si>
    <t>Efficacy and Safety of JMT101 Combined Wth Docetaxel / HB1801 in Patients With Squamous Cell Non-Small Cell Lung Cancer</t>
  </si>
  <si>
    <t>NCT06628596</t>
  </si>
  <si>
    <t>Acute Effects of Paraxanthine on Energy and Focus</t>
  </si>
  <si>
    <t>Iovate Health Sciences International Inc</t>
  </si>
  <si>
    <t>NCT06079359</t>
  </si>
  <si>
    <t>Phase 3 Study of ALXN1850 in Treatment-Naïve Pediatric Participants With HPP</t>
  </si>
  <si>
    <t>NCT06385145</t>
  </si>
  <si>
    <t>A Bioavailability Study of Two Different PEG-rhGH Preparations.</t>
  </si>
  <si>
    <t>NCT06366451</t>
  </si>
  <si>
    <t>PBI-MST-01 (NCT04541108) Substudy AZN-05: Intratumoral Microdosing of Rilvegostomig, Volrustomig, Sabestomig, and AZD9592 in HNSCC</t>
  </si>
  <si>
    <t>Presage Biosciences</t>
  </si>
  <si>
    <t>NCT06321302</t>
  </si>
  <si>
    <t>A Study to Test Whether BI 764524 Helps People With an Eye Condition Called Diabetic Retinopathy</t>
  </si>
  <si>
    <t>NCT06362746</t>
  </si>
  <si>
    <t>Non-immunogenic Recombinant Staphylokinase vs Placebo in Patients With Intermediate High-risk Pulmonary Embolism</t>
  </si>
  <si>
    <t>Supergene, LLC</t>
  </si>
  <si>
    <t>NCT06411379</t>
  </si>
  <si>
    <t>Study to Evaluate the Efficacy and Safety of Subcutaneous Sonelokimab Compared With Placebo in Adult Participants With Moderate to Severe Hidradenitis Suppurativa</t>
  </si>
  <si>
    <t>MoonLake Immunotherapeutics AG</t>
  </si>
  <si>
    <t>NCT06391827</t>
  </si>
  <si>
    <t>A Study to Evaluate Safety, Tolerability, and PK of DA-7503 in Healthy Adult and Elderly Participants</t>
  </si>
  <si>
    <t>NCT06411899</t>
  </si>
  <si>
    <t>A Study to Evaluate the Efficacy and Safety of Subcutaneous Sonelokimab Compared With Placebo in Adult Participants With Moderate to Severe Hidradenitis Suppurativa</t>
  </si>
  <si>
    <t>NCT06366243</t>
  </si>
  <si>
    <t>A Trial to Evaluate the Effect of Esomeprazole on the Pharmacokinetics of Emraclidine in Healthy Adult Participants</t>
  </si>
  <si>
    <t>NCT06422689</t>
  </si>
  <si>
    <t>Combination Short-Acting BroNchodilator and Inhaled Corticosteroid Rescue Therapy on Health Outcomes in Routine Care</t>
  </si>
  <si>
    <t>NCT06328439</t>
  </si>
  <si>
    <t>A Study to Evaluate ANS014004 in Subjects With Locally Advanced or Metastatic Solid Tumors</t>
  </si>
  <si>
    <t>Avistone Biotechnology Co., Ltd.</t>
  </si>
  <si>
    <t>NCT06394167</t>
  </si>
  <si>
    <t>A Phase 1 Dose Escalation Study of Intravenous VX-993 in Healthy Adults</t>
  </si>
  <si>
    <t>NCT06541665</t>
  </si>
  <si>
    <t>Phase I Study Evaluating Tolerability, Safety, Pharmacokinetics, and Efficacy of Combined ONO-4059 and R-MPV Therapy for PCNSL</t>
  </si>
  <si>
    <t>NCT06317311</t>
  </si>
  <si>
    <t>A Study of Dostarlimab in Combination With Carboplatin-paclitaxel in Japanese Participants With Primary Advanced or Recurrent Endometrial Cancer</t>
  </si>
  <si>
    <t>NCT06391177</t>
  </si>
  <si>
    <t>A Study to Evaluate Vonoprazan Concentrations in Breast Milk of Healthy Lactating Women Receiving Vonoprazan 20 mg Once Daily or Vonoprazan 20 mg Twice Daily</t>
  </si>
  <si>
    <t>Phathom Pharmaceuticals, Inc.</t>
  </si>
  <si>
    <t>NCT06411730</t>
  </si>
  <si>
    <t>A Study to Evaluate the Safety, Tolerability, and Drug Levels of Orally Administered BMS-986368 in Healthy Participants, Healthy Elderly Participants, and Healthy Participants of Japanese Ethnicity</t>
  </si>
  <si>
    <t>NCT06376045</t>
  </si>
  <si>
    <t>A Phase 2, Dose Ranging Study Assessing Rocatinlimab in Moderate-to-severe Asthma</t>
  </si>
  <si>
    <t>NCT06254495</t>
  </si>
  <si>
    <t>A Safety Study of PF-08046044/SGN-35C in Adults With Advanced Cancers</t>
  </si>
  <si>
    <t>NCT06363994</t>
  </si>
  <si>
    <t>A Global Phase 3 Study of Orelabrutinib+BR Vs.BR in Pts with TN MCL</t>
  </si>
  <si>
    <t>NCT06545136</t>
  </si>
  <si>
    <t>Long Term Follow-up Study of Type-1 Gaucher Subjects Post FLT201 Dose (GALILEO-2)</t>
  </si>
  <si>
    <t>Spur Therapeutics</t>
  </si>
  <si>
    <t>NCT06134362</t>
  </si>
  <si>
    <t>Long-term Follow-up of Long-acting Cabotegravir (CAB LA) for PrEP (Pre-exposure Prophylaxis) in Participants at Risk of Acquiring HIV (Human Immunodeficiency Virus)</t>
  </si>
  <si>
    <t>NCT05973487</t>
  </si>
  <si>
    <t>A Basket Study of Customized Autologous TCR-T Cell Therapies in Patients With Locally Advanced (Unresectable) or Metastatic Solid Tumors</t>
  </si>
  <si>
    <t>TScan Therapeutics, Inc.</t>
  </si>
  <si>
    <t>NCT06380452</t>
  </si>
  <si>
    <t>Therapy for Scabies With Two Differently Concentrated Permethrin Creams</t>
  </si>
  <si>
    <t>Infectopharm Arzneimittel GmbH</t>
  </si>
  <si>
    <t>NCT06051721</t>
  </si>
  <si>
    <t>A Study of a N, N-dimethyltryptamine (DMT) Analog (CYB004) in Participants With Generalized Anxiety Disorder (GAD)</t>
  </si>
  <si>
    <t>Cybin IRL Limited</t>
  </si>
  <si>
    <t>NCT04137978</t>
  </si>
  <si>
    <t>Study Evaluating Patients With Cystinuria</t>
  </si>
  <si>
    <t>NCT06406790</t>
  </si>
  <si>
    <t>CraniSeal Post Approval Study</t>
  </si>
  <si>
    <t>Pramand LLC</t>
  </si>
  <si>
    <t>NCT06079346</t>
  </si>
  <si>
    <t>A Study of OT-101 With mFOLFIRINOX in Patients With Advanced and Unresectable or Metastatic Pancreatic Cancer</t>
  </si>
  <si>
    <t>Oncotelic Inc.</t>
  </si>
  <si>
    <t>NCT06329791</t>
  </si>
  <si>
    <t>A Phase 3 Study to Evaluate AZR-MD-001 in Patients with Abnormal Meibomian Gland Function and Dry Eye Disease (DED)</t>
  </si>
  <si>
    <t>Azura Ophthalmics</t>
  </si>
  <si>
    <t>NCT06397768</t>
  </si>
  <si>
    <t>Co-administration Study of an Investigational Live-Attenuated Respiratory Syncytial Virus Vaccine in Infants and Toddlers</t>
  </si>
  <si>
    <t>NCT06305559</t>
  </si>
  <si>
    <t>A CCTA Imaging Trial to Evaluate the Effect of Obicetrapib/Ezetimibe on Coronary Plaque</t>
  </si>
  <si>
    <t>NCT06384352</t>
  </si>
  <si>
    <t>A Phase I Study to Evaluate the Safety,Tolerability, Pharmacokinetics, and Efficacy of YL211 in Patients With Advanced Solid Tumors</t>
  </si>
  <si>
    <t>NCT06241573</t>
  </si>
  <si>
    <t>A Study to Test Long-term Treatment With Spesolimab in People With a Skin Condition Disease Called Hidradenitis Suppurativa (HS) Who Took Part in a Previous Study With Spesolimab</t>
  </si>
  <si>
    <t>NCT05703971</t>
  </si>
  <si>
    <t>Quaratusugene Ozeplasmid (Reqorsa) and Atezolizumab Maintenance Therapy in ES-SCLC Patients</t>
  </si>
  <si>
    <t>Genprex, Inc.</t>
  </si>
  <si>
    <t>NCT06439056</t>
  </si>
  <si>
    <t>Phase 1 Study Assessing the Pharmacokinetics of NEX-22A in Subjects With T2D</t>
  </si>
  <si>
    <t>Nanexa AB</t>
  </si>
  <si>
    <t>NCT06362759</t>
  </si>
  <si>
    <t>A Study to Evaluate TOUR006 in Patients With Chronic Kidney Disease and Elevated Hs-CRP</t>
  </si>
  <si>
    <t>NCT06787131</t>
  </si>
  <si>
    <t>Clinical Study Aiming to Evaluate the Safety, Tolerability, Pharmacokinetics and Pharmacodynamics of a Single Administration of ZE50-0134 at 5 Dose Levels in Healthy Volunteers</t>
  </si>
  <si>
    <t>NCT06370728</t>
  </si>
  <si>
    <t>A Drug-Drug Interaction (DDI) Study of Orforglipron With Carbamazepine in Healthy Participants</t>
  </si>
  <si>
    <t>NCT06417008</t>
  </si>
  <si>
    <t>A Study of HS-20117 Combined With Aumolertinib in Participants With Advanced Non-Squamous Non-Small Cell Lung Cancer</t>
  </si>
  <si>
    <t>NCT06226571</t>
  </si>
  <si>
    <t>A Study of SNDX-5613 in Combination With Intensive Chemotherapy in Participants With Acute Myeloid Leukemias</t>
  </si>
  <si>
    <t>Syndax Pharmaceuticals</t>
  </si>
  <si>
    <t>NCT06403501</t>
  </si>
  <si>
    <t>Efficacy and Safety of Clascoterone Cream 1% in Facial Acne Vulgaris</t>
  </si>
  <si>
    <t>Zhejiang Sunshine Mandi Pharmaceutical Co.,Ltd.</t>
  </si>
  <si>
    <t>NCT06239298</t>
  </si>
  <si>
    <t>A Study of ZG005 Combined With Donafenib in Patients With Advanced Solid Tumor</t>
  </si>
  <si>
    <t>NCT06425861</t>
  </si>
  <si>
    <t>A First in Human Trial Evaluating THB335 in Healthy Participants</t>
  </si>
  <si>
    <t>Third Harmonic Bio, Inc.</t>
  </si>
  <si>
    <t>NCT06232252</t>
  </si>
  <si>
    <t>A Study to Test How Well Multiple Doses of BI 765423 Are Tolerated by Healthy Men</t>
  </si>
  <si>
    <t>NCT06407934</t>
  </si>
  <si>
    <t>A Study to Evaluate the Treatment Response and Safety of Two Dose Regimens of Subcutaneous Amlitelimab Compared With Treatment Withdrawal in Participants Aged 12 Years and Older With Moderate-to-severe Atopic Dermatitis</t>
  </si>
  <si>
    <t>NCT06415045</t>
  </si>
  <si>
    <t>A Study in Healthy People to Test How BI 1015550 is Taken up in the Body When Given With or Without Food</t>
  </si>
  <si>
    <t>NCT06350123</t>
  </si>
  <si>
    <t>Efficacy, Safety and Tolerability of Balcinrenone/Dapagliflozin Compared to Dapagliflozin in Adults With Chronic Kidney Disease</t>
  </si>
  <si>
    <t>NCT06445062</t>
  </si>
  <si>
    <t>Study of RAS(ON) Inhibitors in Patients With Gastrointestinal Solid Tumors</t>
  </si>
  <si>
    <t>NCT05739942</t>
  </si>
  <si>
    <t>Dose Finding Study of [177Lu]Lu-NeoB in Newly Diagnosed Glioblastoma and in Recurrent Glioblastoma</t>
  </si>
  <si>
    <t>NCT06453824</t>
  </si>
  <si>
    <t>SAD Evaluation of Safety, Tolerability, PK, and PD of MDI-2517 in Healthy Participants</t>
  </si>
  <si>
    <t>MDI Therapeutics, Inc.</t>
  </si>
  <si>
    <t>NCT06360354</t>
  </si>
  <si>
    <t>A Study Evaluating AMG 193 in Combination With Other Therapies in Participants With Advanced Gastrointestinal, Biliary Tract, or Pancreatic Cancers With Homozygous Methylthioadenosine Phosphorylase (MTAP)-Deletion (MTAPESTRY 103)</t>
  </si>
  <si>
    <t>NCT06511739</t>
  </si>
  <si>
    <t>A Study to Evaluate the Efficacy and Safety of SYHX1901 Tablet in Non-segmental Vitiligo Patients</t>
  </si>
  <si>
    <t>NCT06366464</t>
  </si>
  <si>
    <t>A Study of Pitolisant in Patients With Prader-Willi Syndrome</t>
  </si>
  <si>
    <t>Harmony Biosciences Management, Inc.</t>
  </si>
  <si>
    <t>NCT06504368</t>
  </si>
  <si>
    <t>Safety, Tolerability, and Pharmacokinetics of DCR-PDL1 in Adults With Solid Tumors</t>
  </si>
  <si>
    <t>Dicerna Pharmaceuticals, Inc., a Novo Nordisk company</t>
  </si>
  <si>
    <t>NCT06153238</t>
  </si>
  <si>
    <t>A PK Study to Compare GME751 (Proposed Pembrolizumab Biosimilar) and US-licensed and EU-authorized Keytruda® in Participants With Stage II and III Melanoma</t>
  </si>
  <si>
    <t>NCT06409130</t>
  </si>
  <si>
    <t>Effects of NNC0194-0499, Cagrilintide, and Semaglutide Alone or in Combinations on Liver Damage and Alcohol Use in People With Alcohol-related Liver Disease</t>
  </si>
  <si>
    <t>NCT06420765</t>
  </si>
  <si>
    <t>A Microneurography Study of NaV1.8 Inhibition in Healthy Adults</t>
  </si>
  <si>
    <t>NCT06782334</t>
  </si>
  <si>
    <t>AMT-116 in Patients with Solid Tumors</t>
  </si>
  <si>
    <t>NCT06248112</t>
  </si>
  <si>
    <t>Sacubitril 97 mg and Valsartan 103 mg Film-coated Tablets Relative to Entresto 97 mg/103 mg Film-coated Tablets</t>
  </si>
  <si>
    <t>NCT06171178</t>
  </si>
  <si>
    <t>A Study of ASP1012 in Adults With Solid Tumors</t>
  </si>
  <si>
    <t>NCT06232707</t>
  </si>
  <si>
    <t>A Study to Evaluate Efficacy and Safety of Alnuctamab Compared to Standard of Care Regimens in Participants With Relapsed or Refractory Multiple Myeloma (RRMM)</t>
  </si>
  <si>
    <t>NCT06425926</t>
  </si>
  <si>
    <t>Safety and Tolerability Study of GIM-531 in Advanced Solid Tumors</t>
  </si>
  <si>
    <t>Georgiamune Inc</t>
  </si>
  <si>
    <t>NCT06465160</t>
  </si>
  <si>
    <t>A Study to Evaluate the MNV-201 in Patients With Low Risk MDS</t>
  </si>
  <si>
    <t>Minovia Therapeutics Ltd.</t>
  </si>
  <si>
    <t>NCT06419660</t>
  </si>
  <si>
    <t>A Study in Healthy Men to Test Whether Esomeprazole Influences the Amount of BI 3000202 in the Blood</t>
  </si>
  <si>
    <t>NCT06375187</t>
  </si>
  <si>
    <t>A Study of GC203 TIL in Advanced Malignant Solid Tumors</t>
  </si>
  <si>
    <t>Shanghai Juncell Therapeutics</t>
  </si>
  <si>
    <t>NCT06350006</t>
  </si>
  <si>
    <t>SHR-A1904 Combinations in CLDN18.2-Positive Advanced Solid Tumor</t>
  </si>
  <si>
    <t>NCT06222034</t>
  </si>
  <si>
    <t>Study to Measure Filgotinib in the Blood of Children and Teenagers With Arthritis Taking Filgotinib (SCALESIA)</t>
  </si>
  <si>
    <t>Alfasigma S.p.A.</t>
  </si>
  <si>
    <t>NCT06382129</t>
  </si>
  <si>
    <t>A Study Comparing BL-B01D1 With Docetaxel in Patients With Unresectable Locally Advanced or Metastatic EGFR Wild-type Non-small Cell Lung Cancer</t>
  </si>
  <si>
    <t>NCT06038331</t>
  </si>
  <si>
    <t>Use of a Treated, Devitalized and Sterile Umbilical Cord Amniotic Membrane in the Treatment of STT Osteoarthritis</t>
  </si>
  <si>
    <t>NCT06203210</t>
  </si>
  <si>
    <t>A Study of Ifinatamab Deruxtecan Versus Treatment of Physician's Choice in Subjects With Relapsed Small Cell Lung Cancer</t>
  </si>
  <si>
    <t>NCT06506643</t>
  </si>
  <si>
    <t>Safety and Efficacy of KLS-1 Monotherapy in Malignant Neoplasms</t>
  </si>
  <si>
    <t>Vector Vitale LLC</t>
  </si>
  <si>
    <t>NCT06249048</t>
  </si>
  <si>
    <t>Phase 1/2 Study of Intratumoral Injection of STX-001 in Advanced Solid Tumors as Monotherapy or in Combination With Pembrolizumab</t>
  </si>
  <si>
    <t>Strand Therapeutics Inc.</t>
  </si>
  <si>
    <t>NCT06382116</t>
  </si>
  <si>
    <t>A Study Comparing BL-B01D1 With Platinum Based Chemotherapy in Patients With Locally Advanced or Metastatic Non-small Cell Lung Cancer</t>
  </si>
  <si>
    <t>NCT06531707</t>
  </si>
  <si>
    <t>Efficacy and Safety in the Combination of Ibuprofen / Loratadine Versus Ibuprofen Versus Loratadine</t>
  </si>
  <si>
    <t>NCT06400719</t>
  </si>
  <si>
    <t>Pilot Study of AVT16 in Healthy Adult Subjects</t>
  </si>
  <si>
    <t>NCT04480645</t>
  </si>
  <si>
    <t>CivaDerm(TM) Surface Therapy Pilot Study</t>
  </si>
  <si>
    <t>CivaTech Oncology</t>
  </si>
  <si>
    <t>NCT06332430</t>
  </si>
  <si>
    <t>Intratumoral CAN2109 in Subjects With Solid Tumors</t>
  </si>
  <si>
    <t>Canwell Biotech Limited</t>
  </si>
  <si>
    <t>NCT06422936</t>
  </si>
  <si>
    <t>Clinical Trial to Evaluate BO-112 in Patients With Basal Cell Carcinoma (BCC)</t>
  </si>
  <si>
    <t>Highlight Therapeutics</t>
  </si>
  <si>
    <t>NCT06293053</t>
  </si>
  <si>
    <t>A Study to Investigate the Pharmacokinetics and Safety of Dupilumab in Participants ≥6 Months to &lt;18 Years of Age With Prurigo Nodularis</t>
  </si>
  <si>
    <t>NCT06343402</t>
  </si>
  <si>
    <t>Open-label Study of BBO-8520 in Adult Subjects With KRASG12C Non-small Cell Lung Cancer</t>
  </si>
  <si>
    <t>TheRas, Inc., d/b/a BBOT (BridgeBio Oncology Therapeutics)</t>
  </si>
  <si>
    <t>NCT06363851</t>
  </si>
  <si>
    <t>Single-ascending Dose Study of Kylo-11 in Healthy Subjects</t>
  </si>
  <si>
    <t>Kylonova (Xiamen) Biopharma co., LTD.</t>
  </si>
  <si>
    <t>NCT06375031</t>
  </si>
  <si>
    <t>Comparison of HR011408 and NovoRapid® in Subjects With Diabetics</t>
  </si>
  <si>
    <t>NCT06344975</t>
  </si>
  <si>
    <t>A Study to Describe the Safety and Immunogenicity of a Respiratory Syncytial Virus Vaccine STR-V003 in Healthy Adults</t>
  </si>
  <si>
    <t>Starna Therapeutics</t>
  </si>
  <si>
    <t>NCT06383013</t>
  </si>
  <si>
    <t>BB-101 for the Treatment of Diabetic Lower Leg and Foot Ulcers</t>
  </si>
  <si>
    <t>Blue Blood Biotech Corp.</t>
  </si>
  <si>
    <t>NCT06391710</t>
  </si>
  <si>
    <t>HRS9531 Injection in Obese Subjects With Heart Failure With Preserved Ejection Fraction</t>
  </si>
  <si>
    <t>NCT05804370</t>
  </si>
  <si>
    <t>Gleolan for Visualization of Newly Diagnosed or Recurrent Ovarian Cancer (OVA-302)</t>
  </si>
  <si>
    <t>NX Development Corp</t>
  </si>
  <si>
    <t>NCT06093503</t>
  </si>
  <si>
    <t>Study of Intravenous Telisotuzumab Vedotin in Combination Osimertinib or Standard of Care Chemotherapy to Assess Change in Disease Activity in Adult Participants With Non-Small Cell Lung Cancer That Has a Mutation in the Epidermal Growth Factor Receptor Gene and That Overexpresses the c-Met Protein</t>
  </si>
  <si>
    <t>NCT06378437</t>
  </si>
  <si>
    <t>A Study of GLB-001 in Patients With Myeloid Malignancies</t>
  </si>
  <si>
    <t>NCT06333860</t>
  </si>
  <si>
    <t>A Study to Learn How Safe and Effective Risankizumab is When Compared to Deucravacitinib to Treat Participants With Moderate Plaque Psoriasis and Who Need to Try Systemic Treatment (Works Throughout the Whole Body)</t>
  </si>
  <si>
    <t>NCT06481098</t>
  </si>
  <si>
    <t>A Phase 1 Study to Assess HM15275 in Healthy and Obese Subjects.</t>
  </si>
  <si>
    <t>NCT06326697</t>
  </si>
  <si>
    <t>Bioequivalence of Azacitidine 300 mg Film-Coated Tablets in Adult Patients With Acute Myeloid Leukaemia (AML)</t>
  </si>
  <si>
    <t>Hikma Pharmaceuticals LLC</t>
  </si>
  <si>
    <t>NCT06383273</t>
  </si>
  <si>
    <t>A Study to Evaluate Efficacy and Safety of MELT-300 for Procedural Sedation in Subjects Undergoing Cataract Extraction With Lens Replacement (CELR)</t>
  </si>
  <si>
    <t>Melt Pharmaceuticals</t>
  </si>
  <si>
    <t>NCT06312020</t>
  </si>
  <si>
    <t>A Phase 2 Study to Investigate Efficacy and Safety of HZN-1116 in Participants With Sjogren's Syndrome</t>
  </si>
  <si>
    <t>NCT06378138</t>
  </si>
  <si>
    <t>ICP-248 in Combination With Orelabrutinib in Treatment-naïve Chronic Lymphocytic Leukemia/Small Lymphocytic Lymphoma (APEX-03)</t>
  </si>
  <si>
    <t>NCT06402721</t>
  </si>
  <si>
    <t>A Study to Learn About How BAY 3283142 Moves Into, Through, and Out of the Body After a Single Dose in Participants With Reduced Liver Function Compared to Participants With Normal Liver Function</t>
  </si>
  <si>
    <t>NCT06422117</t>
  </si>
  <si>
    <t>Efficacy and Safety of HSK16149 Capsule in the Treatment of Moderate and Severe Central Neuropathic Pain in China</t>
  </si>
  <si>
    <t>NCT06118255</t>
  </si>
  <si>
    <t>A Study to Evaluate Safety, Tolerability, and Pharmacokinetics of Fenfluramine (Hydrochloride) in Infants 1 Year to Less Than 2 Years of Age With Dravet Syndrome</t>
  </si>
  <si>
    <t>UCB BIOSCIENCES, Inc.</t>
  </si>
  <si>
    <t>NCT05963074</t>
  </si>
  <si>
    <t>A Study to Customize Ibrutinib Treatment Regimens for Participants With Previously Untreated Chronic Lymphocytic Leukemia</t>
  </si>
  <si>
    <t>NCT06307665</t>
  </si>
  <si>
    <t>Evaluating the Efficacy and Safety of PT027 Compared With PT007 Administered As Needed in Participants 12 to &lt; 18 Years of Age With Asthma</t>
  </si>
  <si>
    <t>NCT06348563</t>
  </si>
  <si>
    <t>AGED Diagnostics Liver Disease Assessment</t>
  </si>
  <si>
    <t>Active Genomes Expressed Diagnostics, Corp</t>
  </si>
  <si>
    <t>NCT06413615</t>
  </si>
  <si>
    <t>A Study of FDA022-BB05 in Advanced/Metastatic Solid Tumors</t>
  </si>
  <si>
    <t>Shanghai Fudan-Zhangjiang Bio-Pharmaceutical Co., Ltd.</t>
  </si>
  <si>
    <t>NCT06369467</t>
  </si>
  <si>
    <t>Short-Term Linvoseltamab Treatment on Top of Chronic Dupilumab Treatment for Adults With Severe Immunoglobulin E (IgE)-Mediated Food Allergy</t>
  </si>
  <si>
    <t>NCT06431243</t>
  </si>
  <si>
    <t>A Clinical Study of Purinostat Mesylate for Injection in Patients With Advanced Solid Tumors</t>
  </si>
  <si>
    <t>NCT06367153</t>
  </si>
  <si>
    <t>A Study in Healthy Men and Women to Test Whether BI 1569912 Influences the Amount of Repaglinide, Midazolam and Bupropion in the Blood</t>
  </si>
  <si>
    <t>NCT06401785</t>
  </si>
  <si>
    <t>To Evaluate the Efficacy of Oral Molecular Hydrogen Supplement in Patients With Chronic Diseases</t>
  </si>
  <si>
    <t>HoHo Biotech</t>
  </si>
  <si>
    <t>NCT06245291</t>
  </si>
  <si>
    <t>Study of Imdusiran (AB-729) in Combination With Intermittent Dosing of Durvalumab in Subjects With Chronic HBV Infection</t>
  </si>
  <si>
    <t>Arbutus Biopharma Corporation</t>
  </si>
  <si>
    <t>NCT06337084</t>
  </si>
  <si>
    <t>Diagnostic Efficacy and Dosimetry of MNPR-101-DFO*-89Zr in Patients With Solid Tumors</t>
  </si>
  <si>
    <t>Monopar Therapeutics</t>
  </si>
  <si>
    <t>NCT05674526</t>
  </si>
  <si>
    <t>A Phase 1b Study of WU-NK-101 in Combination With Cetuximab</t>
  </si>
  <si>
    <t>Wugen, Inc.</t>
  </si>
  <si>
    <t>NCT06125028</t>
  </si>
  <si>
    <t>[68Ga]Ga-PentixaFor-PET Imaging for Staging of Marginal Zone Lymphoma</t>
  </si>
  <si>
    <t>Pentixapharm AG</t>
  </si>
  <si>
    <t>NCT06299163</t>
  </si>
  <si>
    <t>NM32-2668 in Adult Patients With Selected Advanced Solid Tumors</t>
  </si>
  <si>
    <t>Numab Therapeutics AG</t>
  </si>
  <si>
    <t>NCT06453551</t>
  </si>
  <si>
    <t>A Phase I Study of TRN501 in Healthy Volunteers</t>
  </si>
  <si>
    <t>SNLD, Ltd.</t>
  </si>
  <si>
    <t>NCT06495944</t>
  </si>
  <si>
    <t>Impact of Itraconazole on the Pharmacokinetics and Safety of Dazucorilant in Healthy, Adult Participants</t>
  </si>
  <si>
    <t>Corcept Therapeutics</t>
  </si>
  <si>
    <t>NCT06400615</t>
  </si>
  <si>
    <t>Study That Tests AD109 in Patients Taking GLP-1 Drugs</t>
  </si>
  <si>
    <t>Apnimed</t>
  </si>
  <si>
    <t>NCT06340490</t>
  </si>
  <si>
    <t>A Study of RJMty19 in Refractory Systemic Lupus Erythematosus (SLE)</t>
  </si>
  <si>
    <t>NCT06363383</t>
  </si>
  <si>
    <t>A Phase 1 Study to Evaluate the Safety of an Oral Biologic in Healthy Participants</t>
  </si>
  <si>
    <t>Mage Biologics</t>
  </si>
  <si>
    <t>NCT06400589</t>
  </si>
  <si>
    <t>A Study to Evaluate the Efficacy and Safety of Tanfanercept (HL036) in Dry Eye Disease</t>
  </si>
  <si>
    <t>HanAll BioPharma Co., Ltd.</t>
  </si>
  <si>
    <t>NCT06272058</t>
  </si>
  <si>
    <t>A Study to Test How Avenciguat (BI 685509) is Taken up in the Body of People With and Without Liver Problems</t>
  </si>
  <si>
    <t>NCT06055439</t>
  </si>
  <si>
    <t>A Phase 1/2 Study to Evaluate CHM-2101, an Autologous Cadherin 17 Chimeric Antigen Receptor (CAR) T Cell Therapy</t>
  </si>
  <si>
    <t>Chimeric Therapeutics</t>
  </si>
  <si>
    <t>NCT06402201</t>
  </si>
  <si>
    <t>First in Human Study of CDR404 in HLA-A*02:01 Participants With MAGE-A4 Expressing Solid Tumors</t>
  </si>
  <si>
    <t>CDR-Life AG</t>
  </si>
  <si>
    <t>NCT05840822</t>
  </si>
  <si>
    <t>Evaluating Efficacy and Safety of CBD TPM Capsules for Use in Insomnia</t>
  </si>
  <si>
    <t>Avecho Biotechnology</t>
  </si>
  <si>
    <t>NCT06553937</t>
  </si>
  <si>
    <t>Bioequivalence Study of Macitentan and Tadalafil Film-coated Tablets 10 Mg/40 Mg and 'PrOpsynvi®' Macitentan and Tadalafil Film-coated Tablets 10 Mg/40 Mg</t>
  </si>
  <si>
    <t>NCT06396039</t>
  </si>
  <si>
    <t>A Study to Assess the Effectiveness and Safety of Ozanimod in Chinese Adults With Relapsing Multiple Sclerosis</t>
  </si>
  <si>
    <t>NCT06524687</t>
  </si>
  <si>
    <t>A Study of Imvotamab in Active, Refractory Idiopathic Inflammatory Myopathies</t>
  </si>
  <si>
    <t>IGM Biosciences, Inc.</t>
  </si>
  <si>
    <t>NCT06569784</t>
  </si>
  <si>
    <t>Mass Balance Study of [14C]HSK31858 in Healthy Adult Male Chinese Subjects.</t>
  </si>
  <si>
    <t>NCT06383897</t>
  </si>
  <si>
    <t>Phase 1 Study in Healthy Participants and Participants With Kidney Dysfunction</t>
  </si>
  <si>
    <t>NCT06408285</t>
  </si>
  <si>
    <t>A Study of TQC3927 Powder for Inhalation in Healthy Adult Subjects</t>
  </si>
  <si>
    <t>NCT06336291</t>
  </si>
  <si>
    <t>A Study With L19TNF in Combination With Lomustine in Patients With Glioblastoma at Progression or Recurrence</t>
  </si>
  <si>
    <t>Philogen S.p.A.</t>
  </si>
  <si>
    <t>NCT06773767</t>
  </si>
  <si>
    <t>Bioavailability of Trazodone Hydrochloride (New Polymer) vs. Trazodone Hydrochloride Contramid® at Steady-state.</t>
  </si>
  <si>
    <t>Aziende Chimiche Riunite Angelini Francesco S.p.A</t>
  </si>
  <si>
    <t>NCT06258304</t>
  </si>
  <si>
    <t>A Dose Escalation and Expansion Study of GIGA-564 in Participants With Locally Advanced or Metastatic Solid Tumor Malignancies</t>
  </si>
  <si>
    <t>GigaGen, Inc.</t>
  </si>
  <si>
    <t>NCT06464055</t>
  </si>
  <si>
    <t>A Study of GQ1010 in Subjects With Advanced Solid Tumors</t>
  </si>
  <si>
    <t>GeneQuantum Healthcare (Suzhou) Co., Ltd.</t>
  </si>
  <si>
    <t>NCT06412185</t>
  </si>
  <si>
    <t>Single Dose Escalation Study of CM383 in Healthy Volunteers</t>
  </si>
  <si>
    <t>NCT06719557</t>
  </si>
  <si>
    <t>A Study of the Effect of Itraconazole and Phenytoin on Calderasib (MK-1084) in Healthy Adults (MK-1084-008)</t>
  </si>
  <si>
    <t>NCT06336018</t>
  </si>
  <si>
    <t>A Research Study on Etavopivat in Participants With and Without Liver Disease</t>
  </si>
  <si>
    <t>NCT06344091</t>
  </si>
  <si>
    <t>A Study of Bupivacaine Liposome Injection in Local Analgesia of Pediatric Patients</t>
  </si>
  <si>
    <t>NCT06328712</t>
  </si>
  <si>
    <t>Evaluate the Safety and Efficacy of EN001 in Patients With Charcot-Marie-Tooth Disease Type 1A</t>
  </si>
  <si>
    <t>NCT06429722</t>
  </si>
  <si>
    <t>To Evaluate the Effects of NMRA-335140 on Symptoms of Major Depression in Participants With Bipolar II Disorder.</t>
  </si>
  <si>
    <t>Neumora Therapeutics, Inc.</t>
  </si>
  <si>
    <t>NCT06436703</t>
  </si>
  <si>
    <t>A Study About Modified RNA Vaccines Against Influenza in Healthy Adults</t>
  </si>
  <si>
    <t>NCT06557902</t>
  </si>
  <si>
    <t>Safety, Tolerability and Pharmacokinetics of Lumateperone in Pediatric Patients With Autism Spectrum Disorder</t>
  </si>
  <si>
    <t>NCT06417554</t>
  </si>
  <si>
    <t>A Trial of SHR-A2102 With or Without Antitumor Therapy in Advanced Solid Tumors</t>
  </si>
  <si>
    <t>NCT06414954</t>
  </si>
  <si>
    <t>Safety and Efficacy of 3 Dose Levels of NMD670 in Adult Patients With Myasthenia Gravis</t>
  </si>
  <si>
    <t>NMD Pharma A/S</t>
  </si>
  <si>
    <t>NCT06378242</t>
  </si>
  <si>
    <t>To Evaluate the Safety, Efficacy, and Pharmacokinetics of Intravesical Instiliations of Disitamab Vedotin in Patients With High-risk Non-muscular Invasive Bladder Cancer (NMIBC) That Express HER2</t>
  </si>
  <si>
    <t>NCT06467201</t>
  </si>
  <si>
    <t>SAD Study to Evaluate Safety, Tolerability, and Pharmacokinetic Profile of AMN1126 in Healthy Post-Menopausal Females</t>
  </si>
  <si>
    <t>NCT06233201</t>
  </si>
  <si>
    <t>Sitagliptin and Metformin Hydrochloride Tablets 50 mg/500 mg Relative to Originator</t>
  </si>
  <si>
    <t>NCT06393127</t>
  </si>
  <si>
    <t>A Study in Healthy People to Compare How 2 Different High Dose Formulations of BI 1015550 Are Taken up in the Body</t>
  </si>
  <si>
    <t>NCT06548672</t>
  </si>
  <si>
    <t>A Study to Assess the Safety, Pharmacokinetics, and Antitumor Activity of BC3195 in Patients With Advanced or Metastatic Cancer</t>
  </si>
  <si>
    <t>Biocity Biopharmaceutics Co., Ltd.</t>
  </si>
  <si>
    <t>NCT06392386</t>
  </si>
  <si>
    <t>A Study of Efgartigimod PH20 SC in Children Between 2 and Less Than 18 Years of Age With Generalized Myasthenia Gravis</t>
  </si>
  <si>
    <t>NCT06468683</t>
  </si>
  <si>
    <t>F01 in the Treatment of Moderate-to-severe Refractory Systemic Lupus Erythematosus</t>
  </si>
  <si>
    <t>NCT06388889</t>
  </si>
  <si>
    <t>Phase III Long-Term Extension Study With Dexpramipexole</t>
  </si>
  <si>
    <t>Areteia Therapeutics</t>
  </si>
  <si>
    <t>NCT06444451</t>
  </si>
  <si>
    <t>A Study to Evaluate the Efficacy and Safety of Subcutaneous Amlitelimab Monotherapy Compared With Placebo in Adult Participants With Severe Alopecia Areata</t>
  </si>
  <si>
    <t>NCT06475729</t>
  </si>
  <si>
    <t>A Bioequivalence Study of Citrate Free Mirikizumab (LY3074828) in Healthy Participants</t>
  </si>
  <si>
    <t>NCT06462404</t>
  </si>
  <si>
    <t>A Study to Evaluate the Efficacy, Safety, and Tolerability of E2086 Compared to Placebo and Active Comparator in Adult Participants With Narcolepsy Type 1</t>
  </si>
  <si>
    <t>NCT06480240</t>
  </si>
  <si>
    <t>A Phase 1/2 Study of OBI-992 in Subjects With Advanced Solid Tumors</t>
  </si>
  <si>
    <t>OBI Pharma, Inc</t>
  </si>
  <si>
    <t>NCT06408870</t>
  </si>
  <si>
    <t>A Study in Healthy People to Compare How 2 Different Low Dose Formulations of BI 1015550 Are Taken up in the Body</t>
  </si>
  <si>
    <t>NCT06446388</t>
  </si>
  <si>
    <t>Study of QLS31905 and/or QL1706 Combination With Chemotherapy in the Advanced Malignant Solid Tumors</t>
  </si>
  <si>
    <t>NCT06478862</t>
  </si>
  <si>
    <t>Promitil Treatment of Patients With Solid Tumors Associated With Deleterious Mutations Who Have Progressed After Therapy</t>
  </si>
  <si>
    <t>Lipomedix Pharmaceuticals Inc.</t>
  </si>
  <si>
    <t>NCT06414837</t>
  </si>
  <si>
    <t>Clinical Trial of HR091506 Tablets in Treatment of Gout With Hyperuricemia in Adults</t>
  </si>
  <si>
    <t>NCT06475001</t>
  </si>
  <si>
    <t>Dose-Response Characterization of VER-01 in the Treatment of Patients With Chronic Non-specific Low Back Pain</t>
  </si>
  <si>
    <t>Vertanical GmbH</t>
  </si>
  <si>
    <t>NCT06417281</t>
  </si>
  <si>
    <t>Photodynamic Diagnosis for Malignant Brain Glioma With 5-Aminolevulinic Acid（5-ALA）</t>
  </si>
  <si>
    <t>NCT06452693</t>
  </si>
  <si>
    <t>A Clinical Study to Evaluate the Efficacy of TQA3038 Injection in Patients With Chronic Hepatitis B</t>
  </si>
  <si>
    <t>NCT06481085</t>
  </si>
  <si>
    <t>To Evaluate Efficacy and Safety of HDM1002 Tablets in Adults With Type 2 Diabetes Mellitus</t>
  </si>
  <si>
    <t>NCT06219499</t>
  </si>
  <si>
    <t>Safety, Tolerability, Immunogenicity and Pharmacokinetics of ONC-841</t>
  </si>
  <si>
    <t>OncoC4, Inc.</t>
  </si>
  <si>
    <t>NCT06343311</t>
  </si>
  <si>
    <t>T-Cell Therapy (EB103) in Adults With Relapsed/Refractory B-Cell Non-Hodgkin's Lymphoma (NHL)</t>
  </si>
  <si>
    <t>Estrella Biopharma, Inc.</t>
  </si>
  <si>
    <t>NCT06884111</t>
  </si>
  <si>
    <t>Safety and Preliminary Efficacy Study of EE001 in Health/Patients Adults with Mild, Moderate, or Severe (NYHA II-IV) Cardiac Insufficiency</t>
  </si>
  <si>
    <t>Anhui HygeianCells BioMedical Co., Ltd.</t>
  </si>
  <si>
    <t>NCT06415903</t>
  </si>
  <si>
    <t>A Clinical Trial of TQB3117 Tablets in Patients With Advanced Malignant Cancer</t>
  </si>
  <si>
    <t>NCT06493604</t>
  </si>
  <si>
    <t>A Trial to Assess the Safety and Efficacy of Subjects With Dry Eye Disease</t>
  </si>
  <si>
    <t>NCT06476821</t>
  </si>
  <si>
    <t>A Study to Evaluate the Safety, Tolerability, Drug Levels, and Drug Effects of Single Doses of BMS-986435 (MYK-224) in Healthy Chinese Participants</t>
  </si>
  <si>
    <t>NCT06309355</t>
  </si>
  <si>
    <t>Topical YR001 Ointment in Adult With Mild to Moderate Atopic Dermatitis</t>
  </si>
  <si>
    <t>Hangzhou Yirui Pharmaceutical Technology Co., Ltd</t>
  </si>
  <si>
    <t>NCT06425198</t>
  </si>
  <si>
    <t>Study to Assess Drug Levels and Safety of BMS-986278 in Healthy Participants and Participants With Different Degrees of Hepatic Impairment</t>
  </si>
  <si>
    <t>NCT06342310</t>
  </si>
  <si>
    <t>RE104 Safety and Efficacy Study in Postpartum Depression</t>
  </si>
  <si>
    <t>Reunion Neuroscience Inc</t>
  </si>
  <si>
    <t>NCT04026984</t>
  </si>
  <si>
    <t>Evaluate Safety and Efficacy of Rifamycin SV MMX in the Treatment of Traveler's Diarrhea in Children Age 6 to 11 Years</t>
  </si>
  <si>
    <t>NCT06341335</t>
  </si>
  <si>
    <t>A Study of AK104/Placebo Plus AK109/Placebo And Paclitaxel in Gastric or Gastroesophageal Junction Adenocarcinoma</t>
  </si>
  <si>
    <t>NCT06468956</t>
  </si>
  <si>
    <t>Efficacy and Safety Study of SHR-1819 Injection in Adult Patients With Severe Atopic Dermatitis</t>
  </si>
  <si>
    <t>NCT06305962</t>
  </si>
  <si>
    <t>177Lu-anti-PD-L1 sdAb in Metastatic Solid Tumors</t>
  </si>
  <si>
    <t>Radiopharm Theranostics, Ltd</t>
  </si>
  <si>
    <t>NCT06998004</t>
  </si>
  <si>
    <t>A Trial to Evaluate the Safety and Immunogenicity of an Investigational Vaccine for the Prevention of Yellow Fever, and of an Investigational Vaccine for the Prevention of Rabies, in Healthy Adults</t>
  </si>
  <si>
    <t>AstriVax Therapeutics</t>
  </si>
  <si>
    <t>NCT07020949</t>
  </si>
  <si>
    <t>Multiple Dose Study to Investigate the Safety, Tolerability, Pharmacokinetics, and Efficacy of THDBH120 in Chinese Patients With T2DM</t>
  </si>
  <si>
    <t>NCT06455826</t>
  </si>
  <si>
    <t>MAD of IVT VP-001 in PRPF31 Mutation-Associated Retinal Dystrophy Subjects (Wallaby)</t>
  </si>
  <si>
    <t>PYC Therapeutics</t>
  </si>
  <si>
    <t>NCT06211036</t>
  </si>
  <si>
    <t>Study Comparing Tarlatamab and Durvalumab Versus Durvalumab Alone in First-Line Extensive-Stage Small-Cell Lung Cancer (ES-SCLC) Following Platinum, Etoposide and Durvalumab</t>
  </si>
  <si>
    <t>NCT06428409</t>
  </si>
  <si>
    <t>A Clinical Study of MK-2870 Alone or With Other Treatments to Treat Gastrointestinal Cancers (MK-9999-02A)</t>
  </si>
  <si>
    <t>NCT06468228</t>
  </si>
  <si>
    <t>A Study to Assess Disease Activity and Safety of Lutikizumab in Adult and Adolescent Participants With Moderate to Severe Hidradenitis Suppurativa</t>
  </si>
  <si>
    <t>NCT05976828</t>
  </si>
  <si>
    <t>IBRX-042 In Participants With HPV-Associated Tumors</t>
  </si>
  <si>
    <t>ImmunityBio, Inc.</t>
  </si>
  <si>
    <t>NCT06419621</t>
  </si>
  <si>
    <t>PM8002 or Placebo Plus Nab-Paclitaxel as First-line Treatment in Inoperable Locally Advanced/Metastatic TNBC</t>
  </si>
  <si>
    <t>Biotheus Inc.</t>
  </si>
  <si>
    <t>NCT06082167</t>
  </si>
  <si>
    <t>Study of Zanzalintinib (XL092) + Pembrolizumab vs Pembrolizumab in Subjects With PD-L1 Positive Recurrent or Metastatic Head and Neck Squamous Cell Carcinoma</t>
  </si>
  <si>
    <t>NCT06493084</t>
  </si>
  <si>
    <t>Evaluate LAE102 in Healthy and Overweight/Obese Subjects</t>
  </si>
  <si>
    <t>Laekna Limited</t>
  </si>
  <si>
    <t>NCT06257693</t>
  </si>
  <si>
    <t>Enzalutamide Implants (Enolen) in Patients With Prostate Cancer</t>
  </si>
  <si>
    <t>Alessa Therapeutics Inc.</t>
  </si>
  <si>
    <t>NCT06514742</t>
  </si>
  <si>
    <t>A Study of Aticaprant 10 mg as Adjunctive Therapy in Adult Participants With Major Depressive Disorder (MDD) With Moderate-to-severe Anhedonia and Inadequate Response to Current Antidepressant Therapy and Long-term Extension Treatment With Aticaprant</t>
  </si>
  <si>
    <t>NCT06359626</t>
  </si>
  <si>
    <t>Bioequivalence Study Between YHP2205 and YHR2401 in Healthy Volunteers</t>
  </si>
  <si>
    <t>Yuhan Corporation</t>
  </si>
  <si>
    <t>NCT06493578</t>
  </si>
  <si>
    <t>A Study to Evaluate the Efficacy, Safety, and Pharmacokinetics of VYN201 Gel in Subjects With Non-segmental Vitiligo.</t>
  </si>
  <si>
    <t>Vyne Therapeutics Inc.</t>
  </si>
  <si>
    <t>NCT06399757</t>
  </si>
  <si>
    <t>A Study to Investigate APL-5125 in Adults With Advanced Solid Tumors</t>
  </si>
  <si>
    <t>NCT06193200</t>
  </si>
  <si>
    <t>Evaluate the Neurological Effects of EryDex on Subjects With A-T</t>
  </si>
  <si>
    <t>Quince Therapeutics S.p.A.</t>
  </si>
  <si>
    <t>NCT06430801</t>
  </si>
  <si>
    <t>A Study to Evaluate the Efficacy and Safety of Tulisokibart (MK-7240) in Participants With Moderate to Severe Crohn's Disease (MK-7240-008)</t>
  </si>
  <si>
    <t>NCT06478719</t>
  </si>
  <si>
    <t>To Evaluate Safety and Efficacy of FB-1603 in Hepatocellular Carcinoma Patient Receiving Transarterial Chemoembolization</t>
  </si>
  <si>
    <t>Febico Biomedical Corp.</t>
  </si>
  <si>
    <t>NCT05848232</t>
  </si>
  <si>
    <t>Single-Arm Study Evaluating Use of the CORA Catheters for the Crossing of Coronary Chronic Total Occlusions</t>
  </si>
  <si>
    <t>ReFlow Medical, Inc.</t>
  </si>
  <si>
    <t>NCT06277219</t>
  </si>
  <si>
    <t>A First-in-Human, Phase 1/2 Study of LAT010 in Patients With Advanced Solid Tumors (LIGHTSPEED-1)</t>
  </si>
  <si>
    <t>Latticon Antibody Therapeutics, Inc</t>
  </si>
  <si>
    <t>NCT06496178</t>
  </si>
  <si>
    <t>A Phase 3 Study to Evaluate Petosemtamab Compared With Investigator's Choice Monotherapy in Previously Treated Head and Neck Squamous Cell Carcinoma Patients</t>
  </si>
  <si>
    <t>Merus B.V.</t>
  </si>
  <si>
    <t>NCT06285643</t>
  </si>
  <si>
    <t>A Study of AAV2-GDNF in Adults With Moderate Parkinson's Disease (REGENERATE-PD)</t>
  </si>
  <si>
    <t>AskBio Inc</t>
  </si>
  <si>
    <t>NCT06467084</t>
  </si>
  <si>
    <t>Open-Label Safety, PK, and Efficacy Trial of Sebetralstat (KVD900) in Pediatric Patients (Ages 2-11) With HAE Type I or II</t>
  </si>
  <si>
    <t>KalVista Pharmaceuticals, Ltd.</t>
  </si>
  <si>
    <t>NCT06393452</t>
  </si>
  <si>
    <t>Safety, Pharmacokinetics and Efficacy of PP405 in Adults With AGA</t>
  </si>
  <si>
    <t>Pelage Pharmaceuticals, Inc.</t>
  </si>
  <si>
    <t>NCT06474455</t>
  </si>
  <si>
    <t>A Phase IB/II Clinical Study of SHR-9839 for Injection Combined With Other Anti-tumor Therapies in Patients With Advanced Solid Tumors</t>
  </si>
  <si>
    <t>NCT07051538</t>
  </si>
  <si>
    <t>A Phase I Clinical Trial of Single Subcutaneous Injection or Intravenous Infusion of SHR-1139 Injection in Healthy Chinese Subjects and Multiple Subcutaneous Injections in Patients With Moderate-to-severe Plaque Psoriasis</t>
  </si>
  <si>
    <t>NCT06478706</t>
  </si>
  <si>
    <t>A Two-Part Study to Evaluate the Efficacy, Safety, Tolerability and Pharmacokinetics of Repeat Doses of Inhaled ETD001 in People With Cystic Fibrosis</t>
  </si>
  <si>
    <t>Enterprise Therapeutics Ltd</t>
  </si>
  <si>
    <t>NCT06372717</t>
  </si>
  <si>
    <t>A Study to Investigate APL-4098 Alone and in Combination in Adults With AML or MDS</t>
  </si>
  <si>
    <t>NCT06813807</t>
  </si>
  <si>
    <t>A Comparative Study of the Pharmacokinetic Profiles of Timolol Maleate Ophthalmic Gel With Timolol Maleate Gel</t>
  </si>
  <si>
    <t>Auson Pharmaceuticals Inc.</t>
  </si>
  <si>
    <t>NCT06434935</t>
  </si>
  <si>
    <t>Initial Evaluation of Vascudyne Coronary Artery Bypass Conduit</t>
  </si>
  <si>
    <t>Vascudyne, Inc.</t>
  </si>
  <si>
    <t>NCT06441084</t>
  </si>
  <si>
    <t>A Trial to Evaluate the Safety and Efficacy of NCR300 in Preventing Recurrence of Acute Myeloid Leukemia（AML) After Transplantation</t>
  </si>
  <si>
    <t>NCT06472076</t>
  </si>
  <si>
    <t>A Study of Belrestotug Plus Dostarlimab Compared With Placebo Plus Pembrolizumab in Previously Untreated Participants With Programmed Death Ligand 1 (PD-L1) High Non-small-cell Lung Cancer (NSCLC)</t>
  </si>
  <si>
    <t>NCT06437522</t>
  </si>
  <si>
    <t>A Study of BL-B01D1+PD-1 Monoclonal Antibody in Patients With Recurrent or Metastatic Head and Neck Squamous Cell Carcinoma and Other Solid Tumors</t>
  </si>
  <si>
    <t>NCT06459973</t>
  </si>
  <si>
    <t>A Clinical Study of YL205 in Patients With Advanced Solid Tumors</t>
  </si>
  <si>
    <t>NCT05756556</t>
  </si>
  <si>
    <t>T3011 in Combination With Cobimetinib in Patients With Advanced Melanoma</t>
  </si>
  <si>
    <t>ImmVira Pharma Co. Ltd</t>
  </si>
  <si>
    <t>NCT06239194</t>
  </si>
  <si>
    <t>Dose Escalation and Dose Expansion Study of MDX2001 in Patients With Advanced Solid Tumors</t>
  </si>
  <si>
    <t>ModeX Therapeutics, An OPKO Health Company</t>
  </si>
  <si>
    <t>NCT06500429</t>
  </si>
  <si>
    <t>A Study to Evaluate the Safety and Efficacy of NG101 in Adult Participants Receiving a Glucagon-like Peptide-1 (GLP-1) Agonist</t>
  </si>
  <si>
    <t>Neurogastrx, Inc.</t>
  </si>
  <si>
    <t>NCT06101745</t>
  </si>
  <si>
    <t>Trial to Visualize the Ureters With Nizaracianine Triflutate in Adults Undergoing Abdominopelvic Surgery</t>
  </si>
  <si>
    <t>Curadel Surgical Innovations, Inc.</t>
  </si>
  <si>
    <t>NCT06446310</t>
  </si>
  <si>
    <t>Phase 3 Study of QLG2198 in Haemodialysis Chinese Adult Subjects With Moderate-to-Severe Pruritus</t>
  </si>
  <si>
    <t>NCT06323213</t>
  </si>
  <si>
    <t>Efficacy and Safety Study of 610 in Patients With Severe Asthma</t>
  </si>
  <si>
    <t>NCT06097832</t>
  </si>
  <si>
    <t>Study of NXC-201 CAR-T in Patients With Light Chain (AL) Amyloidosis</t>
  </si>
  <si>
    <t>Nexcella Inc.</t>
  </si>
  <si>
    <t>NCT06324604</t>
  </si>
  <si>
    <t>Safety, Pharmacokinetics, and Pharmacodynamics of MTX-101 in Healthy Adults and Patients</t>
  </si>
  <si>
    <t>Mozart Therapeutics Australia Pty Ltd</t>
  </si>
  <si>
    <t>NCT06422143</t>
  </si>
  <si>
    <t>Pembrolizumab With or Without Maintenance Sacituzumab Tirumotecan (Sac-TMT; MK-2870) in Metastatic Squamous Non-small Cell Lung Cancer (NSCLC) [MK-2870-023]</t>
  </si>
  <si>
    <t>NCT06460493</t>
  </si>
  <si>
    <t>Effect of Ensifentrine Treatment on CAT Score</t>
  </si>
  <si>
    <t>Verona Pharma plc</t>
  </si>
  <si>
    <t>NCT06478563</t>
  </si>
  <si>
    <t>A Research Study Looking at Different Oral Formulations and the Effect of Food Intake on How the Medicine NNC0487-0111 Behaves in the Body of Participants Living With Overweight or Obesity</t>
  </si>
  <si>
    <t>NCT06475300</t>
  </si>
  <si>
    <t>A Study of BL-B01D1+PD-1 Monoclonal Antibody in Patients With Locally Advanced or Metastatic Non-small Cell Lung Cancer, Nasopharyngeal Carcinoma and Other Solid Tumors</t>
  </si>
  <si>
    <t>NCT06395012</t>
  </si>
  <si>
    <t>A First-In-Human Study of LY3985297 in Healthy Participants</t>
  </si>
  <si>
    <t>NCT06134167</t>
  </si>
  <si>
    <t>A Study to Evaluate the Safety and Effectiveness Transdermal Compress Device in Participants With Transfemoral Amputations</t>
  </si>
  <si>
    <t>Balmoral Medical company</t>
  </si>
  <si>
    <t>NCT06307795</t>
  </si>
  <si>
    <t>A Study to Investigate ANS014004 in Participants With Locally Advanced or Metastatic Solid Tumors</t>
  </si>
  <si>
    <t>NCT06415773</t>
  </si>
  <si>
    <t>Effects of Berberine Ursodeoxycholate (HTD1801) Versus Dapagliflozin in Patients With Type 2 Diabetes Inadequately Controlled With Metformin</t>
  </si>
  <si>
    <t>HighTide Biopharma Pty Ltd</t>
  </si>
  <si>
    <t>NCT06826872</t>
  </si>
  <si>
    <t>Efficacy and Safety of SPC1001 in Patients With Essential Hypertension</t>
  </si>
  <si>
    <t>Shin Poong Pharmaceutical Co. Ltd.</t>
  </si>
  <si>
    <t>NCT06196905</t>
  </si>
  <si>
    <t>An Exploratory Study of MT-2990 in Patients With AAV</t>
  </si>
  <si>
    <t>Tanabe Pharma Corporation</t>
  </si>
  <si>
    <t>NCT06433908</t>
  </si>
  <si>
    <t>A Study to Compare the Pharmacokinetics (PK) of Salbutamol Administered Via Metered Dose Inhalers (MDI) Containing Propellants HFA-152A (Test) or HFA-134A (Reference) in Healthy Participants Aged 18 to 55 Inclusive</t>
  </si>
  <si>
    <t>NCT06474468</t>
  </si>
  <si>
    <t>A Trial of SHR-A2102 With Adebrelimab With or Without Other Antitumor Therapy in Advanced or Metastatic Esophageal Cancer</t>
  </si>
  <si>
    <t>NCT06447662</t>
  </si>
  <si>
    <t>A Study to Learn About the Study Medicine PF-07934040 When Given Alone or With Other Anti-cancer Therapies in People With Advanced Solid Tumors That Have a Genetic Mutation.</t>
  </si>
  <si>
    <t>NCT06368921</t>
  </si>
  <si>
    <t>A Study of Recombinant Oncolytic Virus M1(VRT106) in Patients With Solid Tumors</t>
  </si>
  <si>
    <t>Guangzhou Virotech Pharmaceutical Co., Ltd.</t>
  </si>
  <si>
    <t>NCT06429176</t>
  </si>
  <si>
    <t>Safety, Tolerability, Pharmacokinetics, and Preliminary Efficacy of SPL84 in Patients with Cystic Fibrosis</t>
  </si>
  <si>
    <t>SpliSense Ltd.</t>
  </si>
  <si>
    <t>NCT07123376</t>
  </si>
  <si>
    <t>Pharmacokinetics, Pharmacodynamics Profile and Tolerance of HRS-9231 in Healthy Subjects</t>
  </si>
  <si>
    <t>NCT06443489</t>
  </si>
  <si>
    <t>A Trial of SHR-4849 in Advanced Solid Tumors</t>
  </si>
  <si>
    <t>NCT06389513</t>
  </si>
  <si>
    <t>Clinical Study of the Safety of Menhycia® in 3-Month-Old Infants</t>
  </si>
  <si>
    <t>NCT06207370</t>
  </si>
  <si>
    <t>Oral Tafenoquine Plus Standard of Care Versus Placebo Plus Standard of Care for Babesiosis</t>
  </si>
  <si>
    <t>60 Degrees Pharmaceuticals LLC</t>
  </si>
  <si>
    <t>NCT05456152</t>
  </si>
  <si>
    <t>Safety and Efficacy of Zolpidem in the Long-Term Treatment of Insomnia</t>
  </si>
  <si>
    <t>NCT06511570</t>
  </si>
  <si>
    <t>A Study Comparing the Safety, Tolerability, and Pharmacokinetics of Sabirnetug IV and Sabirnetug + rHuPH20 SC in Healthy Participants</t>
  </si>
  <si>
    <t>NCT06082323</t>
  </si>
  <si>
    <t>A Single and Multiple Ascending Dose Trial of LT-002-158 Tablets in Healthy Adult Volunteers</t>
  </si>
  <si>
    <t>Leadingtac Pharmaceutical (Shaoxing) Co., Ltd.</t>
  </si>
  <si>
    <t>NCT06430671</t>
  </si>
  <si>
    <t>Peptide-coupled Red Blood Cells for the Treatment of Multiple Sclerosis</t>
  </si>
  <si>
    <t>Cellerys AG</t>
  </si>
  <si>
    <t>NCT06425341</t>
  </si>
  <si>
    <t>A Multicenter, Randomized, Open, Parallel-designed Study to Evaluate the Efficacy and Safety of HRS-5635 Injection Alone or in Combination With Other Agents in Patients Treated for Chronic Hepatitis B</t>
  </si>
  <si>
    <t>NCT06439277</t>
  </si>
  <si>
    <t>A Study of Tirzepatide in Adolescents With Obesity and Weight-Related Comorbidities (SURMOUNT-ADOLESCENTS-2)</t>
  </si>
  <si>
    <t>NCT06410924</t>
  </si>
  <si>
    <t>A Study to Evaluate DD01 in Overweight/Obese Subjects With MASLD/MASH</t>
  </si>
  <si>
    <t>Neuraly, Inc.</t>
  </si>
  <si>
    <t>NCT06015737</t>
  </si>
  <si>
    <t>A Phase III Study to Investigate the Efficacy and Safety of Anifrolumab in Adults With Chronic and/or Subacute Cutaneous Lupus Erythematosus</t>
  </si>
  <si>
    <t>NCT06437509</t>
  </si>
  <si>
    <t>A Study of BL-B01D1+PD-1 Monoclonal Antibody in Patients With Extensive-stage Small Cell Lung Cancer</t>
  </si>
  <si>
    <t>NCT06438757</t>
  </si>
  <si>
    <t>Trial of JYB1904 in Patients With Allergic Asthma</t>
  </si>
  <si>
    <t>NCT06451666</t>
  </si>
  <si>
    <t>Safety and Efficacy Study of Pilocarpine HCl Ophthalmic Solution in Participants With Presbyopia</t>
  </si>
  <si>
    <t>NCT06399003</t>
  </si>
  <si>
    <t>Comparison Study of SIBP's MMR Vaccine Versus GSK MMR Vaccine in Children Aged 9-11 Months</t>
  </si>
  <si>
    <t>NCT06491043</t>
  </si>
  <si>
    <t>Treatment of Chronic Obstructive Pulmonary Disease by Infusion of Allogenic Mesenchymal Stem Cells</t>
  </si>
  <si>
    <t>Meribank Biotech Co., Ltd.</t>
  </si>
  <si>
    <t>NCT06441227</t>
  </si>
  <si>
    <t>Safety and Tolerance of Increased Doses of HRS-5346 Tablets in Healthy Subjects</t>
  </si>
  <si>
    <t>NCT06159062</t>
  </si>
  <si>
    <t>A Clinical Study of 162 in Subjects With Chronic Hepatitis B Virus Infection</t>
  </si>
  <si>
    <t>Yangshengtang Co., Ltd</t>
  </si>
  <si>
    <t>NCT06356129</t>
  </si>
  <si>
    <t>Study to Compare the Effectiveness and Safety of Golcadomide Plus R-CHOP vs Placebo Plus R-CHOP in Participants With Previously Untreated High-risk Large B-cell Lymphoma</t>
  </si>
  <si>
    <t>NCT03693105</t>
  </si>
  <si>
    <t>The Effects of SAINT® Neuromodulation System on Explicit and Implicit Suicidal Cognition</t>
  </si>
  <si>
    <t>Magnus Medical</t>
  </si>
  <si>
    <t>NCT06413953</t>
  </si>
  <si>
    <t>A Clinical Study of TQB3107 Tablets in Patients With Malignant Tumors</t>
  </si>
  <si>
    <t>NCT06708624</t>
  </si>
  <si>
    <t>Ocular Safety and Usability Study for FYB201 PFS</t>
  </si>
  <si>
    <t>Formycon AG</t>
  </si>
  <si>
    <t>NCT06378177</t>
  </si>
  <si>
    <t>A Study of LVGN6051 Combination Therapy in Patient With Head and Neck Squamous Cell Carcinoma (HNSCC)</t>
  </si>
  <si>
    <t>Lyvgen Biopharma Holdings Limited</t>
  </si>
  <si>
    <t>NCT06303505</t>
  </si>
  <si>
    <t>FiH Study to Investigate Safety, PK and Efficacy of the NaPi2b ADC TUB-040 in Patients With PROC or r/r Adenocarcinoma NSCLC</t>
  </si>
  <si>
    <t>Tubulis GmbH</t>
  </si>
  <si>
    <t>NCT06458595</t>
  </si>
  <si>
    <t>Safety and Tolerability of KH658 Gene Therapy in Subjects With Neovascular Age-related Macular Degeneration (nAMD)</t>
  </si>
  <si>
    <t>Chengdu Origen Biotechnology Co., Ltd.</t>
  </si>
  <si>
    <t>NCT06206512</t>
  </si>
  <si>
    <t>Effect of Extended Release Torsemide in Patients With Congestive Heart Failure and Overactive Bladder</t>
  </si>
  <si>
    <t>Sarfez Pharmaceuticals, Inc.</t>
  </si>
  <si>
    <t>NCT06021860</t>
  </si>
  <si>
    <t>A Phase IV, Two-part, Open-label Study Assessing the Pharmacokinetics, Safety and Pharmacodynamics of Spironolactone Oral Suspension in Pediatric Patients</t>
  </si>
  <si>
    <t>CMP Development, LLC</t>
  </si>
  <si>
    <t>NCT06612255</t>
  </si>
  <si>
    <t>A Study Comparing the Bioavailability of a Taste-masked Delafloxacin Powder for Oral Suspension With the Delafloxacin Tablet in Healthy Adults</t>
  </si>
  <si>
    <t>Melinta Therapeutics, Inc.</t>
  </si>
  <si>
    <t>NCT06463587</t>
  </si>
  <si>
    <t>Efficacy and Safety of a New Formulation of Oral Cladribine Compared With Placebo in Participants With Generalized Myasthenia Gravis (MyClad)</t>
  </si>
  <si>
    <t>NCT06467344</t>
  </si>
  <si>
    <t>Study to Evaluate ACDN-01 in ABCA4-related Stargardt Retinopathy (STELLAR)</t>
  </si>
  <si>
    <t>Ascidian Therapeutics, Inc</t>
  </si>
  <si>
    <t>NCT06400459</t>
  </si>
  <si>
    <t>IVW-1001 Phase 1/2 in Subjects With Dry Eye Disease</t>
  </si>
  <si>
    <t>IVIEW Therapeutics Inc.</t>
  </si>
  <si>
    <t>NCT07019194</t>
  </si>
  <si>
    <t>An Bioequivalence Study to Compare 10mg &amp; 20mg of Senaparib Capsules in Healthy Chinese Subjects Under Fasting Condition</t>
  </si>
  <si>
    <t>Impact Therapeutics, Inc.</t>
  </si>
  <si>
    <t>NCT06423794</t>
  </si>
  <si>
    <t>BHV-7000 Open-Label Extension Bipolar Mania Study</t>
  </si>
  <si>
    <t>NCT06186076</t>
  </si>
  <si>
    <t>A Study to Investigate Safety, Tolerability, PK and Anti-tumor Activity of TRX-221 in EGFRm NSCLC Patients</t>
  </si>
  <si>
    <t>Therapex Co., Ltd</t>
  </si>
  <si>
    <t>NCT05788107</t>
  </si>
  <si>
    <t>Evaluate the Safety, Tolerability, and Pharmacokinetic Characteristics of HLX51 in Patients With Solid Tumor or Lymphoma</t>
  </si>
  <si>
    <t>NCT06399419</t>
  </si>
  <si>
    <t>CBM588 Capsules in Combination With Nivolumab and Ipilimumab for the Treatment of Advanced Stage Kidney Cancer</t>
  </si>
  <si>
    <t>Osel, Inc.</t>
  </si>
  <si>
    <t>NCT06316336</t>
  </si>
  <si>
    <t>Multiple Dose, Bioequivalence Study of Generic Alfuzosin Hydrochloride 10 mg Prolonged-release Tablets Under Fed Conditions</t>
  </si>
  <si>
    <t>NCT06295796</t>
  </si>
  <si>
    <t>A Study of MK-8527 in Participants With Moderate and Severe Renal Impairment (MK-8527-008)</t>
  </si>
  <si>
    <t>NCT06311682</t>
  </si>
  <si>
    <t>A Trial to Evaluate the Efficacy and Safety of Tralokinumab in Combination With Topical Corticosteroids in Children and Infants With Moderate-to-severe Atopic Dermatitis</t>
  </si>
  <si>
    <t>LEO Pharma</t>
  </si>
  <si>
    <t>NCT06569823</t>
  </si>
  <si>
    <t>Safety and Immunogenicity of an Investigational Herpes Zoster Vaccine (Z-1018) Compared to Shingrix® in Healthy Adults 50 Years of Age and Over</t>
  </si>
  <si>
    <t>Dynavax Technologies Corporation</t>
  </si>
  <si>
    <t>NCT06455059</t>
  </si>
  <si>
    <t>Interventional Study of Vosoritide for the Treatment of Children With Hypochondroplasia</t>
  </si>
  <si>
    <t>NCT06056297</t>
  </si>
  <si>
    <t>A Study of Mavorixafor in Participants With Congenital and Acquired Primary Autoimmune and Idiopathic Chronic Neutropenic Disorders Who Are Experiencing Recurrent and/or Serious Infections</t>
  </si>
  <si>
    <t>X4 Pharmaceuticals</t>
  </si>
  <si>
    <t>NCT05622591</t>
  </si>
  <si>
    <t>ELU001 in Pediatric Subjects Who Have Relapsed and/or Refractory CBFA2T3-GLIS2-positive AML</t>
  </si>
  <si>
    <t>Elucida Oncology</t>
  </si>
  <si>
    <t>NCT06435676</t>
  </si>
  <si>
    <t>A Study of Single and Multiple Doses HRS9531 Tablets in Healthy Subjects</t>
  </si>
  <si>
    <t>NCT07344519</t>
  </si>
  <si>
    <t>The Safety and Tolerability Study With ER2001 Intravenous Injection Repetitive Treatment in Adults With Early Manifest Huntington's Disease.</t>
  </si>
  <si>
    <t>ExoRNA Bioscience</t>
  </si>
  <si>
    <t>NCT06332755</t>
  </si>
  <si>
    <t>Study to Evaluate LB-LR1109, Administered Alone for the Treatment of Solid Tumor and in Combination With Atezolizumab for the Treatment of NSCLC</t>
  </si>
  <si>
    <t>LG Chem</t>
  </si>
  <si>
    <t>NCT06238843</t>
  </si>
  <si>
    <t>A Multicenter, Phase 3 Study of IBI343 Monotherapy Versus Treatment of Investigator's Choice in Subjects With Previously Treated, Claudin (CLDN) 18.2-positive, HER2-negative, Gastric or Gastroesophageal Junction Adenocarcinoma</t>
  </si>
  <si>
    <t>NCT06266000</t>
  </si>
  <si>
    <t>Comparison of 2 Extracts of Saw Palmetto Versus Placebo on Lower Urinary Tract Symptoms (LUTS) and Urinary Frequency</t>
  </si>
  <si>
    <t>NCT06400485</t>
  </si>
  <si>
    <t>AMT-676 in Patients With Advanced Solid Tumors</t>
  </si>
  <si>
    <t>NCT06448247</t>
  </si>
  <si>
    <t>A Study of SPY001-001 in Healthy Volunteers</t>
  </si>
  <si>
    <t>Spyre Therapeutics, Inc.</t>
  </si>
  <si>
    <t>NCT06260514</t>
  </si>
  <si>
    <t>Study of APR-1051 in Patients With Advanced Solid Tumors</t>
  </si>
  <si>
    <t>Aprea Therapeutics</t>
  </si>
  <si>
    <t>NCT06489652</t>
  </si>
  <si>
    <t>89Zr-Oxine-RY_SW01 Cell Injection for the Treatment of Systemic Sclerosis</t>
  </si>
  <si>
    <t>Jiangsu Renocell Biotech Company</t>
  </si>
  <si>
    <t>NCT06270316</t>
  </si>
  <si>
    <t>Safety, PK/PD, and Exploratory Efficacy Study of AMT-191 in Classic Fabry Disease</t>
  </si>
  <si>
    <t>UniQure Biopharma B.V.</t>
  </si>
  <si>
    <t>NCT06415214</t>
  </si>
  <si>
    <t>Efficacy and Safety of HRS-7535 Tablets in Adults With Diabetic Kidney Disease in Type 2 Diabetes</t>
  </si>
  <si>
    <t>NCT06574568</t>
  </si>
  <si>
    <t>A Study of YKST02 in Participants With Relapsed or Refractory Multiple Myeloma</t>
  </si>
  <si>
    <t>Excyte Biopharma Ltd</t>
  </si>
  <si>
    <t>NCT06425159</t>
  </si>
  <si>
    <t>A Study to Determine if BHV-7000 is Effective and Safe in Adults With Idiopathic Generalized Epilepsy With Generalized Tonic-clonic Seizures</t>
  </si>
  <si>
    <t>NCT06625541</t>
  </si>
  <si>
    <t>A Study to Evaluate the Safety, Tolerability, Pharmacokinetics, and Pharmacodynamics of AJ302-IM in Healthy Volunteers</t>
  </si>
  <si>
    <t>AnnJi Pharmaceutical Co., Ltd.</t>
  </si>
  <si>
    <t>NCT06310824</t>
  </si>
  <si>
    <t>Single Dose, Three-arm Study to Compare the Pharmacokinetic Similarity of MAB-22 Versus Prolia®</t>
  </si>
  <si>
    <t>NCT06813365</t>
  </si>
  <si>
    <t>Assessing an Oral EGFR Inhibitor, DZD6008 in Patients Who Have Advanced NSCLC With EGFR Mutations (TIAN-SHAN2)</t>
  </si>
  <si>
    <t>NCT06578676</t>
  </si>
  <si>
    <t>To Evaluate the Safety and Pharmacokinetic Interaction Between HODO-22251 and HODO-22252 in Healthy Adults</t>
  </si>
  <si>
    <t>Hyundai Pharm</t>
  </si>
  <si>
    <t>NCT06159725</t>
  </si>
  <si>
    <t>A Study To Evaluate The Safety Of CMTX-101 In People With Cystic Fibrosis</t>
  </si>
  <si>
    <t>Clarametyx Biosciences, Inc.</t>
  </si>
  <si>
    <t>NCT06115135</t>
  </si>
  <si>
    <t>A Study of Venetoclax in Combination With Isatuximab and Dexamethasone for Relapsed/Refractory Multiple Myeloma</t>
  </si>
  <si>
    <t>Oncotherapeutics</t>
  </si>
  <si>
    <t>NCT06487416</t>
  </si>
  <si>
    <t>A Trial to Assess the Bioequivalence of Tiotropium Bromide Inhalation Powder in Healthy Adult Participants Under Fasting Conditions</t>
  </si>
  <si>
    <t>NCT06381986</t>
  </si>
  <si>
    <t>Efficacy and Safety of SHJ002 Ophthalmic Solution in the Treatment of Corneal Erosion in Sjogren's Patients</t>
  </si>
  <si>
    <t>Sunhawk Vision Biotech, Inc.</t>
  </si>
  <si>
    <t>NCT06461039</t>
  </si>
  <si>
    <t>A Research Study Looking at How the Compound NNC0487-0111 Works With Birth Control Pills and Affects Emptying of the Stomach in Women Not Able to Become Pregnant</t>
  </si>
  <si>
    <t>NCT06445400</t>
  </si>
  <si>
    <t>A Study of BL-M07D1, BL-M07D1+Pertuzumab and BL-M07D1+Pertuzumab+Docetaxel in Patients With Unresectable Locally Advanced or Metastatic HER2-positive Breast Cancer</t>
  </si>
  <si>
    <t>NCT06424288</t>
  </si>
  <si>
    <t>A Study to Test Whether Vicadrostat in Combination With Empagliflozin Helps People With Heart Failure</t>
  </si>
  <si>
    <t>NCT06662396</t>
  </si>
  <si>
    <t>A Study of Diltiazem With a Single Dose of MK-6552 in Healthy Adult Participants (MK-6552-007)</t>
  </si>
  <si>
    <t>NCT06671444</t>
  </si>
  <si>
    <t>Pharmacokinetics and Safety Study of YZJ-1139 in Subjects With Severe Renal Impairment and Normal Renal Impairment</t>
  </si>
  <si>
    <t>NCT06413511</t>
  </si>
  <si>
    <t>A Study to Investigate the Safety and Pharmacological Effect of a Single Intravenous Infusion of Belantamab in Male and Female Participants Aged 18 to 75 With Autoimmune Disease</t>
  </si>
  <si>
    <t>NCT06439589</t>
  </si>
  <si>
    <t>Phase Ib/II Study of HRS2398 in Combination With Adebrelimab in Patients With Advanced Solid Tumors</t>
  </si>
  <si>
    <t>NCT06334133</t>
  </si>
  <si>
    <t>Cadisegliatin as Adjunctive Therapy to Insulin in Participants With Type 1 Diabetes</t>
  </si>
  <si>
    <t>vTv Therapeutics</t>
  </si>
  <si>
    <t>NCT06413745</t>
  </si>
  <si>
    <t>Phase II Clinical Study of SHR-A1811 in Patients With HER2 Expression / Amplification of Locally Advanced Unresectable or Recurrent Metastatic Biliary Tract Cancer</t>
  </si>
  <si>
    <t>NCT06454747</t>
  </si>
  <si>
    <t>Randomized Study Using SM-030 Gel for Adults With Melasma</t>
  </si>
  <si>
    <t>NCT06408948</t>
  </si>
  <si>
    <t>A Study to Evaluate the Mass Balance of [14C]SHR7280 in Healthy Adult Volunteers</t>
  </si>
  <si>
    <t>NCT06479135</t>
  </si>
  <si>
    <t>Study of Navtemadlin add-on to Ruxolitinib in JAK Inhibitor-Naïve Patients With Myelofibrosis Who Have a Suboptimal Response to Ruxolitinib</t>
  </si>
  <si>
    <t>Kartos Therapeutics, Inc.</t>
  </si>
  <si>
    <t>NCT06471868</t>
  </si>
  <si>
    <t>Study to Evaluate Pharmacokinetic and Pharmacodynamic Drug Interactions and Safety of IY-HCR21 and IY-MIC</t>
  </si>
  <si>
    <t>NCT06097780</t>
  </si>
  <si>
    <t>Efficacy and Safety of NestaCell® in Huntington's Disease</t>
  </si>
  <si>
    <t>NCT06897111</t>
  </si>
  <si>
    <t>Implantation of Cartilage Mini-grafts Made From Donor Cells to Treat Chondral Lesions of the Knee</t>
  </si>
  <si>
    <t>Vanarix SA</t>
  </si>
  <si>
    <t>NCT06463340</t>
  </si>
  <si>
    <t>Study of SGR-3515 In Participants With Advanced Solid Tumors.</t>
  </si>
  <si>
    <t>Schrödinger, Inc.</t>
  </si>
  <si>
    <t>NCT06502964</t>
  </si>
  <si>
    <t>Study of ALTO-101 in Patients With Schizophrenia</t>
  </si>
  <si>
    <t>NCT06383871</t>
  </si>
  <si>
    <t>A Phase I Clinical Study of HRS-7058 in Patients With Advanced Malignant Tumour</t>
  </si>
  <si>
    <t>NCT06829225</t>
  </si>
  <si>
    <t>Single Dose Study of Tulisokibart (MK-7240) in Healthy Chinese Participants (MK-7240-002)</t>
  </si>
  <si>
    <t>NCT06205797</t>
  </si>
  <si>
    <t>To Evaluate HU-045 in the Treatment of Glabellar Lines(Phase III)</t>
  </si>
  <si>
    <t>Huons Biopharma</t>
  </si>
  <si>
    <t>NCT06452160</t>
  </si>
  <si>
    <t>A Study of BGC515 Capsules in Subjects With Advanced Solid Tumors</t>
  </si>
  <si>
    <t>BridGene Biosciences Inc.</t>
  </si>
  <si>
    <t>NCT06283459</t>
  </si>
  <si>
    <t>Study to Evaluate the Safety &amp; Immunogenicity of IMNN-101 Administered in Healthy Adults Previously Vaccinated Against SARS-CoV-2</t>
  </si>
  <si>
    <t>Imunon</t>
  </si>
  <si>
    <t>NCT07298343</t>
  </si>
  <si>
    <t>Evaluating the Efficacy and Tolerability of ZED1227 in Subjects With Non-responsive Celiac Disease</t>
  </si>
  <si>
    <t>Dr. Falk Pharma GmbH</t>
  </si>
  <si>
    <t>NCT06351020</t>
  </si>
  <si>
    <t>LM-302 for the Treatment of Subjects With Claudin18.2-Positive Gastric and Gastroesophageal Junction Adenocarcinoma.</t>
  </si>
  <si>
    <t>LaNova Medicines Zhejiang Co., Ltd.</t>
  </si>
  <si>
    <t>NCT06190886</t>
  </si>
  <si>
    <t>A First-in-human (FIH), Phase I Study of PTX-912 in Patients with Locally Advanced/Metastatic Solid Tumors</t>
  </si>
  <si>
    <t>Proviva Therapeutics, Inc.</t>
  </si>
  <si>
    <t>NCT06501066</t>
  </si>
  <si>
    <t>Mesenchymal Stem Cells for Frailty Syndrome</t>
  </si>
  <si>
    <t>NCT06299826</t>
  </si>
  <si>
    <t>A Phase IIb Study of AZD5462 in Patients With Chronic Heart Failure</t>
  </si>
  <si>
    <t>NCT06890715</t>
  </si>
  <si>
    <t>Comparative Pharmacokinetic Study of Ramelteon Modified-Release Tablets and Ramelteon Tablets in Healthy Subjects</t>
  </si>
  <si>
    <t>NCT06507306</t>
  </si>
  <si>
    <t>A Study to Investigate the Safety and Efficacy of KQB198 as Monotherapy and in Combination in Participants With Advanced Solid Malignancies</t>
  </si>
  <si>
    <t>Kumquat Biosciences Inc.</t>
  </si>
  <si>
    <t>NCT06444165</t>
  </si>
  <si>
    <t>Lebrikizumab Pen Ease of Use in Participants With Atopic Dermatitis</t>
  </si>
  <si>
    <t>NCT06471257</t>
  </si>
  <si>
    <t>A Study to Investigate Efficacy and Safety of PT027 Compared With PT007 in Symptomatic Chinese Adults With Asthma</t>
  </si>
  <si>
    <t>NCT06137157</t>
  </si>
  <si>
    <t>Evaluation of Topical ATR12-351 in Adults With Netherton Syndrome</t>
  </si>
  <si>
    <t>NCT06831812</t>
  </si>
  <si>
    <t>Phase I Clinical Study of AV-1959R: Abeta-targeting Anti-Alzheimer's Vaccine</t>
  </si>
  <si>
    <t>Nuravax, Inc.</t>
  </si>
  <si>
    <t>NCT06439602</t>
  </si>
  <si>
    <t>Phase 3 Evaluation of Efficacy and Safety of AR882 in Gout Patients (AR882-302)</t>
  </si>
  <si>
    <t>Arthrosi Therapeutics</t>
  </si>
  <si>
    <t>NCT06480981</t>
  </si>
  <si>
    <t>Multiple Ascending Dose Noribogaine PK/PD in Healthy Volunteers</t>
  </si>
  <si>
    <t>DemeRx NB</t>
  </si>
  <si>
    <t>NCT06389695</t>
  </si>
  <si>
    <t>Pharmacokinetics, Biodistribution, Radiation Dose and Safety Study of 68Ga-NYM032 in Patients</t>
  </si>
  <si>
    <t>NCT06515418</t>
  </si>
  <si>
    <t>Efficacy and Safety of Oral Azelaprag Plus Once Weekly Tirzepatide Compared with Tirzepatide Alone in Participants with Obesity Aged 55 Years and Over</t>
  </si>
  <si>
    <t>BioAge Labs, Inc.</t>
  </si>
  <si>
    <t>NCT05695391</t>
  </si>
  <si>
    <t>A Phase 3 Study of the Safety and Efficacy of Coagulation Factor VIIa (Recombinant) for the Prevention of Excessive Bleeding in Patients With Congenital Hemophilia A or B With Inhibitors to Factor VIII or IX Undergoing Elective Major Surgical Procedures SCOPE HIM</t>
  </si>
  <si>
    <t>Laboratoire français de Fractionnement et de Biotechnologies</t>
  </si>
  <si>
    <t>NCT06117150</t>
  </si>
  <si>
    <t>Pilot Study of the Coronary Spur Stent for In-stent Restenosis (DEEPER CORONARY)</t>
  </si>
  <si>
    <t>NCT06394232</t>
  </si>
  <si>
    <t>Safety &amp; Efficacy of Eyecyte-RPE™ in Patients With Geographic Atrophy Secondary to Dry Age-related Macular Degeneration.</t>
  </si>
  <si>
    <t>Eyestem Research Pvt. Ltd.</t>
  </si>
  <si>
    <t>NCT06111547</t>
  </si>
  <si>
    <t>A Study of TAK-279 in Healthy Chinese Adults</t>
  </si>
  <si>
    <t>NCT06468098</t>
  </si>
  <si>
    <t>A Study of IBI363 in Subjects With Advanced Malignancies</t>
  </si>
  <si>
    <t>NCT06423352</t>
  </si>
  <si>
    <t>A Study to Evaluate Zilebesiran in Japanese Patients With Mild to Moderate Hypertension</t>
  </si>
  <si>
    <t>NCT06455449</t>
  </si>
  <si>
    <t>A Study to Investigate the Efficacy and Safety of Anifrolumab Administered as Subcutaneous Injection and Added to Standard of Care Compared With Placebo Added to Standard of Care in Adult Participants With Idiopathic Inflammatory Myopathies (Polymyositis and Dermatomyositis)</t>
  </si>
  <si>
    <t>NCT07098117</t>
  </si>
  <si>
    <t>A Randomized, Double-blind, Placebo-controlled Phase I Clinical Trial to Evaluate the Safety and Pharmacokinetic Profile of Single and Multiple Dose Escalation Topical Dermal Administration of SHR0302 Alkali Gel in Healthy Subjects</t>
  </si>
  <si>
    <t>NCT06390410</t>
  </si>
  <si>
    <t>A Pharmacokinetic Study of Simufilam in Subjects With Impaired Hepatic Function</t>
  </si>
  <si>
    <t>NCT06486662</t>
  </si>
  <si>
    <t>A Clinical Study Investigating OM-85-IN Safety and Tolerability in Healthy Volunteers and Mild Allergic Asthma Patients</t>
  </si>
  <si>
    <t>OM Pharma SA</t>
  </si>
  <si>
    <t>NCT06501196</t>
  </si>
  <si>
    <t>A Study of BH-30236 in Relapsed/ Refractory Acute Myelogenous Leukemia and Higher Risk Myelodysplastic Syndrome</t>
  </si>
  <si>
    <t>BlossomHill Therapeutics</t>
  </si>
  <si>
    <t>NCT06536400</t>
  </si>
  <si>
    <t>Phase I Study of HSK42360 in Solid Tumors With BRAF V600 Mutation</t>
  </si>
  <si>
    <t>NCT07403266</t>
  </si>
  <si>
    <t>Treatment With Full-spectrum Cannabis Extract of Refractory Epilepsy Associated With Tuberous Sclerosis Complex (TSC)</t>
  </si>
  <si>
    <t>Oils4Cure</t>
  </si>
  <si>
    <t>NCT06389292</t>
  </si>
  <si>
    <t>A Pivotal Study of APG-2575 (Lisaftoclax) Combined With Azacitidine in the Treatment of Acute Myeloid Leukemia</t>
  </si>
  <si>
    <t>NCT06701305</t>
  </si>
  <si>
    <t>A Study of Efinopegdutide in Healthy Obese Participants (MK-6024-015)</t>
  </si>
  <si>
    <t>NCT06384157</t>
  </si>
  <si>
    <t>Proof of Concept and Dose-ranging Study of INDV-2000 in Individuals With Moderate to Severe Opioid Use Disorder</t>
  </si>
  <si>
    <t>Indivior Inc.</t>
  </si>
  <si>
    <t>NCT06451848</t>
  </si>
  <si>
    <t>A Bioequivalence Study of Two Different Dosage Form of Genakumab</t>
  </si>
  <si>
    <t>NCT06390111</t>
  </si>
  <si>
    <t>A Trial to Evaluate Efficacy of Reinduction With Nadofaragene Firadenovec in Subjects With CIS ± High-grade Ta/T1 and no Complete Response to First Nadofaragene Firadenovec Dose.</t>
  </si>
  <si>
    <t>NCT06438367</t>
  </si>
  <si>
    <t>TGRX-326 Pharmacokinetic Mass Balance</t>
  </si>
  <si>
    <t>NCT06389136</t>
  </si>
  <si>
    <t>A Study of Upadacitinib in Adult Participants With Moderate-to-Severe Atopic Dermatitis and Inadequate Response to Dupilumab</t>
  </si>
  <si>
    <t>NCT06216132</t>
  </si>
  <si>
    <t>Study of the BIOPIN 6 Naltrexone Implant in Healthy Adults</t>
  </si>
  <si>
    <t>Akyso Therapeutics, LLC</t>
  </si>
  <si>
    <t>NCT06382142</t>
  </si>
  <si>
    <t>A Study Comparing BL-B01D1 With Chemotherapy of Physician's Choice in Patients With Unresectable Locally Advanced or Metastatic Triple-Negative Breast Cancer</t>
  </si>
  <si>
    <t>NCT06305754</t>
  </si>
  <si>
    <t>Sacituzumab Tirumotecan (MK-2870) Versus Pemetrexed and Carboplatin Combination Therapy in Participants With Epidermal Growth Factor (EGFR)-Mutated, Advanced Nonsquamous Non-small Cell Lung Cancer (NSCLC) Who Have Progressed on Prior EGFR Tyrosine Kinase Inhibitors (MK-2870-009)</t>
  </si>
  <si>
    <t>NCT06469151</t>
  </si>
  <si>
    <t>A Study to Evaluate the Safety, Tolerability and Pharmacokinetics of AZD5148 in Healthy Adults</t>
  </si>
  <si>
    <t>NCT06557265</t>
  </si>
  <si>
    <t>A Phase 1/2 Study of NKX019 in Subjects With Autoimmune Disease (Ntrust-1)</t>
  </si>
  <si>
    <t>Nkarta, Inc.</t>
  </si>
  <si>
    <t>NCT06476834</t>
  </si>
  <si>
    <t>A Study Evaluating Deucravacitinib Concentrations in the Breast Milk and Plasma of Healthy Lactating Female Participants</t>
  </si>
  <si>
    <t>NCT06481579</t>
  </si>
  <si>
    <t>A Study of IVX-A12 in Adults Participants</t>
  </si>
  <si>
    <t>Icosavax, Inc.</t>
  </si>
  <si>
    <t>NCT06388187</t>
  </si>
  <si>
    <t>A Research Study to See How Well Different Doses of CagriSema Help People With Excess Body Weight Lose Weight</t>
  </si>
  <si>
    <t>NCT06558708</t>
  </si>
  <si>
    <t>A Trial Comparing Efficacy, Tolerability, and Safety of GZR101 Injection Once Daily (OD) and GZR33-70 Injection OD</t>
  </si>
  <si>
    <t>NCT06425991</t>
  </si>
  <si>
    <t>A Study Comparing Pre- and Post-Change Teclistamab in Participants With Relapsed or Refractory Multiple Myeloma</t>
  </si>
  <si>
    <t>NCT06430060</t>
  </si>
  <si>
    <t>The Clinical Investigation of Colgate Dual Zinc Toothpaste as Compared to Colgate Cavity Protection Toothpaste in Controlling Established Plaque and Gingivitis</t>
  </si>
  <si>
    <t>NCT06410703</t>
  </si>
  <si>
    <t>CAN1012 Combined With PD-1 in Patients With Solid Tumors</t>
  </si>
  <si>
    <t>NCT06342713</t>
  </si>
  <si>
    <t>A Study to Evaluate the Safety, Tolerability, Pharmacokinetics, and Pharmacodynamics of Single- and Multiple-Ascending Doses and Food Effect of BGB-45035 in Healthy Participants and in Adults With Autoimmune Dermatological Diseases</t>
  </si>
  <si>
    <t>NCT06398444</t>
  </si>
  <si>
    <t>A Clinical Study of Lutetium[177Lu] Oxodotreotide Injection in Patients With Advanced Neuroendocrine Neoplasms</t>
  </si>
  <si>
    <t>Sinotau Pharmaceutical Group</t>
  </si>
  <si>
    <t>NCT05907330</t>
  </si>
  <si>
    <t>Phase 2 Study of CU104 in Moderate-Severe Ulcerative Colitis</t>
  </si>
  <si>
    <t>Curacle Co., Ltd.</t>
  </si>
  <si>
    <t>NCT06424470</t>
  </si>
  <si>
    <t>Study on the Treatment of Prurigo Nodularis With Stapokibart Injection</t>
  </si>
  <si>
    <t>NCT06489015</t>
  </si>
  <si>
    <t>Recombinant Human Serum Albumin in the Treatment of AD (Alzheimer Disease) Exploratory Clinical Trials</t>
  </si>
  <si>
    <t>Protgen Ltd</t>
  </si>
  <si>
    <t>NCT06448312</t>
  </si>
  <si>
    <t>A Study of SKB264 in Combination With Pembrolizumab Versus Pembrolizumab in Patients With Locally Advanced or Metastatic Non-Small Cell Lung Cancer</t>
  </si>
  <si>
    <t>NCT07418957</t>
  </si>
  <si>
    <t>Efficacy and Safety of Vaginal Lactobacillus Dual Probiotic Capsules in Bacterial Vaginosis</t>
  </si>
  <si>
    <t>Guangdong Longchuangji Pharmaceutical Co., Ltd.</t>
  </si>
  <si>
    <t>NCT06388200</t>
  </si>
  <si>
    <t>A Phase 3 Study Of OCU400 Gene Therapy for the Treatment Of Retinitis Pigmentosa</t>
  </si>
  <si>
    <t>NCT06462586</t>
  </si>
  <si>
    <t>Study of Lumateperone in the Acute Treatment of Patients With Bipolar Mania</t>
  </si>
  <si>
    <t>NCT06112314</t>
  </si>
  <si>
    <t>IMC-F106C Regimen Versus Nivolumab Regimens in Previously Untreated Advanced Melanoma (PRISM-MEL-301)</t>
  </si>
  <si>
    <t>NCT06416800</t>
  </si>
  <si>
    <t>A Study to Assess the Effect of Povorcitinib on Digoxin, Rosuvastatin, and Metformin Pharmacokinetics and the Effect of Probenecid on Povorcitinib Pharmacokinetics When Administered Orally to Healthy Adult Participants</t>
  </si>
  <si>
    <t>NCT06462547</t>
  </si>
  <si>
    <t>ADAPT Study: Long-term Safety Study of INZ-701 in Patients With ENPP1 Deficiency and ABCC6 Deficiency</t>
  </si>
  <si>
    <t>NCT06637020</t>
  </si>
  <si>
    <t>Phase Ib Clinical Study of HDM1005 Injection</t>
  </si>
  <si>
    <t>NCT06373094</t>
  </si>
  <si>
    <t>A Single Dose Escalation Study of HHT201 in Healthy Subjects</t>
  </si>
  <si>
    <t>Shanghai Synergy Pharmaceutical Sciences Co., Ltd.</t>
  </si>
  <si>
    <t>NCT06331312</t>
  </si>
  <si>
    <t>Open-label, Long-term Safety Study of Secukinumab in Polymyalgia Rheumatica (PMR)</t>
  </si>
  <si>
    <t>NCT06431763</t>
  </si>
  <si>
    <t>A Study to Investigate LDL-cholesterol Lowering With Inclisiran Compared to Bempedoic Acid in Patients With Atherosclerotic Cardiovascular Disease.</t>
  </si>
  <si>
    <t>NCT06118281</t>
  </si>
  <si>
    <t>ARTEMIS - A Research Study to Look at How Ziltivekimab Works Compared to Placebo in People With a Heart Attack</t>
  </si>
  <si>
    <t>NCT06370871</t>
  </si>
  <si>
    <t>Brightline-3: A Study to Find Out Whether Brigimadlin in Combination With Ezabenlimab Helps People With Advanced Soft Tissue Sarcoma</t>
  </si>
  <si>
    <t>NCT06402513</t>
  </si>
  <si>
    <t>A Study in Healthy Adult Participants to Assess the Pharmacokinetics, Immunogenicity, Safety, and Tolerability of a Ravagalimab Subcutaneous Formulation in a Pre-Filled Syringe</t>
  </si>
  <si>
    <t>NCT06468358</t>
  </si>
  <si>
    <t>A Study to Evaluate LB1410 in Combination With LB4330 in Patients With Advanced or Metastatic Solid Tumors</t>
  </si>
  <si>
    <t>L &amp; L Bio Co., Ltd., Ningbo, China</t>
  </si>
  <si>
    <t>NCT06382168</t>
  </si>
  <si>
    <t>DFP-10917 in Combination With Venetoclax in Relapsed or Refractory Acute Myeloid Leukemia</t>
  </si>
  <si>
    <t>Delta-Fly Pharma, Inc.</t>
  </si>
  <si>
    <t>NCT06389877</t>
  </si>
  <si>
    <t>A Study to Evaluate the Safety and Efficacy of BEAM-302 in Adult Patients With Alpha-1 Antitrypsin Deficiency (AATD)</t>
  </si>
  <si>
    <t>Beam Therapeutics Inc.</t>
  </si>
  <si>
    <t>NCT06466486</t>
  </si>
  <si>
    <t>An Exploratory Study to Investigate the Effect of FE 999302 When Given Together With Follitropin Delta During Controlled Ovarian Stimulation</t>
  </si>
  <si>
    <t>NCT06324357</t>
  </si>
  <si>
    <t>Beamion BCGC-1: A Study to Find a Suitable Dose of Zongertinib Used Alone and in Combination With Other Treatments to Test Whether it Helps People With Different Types of HER2+ Cancer That Has Spread</t>
  </si>
  <si>
    <t>NCT06372678</t>
  </si>
  <si>
    <t>Study of CM326 in Participants With Chronic Rhinosinusitis With Nasal Polyposis</t>
  </si>
  <si>
    <t>NCT06425549</t>
  </si>
  <si>
    <t>A Study to Evaluate the Efficacy and Safety of Bimekizumab Compared to Ustekinumab in Children and Adolescents From 6 Years to Less Than 18 Years of Age With Moderate to Severe Plaque Psoriasis</t>
  </si>
  <si>
    <t>NCT06063850</t>
  </si>
  <si>
    <t>AMT-260 Gene Therapy Study in Adults With Unilateral Refractory Mesial Temporal Lobe Epilepsy</t>
  </si>
  <si>
    <t>NCT06411249</t>
  </si>
  <si>
    <t>A Study Describing the Efficacy and Safety of Belimumab Administered in Adult Participants With Early Systemic Lupus Erythematosus (SLE)</t>
  </si>
  <si>
    <t>NCT06474806</t>
  </si>
  <si>
    <t>Safety and Diagnostic Performance of uPAR PET Imaging in Localised, Untreated Prostate Cancer</t>
  </si>
  <si>
    <t>Curasight</t>
  </si>
  <si>
    <t>NCT06434103</t>
  </si>
  <si>
    <t>Clinical Study of SHR-A1921 Combined With Adebrelimab and SHR-8068 With or Without Carboplatin in the Treatment of Advanced NSCLC</t>
  </si>
  <si>
    <t>NCT06415019</t>
  </si>
  <si>
    <t>A Study to Learn About Whether BAY H006689 Causes an Allergic Reaction When Applied as a Topical Gel in Healthy Participants</t>
  </si>
  <si>
    <t>NCT06452771</t>
  </si>
  <si>
    <t>A First In Human (FIH) Study to Learn if Different Doses of ALN-ANG3 Are Safe and Well Tolerated in Healthy Adults</t>
  </si>
  <si>
    <t>NCT05975021</t>
  </si>
  <si>
    <t>A Safety and Efficacy Trial of Istaroxime for Cardiogenic Shock Stage C</t>
  </si>
  <si>
    <t>Windtree Therapeutics</t>
  </si>
  <si>
    <t>NCT06460064</t>
  </si>
  <si>
    <t>First-in-human Study to Assess the Safety, Tolerability and Immunogenicity of the Adjuvanted Universal Influenza Vaccine fH1/DSP-0546LP</t>
  </si>
  <si>
    <t>Sumitomo Pharma Co., Ltd.</t>
  </si>
  <si>
    <t>NCT06359002</t>
  </si>
  <si>
    <t>Safety, Pharmacokinetics, and Preliminary Efficacy of BYON4413 in Acute Myeloid Leukemia and Myelodysplastic Neoplasms.</t>
  </si>
  <si>
    <t>NCT06733402</t>
  </si>
  <si>
    <t>A Study Comparing Trifarotene Cream 0.005% to AKLIEF® CREAM (US REFERENCE LISTED DRUG), AKLIEF™ CREAM (CANADIAN REFERENCE PRODUCT) in the Treatment of Acne Vulgaris</t>
  </si>
  <si>
    <t>NCT06453356</t>
  </si>
  <si>
    <t>A Study to Learn How the Study Medicine Called Zavegepant is Taken Up Into Blood and Breast Milk of Healthy Breast-Feeding Women</t>
  </si>
  <si>
    <t>NCT06263231</t>
  </si>
  <si>
    <t>A Study to Investigate Efficacy &amp; Safety of Intratumoral INT230-6 Compared to US Standard of Care in Adults With Soft Tissue Sarcomas (INVINCIBLE-3)</t>
  </si>
  <si>
    <t>Intensity Therapeutics, Inc.</t>
  </si>
  <si>
    <t>NCT06434961</t>
  </si>
  <si>
    <t>The Trial of SHR6508 in Secondary Hyperparathyroidism</t>
  </si>
  <si>
    <t>NCT06253923</t>
  </si>
  <si>
    <t>Study to Assess the Safety of Amantadine Hydrochloride (HCl) Intravenous (IV) Solution (MR-301) in Patients With Severe Traumatic Brain Injury (TBI).</t>
  </si>
  <si>
    <t>SHINKEI Therapeutics, Inc</t>
  </si>
  <si>
    <t>NCT06412458</t>
  </si>
  <si>
    <t>IM83 Clinical Study of CAR-T Cell Therapy in Patients With Relapsed or Refractory Osteosarcoma</t>
  </si>
  <si>
    <t>NCT06080789</t>
  </si>
  <si>
    <t>A Study to Evaluate the Safety and Efficacy of a Single Dose of RABI-767 in Participants With Acute Pancreatitis</t>
  </si>
  <si>
    <t>Panafina, Inc.</t>
  </si>
  <si>
    <t>NCT07378579</t>
  </si>
  <si>
    <t>An Investigational Study to Evaluate the Cardiac Safety Assessment (TQTc Study) of ESK-001</t>
  </si>
  <si>
    <t>NCT06655662</t>
  </si>
  <si>
    <t>Evaluating Safety and Efficacy of Lentiviral-transduced CD34+ HSCs in Β-thalassaemia Patients.</t>
  </si>
  <si>
    <t>Shenzhen Hemogen</t>
  </si>
  <si>
    <t>NCT06419205</t>
  </si>
  <si>
    <t>A Phase 2 Study to Evaluate the Safety, PD, PK, and Clinical Activity of ADX-097 in Participants With IgAN, LN or C3G</t>
  </si>
  <si>
    <t>Q32 Bio Inc.</t>
  </si>
  <si>
    <t>NCT06232902</t>
  </si>
  <si>
    <t>A Study to Compare the Pharmacokinetics and Safety of QL1101 and EU-Avastin® in Healthy Volunteers</t>
  </si>
  <si>
    <t>NCT06462820</t>
  </si>
  <si>
    <t>SAINT for MDD in an Inpatient Setting Follow-on</t>
  </si>
  <si>
    <t>NCT06427499</t>
  </si>
  <si>
    <t>The Clinical of Stannous Fluoride Toothpaste and a Newly Designed Toothbrush Compared to Colgate Cavity Protection Toothpaste and a Regular Toothbrush in Reducing Plaque and Gingivitis.</t>
  </si>
  <si>
    <t>NCT06296212</t>
  </si>
  <si>
    <t>Study of Intravenous TAD® 600 Mg/4 ML Solution for Injection to Evaluate Efficacy and Safety in Preventing Myocardial Injury in Patients with Pneumonia.</t>
  </si>
  <si>
    <t>Biomedica Foscama S.p.A. Industria Chimico-Farmaceutica</t>
  </si>
  <si>
    <t>NCT06558006</t>
  </si>
  <si>
    <t>Safety and Efficacy Predimenol for Headache</t>
  </si>
  <si>
    <t>Dexa Medica Group</t>
  </si>
  <si>
    <t>NCT06428955</t>
  </si>
  <si>
    <t>Evaluation of a Monofocal Intraocular Lens</t>
  </si>
  <si>
    <t>Carl Zeiss Meditec AG</t>
  </si>
  <si>
    <t>NCT06378593</t>
  </si>
  <si>
    <t>A Study of 3HP-2827 in Treatment of Unresectable or Metastatic Solid Tumors With FGFR2 Alterations</t>
  </si>
  <si>
    <t>3H (Suzhou) Pharmaceuticals Co., Ltd.</t>
  </si>
  <si>
    <t>NCT06384131</t>
  </si>
  <si>
    <t>A Study to Assess the Safety, Pharmacokinetics, and Antiviral Activity of ABI-4334 in Subjects With Chronic Hepatitis B Virus Infection</t>
  </si>
  <si>
    <t>NCT06223516</t>
  </si>
  <si>
    <t>Study of ABBV-383 Assessing Adverse Events and Clinical Activity With Subcutaneous (SC) Injection in Adult Participants With Relapsed or Refractory Multiple Myeloma</t>
  </si>
  <si>
    <t>NCT06122584</t>
  </si>
  <si>
    <t>Diagnostic Performance of [18F]PSMA-1007 PET/CT Imaging in Patients With Newly-Diagnosed Prostate Cancer</t>
  </si>
  <si>
    <t>ABX advanced biochemical compounds GmbH</t>
  </si>
  <si>
    <t>NCT06336148</t>
  </si>
  <si>
    <t>A Phase 1a/1b Study of ACTM-838 in Patients With Advanced Solid Tumors</t>
  </si>
  <si>
    <t>Actym Therapeutics, Inc.</t>
  </si>
  <si>
    <t>NCT06504147</t>
  </si>
  <si>
    <t>A Study of Radspherin® in Patients With Primary Advanced Epithelial Cancer, With Peritoneal Metastasis That Are Homologous Recombination Proficient Scheduled to Undergo Neoadjuvant Chemotherapy and Interval Debulking Surgery</t>
  </si>
  <si>
    <t>Oncoinvent Solutions AS</t>
  </si>
  <si>
    <t>NCT06469008</t>
  </si>
  <si>
    <t>A Study of BL-B16D1 in Patients With Recurrent or Metastatic Head and Neck Squamous Cell Carcinoma and Other Solid Tumors</t>
  </si>
  <si>
    <t>NCT06095128</t>
  </si>
  <si>
    <t>A Study of Vedolizumab With Tofacitinib in Adults With Ulcerative Colitis (UC)</t>
  </si>
  <si>
    <t>NCT06433531</t>
  </si>
  <si>
    <t>A Clinical Study of TQH2929 Injection in Treatment With Generalized Pustular Psoriasis (GPP)</t>
  </si>
  <si>
    <t>NCT06394713</t>
  </si>
  <si>
    <t>A Study to Evaluate the Efficacy and Safety of QLF31907 Combination Therapy in Patients With Advanced Malignant Tumors</t>
  </si>
  <si>
    <t>NCT05897424</t>
  </si>
  <si>
    <t>Long-term, Open-label Study of SAR447537 (INBRX-101) in Adults With Alpha-1 Antitrypsin Deficiency Emphysema</t>
  </si>
  <si>
    <t>NCT05562947</t>
  </si>
  <si>
    <t>A Study of the Efficacy, Safety, and Pharmacokinetics (PK) of the Port Delivery System With Ranibizumab (PDS) in Chinese Participants With Neovascular Age-related Macular Degeneration (nAMD)</t>
  </si>
  <si>
    <t>NCT06447506</t>
  </si>
  <si>
    <t>Long-Term Study (AtDvance) to Evaluate GSK1070806 in Atopic Dermatitis.</t>
  </si>
  <si>
    <t>NCT06454630</t>
  </si>
  <si>
    <t>A Trial to Learn How Well REGN7508 Works for Preventing Blood Clots After a Knee Replacement in Adult Participants</t>
  </si>
  <si>
    <t>NCT06481488</t>
  </si>
  <si>
    <t>A Study of E2086 in Healthy Adult Participants</t>
  </si>
  <si>
    <t>NCT06365879</t>
  </si>
  <si>
    <t>To Compare Efficacy and Safety of CMAB007 and Xolair® in Patients With Chronic Spontaneous Urticaria</t>
  </si>
  <si>
    <t>NCT06263270</t>
  </si>
  <si>
    <t>Evaluation of CYT-108, A Recombinant Protease Inhibitor, for Treatment of Mild To Moderate Primary Osteoarthritis Of The Knee</t>
  </si>
  <si>
    <t>Cytonics Corporation</t>
  </si>
  <si>
    <t>NCT06508983</t>
  </si>
  <si>
    <t>A Clinical Study Comparing SG301 Plus Pomalidomide and Dexamethasone to Placebo Plus Pomalidomide and Dexamethasone in Relapsed or Refractory Multiple Myeloma Patients</t>
  </si>
  <si>
    <t>Hangzhou Sumgen Biotech Co., Ltd.</t>
  </si>
  <si>
    <t>NCT06649409</t>
  </si>
  <si>
    <t>Evaluation of Vamorolone Mineralocorticoid Receptor Antagonism in Healthy Subjects</t>
  </si>
  <si>
    <t>Santhera Pharmaceuticals</t>
  </si>
  <si>
    <t>NCT06514651</t>
  </si>
  <si>
    <t>MAQ-001 in Patients With Advanced Solid Tumors</t>
  </si>
  <si>
    <t>MabQuest SA</t>
  </si>
  <si>
    <t>NCT06453265</t>
  </si>
  <si>
    <t>A Study to Assess the Abuse Potential of Intranasal Cebranopadol</t>
  </si>
  <si>
    <t>Tris Pharma, Inc.</t>
  </si>
  <si>
    <t>NCT06352437</t>
  </si>
  <si>
    <t>A Study to Test How Well Different Doses of BI 3034701 Are Tolerated by Healthy Men and People With Overweight or Obesity</t>
  </si>
  <si>
    <t>NCT06462118</t>
  </si>
  <si>
    <t>A Study to Evaluate the Effect of Injection Site on PK of Astegolimab in Healthy Subjects</t>
  </si>
  <si>
    <t>NCT06496217</t>
  </si>
  <si>
    <t>Safety and Pharmacokinetics Study of MBX 2109 in Adult Subjects With Normal and Impaired Renal Function</t>
  </si>
  <si>
    <t>MBX Biosciences</t>
  </si>
  <si>
    <t>NCT06961617</t>
  </si>
  <si>
    <t>Autologous HBV-TCR T Cell Therapy (LioCyx-M) for the Treatment of Hepatocellular Carcinoma</t>
  </si>
  <si>
    <t>Lion TCR Pte. Ltd.</t>
  </si>
  <si>
    <t>NCT06585696</t>
  </si>
  <si>
    <t>A Phase 3 Clinical Study to Evaluate the Efficacy and Safety of Botulinum Toxin Type A for Injection (CU-20101)</t>
  </si>
  <si>
    <t>Cutia Therapeutics（Wuxi）Co.,Ltd</t>
  </si>
  <si>
    <t>NCT06336356</t>
  </si>
  <si>
    <t>A Study to Evaluate Cortisol Reserve in Response to Adrenocorticotropic Hormone (ACTH) Stimulation Test Following Baxdrostat Treatment Compared to Placebo in Participants With Uncontrolled Hypertension</t>
  </si>
  <si>
    <t>NCT06488521</t>
  </si>
  <si>
    <t>A Safety and Pharmacokinetics Study of Complarate (Tocilizumab Biosimilar Solution) and Actemra® in Healthy Volunteers</t>
  </si>
  <si>
    <t>AO GENERIUM</t>
  </si>
  <si>
    <t>NCT06622148</t>
  </si>
  <si>
    <t>Bioequivalence Study of Iron Sucrose Injection in Healthy Subjects</t>
  </si>
  <si>
    <t>NCT06474377</t>
  </si>
  <si>
    <t>Clinical Trial of PCV24 in Adults</t>
  </si>
  <si>
    <t>NCT06304636</t>
  </si>
  <si>
    <t>Descartes-15 for Patients With Relapsed/Refractory Multiple Myeloma</t>
  </si>
  <si>
    <t>NCT06372652</t>
  </si>
  <si>
    <t>A Phase 1 Study of TE-8214 Solution in Healthy Volunteers</t>
  </si>
  <si>
    <t>Immunwork, Inc.</t>
  </si>
  <si>
    <t>NCT06393374</t>
  </si>
  <si>
    <t>Sacituzumab Tirumotecan (MK-2870) Plus Pembrolizumab Versus TPC in TNBC Who Did Not Achieve pCR (MK-2870-012)</t>
  </si>
  <si>
    <t>NCT04935762</t>
  </si>
  <si>
    <t>A Study of CST-103 Co-administered With CST-107 in Subjects With Parkinson's Disease Having Freezing of Gait (CLIN-012)</t>
  </si>
  <si>
    <t>CuraSen Therapeutics, Inc.</t>
  </si>
  <si>
    <t>NCT06473519</t>
  </si>
  <si>
    <t>A Study to Assess Safety, Tolerability and Immunogenicity of RSVpreF From Multidose Vials in Healthy Female Adults.</t>
  </si>
  <si>
    <t>NCT06976177</t>
  </si>
  <si>
    <t>Study of MT1013 Injection for the Treatment of Secondary Hyperparathyroidism (SHPT) Patients With Chronic Kidney Disease Undergoing Maintenance Dialysis</t>
  </si>
  <si>
    <t>NCT06471829</t>
  </si>
  <si>
    <t>A Trial of Lu AG13909 in Adult Participants With Cushing's Disease</t>
  </si>
  <si>
    <t>NCT06274437</t>
  </si>
  <si>
    <t>A Study of BND-35 in Participants With Advanced Solid Tumors</t>
  </si>
  <si>
    <t>Biond Biologics</t>
  </si>
  <si>
    <t>NCT06435442</t>
  </si>
  <si>
    <t>PK,PD and DDI of Epaminurad and Naproxen in Healthy Volunteers</t>
  </si>
  <si>
    <t>JW Pharmaceutical</t>
  </si>
  <si>
    <t>NCT06687759</t>
  </si>
  <si>
    <t>A Study of MK-1084 Human Absorption, Distribution, Metabolism, and Excretion in Healthy Adult Participants (MK-1084-006)</t>
  </si>
  <si>
    <t>NCT06149559</t>
  </si>
  <si>
    <t>A Study of Rozanolixizumab in Pediatric Study Participants With Moderate to Severe Generalized Myasthenia Gravis</t>
  </si>
  <si>
    <t>NCT06475846</t>
  </si>
  <si>
    <t>A Trial of HRS5580 in Prevention of Postoperative Nausea and Vomiting of Adults</t>
  </si>
  <si>
    <t>NCT06440980</t>
  </si>
  <si>
    <t>A Study to Compare Tablets and Capsules of Orforglipron (LY3502970) in Healthy Participants Who Are Obese or Overweight</t>
  </si>
  <si>
    <t>NCT06500273</t>
  </si>
  <si>
    <t>Consolidation of First-Line MRD+ Remission With Cema-cel in Patients With LBCL</t>
  </si>
  <si>
    <t>Allogene Therapeutics</t>
  </si>
  <si>
    <t>NCT06233266</t>
  </si>
  <si>
    <t>Ticagrelor Tablets 90 mg Relative to Originator Ticagrelor Tablets 90 mg</t>
  </si>
  <si>
    <t>NCT06370351</t>
  </si>
  <si>
    <t>A Phase I/II Clinical Trial with SENS-501 in Children Suffering from Severe to Profound Hearing Loss Due to Otoferlin (OTOF) Mutations</t>
  </si>
  <si>
    <t>Sensorion</t>
  </si>
  <si>
    <t>NCT06389682</t>
  </si>
  <si>
    <t>Pharmacokinetics, Biodistribution, Radiation Dose and Safety Study of 68Ga-NYM005 in Patients</t>
  </si>
  <si>
    <t>NCT05952024</t>
  </si>
  <si>
    <t>Study of Acalabrutinib and Rituximab in Untreated Elderly and/or Frail Patients With DLBCL</t>
  </si>
  <si>
    <t>NCT05013983</t>
  </si>
  <si>
    <t>Clinical Trial of Recombinant COVID-19 Vaccine (Sf9 Cells) in Children and Adolescents</t>
  </si>
  <si>
    <t>WestVac Biopharma Co., Ltd.</t>
  </si>
  <si>
    <t>NCT06504290</t>
  </si>
  <si>
    <t>Evaluating Safety, Tolerability and Pharmacokinetic of Multiple Ascending Doses of VV119</t>
  </si>
  <si>
    <t>NCT06515470</t>
  </si>
  <si>
    <t>Safety, Tolerability, Pharmacokinetics, and Preliminary Efficacy of BTX-9341 in Advanced and/or Metastatic Breast Cancer</t>
  </si>
  <si>
    <t>Biotheryx, Inc.</t>
  </si>
  <si>
    <t>NCT06351150</t>
  </si>
  <si>
    <t>Efficacy and Safety of Angiotensin II Injection Versus Placebo in Patients With Refractory Distributed Shock</t>
  </si>
  <si>
    <t>NCT06430437</t>
  </si>
  <si>
    <t>A Study of SHR-A1811 in First-line Treatment of Patients With Advanced or Metastatic Non-small Cell Lung Cancer With HER2 Mutations</t>
  </si>
  <si>
    <t>NCT06456346</t>
  </si>
  <si>
    <t>Bomedemstat vs Hydroxyurea for Essential Thrombocythemia (MK-3543-007)</t>
  </si>
  <si>
    <t>NCT06127407</t>
  </si>
  <si>
    <t>Ivosidenib in Participants With Locally Advanced or Metastatic Conventional Chondrosarcoma Untreated or Previously Treated With 1 Systemic Treatment Regimen</t>
  </si>
  <si>
    <t>NCT06443463</t>
  </si>
  <si>
    <t>Long-term Safety and Tolerability of BHV-7000</t>
  </si>
  <si>
    <t>NCT06251310</t>
  </si>
  <si>
    <t>SW-682 in Advanced Solid Tumors</t>
  </si>
  <si>
    <t>SpringWorks Therapeutics, Inc.</t>
  </si>
  <si>
    <t>NCT06519968</t>
  </si>
  <si>
    <t>A Study to Investigate the Safety, Tolerability, and Pharmacokinetics of Inhaled AZD4604 in Healthy Japanese and Chinese Participants.</t>
  </si>
  <si>
    <t>NCT06280196</t>
  </si>
  <si>
    <t>A Study to Evaluate PK, Efficacy, and Safety of BAT3306 Plus Chemo and Compare With Keytruda®(EU/US) in Participants With IV nqNSCLC</t>
  </si>
  <si>
    <t>NCT06459180</t>
  </si>
  <si>
    <t>A Study to Compare Sacituzumab Tirumotecan (MK-2870) Monotherapy Versus Treatment of Physician's Choice as Second-line Treatment for Participants With Recurrent or Metastatic Cervical Cancer (MK-2870-020/TroFuse-020/Gog-3101/ENGOT-cx20)</t>
  </si>
  <si>
    <t>NCT06475131</t>
  </si>
  <si>
    <t>A Study of BL-B16D1 in Patients With Locally Advanced or Metastatic Solid Tumors</t>
  </si>
  <si>
    <t>NCT06541405</t>
  </si>
  <si>
    <t>Safety and Efficacy of NK520 to Treat Pediatric Relapsed/Refractory Acute Myeloid Leukemia</t>
  </si>
  <si>
    <t>Base Therapeutics (Shanghai) Co., Ltd.</t>
  </si>
  <si>
    <t>NCT06224127</t>
  </si>
  <si>
    <t>Treating Stress and Anxiety in Individuals With Alcohol Use Disorder (AUD)</t>
  </si>
  <si>
    <t>Soovu Labs Inc.</t>
  </si>
  <si>
    <t>NCT06465186</t>
  </si>
  <si>
    <t>A Clinical Study of Efinopegdutide in People With Compensated Cirrhosis Due to Steatohepatitis (MK-6024-017)</t>
  </si>
  <si>
    <t>NCT06650605</t>
  </si>
  <si>
    <t>Phase 1 Open-label Study of 123I-ATT001 in Subjects with Relapsed Glioblastoma</t>
  </si>
  <si>
    <t>Theragnostics Ltd</t>
  </si>
  <si>
    <t>NCT05286853</t>
  </si>
  <si>
    <t>A Study of Renal Autologous Cell Therapy (REACT) in Participants With Type 2 Diabetes and Chronic Kidney Disease</t>
  </si>
  <si>
    <t>Prokidney</t>
  </si>
  <si>
    <t>NCT06550128</t>
  </si>
  <si>
    <t>Study to Evaluate the Efficacy and Safety of AHB-137 Injection in Participants With Chronic Hepatitis B (CHB).</t>
  </si>
  <si>
    <t>Ausper Biopharma Co., Ltd.</t>
  </si>
  <si>
    <t>NCT06700499</t>
  </si>
  <si>
    <t>A Study to Evaluate the Efficacy and Safety of AK120 in Subjects With Moderate to Severe Atopic Dermatitis</t>
  </si>
  <si>
    <t>NCT06417853</t>
  </si>
  <si>
    <t>Influenza a (H7N9) Vaccine Delivered Intradermally by High-density Microarray Patch (HD-MAP)</t>
  </si>
  <si>
    <t>Vaxxas Pty Ltd</t>
  </si>
  <si>
    <t>NCT06491914</t>
  </si>
  <si>
    <t>A Phase 3b, Single-Arm Study of Aflibercept 8 mg Dosed Every 4 Weeks in Adult Participants With Neovascular Age-Related Macular Degeneration (nAMD) or Diabetic Macular Edema (DME)</t>
  </si>
  <si>
    <t>NCT06197009</t>
  </si>
  <si>
    <t>Efficacy and Safety of SCT650C in Participants With Axial Spondyloarthritis</t>
  </si>
  <si>
    <t>NCT06466525</t>
  </si>
  <si>
    <t>A Two-Part Single and Multiple Ascending Dose Trial of the Safety, Tolerability, Pharmacokinetics, and Pharmacodynamics of LBT-3627 in Healthy Participants and in Participants With Parkinson's Disease.</t>
  </si>
  <si>
    <t>Longevity Biotech Australia Pty Ltd (subsidiary)</t>
  </si>
  <si>
    <t>NCT06239480</t>
  </si>
  <si>
    <t>SELVA: A Phase 3 Study Evaluating QTORIN 3.9% Rapamycin Anhydrous Gel in the Treatment of Microcystic Lymphatic Malformations</t>
  </si>
  <si>
    <t>Palvella Therapeutics, Inc.</t>
  </si>
  <si>
    <t>NCT07093970</t>
  </si>
  <si>
    <t>A Study of MRG006A in the Treatment of Patients With Advanced Solid Tumors</t>
  </si>
  <si>
    <t>Lepu Biopharma Co., Ltd.</t>
  </si>
  <si>
    <t>NCT06448273</t>
  </si>
  <si>
    <t>A Study to Evaluate the Safety, Pharmacokinetics, and Pharmacokinetic of TQB3702 Tablets in Healthy Adult Subjects</t>
  </si>
  <si>
    <t>NCT06562114</t>
  </si>
  <si>
    <t>A Phase 1 Safety and Tolerability Study of TML-6 in Healthy and Elderly Volunteers for Alzheimer's Disease Treatment</t>
  </si>
  <si>
    <t>Merry Life Biomedical Co., Ltd.</t>
  </si>
  <si>
    <t>NCT06510816</t>
  </si>
  <si>
    <t>A Study Investigating the Efficacy and Safety of Intravitreal (IVT) Injections of Vonaprument (Formerly ANX007) in Participants With Geographic Atrophy (GA)</t>
  </si>
  <si>
    <t>Annexon, Inc.</t>
  </si>
  <si>
    <t>NCT06423235</t>
  </si>
  <si>
    <t>Efficacy and Safety of Prunella Oral Liquid in the Treatment of Thyroid Nodules</t>
  </si>
  <si>
    <t>Xintian Pharmaceutical</t>
  </si>
  <si>
    <t>NCT06565650</t>
  </si>
  <si>
    <t>A Study to Evaluate Corneal Endothelial Cell Density (ECD) in Subjects With Dry Eye Disease (DED) Administering Miebo® (Perfluorohexyloctane Ophthalmic Solution) for 12 Months.</t>
  </si>
  <si>
    <t>NCT06512051</t>
  </si>
  <si>
    <t>A Trial of SHR-A2102 With Adebrelimab With or Without Other Antitumor Therapy in Advanced or Metastatic Non-small Cell Lung Cancer</t>
  </si>
  <si>
    <t>NCT06494397</t>
  </si>
  <si>
    <t>Pharmacokinetic Study of VHX-896 and Iloperidone Tablets Under Steady-State Conditions</t>
  </si>
  <si>
    <t>NCT06565897</t>
  </si>
  <si>
    <t>Clinical Investigation to Assess the Efficacy of Manual Toothbrushes in the Reduction of Plaque and Gingivitis.</t>
  </si>
  <si>
    <t>NCT06548139</t>
  </si>
  <si>
    <t>Rabies mAb CBB 1 Combination Vaccine in Healthy People With Antibody Neutralization Activity and Safety Phase Clinical Trials</t>
  </si>
  <si>
    <t>NCT06477926</t>
  </si>
  <si>
    <t>A Study to Assess Relative Bioavailability and Food Effect of ABBV-668 Extended-Release Formulations in Adult Participants</t>
  </si>
  <si>
    <t>NCT06537050</t>
  </si>
  <si>
    <t>A Randomized, Double-blind, Placebo-controlled Phase 1 Study to Evaluate the Safety, Tolerability and Pharmacokinetics of JX2105 in Healthy Chinese Subjects</t>
  </si>
  <si>
    <t>Zhejiang Jingxin Pharmaceutical Co., Ltd.</t>
  </si>
  <si>
    <t>NCT06413654</t>
  </si>
  <si>
    <t>A Clinical Study of B001 Injection in the Treatment of Neuromyelitis Optica Spectrum Disorders(NMOSD)</t>
  </si>
  <si>
    <t>Shanghai Jiaolian Drug Research and Development Co., Ltd</t>
  </si>
  <si>
    <t>NCT06929039</t>
  </si>
  <si>
    <t>Open Label , Randomized, Three Arm Parallel Group Single Dose Comparative Pharmacokinetic , Safety and Immunogenicity Study in Healthy Subjects</t>
  </si>
  <si>
    <t>Kashiv BioSciences, LLC</t>
  </si>
  <si>
    <t>NCT06262139</t>
  </si>
  <si>
    <t>Evaluation of a Targeted Magnetic Resonance Imaging Contrast Agent in Prostate Cancer Patients</t>
  </si>
  <si>
    <t>Songqi Gao</t>
  </si>
  <si>
    <t>NCT06522763</t>
  </si>
  <si>
    <t>Bioequivalence Study of Sulfadoxine/Pyrimethamine 500/25 mg Dispersible Tablet</t>
  </si>
  <si>
    <t>Swiss Pharma Nigeria Limited</t>
  </si>
  <si>
    <t>NCT06412471</t>
  </si>
  <si>
    <t>A Phase II Study of SSGJ-707 Combination Therapy in Advanced NSCLC Patients</t>
  </si>
  <si>
    <t>NCT06517758</t>
  </si>
  <si>
    <t>A Phase III Study to Investigate Efficacy, Safety and Tolerability of Iptacopan Compared With Placebo in Participants Aged 18 to 85 Years With gMG.</t>
  </si>
  <si>
    <t>NCT06507436</t>
  </si>
  <si>
    <t>The Phase III Clinical Study of Herombopag for the Treatment of Thrombocytopenia in Chronic Liver Disease Patients Undergoing Elective Invasive Surgery</t>
  </si>
  <si>
    <t>NCT06457204</t>
  </si>
  <si>
    <t>A Study in Healthy People to Compare Two Different Sifrol® Tablets</t>
  </si>
  <si>
    <t>NCT06492005</t>
  </si>
  <si>
    <t>A Clinical Study of 9MW2821 (and PD-1 Inhibitor) in Locally Advanced or Metastatic Triple-Negative Breast Cancer</t>
  </si>
  <si>
    <t>NCT06526832</t>
  </si>
  <si>
    <t>A Phase 1 Study of BST02 in Treating Locally Advanced Liver Cancer</t>
  </si>
  <si>
    <t>BioSyngen Pte Ltd</t>
  </si>
  <si>
    <t>NCT06100744</t>
  </si>
  <si>
    <t>A Study to Assess Adverse Events, Change in Disease Activity, and How the Drug Moves Through the Body in Children With Juvenile Psoriatic Arthritis (jPsA) Receiving Subcutaneously Injected Risankizumab or Adalimumab</t>
  </si>
  <si>
    <t>NCT06226805</t>
  </si>
  <si>
    <t>Study of BB-031 in Acute Ischemic Stroke Patients (RAISE)</t>
  </si>
  <si>
    <t>Basking Biosciences, Inc.</t>
  </si>
  <si>
    <t>NCT06505395</t>
  </si>
  <si>
    <t>A Trial to Assess Efficacy, Safety, Pharmacokinetics of Octreotide Subcutaneous Injection in Patients With Gastroentero-pancreatic Neuroendocrine Tumor (GEP-NET)</t>
  </si>
  <si>
    <t>NCT06525272</t>
  </si>
  <si>
    <t>A Study to Evaluate the Safety, Tolerability, and Preliminary Efficacy of OsrhCT in Patients With Pleurisy</t>
  </si>
  <si>
    <t>Healthgen Biotechnology Corp.</t>
  </si>
  <si>
    <t>NCT06212076</t>
  </si>
  <si>
    <t>Phase I/II Study of IPG1094 in Advanced Solid Tumors Patients</t>
  </si>
  <si>
    <t>NCT06374797</t>
  </si>
  <si>
    <t>A Study of Auxora in Patients With AKI and Injurious Lung "Crosstalk"</t>
  </si>
  <si>
    <t>CalciMedica, Inc.</t>
  </si>
  <si>
    <t>NCT06535841</t>
  </si>
  <si>
    <t>A First-in-Human Safety Trial of MTX-474</t>
  </si>
  <si>
    <t>NCT06282575</t>
  </si>
  <si>
    <t>Efficacy and Safety of Zanidatamab With Standard-of-care Therapy Against Standard-of-care Therapy for Advanced HER2-positive Biliary Tract Cancer</t>
  </si>
  <si>
    <t>Jazz Pharmaceuticals</t>
  </si>
  <si>
    <t>NCT06393881</t>
  </si>
  <si>
    <t>A Study to Compare and Evaluate the Safety, Pharmacokinetics and Pharmacodynamics of UI059 and UIC202201</t>
  </si>
  <si>
    <t>Korea United Pharm. Inc.</t>
  </si>
  <si>
    <t>NCT06415344</t>
  </si>
  <si>
    <t>Long-term Extension of GTX-102 in Angelman Syndrome</t>
  </si>
  <si>
    <t>Ultragenyx Pharmaceutical Inc</t>
  </si>
  <si>
    <t>NCT06566820</t>
  </si>
  <si>
    <t>Continuation Protocol for Obstructive Sleep Apnea (OSA)</t>
  </si>
  <si>
    <t>NCT06589635</t>
  </si>
  <si>
    <t>A Drug-Drug Interaction (DDI) Study of ADC189 With Itraconazole in Healthy, Adult Subjects</t>
  </si>
  <si>
    <t>NCT05683990</t>
  </si>
  <si>
    <t>Study to Evaluate the Safety and Feasibility of Diamyd® in Individuals at Risk for Type 1 Diabetes</t>
  </si>
  <si>
    <t>Diamyd Medical AB</t>
  </si>
  <si>
    <t>NCT06515834</t>
  </si>
  <si>
    <t>Investigating the Safety, Tolerability, Immunogenicity and Pharmacokinetics of Olamkicept in Healthy Japanese Persons</t>
  </si>
  <si>
    <t>NCT06544616</t>
  </si>
  <si>
    <t>A Study of JNJ-64042056 in Participants With Preclinical Alzheimer's Disease</t>
  </si>
  <si>
    <t>Janssen Pharmaceutica N.V., Belgium</t>
  </si>
  <si>
    <t>NCT06527404</t>
  </si>
  <si>
    <t>A Phase 3, Placebo-controlled, Double-blind Study Assessing Rocatinlimab in Prurigo Nodularis</t>
  </si>
  <si>
    <t>NCT06526182</t>
  </si>
  <si>
    <t>A Study of Lebrikizumab Treatment in Adults and Adolescents With Moderate-to-Severe Atopic Dermatitis</t>
  </si>
  <si>
    <t>Almirall, S.A.</t>
  </si>
  <si>
    <t>NCT06527365</t>
  </si>
  <si>
    <t>Safety and Efficacy of VDPHL01 in Males and Females With AGA</t>
  </si>
  <si>
    <t>Veradermics, Inc.</t>
  </si>
  <si>
    <t>NCT06500052</t>
  </si>
  <si>
    <t>A Study of BL-M17D1 in Patients With Locally Advanced or Metastatic HER2 Positive/Lower Expression Gastrointestinal Cancer and Other Solid Tumors</t>
  </si>
  <si>
    <t>NCT06440005</t>
  </si>
  <si>
    <t>A Study to Evaluate Safety, Tolerability and Preliminary Activity of AGX101 in Participants With Advanced Solid Tumors</t>
  </si>
  <si>
    <t>Angiex, Inc.</t>
  </si>
  <si>
    <t>NCT06517914</t>
  </si>
  <si>
    <t>A First-in-Human, Single- and Multiple-Ascending Dose Study of YH35995 in Healthy Adult Male Participants</t>
  </si>
  <si>
    <t>NCT06494644</t>
  </si>
  <si>
    <t>A Study to Assess the Pharmacokinetics of AZD6793 When Administered Alone and in Combination With Itraconazole in Healthy Participants.</t>
  </si>
  <si>
    <t>NCT06433557</t>
  </si>
  <si>
    <t>A Phase 2 Clinical Trial to Evaluate Efficacy, Safety, and Tolerability of Navepegritide in Combination With Lonapegsomatropin in Children With Achondroplasia</t>
  </si>
  <si>
    <t>Ascendis Pharma Growth Disorders A/S</t>
  </si>
  <si>
    <t>NCT06226883</t>
  </si>
  <si>
    <t>A Phase 2 Study to Evaluate MORF-057 in Adults With Moderately to Severely Active Crohn's Disease</t>
  </si>
  <si>
    <t>Morphic Therapeutic, Inc. (A Wholly Owned Subsidiary of Eli Lilly and Company)</t>
  </si>
  <si>
    <t>NCT06527677</t>
  </si>
  <si>
    <t>Assessment of the Pharmacokinetics and Safety of ANT3310 Combined With Meropenem in Renally Impaired Subjects</t>
  </si>
  <si>
    <t>Antabio</t>
  </si>
  <si>
    <t>NCT06431490</t>
  </si>
  <si>
    <t>A Study of TQB2102 for Injection in the Treatment of HER2-positive Biliary Tract Cancer</t>
  </si>
  <si>
    <t>NCT06508762</t>
  </si>
  <si>
    <t>A Study to Evaluate the Relative Bioavailability and Food Effect of a New Tablet Formulation of VX-993</t>
  </si>
  <si>
    <t>NCT06046495</t>
  </si>
  <si>
    <t>A Study of the Oral EGFR Inhibitor PLB1004 in Non-Small Cell Lung Cancer</t>
  </si>
  <si>
    <t>NCT05399537</t>
  </si>
  <si>
    <t>Safety Evaluation of Prismocitrate 18 in Patients Receiving CRRT</t>
  </si>
  <si>
    <t>Vantive Health LLC</t>
  </si>
  <si>
    <t>NCT06233591</t>
  </si>
  <si>
    <t>Evaluating LP-10 in Subjects With OLP</t>
  </si>
  <si>
    <t>Lipella Pharmaceuticals, Inc.</t>
  </si>
  <si>
    <t>NCT06525350</t>
  </si>
  <si>
    <t>A Study to Evaluate the Efficacy and Safety of the Combination of Glumetinib and Docetaxel（Albumin Bound）Verse Docetaxel for the Treatment of MET-overexpressed Non-small Cell Lung Cancer</t>
  </si>
  <si>
    <t>NCT07108309</t>
  </si>
  <si>
    <t>BCD-236 in Combination With Chemotherapy in Patients With Relapsed and/or Metastatic Triple Negative Breast Cancer</t>
  </si>
  <si>
    <t>NCT06465563</t>
  </si>
  <si>
    <t>Adebrelimab With or Without SHR-8068 in Combination With Cisplatin Plus Gemcitabine as First-line Treatment in Patients With Advanced Biliary Tract Cancer</t>
  </si>
  <si>
    <t>NCT06054893</t>
  </si>
  <si>
    <t>A Study to Find Out How BIIB141 (Omaveloxolone) is Processed in the Body and to Learn More About Its Safety in Participants With Friedreich's Ataxia Aged 2 to 15 Years Old</t>
  </si>
  <si>
    <t>NCT06427668</t>
  </si>
  <si>
    <t>Study of SPG302 in Adult Participants With Mild-to-Moderate Alzheimer's Disease (AD)</t>
  </si>
  <si>
    <t>Spinogenix</t>
  </si>
  <si>
    <t>NCT06497517</t>
  </si>
  <si>
    <t>A Study to Investigate the Effect of Food on Camlipixant Concentrations in Healthy Participants</t>
  </si>
  <si>
    <t>NCT06465368</t>
  </si>
  <si>
    <t>A Study to Learn About the Study Medicine PF-07220060 Together With Letrozole Compared to Letrozole Alone in Women Post Menopause</t>
  </si>
  <si>
    <t>NCT06991348</t>
  </si>
  <si>
    <t>Clinical Trial for the Comparative Evaluation of Acid Suppression and Symptom Management of Gastroesophageal Reflux Disease With the Administration of Tegoprazan or Pantoprazole</t>
  </si>
  <si>
    <t>Carnot Laboratories</t>
  </si>
  <si>
    <t>NCT05709314</t>
  </si>
  <si>
    <t>A Study of AMDX-2011P in Participants With CAA</t>
  </si>
  <si>
    <t>Amydis Inc.</t>
  </si>
  <si>
    <t>NCT06484816</t>
  </si>
  <si>
    <t>TGRX-1942 Chinese Phase I for Advanced Solid Tumor And/or Relapsed/Refractory Hematologic Malignancies</t>
  </si>
  <si>
    <t>NCT06564467</t>
  </si>
  <si>
    <t>A Single Ascending Dose Study to Evaluate the Safety, Tolerability, Pharmacokinetics and Pharmacodynamics of JMT202</t>
  </si>
  <si>
    <t>NCT05927428</t>
  </si>
  <si>
    <t>Assessment of the Initial Efficacy and Safety of BRM424 Ophthalmic Solutions in Patients With Neurotrophic Keratitis</t>
  </si>
  <si>
    <t>BRIM Biotechnology Inc.</t>
  </si>
  <si>
    <t>NCT06427941</t>
  </si>
  <si>
    <t>A Phase 1 Study of BGB-B2033, Alone or in Combination With Tislelizumab With or Without Bevacizumab, in Participants With Advanced or Metastatic Solid Tumors</t>
  </si>
  <si>
    <t>NCT06454240</t>
  </si>
  <si>
    <t>A Proof-of-concept Study of Lunsekimig Compared With Placebo in Adults With Chronic Rhinosinusitis With Nasal Polyps</t>
  </si>
  <si>
    <t>NCT06233084</t>
  </si>
  <si>
    <t>Desogestrel Tablets (0.075 mg) Relative to Originator Desogestrel Tablets (0.075 mg)</t>
  </si>
  <si>
    <t>NCT06434610</t>
  </si>
  <si>
    <t>A Study of B013 in Combination With Paclitaxel in Patients With Platinum-resistant Recurrent Ovarian Cancer.</t>
  </si>
  <si>
    <t>NCT06300411</t>
  </si>
  <si>
    <t>SRG-514 Administered Intraoperatively to Patients Undergoing Breast-conserving Cancer Surgery</t>
  </si>
  <si>
    <t>SURGE Therapeutics</t>
  </si>
  <si>
    <t>NCT06248099</t>
  </si>
  <si>
    <t>Nebivolol Tablets 5 mg Relative to Nebilet Tablets 5 mg</t>
  </si>
  <si>
    <t>NCT06492226</t>
  </si>
  <si>
    <t>Study to Demonstrate Pharmacokinetic and Pharmacodynamic Similarity Between NKF-INS(A), US-NovoLog®, and EU-NovoRapid®</t>
  </si>
  <si>
    <t>NCT06329570</t>
  </si>
  <si>
    <t>Safety and Efficacy of Bevacizumab in Combination With NaviFUS System for the Treatment of Recurrent Glioblastoma Multiforme (rGBM)</t>
  </si>
  <si>
    <t>NaviFUS Corporation</t>
  </si>
  <si>
    <t>NCT06460961</t>
  </si>
  <si>
    <t>A Study of MK-6837 as a Monotherapy and Combination Therapy in Participants With Advanced/Metastatic Solid Tumors (MK-6837-001)</t>
  </si>
  <si>
    <t>NCT06470828</t>
  </si>
  <si>
    <t>A Study of TAK-861 for the Treatment of Narcolepsy Type 1</t>
  </si>
  <si>
    <t>NCT06383403</t>
  </si>
  <si>
    <t>A Study of Elafibranor in Adults With Primary Biliary Cholangitis and Inadequate Response or Intolerance to Ursodeoxycholic Acid.</t>
  </si>
  <si>
    <t>NCT06482112</t>
  </si>
  <si>
    <t>Alternate Dosing Study of MK-6024 in Adults With Metabolic Dysfunction-Associated Steatotic Liver Disease (MASLD) (MK-6024-016)</t>
  </si>
  <si>
    <t>NCT06487845</t>
  </si>
  <si>
    <t>A Study to Learn How Safe BAY3283142 is When Taken as a Single Dose or as Multiple Doses in Healthy Chinese Participants</t>
  </si>
  <si>
    <t>NCT05279001</t>
  </si>
  <si>
    <t>A Safety and Tolerability Study of Jaktinib</t>
  </si>
  <si>
    <t>NCT06553339</t>
  </si>
  <si>
    <t>A Study of HS-10516 in Patients With VHL Syndrome Associated Tumors</t>
  </si>
  <si>
    <t>NCT06392477</t>
  </si>
  <si>
    <t>A Study to Evaluate the Safety and Activity of SAR448501/DR-0201 in Patients With Relapsed/ Refractory B-Cell Non-Hodgkin Lymphoma</t>
  </si>
  <si>
    <t>NCT06332534</t>
  </si>
  <si>
    <t>Crohn's Disease: Efficacy, Safety, and Pharmacokinetics of Upadacitinib in Pediatric Subjects With Moderately to Severely Active Crohn's Disease</t>
  </si>
  <si>
    <t>NCT06551064</t>
  </si>
  <si>
    <t>Assessment of PK Similarity of FYB206 in Comparison With Keytruda in Resected Stage II or III Melanoma Patients</t>
  </si>
  <si>
    <t>NCT06514963</t>
  </si>
  <si>
    <t>A Trial of HRS-9813 in Healthy Volunteers</t>
  </si>
  <si>
    <t>NCT06511973</t>
  </si>
  <si>
    <t>A Study to Learn About Whether BAYH006689 Causes Skin Irritation When Applied as a Topical Gel in Healthy Participants</t>
  </si>
  <si>
    <t>NCT06442241</t>
  </si>
  <si>
    <t>A Safety and Immunogenicity Trial of a Respiratory Syncytial Virus Vaccine, LYB005 in Healthy Adults</t>
  </si>
  <si>
    <t>NCT06431594</t>
  </si>
  <si>
    <t>A Study to Evaluate the Safety, Tolerability, Pharmacokinetics and Clinical Activity of GSK5733584 for Injection in Participants With Advanced Solid Tumors</t>
  </si>
  <si>
    <t>NCT06490991</t>
  </si>
  <si>
    <t>Comparison of HRS-5965 Capsules and Tablets in Healthy Subjects</t>
  </si>
  <si>
    <t>NCT06954779</t>
  </si>
  <si>
    <t>Arginine Plaque Metabolism Pilot Clinical Study</t>
  </si>
  <si>
    <t>NCT06409494</t>
  </si>
  <si>
    <t>Clinical Trial to Evaluate EuHZV in Healthy Adults Aged 50 to 69 Years</t>
  </si>
  <si>
    <t>NCT06547125</t>
  </si>
  <si>
    <t>A Study to Assess Adverse Events and Effectiveness of Intradermally Injected JUVÉDERM® VOLITE™ Gel Filler in Adult Participants For the Improvement of Skin Quality</t>
  </si>
  <si>
    <t>NCT06315322</t>
  </si>
  <si>
    <t>A Study to Test the Long-term Safety and Tolerability of Brivaracetam in Study Participants With Childhood Absence Epilepsy or Juvenile Absence Epilepsy</t>
  </si>
  <si>
    <t>NCT06088888</t>
  </si>
  <si>
    <t>TGRX-678 US Phase I for Subjects with Refractory or Advanced Chronic Myelogenous Leukemia</t>
  </si>
  <si>
    <t>NCT06384261</t>
  </si>
  <si>
    <t>A Study Comparing Venetoclax and Azacitidine Plus Cusatuzumab to Venetoclax and Azacitidine in Newly Diagnosed AML Ineligible for Intensive Therapy</t>
  </si>
  <si>
    <t>OncoVerity, Inc.</t>
  </si>
  <si>
    <t>NCT06593054</t>
  </si>
  <si>
    <t>To Learn How Different Forms of Study Medicine Are Taken up Into the Blood and the Effect of Food on Study Medicine in Healthy Adults</t>
  </si>
  <si>
    <t>NCT06260007</t>
  </si>
  <si>
    <t>Efficacy and Safety Study of Products Based on Tribulus Terrestris, L. in Men With Oligospermia</t>
  </si>
  <si>
    <t>Herbarium Laboratorio Botanico Ltda</t>
  </si>
  <si>
    <t>NCT06324812</t>
  </si>
  <si>
    <t>Evaluation of 611 in Chinese Children and Adolescents With Moderate to Severe Atopic Dermatitis</t>
  </si>
  <si>
    <t>NCT06523595</t>
  </si>
  <si>
    <t>Evaluation of the Pharmacokinetic Drug-drug Interactions Between VX-993 and Metformin in Healthy Adults</t>
  </si>
  <si>
    <t>NCT06290128</t>
  </si>
  <si>
    <t>A Study to Test the Effects and Safety of Riliprubart in People With Chronic Inflammatory Demyelinating Polyneuropathy (CIDP) for Which the Usual Treatments do Not Work</t>
  </si>
  <si>
    <t>NCT07002281</t>
  </si>
  <si>
    <t>[14C] Mass Balance Clinical Trial of Azvudine in Healthy Male Subjects</t>
  </si>
  <si>
    <t>Henan Genuine Biotech Co., Ltd.</t>
  </si>
  <si>
    <t>NCT06538480</t>
  </si>
  <si>
    <t>Zopa Retreatment and Vector Shedding in Adults With RRP</t>
  </si>
  <si>
    <t>Precigen, Inc</t>
  </si>
  <si>
    <t>NCT06465069</t>
  </si>
  <si>
    <t>A Study of LY4052031 in Participants With Advanced or Metastatic Urothelial Cancer or Other Solid Tumors</t>
  </si>
  <si>
    <t>NCT06498986</t>
  </si>
  <si>
    <t>A Study of BL-B01D1 in Combination With Osimertinib Mesylate Tablets in Patients With Locally Advanced or Metastatic Non-small Cell Lung Cancer</t>
  </si>
  <si>
    <t>NCT07448506</t>
  </si>
  <si>
    <t>PHASE III, RANDOMIZED, ACTIVE-COMPARATOR CONTROLLED CLINICAL TRIAL TO EVALUATE THE EFFICACY AND SAFETY OF NIFEDIPINE 30MG EXTENDED-RELEASE IN ADULT PATIENTS DIAGNOSED WITH MILD OR MODERATE HYPERTENSION IN COLOMBIA.</t>
  </si>
  <si>
    <t>Laboratorios Richmond S.A.C.I.F.</t>
  </si>
  <si>
    <t>NCT06541444</t>
  </si>
  <si>
    <t>Safety and Efficacy of NK520 to Treat Relapsed/Refractory Acute Myeloid Leukemia</t>
  </si>
  <si>
    <t>NCT06500091</t>
  </si>
  <si>
    <t>TQB2916 Injection Combined With Chemotherapy or Penpulimab Injection in the Treatment of Solid Tumors</t>
  </si>
  <si>
    <t>NCT06531538</t>
  </si>
  <si>
    <t>A Study to Learn About How a New Pneumococcal Vaccine Works in Children</t>
  </si>
  <si>
    <t>NCT06466473</t>
  </si>
  <si>
    <t>A Study to Learn How Different Forms of The Study Medicine Called Phenytoin Are Taken up Into the Blood in Healthy Adults</t>
  </si>
  <si>
    <t>NCT06527937</t>
  </si>
  <si>
    <t>Pharmacokinetics Study of DESF in Adults With Oral Allergy Syndrome</t>
  </si>
  <si>
    <t>Aquestive Therapeutics</t>
  </si>
  <si>
    <t>NCT06083207</t>
  </si>
  <si>
    <t>A Study of IBI3003 in Subjects With Relapsed or Refractory Multiple Myeloma</t>
  </si>
  <si>
    <t>NCT06061523</t>
  </si>
  <si>
    <t>A Clinical Trial to Evaluate Bioavailability and Effect of Food for Sotorasib in Healthy Participants</t>
  </si>
  <si>
    <t>NCT06465303</t>
  </si>
  <si>
    <t>A Study of RTP-026 to Assess Safety, Tolerability and Efficacy in Patients With ST-Elevation Myocardial Infarction (STEMI)</t>
  </si>
  <si>
    <t>ResoTher Pharma</t>
  </si>
  <si>
    <t>NCT06373991</t>
  </si>
  <si>
    <t>A Study to Evaluate the Safety and Efficacy of ATHENA CAR-T in Subjects With Systemic Lupus Erythematosus</t>
  </si>
  <si>
    <t>EdiGene Inc.</t>
  </si>
  <si>
    <t>NCT06678113</t>
  </si>
  <si>
    <t>Study to Assess the Safety and Efficacy of Intravenous BSG005 in Patients With Invasive Fungal Infection</t>
  </si>
  <si>
    <t>Biosergen AS</t>
  </si>
  <si>
    <t>NCT06506266</t>
  </si>
  <si>
    <t>Study of the Effect of HFA-152a and HFA-134a Propellants on Mucociliary Clearance in Healthy Participants</t>
  </si>
  <si>
    <t>NCT06392009</t>
  </si>
  <si>
    <t>Astroscape: A Study of Radiprodil on Safety, Tolerability, Pharmacokinetics, and Effect on Seizures and Behavioral Symptoms in Patients With TSC or FCD Type II</t>
  </si>
  <si>
    <t>GRIN Therapeutics, Inc.</t>
  </si>
  <si>
    <t>NCT06495931</t>
  </si>
  <si>
    <t>Study on Drug Interaction of HRS-1780 Tablets, Henagliflozin Tablets, Metformin Tablets and HRS-7535 Tablets in Healthy Human</t>
  </si>
  <si>
    <t>NCT06129539</t>
  </si>
  <si>
    <t>A Study to Assess the Efficacy, Safety, and Pharmacokinetics of Debio 4326 in Pediatric Participants With Central Precocious Puberty (LIBELULA™ Clinical Trial)</t>
  </si>
  <si>
    <t>NCT06561841</t>
  </si>
  <si>
    <t>A Study to Evaluate the Efficacy and Safety of HSK39297 in Patients With Paroxysmal Nocturnal Hemoglobinuria（PNH）</t>
  </si>
  <si>
    <t>NCT06325566</t>
  </si>
  <si>
    <t>Efficacy and Safety of Rexlemestrocel-L Combined With HA* in Participants With Moderate to Severe Chronic Low Back Pain</t>
  </si>
  <si>
    <t>Mesoblast, Ltd.</t>
  </si>
  <si>
    <t>NCT07124819</t>
  </si>
  <si>
    <t>Dimolegin® (60 mg) Given Once Daily in Patients Undergoing Total Hip or Knee Replacement Compared to Enoxaparin</t>
  </si>
  <si>
    <t>Avexima Diol LLC</t>
  </si>
  <si>
    <t>NCT06423703</t>
  </si>
  <si>
    <t>A Study of Cebranopadol for the Treatment of Acute Pain After Bunionectomy</t>
  </si>
  <si>
    <t>NCT06436911</t>
  </si>
  <si>
    <t>To Evaluate Safety and Immunogenicity of a Prophylactic Plasmid DNA</t>
  </si>
  <si>
    <t>Entos Pharmaceuticals Inc.</t>
  </si>
  <si>
    <t>NCT06510257</t>
  </si>
  <si>
    <t>Safety and Efficacy Reconyl for Cough With/Without Sore Throat</t>
  </si>
  <si>
    <t>NCT06347016</t>
  </si>
  <si>
    <t>Study of Plozasiran in Adults With Severe Hypertriglyceridemia</t>
  </si>
  <si>
    <t>NCT06263478</t>
  </si>
  <si>
    <t>A Study to Evaluate the Efficacy, Safety, and Pharmacokinetics of Axatilimab Monotherapy in Japanese Participants With Recurrent or Refractory Active Chronic Graft-Versus-Host Disease</t>
  </si>
  <si>
    <t>Incyte Biosciences Japan GK</t>
  </si>
  <si>
    <t>NCT06609161</t>
  </si>
  <si>
    <t>A Study to Compare Oral Formulations of Tedizolid Phosphate in Healthy Adults (MK-1986-044)</t>
  </si>
  <si>
    <t>NCT06125197</t>
  </si>
  <si>
    <t>Oncolytic Adenovirus TILT-123 With Pembrolizumab as Treatment for Refractory Non-Small Cell Lung Cancer</t>
  </si>
  <si>
    <t>TILT Biotherapeutics Ltd.</t>
  </si>
  <si>
    <t>NCT06503679</t>
  </si>
  <si>
    <t>A Drug-drug Interaction Study Evaluating the Perpetrator Potential of LY4100511 (DC-853) on Midazolam, Repaglinide, Digoxin, Rosuvastatin in Healthy Participants</t>
  </si>
  <si>
    <t>NCT06430905</t>
  </si>
  <si>
    <t>Safety, Reactogenicity and Immunogenicity of HB-502 and HB-501 Versus Placebo in People With HIV on Suppressive ART</t>
  </si>
  <si>
    <t>Hookipa Biotech GmbH</t>
  </si>
  <si>
    <t>NCT06475742</t>
  </si>
  <si>
    <t>Long-term Safety and Tolerability of Cenerimod in Adults With Systemic Lupus Erythematosus</t>
  </si>
  <si>
    <t>Viatris Innovation GmbH</t>
  </si>
  <si>
    <t>NCT06453902</t>
  </si>
  <si>
    <t>TGRX-678 Chinese Phase II in Chronic Myelogenous Leukemia (CML) Patients</t>
  </si>
  <si>
    <t>NCT06429137</t>
  </si>
  <si>
    <t>A Study in Healthy Men to Test How Well Different Doses of BI 3731579 Are Tolerated</t>
  </si>
  <si>
    <t>NCT06375512</t>
  </si>
  <si>
    <t>A Study to Describe the Safety, Reactogenicity, and Immunogenicity of Herpes Zoster IN001 mRNA Vaccine (IN001) in Healthy Participants</t>
  </si>
  <si>
    <t>Shenzhen Shenxin Biotechnology Co., Ltd</t>
  </si>
  <si>
    <t>NCT06365853</t>
  </si>
  <si>
    <t>A Study of Ocular Toxicity Evaluation and Mitigation During Treatment With Mirvetuximab Soravtansine in Participants With Recurrent Ovarian Cancer With High Folate Receptor-Alpha Expression</t>
  </si>
  <si>
    <t>NCT06350032</t>
  </si>
  <si>
    <t>Investigational Trial to Evaluate Safety and Tolerability of Treprostinil in Children Diagnosed With PAH</t>
  </si>
  <si>
    <t>AOP Orphan Pharmaceuticals AG</t>
  </si>
  <si>
    <t>NCT06475599</t>
  </si>
  <si>
    <t>Anlotinib Hydrochloride Capsules Combined With TQB2450 in the Treatment of Endometrial Cancer</t>
  </si>
  <si>
    <t>NCT06575478</t>
  </si>
  <si>
    <t>Evaluation of Fuling Yunhua Granules and Dihuang Baoyuan Granules in Drug Naive Type 2 Diabetes Patients</t>
  </si>
  <si>
    <t>Beijing Supreme Life Pharmaceutical Technology Co., Ltd.</t>
  </si>
  <si>
    <t>NCT06534346</t>
  </si>
  <si>
    <t>The Food Effect on Pharmacokinetics of DA-302168S</t>
  </si>
  <si>
    <t>NCT06437951</t>
  </si>
  <si>
    <t>to Evaluate the Safety/Tolerability and Pharmacokinetics, and Pharmacodynamics of DWP14012 Injection</t>
  </si>
  <si>
    <t>NCT06455202</t>
  </si>
  <si>
    <t>A Phase 3 Study of Barzolvolimab in Participants With Chronic Spontaneous Urticaria (CSU)</t>
  </si>
  <si>
    <t>NCT06264180</t>
  </si>
  <si>
    <t>VO and Nivolumab vs Physician's Choice in Advanced Melanoma That Progressed on Anti-PD-1 &amp; Anti-CTLA-4 Drugs [IGNYTE-3]</t>
  </si>
  <si>
    <t>NCT06462469</t>
  </si>
  <si>
    <t>Study of Efficacy and Safety of Ruxolitinib in Patients With Grade II to IV Steroid-refractory Acute Graft vs. Host Disease</t>
  </si>
  <si>
    <t>NCT06577428</t>
  </si>
  <si>
    <t>A Study of RAY1225 at Different Injection Sites in Participants With Different Body Sizes</t>
  </si>
  <si>
    <t>NCT06531395</t>
  </si>
  <si>
    <t>A Study to Evaluate the Efficacy and Safety of Abiprubart in Participants With Sjögren's Disease</t>
  </si>
  <si>
    <t>Kiniksa Pharmaceuticals International, plc</t>
  </si>
  <si>
    <t>NCT06456580</t>
  </si>
  <si>
    <t>A Study of Telitacicept for the Treatment of Generalized Myasthenia Gravis (UPSTREAM MG)</t>
  </si>
  <si>
    <t>Vor Biopharma</t>
  </si>
  <si>
    <t>NCT06487858</t>
  </si>
  <si>
    <t>A Study of BGB-R046 as Monotherapy and in Combination With Tislelizumab in Solid Tumors</t>
  </si>
  <si>
    <t>NCT05052879</t>
  </si>
  <si>
    <t>Efficacy and Safety of Toronto Association in the Treatment of Erectile Dysfunction and Premature Ejaculation</t>
  </si>
  <si>
    <t>NCT06508320</t>
  </si>
  <si>
    <t>A Clinical Study to Investigate the Safety and Immunogenicity in Relation to Product Attributes of mRNA-1083 (Severe Acute Respiratory Syndrome Coronavirus 2 [SARS-CoV-2] and Influenza Vaccine)</t>
  </si>
  <si>
    <t>NCT06498479</t>
  </si>
  <si>
    <t>ARTEMIS-008：HS-20093 Compared With Topotecan in Subjects With Relapsed Small Cell Lung Cancer</t>
  </si>
  <si>
    <t>NCT06379217</t>
  </si>
  <si>
    <t>NEPC Study: An Exploratory Safety and Efficacy Study With PSMA, SSTR2 and GRPR Targeted Radioligand Therapy in Metastatic Neuroendocrine Prostate Cancer.</t>
  </si>
  <si>
    <t>NCT06530810</t>
  </si>
  <si>
    <t>Study of HS-10382 Combination in Patients With Chronic Myeloid Leukemia (CML)</t>
  </si>
  <si>
    <t>NCT06586112</t>
  </si>
  <si>
    <t>A Study to Evaluate the Efficacy and Safety of ESK-001 in Patients With Moderate to Severe Plaque Psoriasis</t>
  </si>
  <si>
    <t>NCT06590857</t>
  </si>
  <si>
    <t>Trial of 225Ac-DOTATATE (RYZ101) in Subjects With ER+, HER2-negative Unresectable or Metastatic Breast Cancer Expressing SSTRs.</t>
  </si>
  <si>
    <t>RayzeBio, Inc.</t>
  </si>
  <si>
    <t>NCT06434597</t>
  </si>
  <si>
    <t>A Clinical Study of SPH5030 Tablets in the Treatment of Her2-positive/Mutated Biliary Tract OR Colorectal Cancer Patients.</t>
  </si>
  <si>
    <t>NCT06478693</t>
  </si>
  <si>
    <t>A Study of MT-303 in Adults With Advanced or Metastatic GPC3-Expressing Cancers, Including HCC</t>
  </si>
  <si>
    <t>Myeloid Therapeutics</t>
  </si>
  <si>
    <t>NCT06491225</t>
  </si>
  <si>
    <t>Autologous Tumor-Infiltrating Lymphocyte (GTE-001 Injection ) for Treatment of Patients with Advanced Lung Adenocarcinoma</t>
  </si>
  <si>
    <t>NCT06162299</t>
  </si>
  <si>
    <t>A Phase I, the Study to Evaluate the Safety, Immunogenicity and Efficacy of YS-HBV-002</t>
  </si>
  <si>
    <t>Yisheng Biopharma (Singapore) Pte. Ltd.</t>
  </si>
  <si>
    <t>NCT06524414</t>
  </si>
  <si>
    <t>A Study to Learn About How a New Pneumococcal Vaccine Works in Infants</t>
  </si>
  <si>
    <t>NCT05924776</t>
  </si>
  <si>
    <t>Plasmodium Immunotherapy for Advanced Ovarian Cancer</t>
  </si>
  <si>
    <t>CAS Lamvac (Guangzhou) Biomedical Technology Co., Ltd.</t>
  </si>
  <si>
    <t>NCT07197034</t>
  </si>
  <si>
    <t>The Hunger Elimination or Reduction Objective (HERO ) Open -Label Extension (OLE) Trial</t>
  </si>
  <si>
    <t>Aardvark Therapeutics, Inc.</t>
  </si>
  <si>
    <t>NCT06447779</t>
  </si>
  <si>
    <t>Efficacy, Safety and Immunogenicity Study of Recombinant Zoster Vaccine(CHO Cell) in Adults Aged 40 Years and Older</t>
  </si>
  <si>
    <t>MAXVAX Biotechnology Limited Liability Company</t>
  </si>
  <si>
    <t>NCT06569472</t>
  </si>
  <si>
    <t>Clinical Trial of CD19-targeted CAR-T Therapy for Refractory Juvenile Dermatomyositis</t>
  </si>
  <si>
    <t>NCT06398730</t>
  </si>
  <si>
    <t>A Phase 1, Dose-Escalation, Positron Emission Tomography Study to Assess the Safety, Pharmacokinetics, Dosimetry and Biodistribution of GEH200521 (18F) Injection Co-Administered With GEH200520 Injection in Healthy Volunteers</t>
  </si>
  <si>
    <t>GE Healthcare</t>
  </si>
  <si>
    <t>NCT06441318</t>
  </si>
  <si>
    <t>A Study to Evaluate the Effect of Povorcitinib on the QT/QTc Interval in Healthy Participants</t>
  </si>
  <si>
    <t>NCT06529445</t>
  </si>
  <si>
    <t>Food Effect and Relative Bioavailability Study of VC004 Capsules in Healthy Adult Subjects</t>
  </si>
  <si>
    <t>Jiangsu vcare pharmaceutical technology co., LTD</t>
  </si>
  <si>
    <t>NCT06347003</t>
  </si>
  <si>
    <t>Study of Plozasiran (ARO-APOC3) in Adults With Severe Hypertriglyceridemia</t>
  </si>
  <si>
    <t>NCT06563713</t>
  </si>
  <si>
    <t>A Study to Evaluate the Safety, Tolerability, Pharmacokinetics, and Immunogenicity of STSP-0902 in Healthy Subjects</t>
  </si>
  <si>
    <t>NCT06252649</t>
  </si>
  <si>
    <t>Study of Sotorasib, Panitumumab and FOLFIRI Versus FOLFIRI With or Without Bevacizumab-awwb in Treatment-naïve Participants With Metastatic Colorectal Cancer With KRAS p.G12C Mutation</t>
  </si>
  <si>
    <t>NCT06625814</t>
  </si>
  <si>
    <t>A Study of Levothyroxine and Enlicitide Decanoate (MK-0616) in Healthy Adult Participants (MK-0616-028)</t>
  </si>
  <si>
    <t>NCT06532396</t>
  </si>
  <si>
    <t>A Study Evaluating Multiple Ascending Doses of QRL-101 in Healthy Participants</t>
  </si>
  <si>
    <t>QurAlis Corporation</t>
  </si>
  <si>
    <t>NCT06547502</t>
  </si>
  <si>
    <t>Pharmacokinetics and Safety Profile of a Single Dose GZR4 in Subjects with Renal Impairment</t>
  </si>
  <si>
    <t>NCT06254014</t>
  </si>
  <si>
    <t>A Phase 3 Study to Evaluate the Efficacy of JY09 Compared With Placebo in T2DM Patients</t>
  </si>
  <si>
    <t>Beijing Dongfang Biotech Co., Ltd.</t>
  </si>
  <si>
    <t>NCT06531486</t>
  </si>
  <si>
    <t>A Study of XS-02 Capsules in Patients With Advanced Solid Tumors</t>
  </si>
  <si>
    <t>NovaOnco Therapeutics Co., Ltd.</t>
  </si>
  <si>
    <t>NCT06482190</t>
  </si>
  <si>
    <t>A Study to Evaluate Safety, Tolerability and Pharmacokinetics of RSN0402 in Healthy Volunteers</t>
  </si>
  <si>
    <t>Shenzhen Resproly Biopharmaceutical Co., Ltd</t>
  </si>
  <si>
    <t>NCT07192588</t>
  </si>
  <si>
    <t>A Study of GR1014 Cutaneous Gel for the Prevention of Skin Reactions Caused by Radiation Therapy for Breast Cancer</t>
  </si>
  <si>
    <t>Graegis Pharmaceuticals Ltd</t>
  </si>
  <si>
    <t>NCT06471218</t>
  </si>
  <si>
    <t>Efficacy and Safety of SHR-1918 in Patients With Hyperlipidemia</t>
  </si>
  <si>
    <t>NCT07070674</t>
  </si>
  <si>
    <t>A Phase Ib Clinical Study of AC-003 Capsules in Subjects With aGVHD.</t>
  </si>
  <si>
    <t>NCT06513104</t>
  </si>
  <si>
    <t>A Research Study Looking Into the Effect of NNC0519-0130 on Blood Levels of a Birth Control Pill and Emptying of the Stomach in Women After Menopause</t>
  </si>
  <si>
    <t>NCT06543550</t>
  </si>
  <si>
    <t>Comparison Between the Effects of Implantable Gestrinone and Oral Dienogest in the Treatment of Endometriosis</t>
  </si>
  <si>
    <t>Bio Meds Pharmaceutica Ltda</t>
  </si>
  <si>
    <t>NCT06486558</t>
  </si>
  <si>
    <t>Relative Bioavailability Study of HU6</t>
  </si>
  <si>
    <t>NCT06440967</t>
  </si>
  <si>
    <t>A Study to Confirm if Fezolinetant Helps Reduce Hot Flashes in Women With Breast Cancer Who Are Having Hormone Therapy</t>
  </si>
  <si>
    <t>NCT06405633</t>
  </si>
  <si>
    <t>A Phase 1b/2a, Open-label Single Ascending Doses and Multiple Ascending Doses Study in Participants With Pi*ZZ AATD</t>
  </si>
  <si>
    <t>Wave Life Sciences Ltd.</t>
  </si>
  <si>
    <t>NCT06481306</t>
  </si>
  <si>
    <t>A Study to Evaluate BMS-986470 in Healthy Volunteers and Participants With Sickle Cell Disease</t>
  </si>
  <si>
    <t>NCT06315335</t>
  </si>
  <si>
    <t>A Study to Assess the Safety and Pharmacokinetics of a Single Dose of UCB9741 in Healthy Caucasian and Japanese Participants</t>
  </si>
  <si>
    <t>NCT06500676</t>
  </si>
  <si>
    <t>A Study of GFH375 in Patients With Advanced Solid Tumors With KRAS G12D Mutations</t>
  </si>
  <si>
    <t>NCT07110480</t>
  </si>
  <si>
    <t>Combination of Equisetum Arvense and Palmitoylethanolamide (PEA) for the Management of Patients With Chronic Pain in a Before-after Study</t>
  </si>
  <si>
    <t>noiVita Srls</t>
  </si>
  <si>
    <t>NCT06555783</t>
  </si>
  <si>
    <t>A Study to Evaluate the Safety and Effectiveness of ALKS 2680 in Subjects With Narcolepsy Type 2</t>
  </si>
  <si>
    <t>NCT06492525</t>
  </si>
  <si>
    <t>A Study To Evaluate The Effect Of Rifampicin Or Ltraconazole On Pharmacokinetics Of Ensartinib In Healthy Volunteers</t>
  </si>
  <si>
    <t>Betta Pharmaceuticals Co., Ltd.</t>
  </si>
  <si>
    <t>NCT06362252</t>
  </si>
  <si>
    <t>A Study of I-DXd in Combination With Atezolizumab With or Without Carboplatin as First-Line Induction or Maintenance in Subjects With Extensive Stage-Small Cell Lung Cancer (IDeate-Lung03)</t>
  </si>
  <si>
    <t>NCT06547216</t>
  </si>
  <si>
    <t>Phase 2 Open-label Extension Study of AOC 1020 in Participants with Facioscapulohumeral Muscular Dystrophy (FSHD)</t>
  </si>
  <si>
    <t>NCT06532565</t>
  </si>
  <si>
    <t>Study of GS-2121 Given Alone or in Combination in Adults With Advanced Solid Tumors</t>
  </si>
  <si>
    <t>NCT05214911</t>
  </si>
  <si>
    <t>Fixed Dose Combination of Desloratadine / Prednisolone in the Treatment of Moderate Severe Allergic Rhinitis in Children</t>
  </si>
  <si>
    <t>NCT06487572</t>
  </si>
  <si>
    <t>A Study to Assess Pharmacokinetic Exposures Following Intravenous and Subcutaneous Administration of Risankizumab in Healthy Participants</t>
  </si>
  <si>
    <t>NCT06591793</t>
  </si>
  <si>
    <t>Study of Subretinally Injected AAVB-081 in Patients With Usher Syndrome Type IB (USH1B) Retinitis Pigmentosa</t>
  </si>
  <si>
    <t>AAVantgarde Bio Srl</t>
  </si>
  <si>
    <t>NCT06442436</t>
  </si>
  <si>
    <t>A Study of Nemtabrutinib in Participants With Moderate Hepatic Impairment (MK-1026-015)</t>
  </si>
  <si>
    <t>NCT06818838</t>
  </si>
  <si>
    <t>A Clinical Study Evaluating LY-M001 Injection in the Treatment of Adult Patients With Type I Gaucher Disease</t>
  </si>
  <si>
    <t>Lingyi Biotech Co., Ltd.</t>
  </si>
  <si>
    <t>NCT06601192</t>
  </si>
  <si>
    <t>A Study to Investigate the Effects of Zelicapavir (EDP-938) on QTc Interval in Healthy Adults</t>
  </si>
  <si>
    <t>Enanta Pharmaceuticals, Inc</t>
  </si>
  <si>
    <t>NCT06524947</t>
  </si>
  <si>
    <t>Clinical Trial of Protective Efficacy of Quadrivalent Recombinant Norovirus Vaccine (Pichia Pastoris)</t>
  </si>
  <si>
    <t>Anhui Zhifei Longcom Biologic Pharmacy Co., Ltd.</t>
  </si>
  <si>
    <t>NCT06470763</t>
  </si>
  <si>
    <t>A Study Evaluating ANV600 Single Agent or in Combination with Pembrolizumab in Participants with Advanced Solid Tumors (EXPAND-1)</t>
  </si>
  <si>
    <t>Anaveon AG</t>
  </si>
  <si>
    <t>NCT06473948</t>
  </si>
  <si>
    <t>To Assess the Effects of Single Dose of JMKX001899 on QTc Interval in Healthy Subjects</t>
  </si>
  <si>
    <t>NCT07008547</t>
  </si>
  <si>
    <t>To Evaluate the Efficacy and Safety of Netakimab in Chinese Patients With Moderate to Severe Plaque Psoriasis</t>
  </si>
  <si>
    <t>SPH-BIOCAD (HK) Limited</t>
  </si>
  <si>
    <t>NCT06216301</t>
  </si>
  <si>
    <t>LUNAR-2: TTFields With Pembrolizumab + Platinum-based Chemotherapy for Metastatic NSCLC</t>
  </si>
  <si>
    <t>NovoCure GmbH</t>
  </si>
  <si>
    <t>NCT06263998</t>
  </si>
  <si>
    <t>Clinical Study for the Evaluation of Safety and Tolerability of NCP112 Eye Drops</t>
  </si>
  <si>
    <t>NCT06465914</t>
  </si>
  <si>
    <t>A Phase III Study to Evaluate the Efficacy, Immunogenicity and Safety of the 9-valent HPV Vaccine in Chinese Males</t>
  </si>
  <si>
    <t>Shanghai Bovax Biotechnology Co., Ltd.</t>
  </si>
  <si>
    <t>NCT06439381</t>
  </si>
  <si>
    <t>Long-term Safety and Efficacy of TQH2722 Injection in the Treatment of Chronic Sinusitis With or Without Nasal Polyps</t>
  </si>
  <si>
    <t>NCT06501534</t>
  </si>
  <si>
    <t>A Dose Finding Study to Assess Efficacy and Safety of IBI128 in Chinese Gout Subjects</t>
  </si>
  <si>
    <t>NCT05914194</t>
  </si>
  <si>
    <t>A Eight-Week Study of NLS-2 (Mazindol Extended Release) in Participants With Narcolepsy Type 1</t>
  </si>
  <si>
    <t>NLS Pharmaceutics</t>
  </si>
  <si>
    <t>NCT06046742</t>
  </si>
  <si>
    <t>A Study of Intravenous M1-c6v1 for Locally Advanced or Metastatic Solid Tumors</t>
  </si>
  <si>
    <t>NCT06916273</t>
  </si>
  <si>
    <t>Safety, Tolerability, and Pharmacokinetics of PA9159 Inhalation Aerosol in Healthy Adult Subjects</t>
  </si>
  <si>
    <t>Anhui Palo Alto Pharmaceuticals, Inc.</t>
  </si>
  <si>
    <t>NCT06520540</t>
  </si>
  <si>
    <t>HDM1002 Tablets in Chinese Overweight and Obese Adult Subjects</t>
  </si>
  <si>
    <t>NCT06388083</t>
  </si>
  <si>
    <t>A Phase 2/3 Study to Evaluate the Efficacy and Safety of Tinlarebant in Subjects With Stargardt Disease</t>
  </si>
  <si>
    <t>Belite Bio, Inc</t>
  </si>
  <si>
    <t>NCT06466135</t>
  </si>
  <si>
    <t>Study of WAL0921 in Patients With Glomerular Kidney Diseases</t>
  </si>
  <si>
    <t>Walden Biosciences</t>
  </si>
  <si>
    <t>NCT06284590</t>
  </si>
  <si>
    <t>Study of the Efficacy of Intratumoral L19IL2 or L19TNF or L19IL2/L19TNF, in Combination with Pembrolizumab, in Unresectable Melanoma Patients</t>
  </si>
  <si>
    <t>NCT06462612</t>
  </si>
  <si>
    <t>Study of Lumateperone in the Treatment of Patients With Bipolar Mania</t>
  </si>
  <si>
    <t>NCT06546995</t>
  </si>
  <si>
    <t>Study to Evaluate the Effects of NMRA-323511 Among Healthy Elderly and Adults With Agitation Associated With Dementia Due to Alzheimer's Disease</t>
  </si>
  <si>
    <t>NCT06484855</t>
  </si>
  <si>
    <t>Safety and Tolerability of IBI355 in Patients With Primary Sjogren's Syndrome</t>
  </si>
  <si>
    <t>NCT06425900</t>
  </si>
  <si>
    <t>A Study to Assess Sebaceous Gland Changes and Constituents of Sebum (Skin Oil) Induced by Clascoterone 1% Cream in Acne Patients</t>
  </si>
  <si>
    <t>NCT06372925</t>
  </si>
  <si>
    <t>Intravascular Imaging Study of the Effect of Inclisiran on Plaque in Patients With Acute Myocardial Infarction</t>
  </si>
  <si>
    <t>NCT06046443</t>
  </si>
  <si>
    <t>A Study to Assess Efficacy and Safety of LB54640 in Patients With Hypothalamic Obesity</t>
  </si>
  <si>
    <t>NCT06451640</t>
  </si>
  <si>
    <t>A Extension Clinical Study of TQC2731 Injection in the Treatment of Chronic Sinusitis With Nasal Polyps</t>
  </si>
  <si>
    <t>NCT06496607</t>
  </si>
  <si>
    <t>A Study to Evaluate Solriktug in Adult Participants With Asthma</t>
  </si>
  <si>
    <t>NCT06951945</t>
  </si>
  <si>
    <t>Multiple Dose Study to Investigate the Safety, Tolerability, Pharmacokinetics, and Efficacy of THDBH120 in Chinese Patients With Obesity</t>
  </si>
  <si>
    <t>NCT06413537</t>
  </si>
  <si>
    <t>Study of SPG601 in Adult Men With Fragile X Syndrome</t>
  </si>
  <si>
    <t>NCT06457997</t>
  </si>
  <si>
    <t>A Study of PHN-010 in Patients With Advanced Solid Tumors</t>
  </si>
  <si>
    <t>Pheon Therapeutics</t>
  </si>
  <si>
    <t>NCT06494761</t>
  </si>
  <si>
    <t>A Study in Healthy Men to Test Whether Zongertinib Affects How 3 Other Medicines (Midazolam, Omeprazole, and Repaglinide) Are Taken up and Processed by the Body</t>
  </si>
  <si>
    <t>NCT06500299</t>
  </si>
  <si>
    <t>Evaluate the Safety and Efficacy of HDM1002 Tablets in Overweight and Obese Adults</t>
  </si>
  <si>
    <t>NCT06559306</t>
  </si>
  <si>
    <t>Phase 3 Study of Adjunctive Treatment With Seltorexant in Adult and Elderly Participants With Major Depressive Disorder and Insomnia Symptoms</t>
  </si>
  <si>
    <t>NCT06302426</t>
  </si>
  <si>
    <t>Trial of INI-4001 in Patients With Advanced Solid Tumours</t>
  </si>
  <si>
    <t>Inimmune Corporation</t>
  </si>
  <si>
    <t>NCT06441812</t>
  </si>
  <si>
    <t>A Study to Evaluate the Long-term Safety, Pharmacodynamics and Efficacy of SHR-1703 in Eosinophilic Asthma Patients</t>
  </si>
  <si>
    <t>NCT06480552</t>
  </si>
  <si>
    <t>An Open-label Dose Escalation/Expansion Trial to Evaluate the Safety and Anti-tumor Activity of TEV-56278 Alone or in Combination With Pembrolizumab in Participants With Advanced or Metastatic Solid Tumors</t>
  </si>
  <si>
    <t>NCT06532032</t>
  </si>
  <si>
    <t>A Study of Combination Therapy With Amivantamab and Docetaxel in Participants With Metastatic Non-small Cell Lung Cancer</t>
  </si>
  <si>
    <t>NCT06782958</t>
  </si>
  <si>
    <t>Safety, Tolerability, and Pharmacokinetics of FHND1002 Granules in Healthy Adults</t>
  </si>
  <si>
    <t>Jiangsu Chia Tai Fenghai Pharmaceutical Co., Ltd.</t>
  </si>
  <si>
    <t>NCT06399289</t>
  </si>
  <si>
    <t>Recombinant Fusion Protein Linking Coagulation Factor IX With Albumin (rIX-FP) in Chinese Subjects With Hemophilia B Previously Treated With FIX Therapy</t>
  </si>
  <si>
    <t>NCT06520345</t>
  </si>
  <si>
    <t>The Study of 177Lu-TLX591 Plus SOC Versus SOC Alone in Patients With mCRPC (ProstACT Global)</t>
  </si>
  <si>
    <t>Telix Pharmaceuticals (Innovations) Pty Limited</t>
  </si>
  <si>
    <t>NCT06161441</t>
  </si>
  <si>
    <t>A Trial to Learn if the Combination of Fianlimab, Cemiplimab, and Chemotherapy is Safe and Works Better Than the Combination of Cemiplimab and Chemotherapy in Adult Patients With Non-Small Cell Lung Cancer That Can be Treated With Surgery</t>
  </si>
  <si>
    <t>NCT06502366</t>
  </si>
  <si>
    <t>A Study to Investigate the Effect on Lung Function of BDA Formulated With a Next Generation Propellant Compared With an Approved Asthma Treatment (BDA With HFA Propellant) in Participants With Asthma</t>
  </si>
  <si>
    <t>NCT06454357</t>
  </si>
  <si>
    <t>A Clinical Study of B007 in the Treatment of Pemphigus.</t>
  </si>
  <si>
    <t>NCT06233045</t>
  </si>
  <si>
    <t>Dapagliflozin Tablet 10 mg Relative to Forxiga® Tablets 10 mg</t>
  </si>
  <si>
    <t>NCT06522945</t>
  </si>
  <si>
    <t>To Evaluate the Pharmacokinetics and Safety of TQD3524 for Injection in Renal Impairment Subjects</t>
  </si>
  <si>
    <t>NCT06474650</t>
  </si>
  <si>
    <t>Effect of Food on the Pharmacokinetics of LPM3770164 Sustained-release Tablets</t>
  </si>
  <si>
    <t>NCT06510062</t>
  </si>
  <si>
    <t>Comparative Evaluation of Sustained Acoustic Medicine Device on Circulation</t>
  </si>
  <si>
    <t>ZetrOZ, Inc.</t>
  </si>
  <si>
    <t>NCT06515613</t>
  </si>
  <si>
    <t>A Phase 1 Study of CTIM-76 in Patients With Recurring Ovarian Cancer and Other Advanced Solid Tumors</t>
  </si>
  <si>
    <t>Context Therapeutics Inc.</t>
  </si>
  <si>
    <t>NCT06474208</t>
  </si>
  <si>
    <t>A Study to Learn About the Taste of Vericiguat Given in Liquid Form in Healthy Male Participants Aged 18 to 45 Years</t>
  </si>
  <si>
    <t>NCT06470191</t>
  </si>
  <si>
    <t>A Clinical Study of B007 in the Treatment of Primary Membranous Nephropathy.</t>
  </si>
  <si>
    <t>NCT06461078</t>
  </si>
  <si>
    <t>Clinical Trial to Investigate the Effects of Food on the Pharmacokinetics and Safety of Orally Administered Radotinib</t>
  </si>
  <si>
    <t>NCT06536036</t>
  </si>
  <si>
    <t>Evaluate the Effects of Food on the Pharmacokinetics of SIM0270</t>
  </si>
  <si>
    <t>NCT06327295</t>
  </si>
  <si>
    <t>A Study of ATB1651 in Adults With Mild to Moderate Onchomycosis</t>
  </si>
  <si>
    <t>AmtixBio Co., Ltd.</t>
  </si>
  <si>
    <t>NCT06555601</t>
  </si>
  <si>
    <t>A First-in-human Study to Evaluate the Safety, Tolerability, and Pharmacokinetics of UCB3101 in Healthy Participants</t>
  </si>
  <si>
    <t>NCT06492655</t>
  </si>
  <si>
    <t>To Evaluate the Food Effect on Pharmacokinetic Profiles and Safety in Healthy Volunteers</t>
  </si>
  <si>
    <t>NCT06469164</t>
  </si>
  <si>
    <t>A First-in-human Safety Trial of BNT331 Administered as Single Ascending Doses in Healthy Women and as Multiple Ascending Doses in Women Diagnosed With Bacterial Vaginosis</t>
  </si>
  <si>
    <t>NCT06424665</t>
  </si>
  <si>
    <t>A Study of FZ-AD005 in Patients With Advanced Solid Tumors</t>
  </si>
  <si>
    <t>NCT06533553</t>
  </si>
  <si>
    <t>A Study to Assess the Effects of Dexpramipexole in Participants With Eosinophilic COPD</t>
  </si>
  <si>
    <t>NCT06441630</t>
  </si>
  <si>
    <t>A Study to Evaluate the Efficacy and Safety of Co-administration of AD-227A and AD-227B</t>
  </si>
  <si>
    <t>NCT06568302</t>
  </si>
  <si>
    <t>The Long-term Safety and Efficacy of SerpinPC in Subjects with Hemophilia Who Completed a Sponsored SerpinPC Clinical Trial</t>
  </si>
  <si>
    <t>ApcinteX Ltd</t>
  </si>
  <si>
    <t>NCT06355531</t>
  </si>
  <si>
    <t>A Study to Assess the Efficacy, Safety, and Pharmacokinetics of FNP-223 to Slow Progression of Progressive Supranuclear Palsy (PSP)</t>
  </si>
  <si>
    <t>Ferrer Internacional S.A.</t>
  </si>
  <si>
    <t>NCT05209295</t>
  </si>
  <si>
    <t>A Study to Evaluate CC-486/Onureg in Participants With Moderate or Severe Hepatic Impairment Compared With Normal Hepatic Function in Participants With Myeloid Malignancies</t>
  </si>
  <si>
    <t>NCT06257966</t>
  </si>
  <si>
    <t>A Phase 3 Study to Evaluate the Efficacy of JY09 Compared With Dulaglutide in Combination Therapy Diabetes Mellitus Type 2 Patients With Metformin</t>
  </si>
  <si>
    <t>NCT06284876</t>
  </si>
  <si>
    <t>Study to Evaluate the Efficacy and Safety of Ilaprazole 10 mg in Prevention NSAIDs Associated Peptic Ulcer</t>
  </si>
  <si>
    <t>NCT06427590</t>
  </si>
  <si>
    <t>A Study to Evaluate Safety, Tolerability, Pharmacokinetics and Pharmacodynamics of ASC47 in Healthy and Obese Subjects</t>
  </si>
  <si>
    <t>Ascletis Pharma (China) Co., Limited</t>
  </si>
  <si>
    <t>NCT06054113</t>
  </si>
  <si>
    <t>Study of Blinatumomab Administration in Chinese Pediatric Participants With Relapsed/Refractory B Precursor Acute Lymphoblastic Leukemia (R/R B-ALL)</t>
  </si>
  <si>
    <t>NCT06480461</t>
  </si>
  <si>
    <t>A Trial to Evaluate Safety and Efficacy of a Product Named VGN-R09b in Patients With Parkinson's Disease</t>
  </si>
  <si>
    <t>NCT06488911</t>
  </si>
  <si>
    <t>To Evaluate Safety and Tolerability of the Fixed- Dose Combination of Obeticholic Acid and Bezafibrate</t>
  </si>
  <si>
    <t>Intercept Pharmaceuticals</t>
  </si>
  <si>
    <t>NCT06400004</t>
  </si>
  <si>
    <t>Lumason® Infusion vs. Bolus Administrations</t>
  </si>
  <si>
    <t>Bracco Diagnostics, Inc</t>
  </si>
  <si>
    <t>NCT06506916</t>
  </si>
  <si>
    <t>A Study to Evaluate the Effect of Bimekizumab on Gene Expression Biomarkers in Study Participants With Moderate to Severe Plaque Psoriasis</t>
  </si>
  <si>
    <t>NCT06422520</t>
  </si>
  <si>
    <t>A First-in-Human Study of BGB-C354 Alone and in Combination With Tislelizumab in Participants With Advanced Solid Tumors</t>
  </si>
  <si>
    <t>NCT06447597</t>
  </si>
  <si>
    <t>A Clinical Study of B007 in the Treatment of Generalized Myasthenia Gravis.</t>
  </si>
  <si>
    <t>NCT06427395</t>
  </si>
  <si>
    <t>Open-Label Extension Study of Saroglitazar Magnesium in Participants With Primary Biliary Cholangitis</t>
  </si>
  <si>
    <t>Zydus Therapeutics Inc.</t>
  </si>
  <si>
    <t>NCT06383767</t>
  </si>
  <si>
    <t>A Phase III Study of ESG401 for Locally Advanced or Metastatic HR+/HER2- Breast Cancer</t>
  </si>
  <si>
    <t>NCT06386211</t>
  </si>
  <si>
    <t>Bioavailability Study of Magne-B6 New Formulation</t>
  </si>
  <si>
    <t>NCT06328777</t>
  </si>
  <si>
    <t>RESET-SSc: An Open-Label Study to Evaluate the Safety and Efficacy of CABA-201, a CD19-CAR T Cell Therapy, in Subjects With Systemic Sclerosis</t>
  </si>
  <si>
    <t>NCT06293365</t>
  </si>
  <si>
    <t>Two-period Crossover Study to Demonstrate the Comparability of Pharmacokinetics of Subcutaneous Ianalumab Between 2mL Auto-injector/2mL PFS with1mL Pre-filled Syringe in Adult Participants With Autoimmune Disease</t>
  </si>
  <si>
    <t>NCT06386146</t>
  </si>
  <si>
    <t>JAB-30355 in Patients With Advanced Solid Tumors Harboring TP53 Y220C Mutation</t>
  </si>
  <si>
    <t>Jacobio Pharmaceuticals Co., Ltd.</t>
  </si>
  <si>
    <t>NCT06385678</t>
  </si>
  <si>
    <t>A Study of HRS-4642 in Patients With Advanced Solid Tumors Harboring KRAS G12D Mutation</t>
  </si>
  <si>
    <t>NCT06468826</t>
  </si>
  <si>
    <t>A Study of Avacopan in Participants With Normal Renal Function and Participants With End-Stage Renal Disease (ESRD)</t>
  </si>
  <si>
    <t>NCT06422767</t>
  </si>
  <si>
    <t>Study to Evaluate the Effect of Bepirovirsen on Cardiac Conduction as Assessed by 12-lead Electrocardiogram in Healthy Volunteers</t>
  </si>
  <si>
    <t>NCT06592300</t>
  </si>
  <si>
    <t>Bioequivalence Study of Two Products of Tenofovir Alafenamide 25 mg Film Tablet in Healthy, Adult, Human Subjects</t>
  </si>
  <si>
    <t>NCT06554639</t>
  </si>
  <si>
    <t>A Drug-Drug Interaction Study of Diltiazem and MK-5684 in Healthy Adult Male Participants (MK-5684-011)</t>
  </si>
  <si>
    <t>NCT06512116</t>
  </si>
  <si>
    <t>A Clinical Trial of SIBP-A17 Injection in the Treatment of Advanced Solid Tumor Patients.</t>
  </si>
  <si>
    <t>NCT06450990</t>
  </si>
  <si>
    <t>Efficacy, Safety, and Dose-response of a Live Biotherapeutic Product in Women With Acute Vaginal Infection</t>
  </si>
  <si>
    <t>NEXBIOME THERAPEUTICS</t>
  </si>
  <si>
    <t>NCT06497439</t>
  </si>
  <si>
    <t>Efficacy and Safety of Silfamin for Common Cold</t>
  </si>
  <si>
    <t>NCT06510413</t>
  </si>
  <si>
    <t>An Bioequivalence Study of Loxoprofen Sodium Patches in Healthy Volunteers</t>
  </si>
  <si>
    <t>Frontier Biotechnologies Inc.</t>
  </si>
  <si>
    <t>NCT06445023</t>
  </si>
  <si>
    <t>A Phase 3 Study of Barzolvolimab in Participants With Chronic Spontaneous Urticaria</t>
  </si>
  <si>
    <t>NCT06495723</t>
  </si>
  <si>
    <t>Polyspecific Antibodies in Lymphoproliferative T-cell Disorders</t>
  </si>
  <si>
    <t>Xenothera SAS</t>
  </si>
  <si>
    <t>NCT06637865</t>
  </si>
  <si>
    <t>A First-in-human Study of the Safety of an Immunosuppressive Antibody (IMP761) in Healthy Volunteers</t>
  </si>
  <si>
    <t>Immutep S.A.S.</t>
  </si>
  <si>
    <t>NCT06553547</t>
  </si>
  <si>
    <t>4-Week, Multi-center Dose-Ranging Study for the IBS-C in Pts. 6 to &lt;12 Yrs</t>
  </si>
  <si>
    <t>Ardelyx</t>
  </si>
  <si>
    <t>NCT06511791</t>
  </si>
  <si>
    <t>An Exploratory Study to Investigate the Effect of FE 999302 When Given Together With Follitropin Delta at Different Time Intervals During Controlled Ovarian Stimulation.</t>
  </si>
  <si>
    <t>NCT06450366</t>
  </si>
  <si>
    <t>A Study to Evaluate the Efficacy and Safety of Enlicitide Decanoate (MK-0616, Oral PCSK9 Inhibitor) Compared With Ezetimibe or Bempedoic Acid or Ezetimibe and Bempedoic Acid in Adults With Hypercholesterolemia (MK-0616-018) CORALreef AddOn</t>
  </si>
  <si>
    <t>NCT06687733</t>
  </si>
  <si>
    <t>Safety and Efficacy Study of NGGT002 in cPKU Adult Subjects</t>
  </si>
  <si>
    <t>NCT06483334</t>
  </si>
  <si>
    <t>A Study of Efficacy and Safety of Sacituzumab Tirumotecan (MK-2870) Plus Enfortumab Vedotin (EV) With and Without Pembrolizumab in Advanced Urothelial Carcinoma (MK-3475-04C/KEYMAKER-U04)</t>
  </si>
  <si>
    <t>NCT06471712</t>
  </si>
  <si>
    <t>Clinical Study of 18F-LNC1007 Injection PET/CT</t>
  </si>
  <si>
    <t>Yantai LNC Biotechnology Singapore PTE. LTD.</t>
  </si>
  <si>
    <t>NCT06491550</t>
  </si>
  <si>
    <t>A Study to Assess the Safety, Tolerability, Pharmacokinetics, and Pharmacodynamics of AZD4144 as Well as the Impact of AZD4144 on the Pharmacokinetics of Rosuvastatin and Furosemide in Healthy Participants</t>
  </si>
  <si>
    <t>NCT06493799</t>
  </si>
  <si>
    <t>In Patients With Chronic Liver Diseases(Alcoholic Liver Disease and Non-Alcoholic Fatty Liver Disease), LAENNEC(Human Placenta Hydrolysate) is to Evaluate the Efficacy and Safety of Intravenous Drop</t>
  </si>
  <si>
    <t>Green Cross Wellbeing</t>
  </si>
  <si>
    <t>NCT06147037</t>
  </si>
  <si>
    <t>A Phase 1, Dose-escalation Study of [225Ac]-FPI-2068 in Adult Patients With Advanced Solid Tumours</t>
  </si>
  <si>
    <t>NCT06236308</t>
  </si>
  <si>
    <t>TTAX03 for the Treatment of Lumbosacral Facet Joint Pain</t>
  </si>
  <si>
    <t>BioTissue Holdings, Inc</t>
  </si>
  <si>
    <t>NCT06428331</t>
  </si>
  <si>
    <t>A Study of SKB518 in Patients With Advanced Solid Tumors</t>
  </si>
  <si>
    <t>NCT06471530</t>
  </si>
  <si>
    <t>A Study to Investigate the Safety and Tolerability of TE-8105 in Overweight/Obese Participants Without Diabetes</t>
  </si>
  <si>
    <t>NCT06096779</t>
  </si>
  <si>
    <t>A Study Evaluating Atezolizumab, With or Without Bevacizumab, in Participants With Unresectable Hepatocellular Carcinoma and Child-pugh B7 and B8 Cirrhosis</t>
  </si>
  <si>
    <t>NCT06564753</t>
  </si>
  <si>
    <t>Phase 2 Trials of NA-931 to Study Subjects Who Are Obese With at Least One Weight-related Comorbid Condition</t>
  </si>
  <si>
    <t>NCT06521554</t>
  </si>
  <si>
    <t>A Study of NVL-330 in Patients With Advanced or Metastatic HER2-altered NSCLC (HEROEX-1)</t>
  </si>
  <si>
    <t>Nuvalent Inc.</t>
  </si>
  <si>
    <t>NCT06501586</t>
  </si>
  <si>
    <t>Study of SGB-3908 in Healthy Subjects and Mildly Hypertensive Subjects</t>
  </si>
  <si>
    <t>NCT06530966</t>
  </si>
  <si>
    <t>Phase I Study of ICP-332 in Healthy Subjects</t>
  </si>
  <si>
    <t>NCT06248619</t>
  </si>
  <si>
    <t>A Trial to Investigate Teprotumumab Subcutaneous Administration Compared With Placebo in Male and Female Adult Participants With Moderate-to-severe Active Thyroid Eye Disease</t>
  </si>
  <si>
    <t>NCT06514027</t>
  </si>
  <si>
    <t>Study of BEBT-109 in Subjects With Non-Small Cell Lung Cancer Carrying EGFR Exon 20 Insertion Mutations</t>
  </si>
  <si>
    <t>BeBetter Med Inc</t>
  </si>
  <si>
    <t>NCT06182969</t>
  </si>
  <si>
    <t>A Study of APG-2575 in Patients With Mild-to-moderate Systemic Lupus Erythematosus.</t>
  </si>
  <si>
    <t>NCT06544642</t>
  </si>
  <si>
    <t>A Study to Evaluate the Effects of ASP5502 in Healthy Adults and Adults With Primary Sjögren's Syndrome</t>
  </si>
  <si>
    <t>NCT06235437</t>
  </si>
  <si>
    <t>Evaluate the Safety, Tolerability, Pharmacokinetics, and Preliminary Efficacy of ASD141</t>
  </si>
  <si>
    <t>Ascendo Biotechnology Co., Ltd.</t>
  </si>
  <si>
    <t>NCT06717074</t>
  </si>
  <si>
    <t>A Study to Evaluate Safety, Pharmacokinetics and Pharmacodynamics of RBD4059 in Participants With Stable Coronary Artery Disease</t>
  </si>
  <si>
    <t>Ribocure Pharmaceuticals AB</t>
  </si>
  <si>
    <t>NCT06610487</t>
  </si>
  <si>
    <t>A Study of FT1 in Healthy Adult Volunteers</t>
  </si>
  <si>
    <t>Chongqing Peg-Bio Biopharm Co., Ltd.</t>
  </si>
  <si>
    <t>NCT06551623</t>
  </si>
  <si>
    <t>Drug-Drug Interactions Between TNP-2198 and Midazolam, Clarithromycin</t>
  </si>
  <si>
    <t>TenNor Therapeutics Inc.</t>
  </si>
  <si>
    <t>NCT06493864</t>
  </si>
  <si>
    <t>A Study of BL-B16D1 in Patients With Unresectable Locally Advanced or Metastatic Breast Cancer and Other Solid Tumors</t>
  </si>
  <si>
    <t>NCT06561542</t>
  </si>
  <si>
    <t>A Phase I Study of LX22001 for Injection in Healthy Subjects</t>
  </si>
  <si>
    <t>Shandong Luoxin Pharmaceutical Group Stock Co., Ltd.</t>
  </si>
  <si>
    <t>NCT06918366</t>
  </si>
  <si>
    <t>A Study to Evaluate the Safety, Tolerability and Pharmacokinetics of Inhaled XQ-001 in Healthy Subjects</t>
  </si>
  <si>
    <t>Brilliant Inspiration Biotherapeutics</t>
  </si>
  <si>
    <t>NCT06189157</t>
  </si>
  <si>
    <t>MB-CART19.1 in Refractory SLE</t>
  </si>
  <si>
    <t>Miltenyi Biomedicine GmbH</t>
  </si>
  <si>
    <t>NCT06524739</t>
  </si>
  <si>
    <t>Double-blind, Randomized, Placebo-controlled Study Evaluating Efficacy and Safety of IgPro20 in Post-COVID-19 POTS</t>
  </si>
  <si>
    <t>NCT06345001</t>
  </si>
  <si>
    <t>A First-in-Human Study to Learn About How BAY3630942 is Distributed and Processed Inside the Body When Given After BAY3547922 and How Safe it is in People With Liver Cancer or Other Select Solid Cancers</t>
  </si>
  <si>
    <t>NCT06547775</t>
  </si>
  <si>
    <t>A Study to Evaluate Features of KN069 in Participants With Obesity or Overweight</t>
  </si>
  <si>
    <t>NCT06565195</t>
  </si>
  <si>
    <t>A Clinical Trial of LY3962681 in Healthy Volunteers and in Patients With Parkinson's Disease</t>
  </si>
  <si>
    <t>Prevail Therapeutics</t>
  </si>
  <si>
    <t>NCT06467357</t>
  </si>
  <si>
    <t>Phase 3 Study of T-DXd and Rilvegostomig Versus SoC in Advanced HER2-expressing Biliary Tract Cancer</t>
  </si>
  <si>
    <t>NCT07435324</t>
  </si>
  <si>
    <t>A Comparative Study of Efficacy and Safety of RPH-002 and Erbitux® in Unresectable Metastatic or Recurrent Head and Neck Squamous Cell Carcinoma</t>
  </si>
  <si>
    <t>R-Pharm</t>
  </si>
  <si>
    <t>NCT06556966</t>
  </si>
  <si>
    <t>A Study Assessing the Safety and Tolerability of LY03020 in Chinese Healthy Subjects</t>
  </si>
  <si>
    <t>NCT06519981</t>
  </si>
  <si>
    <t>Phase 1 Study of HRS-9231 Safety and Pharmacokinetics in Healthy Caucasians</t>
  </si>
  <si>
    <t>NCT06540833</t>
  </si>
  <si>
    <t>A Study to Assess the Efficacy and Safety of ITI-1284 in the Treatment of Psychosis Associated With Alzheimer's Disease</t>
  </si>
  <si>
    <t>NCT05963867</t>
  </si>
  <si>
    <t>A Study to Test How BI 764532 is Taken up by Tumours in People With Small-cell Lung Cancer or Neuroendocrine Cancer</t>
  </si>
  <si>
    <t>NCT06564311</t>
  </si>
  <si>
    <t>A Study of Obexelimab in Patients With Relapsing Multiple Sclerosis (MoonStone)</t>
  </si>
  <si>
    <t>Zenas BioPharma (USA), LLC</t>
  </si>
  <si>
    <t>NCT06492304</t>
  </si>
  <si>
    <t>A Safety and Efficacy Study Evaluating CTX131 in Adult Subjects With Relapsed/Refractory Hematologic Malignancies</t>
  </si>
  <si>
    <t>CRISPR Therapeutics</t>
  </si>
  <si>
    <t>NCT06640517</t>
  </si>
  <si>
    <t>Study of the Efficacy, Safety, Pharmacokinetics, and Immunogenicity of Netakimab in Children With Moderate to Severe Plaque Psoriasis</t>
  </si>
  <si>
    <t>NCT06562361</t>
  </si>
  <si>
    <t>A Microdose Trial Investigating Binding of [68Ga]Ga-DOTA-CYS-ATH001 in Healthy Subjects and Different Patient Groups.</t>
  </si>
  <si>
    <t>Antaros Medical</t>
  </si>
  <si>
    <t>NCT05861999</t>
  </si>
  <si>
    <t>A Study Evaluating the Effectiveness and Safety of Risdiplam Administered in Pediatric Patients With Spinal Muscular Atrophy Who Experienced a Plateau or Decline in Function After Gene Therapy</t>
  </si>
  <si>
    <t>NCT06520514</t>
  </si>
  <si>
    <t>A Study to Test How Well Healthy People Tolerate Spesolimab When Given in 2 Different Ways</t>
  </si>
  <si>
    <t>NCT06560593</t>
  </si>
  <si>
    <t>A Phase 1 Clinical Trial of NTQ5082 in Healthy Volunteers</t>
  </si>
  <si>
    <t>Nanjing Chia-tai Tianqing Pharmaceutical</t>
  </si>
  <si>
    <t>NCT06284954</t>
  </si>
  <si>
    <t>A Study to Evaluate Safety and Efficacy of Empasiprubart in Adults With Dermatomyositis</t>
  </si>
  <si>
    <t>NCT07439419</t>
  </si>
  <si>
    <t>DBM-1152A Inhalation Solution in Healthy Volunteers</t>
  </si>
  <si>
    <t>Joincare Pharmaceutical Group Industry Co., Ltd</t>
  </si>
  <si>
    <t>NCT06505824</t>
  </si>
  <si>
    <t>A Study of BL-M14D1 in Patients With Locally Advanced or Metastatic Small Cell Lung Cancer, Neuroendocrine Tumors and Other Solid Tumors</t>
  </si>
  <si>
    <t>NCT06581627</t>
  </si>
  <si>
    <t>A Research Study Looking at a Single Dose of Etavopivat in Healthy Chinese Participants</t>
  </si>
  <si>
    <t>NCT06557356</t>
  </si>
  <si>
    <t>A Study of LY3532226 in Participants With Obesity</t>
  </si>
  <si>
    <t>NCT06608355</t>
  </si>
  <si>
    <t>The Safety, Tolerability and Preliminary Efficacy of NouvNeu001 for Early-onset Parkinson's Disease</t>
  </si>
  <si>
    <t>NCT06577376</t>
  </si>
  <si>
    <t>A PhaseⅠ/Ⅱ Study of Simmitinib or Irinotecan Liposomes Combined With DP303c in Gastric Adenocarcinoma or Gastroesophageal Junction Adenocarcinoma</t>
  </si>
  <si>
    <t>NCT06072430</t>
  </si>
  <si>
    <t>A Phase III, Open Label, Randomized, Controlled Study of VBI-S in the Treatment of Hypovolemia in Patients With Septic Shock (VBI-S-02)</t>
  </si>
  <si>
    <t>Vivacelle Bio</t>
  </si>
  <si>
    <t>NCT06534723</t>
  </si>
  <si>
    <t>Phase 3 Clinical Trial of Wujia Yizhi Granules in the Treatment of Mild-to-moderate Alzheimer's Dementia (Syndrome of Deficiency of Spleen and Kidney)</t>
  </si>
  <si>
    <t>Sichuan Jishengtang Pharmaceutical Co., Ltd.</t>
  </si>
  <si>
    <t>NCT06548620</t>
  </si>
  <si>
    <t>A Study of RD06-04 in Patients With Active Autoimmune Diseases</t>
  </si>
  <si>
    <t>Nanjing Bioheng Biotech Co., Ltd.</t>
  </si>
  <si>
    <t>NCT06703203</t>
  </si>
  <si>
    <t>Phase I/II Clinical Trial of 26-valent Pneumococcal Conjugate Vaccine</t>
  </si>
  <si>
    <t>Beijing Zhifei Lvzhu Biopharmaceutical Co., Ltd</t>
  </si>
  <si>
    <t>NCT06500507</t>
  </si>
  <si>
    <t>A Study of QLS4131 in Patients With Recurrent or Refractory Multiple Myeloma</t>
  </si>
  <si>
    <t>NCT06556147</t>
  </si>
  <si>
    <t>A Study of RSV-HMPV Bivalent Vaccine VXB-241 in Older Adults</t>
  </si>
  <si>
    <t>Vicebio Australia Proprietary Limited</t>
  </si>
  <si>
    <t>NCT06534021</t>
  </si>
  <si>
    <t>IASO-782 in Autoimmune Hematological Diseases</t>
  </si>
  <si>
    <t>Shanghai IASO Biotechnology Co., Ltd</t>
  </si>
  <si>
    <t>NCT06465472</t>
  </si>
  <si>
    <t>Evaluation of the Efficacy and Safety of Stiripentol in Patients 6 Years and Older With Primary Hyperoxaluria Type 1, 2 or 3</t>
  </si>
  <si>
    <t>Biocodex</t>
  </si>
  <si>
    <t>NCT06549595</t>
  </si>
  <si>
    <t>A Study of Surovatamig (AZD0486) Plus Rituximab in Previously Untreated Follicular Lymphoma Patients</t>
  </si>
  <si>
    <t>NCT06932744</t>
  </si>
  <si>
    <t>Study of Safety and Efficacy of MY008211A in Paroxysmal Nocturnal Hemoglobinuria (PNH) Patients Who Are Naive to Complement Inhibitor Therapy</t>
  </si>
  <si>
    <t>Wuhan Createrna Science and Technology Co., Ltd</t>
  </si>
  <si>
    <t>NCT06452277</t>
  </si>
  <si>
    <t>A Study to Learn More About How Well Sevabertinib (BAY 2927088) Works and How Safe it is Compared With Standard Treatment, in Participants Who Have Advanced Non-small Cell Lung Cancer (NSCLC) With Mutations of the Human Epidermal Growth Factor Receptor 2 (HER2)</t>
  </si>
  <si>
    <t>NCT06492915</t>
  </si>
  <si>
    <t>Chiauranib in Patients With Locally Advanced or Metastatic Pancreatic Ductal Adenocarcinoma</t>
  </si>
  <si>
    <t>NCT06475274</t>
  </si>
  <si>
    <t>A Phase 2b Dose Finding Study of RMC-035 in Participants Undergoing Open-chest Cardiac Surgery</t>
  </si>
  <si>
    <t>Guard Therapeutics AB</t>
  </si>
  <si>
    <t>NCT05733598</t>
  </si>
  <si>
    <t>Study of RP2 in Combination With Second-line Therapy in Patients With Locally Advanced or Metastatic HCC</t>
  </si>
  <si>
    <t>NCT06460844</t>
  </si>
  <si>
    <t>Study to Evaluate Safety of RTx-015 Injection in Retinitis Pigmentosa or Choroideremia Patients (ENVISION)</t>
  </si>
  <si>
    <t>Ray Therapeutics, Inc.</t>
  </si>
  <si>
    <t>NCT07020884</t>
  </si>
  <si>
    <t>A Study of ZT002 Injection With Subjects With Overweight or Obesity</t>
  </si>
  <si>
    <t>NCT06309485</t>
  </si>
  <si>
    <t>Phase 2 Study of WGI-0301 for Advanced HCC</t>
  </si>
  <si>
    <t>Zhejiang Haichang Biotech Co., Ltd.</t>
  </si>
  <si>
    <t>NCT07291284</t>
  </si>
  <si>
    <t>Efficacy and Safety of LP-003 Injection in Patients With Moderate to Severe Seasonal Allergic Rhinitis</t>
  </si>
  <si>
    <t>NCT06527755</t>
  </si>
  <si>
    <t>A Study to Assess the PK, PD, Safety and Tolerability of Eplontersen in Healthy Chinese Volunteers</t>
  </si>
  <si>
    <t>NCT06428448</t>
  </si>
  <si>
    <t>Study to Evaluate the REMEDY SPECTRUM IM Spacer Nail in the Treatment of Ankle-Related Infections</t>
  </si>
  <si>
    <t>OsteoRemedies, LLC</t>
  </si>
  <si>
    <t>NCT06395103</t>
  </si>
  <si>
    <t>Substudy 01A: Zilovertamab Vedotin in Pediatric and Young Adult Participants With Hematologic Malignancies or Solid Tumors (MK-9999-01A/LIGHTBEAM-U01)</t>
  </si>
  <si>
    <t>NCT06565611</t>
  </si>
  <si>
    <t>A Phase 2 Study Evaluating the Co-Administration of Bremelanotide With Tirzepatide for the Treatment of Obesity</t>
  </si>
  <si>
    <t>Palatin Technologies, Inc</t>
  </si>
  <si>
    <t>NCT06514157</t>
  </si>
  <si>
    <t>Phase I PK Study of Budesonide/Albuterol Delivered From PT027 in Healthy Chinese Participants.</t>
  </si>
  <si>
    <t>NCT06492135</t>
  </si>
  <si>
    <t>A Study in Chinese People With Overweight or Obesity to Test How Different Doses of Survodutide Are Taken up in the Body</t>
  </si>
  <si>
    <t>NCT06482346</t>
  </si>
  <si>
    <t>Clinical Pharmacology Study of MT-3534 in Healthy Adult Male Volunteers</t>
  </si>
  <si>
    <t>NCT06562088</t>
  </si>
  <si>
    <t>A Drug-Drug Interaction (DDI) Study of HDM1002 With Rifampicin and Itraconazole in Healthy Subjects</t>
  </si>
  <si>
    <t>NCT06888362</t>
  </si>
  <si>
    <t>Trial to Investigate GZ21T in Healthy Volunteers</t>
  </si>
  <si>
    <t>Genzada Pharmaceuticals USA, Inc.</t>
  </si>
  <si>
    <t>NCT06520488</t>
  </si>
  <si>
    <t>A Study of HRS-4642 in Combination With Antineoplastic Agents in Advanced Solid Tumors</t>
  </si>
  <si>
    <t>NCT06501573</t>
  </si>
  <si>
    <t>A Study of SGB-9768 in Adult Healthy Volunteers</t>
  </si>
  <si>
    <t>NCT06570369</t>
  </si>
  <si>
    <t>A Study to Explore the Effect of SP-624 on Brain Network Analytics in Healthy Adults and Adults With Major Depression</t>
  </si>
  <si>
    <t>NCT06577415</t>
  </si>
  <si>
    <t>A Study of RAY1225 in Participants With Impaired Liver Function</t>
  </si>
  <si>
    <t>NCT06331299</t>
  </si>
  <si>
    <t>A Phase 3 Study of UGN-103 for Treatment of Patients With Low-grade Intermediate-risk Non-muscle Invasive Bladder Cancer</t>
  </si>
  <si>
    <t>UroGen Pharma Ltd.</t>
  </si>
  <si>
    <t>NCT06397911</t>
  </si>
  <si>
    <t>Evaluate Efficacy and Safety of Repeat Subcutaneous Doses of FB825 in Adults With Moderate-to-Severe Atopic Dermatitis</t>
  </si>
  <si>
    <t>Oneness Biotech Co., Ltd.</t>
  </si>
  <si>
    <t>NCT06337032</t>
  </si>
  <si>
    <t>A Study to Provide Continued Access to Study Drug to Children and Adolescents Who Have Completed Clinical Studies Involving Gilead HIV Treatments</t>
  </si>
  <si>
    <t>NCT06509958</t>
  </si>
  <si>
    <t>Phase Ⅱ Study of Adductor Canal Block With HR18034 for Postsurgical Pain Management in TKA</t>
  </si>
  <si>
    <t>NCT06449209</t>
  </si>
  <si>
    <t>Safety, Preliminary Effectiveness of BNT327, an Investigational Therapy for Patients With Small-cell Lung Cancer in Combination With Chemotherapy</t>
  </si>
  <si>
    <t>NCT06649266</t>
  </si>
  <si>
    <t>Trial to Evaluate the Efficacy, Safety and Pharmacokinetics of RBD1016 in Participants With Chronic Hepatitis D</t>
  </si>
  <si>
    <t>NCT06585202</t>
  </si>
  <si>
    <t>Study of ATI-2138 in Adult Participants With Moderate to Severe Atopic Dermatitis</t>
  </si>
  <si>
    <t>Aclaris Therapeutics, Inc.</t>
  </si>
  <si>
    <t>NCT06449027</t>
  </si>
  <si>
    <t>Safety, Efficacy and Pharmacokinetic Behavior of Leuprolide Injectable Emulsion for Premenopausal Breast Cancer Subjects.</t>
  </si>
  <si>
    <t>NCT06428019</t>
  </si>
  <si>
    <t>A Study to Evaluate the Risk of Tumor Lysis Syndrome (TLS) in Adult Participants Receiving Oral Venetoclax in Combination With Intravenously Infused Obinutuzumab or Oral Acalabrutinib for Previously Untreated Chronic Lymphocytic Leukemia (CLL)</t>
  </si>
  <si>
    <t>NCT06526819</t>
  </si>
  <si>
    <t>SMP-3124LP in Adults With Advanced Solid Tumors</t>
  </si>
  <si>
    <t>Sumitomo Pharma America, Inc.</t>
  </si>
  <si>
    <t>NCT06471361</t>
  </si>
  <si>
    <t>A Study to Evaluate the Safe and Effective Use of a Zilucoplan Auto-injector by Study Participants With Generalized Myasthenia Gravis</t>
  </si>
  <si>
    <t>NCT06542874</t>
  </si>
  <si>
    <t>A Research Study Comparing How Well Different Doses of the Medicine NNC0487-0111 Lower Blood Sugar in People With Type 2 Diabetes</t>
  </si>
  <si>
    <t>NCT06300580</t>
  </si>
  <si>
    <t>Study of Oral ABBV-932 Capsules to Evaluate Dopamine D2 and D3 Receptor Occupancy in Brain in Adult Healthy Volunteers</t>
  </si>
  <si>
    <t>NCT06530849</t>
  </si>
  <si>
    <t>A Study of GC012F Injection in Subjects With Refractory Systemic Lupus Erythematosus</t>
  </si>
  <si>
    <t>Gracell Biotechnologies (Shanghai) Co., Ltd.</t>
  </si>
  <si>
    <t>NCT06565208</t>
  </si>
  <si>
    <t>First in Human SAD/MAD Safety and PK Study With Adult DMD Safety and PK Cohort</t>
  </si>
  <si>
    <t>Satellos Bioscience, Inc.</t>
  </si>
  <si>
    <t>NCT06600789</t>
  </si>
  <si>
    <t>A Modular Phase 1/2 Study With CT7439 in Participants With Solid Malignancies</t>
  </si>
  <si>
    <t>Carrick Therapeutics Limited</t>
  </si>
  <si>
    <t>NCT06532383</t>
  </si>
  <si>
    <t>A Study to Learn How Different Amounts of the Study Medicine Called PF-07940369 Are Tolerated and Act in the Body in Healthy Adults.</t>
  </si>
  <si>
    <t>NCT05157269</t>
  </si>
  <si>
    <t>Trial to Evaluate Nitazoxanide for Treatment of Mild COVID-19 in Subjects Not at High Risk of Severe Illness</t>
  </si>
  <si>
    <t>Romark Laboratories L.C.</t>
  </si>
  <si>
    <t>NCT06573294</t>
  </si>
  <si>
    <t>Trial to Assess the Safety and Antitumor Activity of GEN1057 in Malignant Solid Tumors</t>
  </si>
  <si>
    <t>NCT06435273</t>
  </si>
  <si>
    <t>Phase II Study to Evaluate the Effect of AZD4604 on Airway Inflammation and Biomarkers in Adults With Asthma</t>
  </si>
  <si>
    <t>NCT06522997</t>
  </si>
  <si>
    <t>A Study to Learn About How Well BAY3283142 Works and Its Safety in Participants With Chronic Kidney Disease</t>
  </si>
  <si>
    <t>NCT06536023</t>
  </si>
  <si>
    <t>This is a Study to Evaluate the Pharmacokinetics and Safety of IBI362 in Chinese Adolescents With Obesity</t>
  </si>
  <si>
    <t>NCT06545942</t>
  </si>
  <si>
    <t>Study of Orally Administered MOMA-313 in Participants With Advanced or Metastatic Solid Tumors</t>
  </si>
  <si>
    <t>MOMA Therapeutics</t>
  </si>
  <si>
    <t>NCT06502379</t>
  </si>
  <si>
    <t>A Single and Multiple Ascending Dose Study to Investigate the Safety, Tolerability, and Pharmacokinetics of AZD8965 in Healthy Participants (Including Japanese and Chinese Participants) and an Open-label Cohort to Assess the Effect of Food on the Pharmacokinetics of AZD8965 in Healthy Participants</t>
  </si>
  <si>
    <t>NCT06529796</t>
  </si>
  <si>
    <t>Evaluation of the Pharmacokinetics and Safety of Inaxaplin in Participants With Mild or Moderate Hepatic Impairment</t>
  </si>
  <si>
    <t>NCT06698861</t>
  </si>
  <si>
    <t>A Phase I PK/PD Study of PEG-MetHuG-CSF (P2203) in Healthy Volunteers</t>
  </si>
  <si>
    <t>PharmaEssentia</t>
  </si>
  <si>
    <t>NCT06534892</t>
  </si>
  <si>
    <t>An Extension and Crossover Vaccination Study on the Immune Response and Safety of a Vaccine Against Respiratory Syncytial Virus Given to Adults 60 Years of Age and Above Who Participated in RSV OA=ADJ-006 Study</t>
  </si>
  <si>
    <t>NCT06297590</t>
  </si>
  <si>
    <t>A First-In-Human Study of LY3954068 in Participants With Early Symptomatic Alzheimer's Disease</t>
  </si>
  <si>
    <t>NCT06424340</t>
  </si>
  <si>
    <t>MB-dNPM1-TCR.1 in Relapsed/Refractory AML</t>
  </si>
  <si>
    <t>NCT06496620</t>
  </si>
  <si>
    <t>A Study to Evaluate Solrikitug in Participants With COPD (ZION)</t>
  </si>
  <si>
    <t>NCT05926349</t>
  </si>
  <si>
    <t>A Study of Andexanet Alfa in Patients Requiring Urgent Surgery or Procedure</t>
  </si>
  <si>
    <t>NCT06494774</t>
  </si>
  <si>
    <t>A Study to Test How Different Doses of BI 1815368 Are Tolerated and How BI 1815368 is Taken up in the Body of Healthy Japanese Men</t>
  </si>
  <si>
    <t>NCT06247995</t>
  </si>
  <si>
    <t>A Phase I/II, Dose Finding and Optimization Study of [177Lu]Lu-NeoB in Combination With Capecitabine in Patients With GRPR+, ER+, HER2- Metastatic Breast Cancer After Progression on Previous Endocrine Therapy in Combination With a CDK4/6 Inhibitor.</t>
  </si>
  <si>
    <t>NCT06564142</t>
  </si>
  <si>
    <t>Evaluation of Efficacy of Povetacicept in Adults With Immunoglobulin A Nephropathy (IgAN)</t>
  </si>
  <si>
    <t>Alpine Immune Sciences Inc, A Subsidiary of Vertex</t>
  </si>
  <si>
    <t>NCT06553456</t>
  </si>
  <si>
    <t>Phase II/III Clinical Trial of Recombinant Human Serum Albumin in Cirrhotic Patients With Ascites</t>
  </si>
  <si>
    <t>NCT06568731</t>
  </si>
  <si>
    <t>A Study to Learn How Different Amounts of the Study Medicine Danuglipron Are Taken up Into the Blood in Otherwise Healthy Adults With Overweight or Obesity</t>
  </si>
  <si>
    <t>NCT06440057</t>
  </si>
  <si>
    <t>Dose Escalation Study of ZG006 in Participants With Advanced Small Cell Lung Cancer or Neuroendocrine Carcinoma, Followed by Dose Expansion Study in Participants With Neuroendocrine Carcinoma.</t>
  </si>
  <si>
    <t>NCT06371157</t>
  </si>
  <si>
    <t>A Study of AK104+Lenvatinib in Combination With Transarterial Chemoembolization (TACE) Versus TACE in Participants With Incurable/Non-metastatic Hepatocellular Carcinoma</t>
  </si>
  <si>
    <t>NCT06549504</t>
  </si>
  <si>
    <t>Bioequivalence Study of AG2202</t>
  </si>
  <si>
    <t>Ahn-Gook Pharmaceuticals Co.,Ltd</t>
  </si>
  <si>
    <t>NCT06519370</t>
  </si>
  <si>
    <t>FDA018-ADC vs Investigator's Choice Chemotherapy to Treat Locally Advanced, Recurrent or Metastatic Triple-negative Breast Cancer</t>
  </si>
  <si>
    <t>NCT06531824</t>
  </si>
  <si>
    <t>EASi-KIDNEY™ (The Studies of Heart &amp; Kidney Protection With BI 690517 in Combination With Empagliflozin)</t>
  </si>
  <si>
    <t>NCT06480383</t>
  </si>
  <si>
    <t>Study of ITI-1284 as an Adjunctive Treatment in Patients With Generalized Anxiety Disorder</t>
  </si>
  <si>
    <t>NCT06555068</t>
  </si>
  <si>
    <t>A Trial of HRS-6209 in Combination With Fulvestrant, Letrozole, HRS-8080, or HRS-1358 in Breast Cancer Patients</t>
  </si>
  <si>
    <t>NCT07079618</t>
  </si>
  <si>
    <t>A Research Study to Evaluate the Safety and Tolerability of SGC001 in Healthy Subjects</t>
  </si>
  <si>
    <t>Beijing Sungen Biomedical Technology Co., Ltd</t>
  </si>
  <si>
    <t>NCT06297174</t>
  </si>
  <si>
    <t>Bioequivalence Study of Generic Racecadotril 100 mg Capsules Under Fasting Conditions</t>
  </si>
  <si>
    <t>NCT06540391</t>
  </si>
  <si>
    <t>A Phase 1b Trial to Evaluate Safety of MB097 in Combination With Pembrolizumab in Melanoma Patients</t>
  </si>
  <si>
    <t>Microbiotica Ltd</t>
  </si>
  <si>
    <t>NCT06116136</t>
  </si>
  <si>
    <t>A Study to Evaluate the Safety and the Activity of S095029 as Part of Combination Therapy in Advanced Gastroesophageal Junction/Gastric Cancers.</t>
  </si>
  <si>
    <t>NCT06671470</t>
  </si>
  <si>
    <t>A Drug-drug Interaction Study of YZJ-1139 Tablets and Ticagrelor Tablets in Healthy Subjects</t>
  </si>
  <si>
    <t>NCT06433999</t>
  </si>
  <si>
    <t>A 12-Week Open-Label Study to Investigate the Efficacy and Safety of Brepocitinib in Adults With Skin-Predominant Dermatomyositis</t>
  </si>
  <si>
    <t>Priovant Therapeutics, Inc.</t>
  </si>
  <si>
    <t>NCT06407973</t>
  </si>
  <si>
    <t>A Clinical Trial Comparing the OMNI Surgical System to Standard Medical Treatment in Patients With Primary Open Angle Glaucoma</t>
  </si>
  <si>
    <t>Sight Sciences, Inc.</t>
  </si>
  <si>
    <t>NCT06561607</t>
  </si>
  <si>
    <t>A Clinical Trial to Evaluate the Efficacy and Safety of TQB2102 for Injection Versus Investigator-Selected Chemotherapy in HER2 Low-Expressing Recurrent/Metastatic Breast Cancer</t>
  </si>
  <si>
    <t>NCT06415487</t>
  </si>
  <si>
    <t>ACE2016 in Adult Subjects With Locally Advanced or Metastatic Solid Tumors Expressing Epidermal Growth Factor Receptor (EGFR)</t>
  </si>
  <si>
    <t>Acepodia Biotech, Inc.</t>
  </si>
  <si>
    <t>NCT06588738</t>
  </si>
  <si>
    <t>A Study in Patients With Moderate to Severe Plaque Psoriasis to Evaluate the Efficacy and Safety of ESK-001</t>
  </si>
  <si>
    <t>NCT06516926</t>
  </si>
  <si>
    <t>SHR-4602 for Injection in Subjects With HER2-expressing or -Mutated Unresectable or Metastatic Solid Tumors</t>
  </si>
  <si>
    <t>NCT06492941</t>
  </si>
  <si>
    <t>A Study of Docetaxel for Injection (Albumin Bound) in Patients With Advanced Pancreatic Cancer</t>
  </si>
  <si>
    <t>NCT06446037</t>
  </si>
  <si>
    <t>Assessment of Gesture Accuracy of a Prosthesis Control System</t>
  </si>
  <si>
    <t>Phantom Neuro Inc.</t>
  </si>
  <si>
    <t>NCT07047196</t>
  </si>
  <si>
    <t>Evaluating the Efficacy and Safety of Intra-articular Injection of HS-20116 in Patients With Knee Osteoarthritis</t>
  </si>
  <si>
    <t>NCT06545331</t>
  </si>
  <si>
    <t>Study of XB010 in Subjects With Solid Tumors</t>
  </si>
  <si>
    <t>NCT06562790</t>
  </si>
  <si>
    <t>Study of Gamma PN3 in the Elderly</t>
  </si>
  <si>
    <t>GPN Vaccines</t>
  </si>
  <si>
    <t>NCT05330182</t>
  </si>
  <si>
    <t>LMN-201 for Prevention of C. Difficile Infection Recurrence</t>
  </si>
  <si>
    <t>Lumen Bioscience, Inc.</t>
  </si>
  <si>
    <t>NCT06400303</t>
  </si>
  <si>
    <t>KYSA-5: A Study of Anti-CD19 Chimeric Antigen Receptor T-Cell (CD19 CAR T) Therapy, in Subjects With Systemic Sclerosis</t>
  </si>
  <si>
    <t>Kyverna Therapeutics</t>
  </si>
  <si>
    <t>NCT06516068</t>
  </si>
  <si>
    <t>A Trial of HRS-1893 in Patients With Obstructive Hypertrophic Cardiomyopathy</t>
  </si>
  <si>
    <t>NCT06507553</t>
  </si>
  <si>
    <t>Study of Influenza Vaccines Containing an Additional H3 Antigen in Healthy Adult Participants 18 to 49 Years of Age and 60 Years of Age and Older</t>
  </si>
  <si>
    <t>NCT06533280</t>
  </si>
  <si>
    <t>VH3739937 Phase 1 Multiple Ascending Dose (MAD) Study in Healthy Volunteers Including Relative Bioavailability (RBA), Optional Food Effect (FE), and Drug-drug Interaction (DDI)</t>
  </si>
  <si>
    <t>NCT06442449</t>
  </si>
  <si>
    <t>Booster Dose of sIPV Co-administered With MMR and HepA-I.</t>
  </si>
  <si>
    <t>NCT06492291</t>
  </si>
  <si>
    <t>Open-label Extension Study of Enlicitide Decanoate (MK-0616/Enlicitide Oral PCSK9 Inhibitor) in Adults With Hypercholesterolemia (MK-0616-019) CORALreef Extension</t>
  </si>
  <si>
    <t>NCT06552429</t>
  </si>
  <si>
    <t>Peginterferon α-2b Injection for Hydroxyurea Resistant or Intolerant ET</t>
  </si>
  <si>
    <t>Xiamen Amoytop Biotech Co., Ltd.</t>
  </si>
  <si>
    <t>NCT06433921</t>
  </si>
  <si>
    <t>A Study to Compare the Relative Potency of Salbutamol Administered Via Metered Dose Inhalers (MDI) Containing Propellants HFA-152a to HFA-134a in Mild Asthmatics Aged 18 to 65 Inclusive</t>
  </si>
  <si>
    <t>NCT06315738</t>
  </si>
  <si>
    <t>Study to Assess the Safety, Tolerability, and Preliminary Efficacy of ST266 in Infants With Necrotizing Enterocolitis</t>
  </si>
  <si>
    <t>Noveome Biotherapeutics, formerly Stemnion</t>
  </si>
  <si>
    <t>NCT06603220</t>
  </si>
  <si>
    <t>A Study Evaluating the Safety, Tolerability, and Efficacy of EVO756 in Adults With Chronic Inducible Urticaria</t>
  </si>
  <si>
    <t>Evommune, Inc.</t>
  </si>
  <si>
    <t>NCT05831202</t>
  </si>
  <si>
    <t>SEAL™IT: Saccular Endovascular Aneurysm Lattice System Interventional Pivotal Trial</t>
  </si>
  <si>
    <t>Galaxy Therapeutics INC</t>
  </si>
  <si>
    <t>NCT06492122</t>
  </si>
  <si>
    <t>Study With [225Ac]Ac-FL-020 in mCRPC Participants</t>
  </si>
  <si>
    <t>Full-Life Technologies GmbH</t>
  </si>
  <si>
    <t>NCT06507605</t>
  </si>
  <si>
    <t>Dose-Escalating Study of Pfs230D1 in Combination With R21 in Matrix-M in African Adults</t>
  </si>
  <si>
    <t>NCT06558656</t>
  </si>
  <si>
    <t>Effect of Food of NTQ5082 in Healthy Subjects</t>
  </si>
  <si>
    <t>NCT06385054</t>
  </si>
  <si>
    <t>Effect of Probiotics on Infantile Colic Symptoms</t>
  </si>
  <si>
    <t>Lallemand Health Solutions</t>
  </si>
  <si>
    <t>NCT06578273</t>
  </si>
  <si>
    <t>NeuroGlove PD Study Clinical</t>
  </si>
  <si>
    <t>NeuroGlove LLC</t>
  </si>
  <si>
    <t>NCT06392230</t>
  </si>
  <si>
    <t>A Study to Learn How the Medicine Called [14C] PF-06821497 is Taken up Into and Removed From the Body.</t>
  </si>
  <si>
    <t>NCT06615193</t>
  </si>
  <si>
    <t>A Study of HDM2005 in Patients With Relapsed/Refractory B-cell Lymphoma and Advanced Solid Tumor</t>
  </si>
  <si>
    <t>NCT06462794</t>
  </si>
  <si>
    <t>First In Human Study of CX-801 in Advanced Solid Tumors</t>
  </si>
  <si>
    <t>NCT06425055</t>
  </si>
  <si>
    <t>Vonafexor ALPort Syndrome Efficacy &amp; Safety TRIAl-1 (ALPESTRIA-1)</t>
  </si>
  <si>
    <t>Enyo Pharma</t>
  </si>
  <si>
    <t>NCT06544798</t>
  </si>
  <si>
    <t>Long-term Follow-up of Gene Therapy for Radiation-Induced Xerostomia</t>
  </si>
  <si>
    <t>MeiraGTx, LLC</t>
  </si>
  <si>
    <t>NCT06486441</t>
  </si>
  <si>
    <t>Study of Sacituzumab Govitecan Versus Treatment of Physician's Choice in Participants With Endometrial Cancer After Platinum-Based Chemotherapy and Immunotherapy (ASCENT-GYN-01/GOG-3104/ENGOT-en26)</t>
  </si>
  <si>
    <t>NCT05880056</t>
  </si>
  <si>
    <t>Study of Bisoprolol (Nerkardou - Nerhadou International) 5 and 10 mg Oral Dissolvable Film (ODF) Treatment in Egyptian Patients With Essential Hypertension</t>
  </si>
  <si>
    <t>Genuine Research Center, Egypt</t>
  </si>
  <si>
    <t>NCT06290141</t>
  </si>
  <si>
    <t>A Study to Test the Efficacy and Safety of Riliprubart Against the Usual Treatment of Intravenous Immunoglobulin (IVIg) in People With Chronic Inflammatory Demyelinating Polyneuropathy (CIDP)</t>
  </si>
  <si>
    <t>NCT06663137</t>
  </si>
  <si>
    <t>Open Label Study to Evaluate the Safety and Efficacy of NDV01 KIT in High Grade NMIBC</t>
  </si>
  <si>
    <t>Relmada Therapeutics, Inc.</t>
  </si>
  <si>
    <t>NCT06454708</t>
  </si>
  <si>
    <t>Pharmacokinetics, Safety and Tolerability of Clascoterone Cream 1% in Healthy Chinese Adult Subjects</t>
  </si>
  <si>
    <t>NCT06462924</t>
  </si>
  <si>
    <t>Feasibility of Gadolinium Contrast Reduced Brain MRI: the Potential of Deep Learning</t>
  </si>
  <si>
    <t>DeepMeds</t>
  </si>
  <si>
    <t>NCT06421935</t>
  </si>
  <si>
    <t>M9466 Alone or in Combination in Advanced Solid Tumors (DDriver 501)</t>
  </si>
  <si>
    <t>NCT06542536</t>
  </si>
  <si>
    <t>A Research Study Investigating Safety and Concentration in the Blood After One Dose Tablet of the New Medicine Monlunabant in Healthy Weight Japanese and Caucasian Men</t>
  </si>
  <si>
    <t>NCT06597799</t>
  </si>
  <si>
    <t>First-in-human Study of MRT-6160 in Healthy Subjects</t>
  </si>
  <si>
    <t>Monte Rosa Therapeutics, Inc</t>
  </si>
  <si>
    <t>NCT06625411</t>
  </si>
  <si>
    <t>An Efficacy, Safety, and Tolerability Study of VRDN-003 in Participants With Active Thyroid Eye Disease (TED)</t>
  </si>
  <si>
    <t>NCT06627413</t>
  </si>
  <si>
    <t>Safety, Tolerability, and Pharmacokinetics of Lumateperone Long-Acting Injectable Formulations in Patients With Schizophrenia or Schizoaffective Disorder</t>
  </si>
  <si>
    <t>NCT06371417</t>
  </si>
  <si>
    <t>Phase 1b Trial of RAY121 in Immunological Diseases (RAINBOW Trial)</t>
  </si>
  <si>
    <t>Chugai Pharmaceutical</t>
  </si>
  <si>
    <t>NCT07386938</t>
  </si>
  <si>
    <t>A Study of the Efficacy, Safety and Pharmacokinetics of RPH-051 and Perjeta® in Combination With Trastuzumab and Docetaxel as the 1st Line Therapy in Patients With HER2-positive Breast Cancer</t>
  </si>
  <si>
    <t>NCT06433947</t>
  </si>
  <si>
    <t>Study to Assess Safety and Tolerability of OPN-6602 in Subjects With Relapsed and/or Refractory Multiple Myeloma</t>
  </si>
  <si>
    <t>Opna Bio LLC</t>
  </si>
  <si>
    <t>NCT06198426</t>
  </si>
  <si>
    <t>A Study of IBI3004 in Subjects With Unresectable, Locally Advanced or Metastatic Solid Tumors</t>
  </si>
  <si>
    <t>NCT06352359</t>
  </si>
  <si>
    <t>Safety, Pharmacokinetics (PK), and Efficacy of ONC 841 in Advanced Solid Tumors</t>
  </si>
  <si>
    <t>NCT06504862</t>
  </si>
  <si>
    <t>A Study in Healthy Men to Test Whether Zongertinib Influences the Amount of 4 Other Medicines (Dabigatran, Rosuvastatin, Metformin, and Furosemide) in the Blood</t>
  </si>
  <si>
    <t>NCT06627088</t>
  </si>
  <si>
    <t>A Study of LY4100511 (DC-853) Mass Balance and Absolute Bioavailability of LY4100511 in Healthy Male Participants</t>
  </si>
  <si>
    <t>NCT06549816</t>
  </si>
  <si>
    <t>A Study of SGN-B6A in Chinese Participants With Advanced Solid Tumors</t>
  </si>
  <si>
    <t>NCT06542614</t>
  </si>
  <si>
    <t>Treatment of Moderate to Severe Plaque Psoriasis</t>
  </si>
  <si>
    <t>NCT06491563</t>
  </si>
  <si>
    <t>Study to Investigate the Efficacy and Safety of Regimens Containing BRII-179, BRII-835, and PEG-IFNα Treating Chronic Hepatitis B Virus (HBV) Infection (ENRICH)</t>
  </si>
  <si>
    <t>Brii Biosciences Limited</t>
  </si>
  <si>
    <t>NCT06535399</t>
  </si>
  <si>
    <t>Study to Assess Drug Levels and Safety of Golcadomide (BMS-986369) in Healthy Participants and Participants With Different Degrees of Hepatic Impairment</t>
  </si>
  <si>
    <t>NCT06831370</t>
  </si>
  <si>
    <t>A Study of Brentuximab Vedotin With Doxorubicin, Vinblastine and Dacarbazine in Adults With Hodgkin Lymphoma in India</t>
  </si>
  <si>
    <t>NCT06550011</t>
  </si>
  <si>
    <t>Clinical Study to Evaluate the Safety, Tolerability, and Preliminary Efficacy of Intravitreal (IVT) Injection of ABI-110 (AAV2.N54-VEGF Trap) in Subjects With Neovascular (Wet) Age-Related Macular Degeneration (wAMD), Including Symptomatic Macular Polypoidal Choroidal Vasculopathy (PCV)</t>
  </si>
  <si>
    <t>Avirmax Biopharma Inc</t>
  </si>
  <si>
    <t>NCT06562907</t>
  </si>
  <si>
    <t>Study of GS-4571 in Healthy Participants, Nondiabetic Obese Participants, and Nonobese Participants With Type 2 Diabetes Mellitus (T2DM)</t>
  </si>
  <si>
    <t>NCT06329141</t>
  </si>
  <si>
    <t>A Study to Assess the Efficacy and Safety of Vutiglabridin in Early Parkinson's Disease Patients</t>
  </si>
  <si>
    <t>Glaceum</t>
  </si>
  <si>
    <t>NCT06547164</t>
  </si>
  <si>
    <t>A Study to Investigate the Pharmacokinetics of Midazolam After Repeated Doses of Camizestrant (AZD9833) and to Investigate the Pharmacokinetics of Camizestrant When Administered Alone and in Combination With Carbamazepine in Healthy Post-Menopausal Female Participants</t>
  </si>
  <si>
    <t>NCT06571591</t>
  </si>
  <si>
    <t>Efficacy and Safety of Pioglitazone Combination Therapy in Type 2 Diabetes Patients on a Background of Empagliflozin With Metformin</t>
  </si>
  <si>
    <t>NCT06546670</t>
  </si>
  <si>
    <t>A Phase I/II Study of ITU512 in Healthy Participants and Patients With Sickle Cell Disease</t>
  </si>
  <si>
    <t>NCT06559527</t>
  </si>
  <si>
    <t>A Research Study Looking Into Blood Levels of the Medicine NNC0487-0111 in the Body and How Well it is Tolerated in Participants With Reduced Kidney Function and Normal Kidney Function</t>
  </si>
  <si>
    <t>NCT06479356</t>
  </si>
  <si>
    <t>CD19-targeted CAR T Cells for Relapsed or Refractory (R/R) Large B-cell Lymphoma</t>
  </si>
  <si>
    <t>NCT06568367</t>
  </si>
  <si>
    <t>Studying Solriamfetol Modulation of TAAR-1, Dopamine, and Norepinephrine in Shift Work Disorder (SUSTAIN)</t>
  </si>
  <si>
    <t>NCT06595121</t>
  </si>
  <si>
    <t>Bioequivalence of IMP 08P1707F0 Relative to Pulmicort® (1.0 Mg/2 Ml Suspension)</t>
  </si>
  <si>
    <t>Unither Pharmaceuticals, France</t>
  </si>
  <si>
    <t>NCT06574347</t>
  </si>
  <si>
    <t>Vebreltinib Plus PLB1004 as the First-line Therapy for Patients With EGFRm+/MET+ Locally Advanced or Metastatic NSCLC.</t>
  </si>
  <si>
    <t>NCT06517563</t>
  </si>
  <si>
    <t>Effects of VMX-C001 on the Anticoagulant Effect of Different Forms of Heparin</t>
  </si>
  <si>
    <t>NCT06438263</t>
  </si>
  <si>
    <t>A Study to Evaluate Bioavailability of Rocatinlimab Autoinjector and Vial in Healthy Participants</t>
  </si>
  <si>
    <t>NCT06524063</t>
  </si>
  <si>
    <t>Targeted Survivin DC Cell Injection for the Treatment of GBM</t>
  </si>
  <si>
    <t>Beijing Tricision Biotherapeutics Inc</t>
  </si>
  <si>
    <t>NCT06545500</t>
  </si>
  <si>
    <t>A Phase IIb Study of Glycopyrrolate Inhalation Solution Over 1 Week in Subjects With COPD</t>
  </si>
  <si>
    <t>NCT06193889</t>
  </si>
  <si>
    <t>KYSA-6: A Study of Anti-CD19 Chimeric Antigen Receptor T-Cell Therapy, in Patients With Generalized Myasthenia Gravis</t>
  </si>
  <si>
    <t>NCT06360094</t>
  </si>
  <si>
    <t>A Study to Test Whether BI 1839100 Improves Cough in People With Idiopathic Pulmonary Fibrosis or Progressive Pulmonary Fibrosis</t>
  </si>
  <si>
    <t>NCT05589896</t>
  </si>
  <si>
    <t>A First-in-Human Study of HLA-Partially to Fully Matched Allogenic Cryopreserved Deceased Donor Bone Marrow Transplantation for Patients With Hematologic Malignancies</t>
  </si>
  <si>
    <t>Ossium Health, Inc.</t>
  </si>
  <si>
    <t>NCT06554873</t>
  </si>
  <si>
    <t>Adaptive Use of Nicotine Substitution to Maintain Smoking Reduction/Abstinence in Nicotine Responders</t>
  </si>
  <si>
    <t>Rose Research Center, LLC</t>
  </si>
  <si>
    <t>NCT06625398</t>
  </si>
  <si>
    <t>An Efficacy, Safety, and Tolerability Study of VRDN-003 in Participants With Chronic Thyroid Eye Disease (TED)</t>
  </si>
  <si>
    <t>NCT06511076</t>
  </si>
  <si>
    <t>A Study to Evaluate Zilucoplan Injected Subcutaneously Either by a Prefilled Syringe or an Auto-injector in Healthy Adult Participants</t>
  </si>
  <si>
    <t>NCT05677126</t>
  </si>
  <si>
    <t>Tralement vs. Fixed-dose Trace Element Combination Product in Patients &gt;3 to 17 Years of Age Requiring Long-term PN</t>
  </si>
  <si>
    <t>American Regent, Inc.</t>
  </si>
  <si>
    <t>NCT06447415</t>
  </si>
  <si>
    <t>Safety, Tolerability, and Preliminary Efficacy of HRS-7450 Injection in the Treatment of Acute Ischemic Stroke: a Multi-center, Randomized, Double-blind, Double-dummy, Placebo-controlled Clinical Trial</t>
  </si>
  <si>
    <t>NCT06576765</t>
  </si>
  <si>
    <t>Study to Investigate the Effect of Hepatic Impairment on the Pharmacokinetics, Safety, and Tolerability of AZD0780</t>
  </si>
  <si>
    <t>NCT06576401</t>
  </si>
  <si>
    <t>A Study To Characterize Mass Balance Of [14C] HDM1002 in Chinese Healthy Subjects</t>
  </si>
  <si>
    <t>NCT06505265</t>
  </si>
  <si>
    <t>A Study to Evaluate Skin and Plasma Pharmacokinetic of Multiple Doses of Povorcitinib After Oral Administration in Healthy Participants</t>
  </si>
  <si>
    <t>NCT06571045</t>
  </si>
  <si>
    <t>A Study to Evaluate the Efficacy and Safety of 2 Doses of EYE103 Compared With Ranibizumab (0.5 mg) in Participants With DME</t>
  </si>
  <si>
    <t>EyeBiotech Ltd.</t>
  </si>
  <si>
    <t>NCT06506994</t>
  </si>
  <si>
    <t>A Study of HRS-9057 in Patients With Heart Failure and Volume Overload</t>
  </si>
  <si>
    <t>NCT06523153</t>
  </si>
  <si>
    <t>A Study of the Investigational Monoclonal Antibody, VYD2311, in Healthy Participants</t>
  </si>
  <si>
    <t>Invivyd, Inc.</t>
  </si>
  <si>
    <t>NCT06233097</t>
  </si>
  <si>
    <t>Esomeprazole Magnesium Dihydrate 40 mg Tablets Relative to Nexium 40 mg Tablets Under Fasting Condition</t>
  </si>
  <si>
    <t>NCT06225310</t>
  </si>
  <si>
    <t>A Trial of Selinexor, Ruxolitinib and Methylprednisolone</t>
  </si>
  <si>
    <t>NCT06297525</t>
  </si>
  <si>
    <t>Study of STP938 in Advanced Solid Tumours</t>
  </si>
  <si>
    <t>Step Pharma, SAS</t>
  </si>
  <si>
    <t>NCT06725355</t>
  </si>
  <si>
    <t>To Compare the Pharmacokinetics and Safety After a Single Dose Administration of IN-G00002 and IN-R00002 in Healthy Adult Volunteers</t>
  </si>
  <si>
    <t>NCT06508489</t>
  </si>
  <si>
    <t>A Study to Investigate Natural Killer Cell Engager (SAR443579) With Different Agents in Participants With Hematological Malignancies</t>
  </si>
  <si>
    <t>NCT06554821</t>
  </si>
  <si>
    <t>A Study to Investigate the Effect of Oral Ticagrelor on the Pharmacokinetics of Oral Rosuvastatin When Given in Healthy Participants</t>
  </si>
  <si>
    <t>NCT06536491</t>
  </si>
  <si>
    <t>EC-104 Intravitreal Implant for the Treatment of Diabetic Macular Edema</t>
  </si>
  <si>
    <t>Eclipse Life Sciences, Inc.</t>
  </si>
  <si>
    <t>NCT06332014</t>
  </si>
  <si>
    <t>Evaluation of Efficacy and Safety of Prolia in Subjects of Male Osteoporosis in Mainland China</t>
  </si>
  <si>
    <t>NCT06680531</t>
  </si>
  <si>
    <t>A Clinical Study to Evaluate the Drug Interaction Between YZJ-1139 Tablets and Escitalopram Oxalate Tablets</t>
  </si>
  <si>
    <t>NCT06380751</t>
  </si>
  <si>
    <t>Saruparib (AZD5305) Plus Camizestrant Compared With CDK4/6 Inhibitor Plus Endocrine Therapy or Plus Camizestrant in HR-Positive, HER2-Negative (IHC 0, 1+, 2+/ ISH Non-amplified), BRCA1, BRCA2, or PALB2m Advanced Breast Cancer</t>
  </si>
  <si>
    <t>NCT06100276</t>
  </si>
  <si>
    <t>Safety, Tolerability, and Exploratory Efficacy Study of Intrathecally Administered Gene Therapy AMT-162 in Adult Participants With SOD1 Amyotrophic Lateral Sclerosis (SOD1-ALS)</t>
  </si>
  <si>
    <t>NCT06461897</t>
  </si>
  <si>
    <t>A Study to Assess Adverse Events and Change in Disease Activity Comparing Oral Upadacitinib to Subcutaneous Dupilumab in Children From 2 to Less Than 12 Years of Age With Moderate to Severe Atopic Dermatitis</t>
  </si>
  <si>
    <t>NCT06424717</t>
  </si>
  <si>
    <t>Study of Avelumab and Tuvusertib in Participants With Advanced Urothelial Cancer That Has Progressed on Prior Anti-PD-(L)1 Therapy (JAVELIN DDRiver Bladder)</t>
  </si>
  <si>
    <t>NCT06310291</t>
  </si>
  <si>
    <t>VTP-1000 in Adults With Celiac Disease</t>
  </si>
  <si>
    <t>Barinthus Biotherapeutics</t>
  </si>
  <si>
    <t>NCT05911828</t>
  </si>
  <si>
    <t>A Study to Determine Safety, Tolerability, and Pharmacokinetics of Different Orally Administered Regimens of the Combination ZY19489-Ferroquine in Adult Asymptomatic Plasmodium Falciparum Carriers</t>
  </si>
  <si>
    <t>NCT06532253</t>
  </si>
  <si>
    <t>Long-term Safety Trial with NVDX3</t>
  </si>
  <si>
    <t>Novadip Biosciences</t>
  </si>
  <si>
    <t>NCT06582524</t>
  </si>
  <si>
    <t>Pegzilarginase in Subjects &lt;24 Months Old With Arginase 1 Deficiency</t>
  </si>
  <si>
    <t>Immedica Pharma AB</t>
  </si>
  <si>
    <t>NCT06503783</t>
  </si>
  <si>
    <t>A Study of BL-M17D1 in Patients With Locally Advanced or Metastatic HER2 Positive/Negative Breast Cancer and Other Solid Tumors</t>
  </si>
  <si>
    <t>NCT06469281</t>
  </si>
  <si>
    <t>A Study to Learn if 27T51, a Mucin-16 (MUC16) Protein Targeting Immune Cell Therapy, Administered Alone or in Combination is Safe and How Well it Works for Adult Participants With Recurrent or Treatment Resistant Ovarian Cancers</t>
  </si>
  <si>
    <t>NCT06045793</t>
  </si>
  <si>
    <t>Comparing Efficacy &amp; Safety Of TNX-1300 To Placebo With UC For Treatment Of Acute Cocaine Intoxication In ED Subjects (CATALYST)</t>
  </si>
  <si>
    <t>Tonix Pharmaceuticals, Inc.</t>
  </si>
  <si>
    <t>NCT06431971</t>
  </si>
  <si>
    <t>Estimates of the Short-term Efficacy of Talineuren (TLN) and Placebo in Patients With Parkinson Disease</t>
  </si>
  <si>
    <t>InnoMedica Schweiz AG</t>
  </si>
  <si>
    <t>NCT06589609</t>
  </si>
  <si>
    <t>Phase 1 Clinical Trial of FluBHPVE6E7 Immunotherapy for HPV16-Associated Oropharyngeal Cancer</t>
  </si>
  <si>
    <t>BlueSky Immunotherapies GmbH</t>
  </si>
  <si>
    <t>NCT06541457</t>
  </si>
  <si>
    <t>A Study on Safety, Tolerability, Pharmacokinetics and Pharmacodynamics of HRS-7249 Injection in Healthy Subjects</t>
  </si>
  <si>
    <t>NCT06574828</t>
  </si>
  <si>
    <t>A Study to Find Out How Multiple Doses of BIIB091 Affect the Electrical Activity of the Heart in Healthy Participants</t>
  </si>
  <si>
    <t>NCT06565871</t>
  </si>
  <si>
    <t>A Study of HRS9531 Injection in Obese Subjects With Obstructive Sleep Apnea</t>
  </si>
  <si>
    <t>NCT06500026</t>
  </si>
  <si>
    <t>A Study Comparing BL-B01D1 With Topotecan in Patients With Recurrent Small Cell Lung Cancer</t>
  </si>
  <si>
    <t>NCT01481532</t>
  </si>
  <si>
    <t>Open Label Clinical Trial of Intravenous Crotoxin Part 3</t>
  </si>
  <si>
    <t>Celtic Biotech Ltd</t>
  </si>
  <si>
    <t>NCT06524635</t>
  </si>
  <si>
    <t>A Study to Assess Molecular Changes in Adult Participants With Moderate to Severe Hidradenitis Suppurativa or With Moderate to Severe Atopic Dermatitis Receiving Subcutaneous Injections of Lutikizumab</t>
  </si>
  <si>
    <t>NCT04173650</t>
  </si>
  <si>
    <t>MSC EVs in Dystrophic Epidermolysis Bullosa</t>
  </si>
  <si>
    <t>Aegle Therapeutics</t>
  </si>
  <si>
    <t>NCT06493409</t>
  </si>
  <si>
    <t>A Study to Assess the Effect of Voriconazole and Quinidine on the Pharmacokinetics of a Single Dose of Repotrectinib in Healthy Participants</t>
  </si>
  <si>
    <t>NCT06061809</t>
  </si>
  <si>
    <t>N-803 and PD-L1 t-haNK Combined With Bevacizumab for Recurrent or Progressive Glioblastoma</t>
  </si>
  <si>
    <t>NCT06948032</t>
  </si>
  <si>
    <t>Study of BLU-808 in Healthy Adult Participants</t>
  </si>
  <si>
    <t>Blueprint Medicines Corporation</t>
  </si>
  <si>
    <t>NCT06572228</t>
  </si>
  <si>
    <t>Efficacy of Dupilumab Added to Medium Dose Inhaled Corticosteroid/Long-acting Beta-agonist (ICS/LABA) in Comparison to ICS Dose Escalation to High Dose ICS/LABA in Adolescent and Adult Patients With Uncontrolled Asthma</t>
  </si>
  <si>
    <t>NCT06599528</t>
  </si>
  <si>
    <t>A Comparing Study Between SJ04 and Ovidrel® in Healthy Subjects</t>
  </si>
  <si>
    <t>Suzhou Centergene Pharmaceuticals Co.,Ltd.</t>
  </si>
  <si>
    <t>NCT06535607</t>
  </si>
  <si>
    <t>Study of Volrustomig as Monotherapy or in Combination With Anti- Cancer Agents in Participants With Advanced/Metastatic Solid Tumors</t>
  </si>
  <si>
    <t>NCT06533059</t>
  </si>
  <si>
    <t>A Study to Learn About Study Medicine ALTA2618 in Adults With AKT1 E17K-Mutant Solid Tumors</t>
  </si>
  <si>
    <t>Alterome Therapeutics, Inc.</t>
  </si>
  <si>
    <t>NCT06394973</t>
  </si>
  <si>
    <t>Efficacy and Safety Assessment of T4090 Ophthalmic Solution Versus Rhopressa® Ophthalmic Solution in Patients With Open-angle Glaucoma or Ocular Hypertension</t>
  </si>
  <si>
    <t>Laboratoires Thea</t>
  </si>
  <si>
    <t>NCT06450197</t>
  </si>
  <si>
    <t>Phase IIa Study Evaluating AZD7798 in Crohn's Disease</t>
  </si>
  <si>
    <t>NCT06362369</t>
  </si>
  <si>
    <t>A Study of Oral 7HP349 (Alintegimod) in Combination With Ipilimumab Followed by Nivolumab Monotherapy</t>
  </si>
  <si>
    <t>7 Hills Pharma, LLC</t>
  </si>
  <si>
    <t>NCT06531811</t>
  </si>
  <si>
    <t>A Study to Investigate the Relative Bioavailability of AZD8630 Following a Device and Formulation Transition in Healthy Participants.</t>
  </si>
  <si>
    <t>NCT06577090</t>
  </si>
  <si>
    <t>Study to Evaluate the Effect on Obesity of QW Nimacimab and QW Nimacimab Co-administered With Semaglutide vs Placebo</t>
  </si>
  <si>
    <t>Skye Bioscience, Inc.</t>
  </si>
  <si>
    <t>NCT06487455</t>
  </si>
  <si>
    <t>A Clinical Study of SPH7485 Tablets in the Treatment of Advanced Solid Tumors.</t>
  </si>
  <si>
    <t>NCT07343310</t>
  </si>
  <si>
    <t>A First-in-Patient Clinical Trial of KINE-101 in Patients With Corticosteroid-Refractory CIDP</t>
  </si>
  <si>
    <t>Kine Sciences Co., Ltd.</t>
  </si>
  <si>
    <t>NCT06578039</t>
  </si>
  <si>
    <t>Phase 1 Clinical Trial of CordSTEM-ST</t>
  </si>
  <si>
    <t>CHABiotech CO., Ltd</t>
  </si>
  <si>
    <t>NCT06524375</t>
  </si>
  <si>
    <t>A Study to Evaluate the Effect of Venetoclax on Participants Receiving a Covalent Bruton's Tyrosine Kinase Inhibitor (cBTKi) for First-line Chronic Lymphocytic Leukemia (1L CLL) to Achieve Deep Durable Remissions to Allow Off-treatment Period</t>
  </si>
  <si>
    <t>NCT06442462</t>
  </si>
  <si>
    <t>Study of SPG302 in Adults With Schizophrenia</t>
  </si>
  <si>
    <t>NCT06425302</t>
  </si>
  <si>
    <t>A Study to Evaluate the Efficacy and Safety of Golcadomide in Combination With Rituximab in Participants With Newly Diagnosed Advanced Stage Follicular Lymphoma</t>
  </si>
  <si>
    <t>NCT06549309</t>
  </si>
  <si>
    <t>Trial of JMKX003801 in Healthy Participants</t>
  </si>
  <si>
    <t>NCT06551181</t>
  </si>
  <si>
    <t>A Study on the Immune Response, Safety and the Occurrence of Respiratory Syncytial Virus (RSV)-Associated Respiratory Tract Illness After Administration of RSV OA Vaccine in Adults 60 Years and Older</t>
  </si>
  <si>
    <t>NCT06542445</t>
  </si>
  <si>
    <t>The Safety and Efficacy of Terpene-enriched Cannabidiol (CBD) Oil in ADHD</t>
  </si>
  <si>
    <t>Bazelet Nehushtan LtD.</t>
  </si>
  <si>
    <t>NCT06614907</t>
  </si>
  <si>
    <t>A PhaseⅠ Comparative Study to Evaluate the Pharmacokinetics of QL2108 to Dupixent®</t>
  </si>
  <si>
    <t>NCT06509334</t>
  </si>
  <si>
    <t>Trial of JYB1904 in Chronic Spontaneous Urticaria.</t>
  </si>
  <si>
    <t>NCT06428825</t>
  </si>
  <si>
    <t>A Study to Learn About the Safety of BAY3283142 in People With Mild to Moderate High Blood Pressure</t>
  </si>
  <si>
    <t>NCT06542497</t>
  </si>
  <si>
    <t>Evaluate Efficacy and Safety of POS to Improve Distance-corrected Near Visual in Participants With Presbyopia</t>
  </si>
  <si>
    <t>NCT06465108</t>
  </si>
  <si>
    <t>Safety, Pharmacokinetics and Efficacy of MBX 2109 in Patients With Hypoparathyroidism</t>
  </si>
  <si>
    <t>NCT06454175</t>
  </si>
  <si>
    <t>A Phase I Clinical Trial to Evaluate the Safety of 15-valent HPV Vaccine in Healthy Chinese People Aged 18-45 Years</t>
  </si>
  <si>
    <t>NCT06519110</t>
  </si>
  <si>
    <t>Neratinib Tablets Monotherapy for Advanced Solid Tumors With HER2 Mutations</t>
  </si>
  <si>
    <t>NCT06567327</t>
  </si>
  <si>
    <t>A Study to Learn How the Study Medicine Danuglipron is Taken Up Into the Blood and If Danuglipron Changes How the Body Processes Other Study Medicines (Atorvastatin and Rosuvastatin) in Healthy Adults Who Are Overweight or Obese</t>
  </si>
  <si>
    <t>NCT06416852</t>
  </si>
  <si>
    <t>Clinical Study of 18F-Alfatide Injection PET/CT</t>
  </si>
  <si>
    <t>NCT06322342</t>
  </si>
  <si>
    <t>Phase 2 Ascending Dose Safety and Efficacy Study of RVP-001, a Manganese-based MRI Contrast Agent</t>
  </si>
  <si>
    <t>Reveal Pharmaceuticals Inc.</t>
  </si>
  <si>
    <t>NCT06680440</t>
  </si>
  <si>
    <t>A Study to Evaluate the Safety, Tolerability, Pharmacokinetics and Efficacy of ASC30 Tablets and ASC30 Tablets A1 in Participants With Obesity</t>
  </si>
  <si>
    <t>NCT06334991</t>
  </si>
  <si>
    <t>Study for Subjects with Relapsed/Refractory Non-Hodgkin Lymphoma</t>
  </si>
  <si>
    <t>NCT06388941</t>
  </si>
  <si>
    <t>Iptacopan in Patients With ANCA Associated Vasculitis</t>
  </si>
  <si>
    <t>NCT06449222</t>
  </si>
  <si>
    <t>Safety and Preliminary Effectiveness of BNT327, an Investigational Therapy for Breast Cancer, When Given in Combination With Chemotherapy</t>
  </si>
  <si>
    <t>NCT06567041</t>
  </si>
  <si>
    <t>A Research Study of How Safe a New Medicine Called NNC0519 0130 is and to Test Its Effect in People Living With Excess Body Weight With or Without Type 2 Diabetes</t>
  </si>
  <si>
    <t>NCT06506175</t>
  </si>
  <si>
    <t>Investigation of Optimal Dosage Regimen for HRS9531 Tablets in Healthy Subjects</t>
  </si>
  <si>
    <t>NCT06487039</t>
  </si>
  <si>
    <t>Trial to Evaluate the Safety and Efficacy of EB-203 in Patients With Neovascular Age-related Macular Degeneration</t>
  </si>
  <si>
    <t>EyebioKorea, Inc.</t>
  </si>
  <si>
    <t>NCT06541730</t>
  </si>
  <si>
    <t>A Study Evulating DA-302168S Tablets in Overweight/Obese Subjects</t>
  </si>
  <si>
    <t>NCT06126653</t>
  </si>
  <si>
    <t>A Study to Evaluate ARD-501 in Patients With Autism Spectrum Disorder</t>
  </si>
  <si>
    <t>NCT06448754</t>
  </si>
  <si>
    <t>Volrustomig Priming Regimens Exploratory Phase II Platform Study</t>
  </si>
  <si>
    <t>NCT06495229</t>
  </si>
  <si>
    <t>Study of CM310 in Adolescent Subjects With Atopic Dermatis</t>
  </si>
  <si>
    <t>NCT06460298</t>
  </si>
  <si>
    <t>ProAgio in Combination With Gemcitabine in Patients With Metastatic Triple Negative Breast Cancer</t>
  </si>
  <si>
    <t>ProDa BioTech, LLC</t>
  </si>
  <si>
    <t>NCT06543043</t>
  </si>
  <si>
    <t>A Study to Evaluate the Effects of Phenytoin and Itraconazole on Sonrotoclax (BGB-11417) in Healthy Volunteers</t>
  </si>
  <si>
    <t>NCT06578455</t>
  </si>
  <si>
    <t>A Pharmacokinetic Study to Compare CBD-NE to Epidyolex in Healthy Adult Volunteers Under Both Fed and Fasted Conditions</t>
  </si>
  <si>
    <t>dsm-firmenich Switzerland AG</t>
  </si>
  <si>
    <t>NCT06525935</t>
  </si>
  <si>
    <t>A Study of CT-388 in Participants With Obesity or Overweight With at Least One Weight-Related Comorbidity</t>
  </si>
  <si>
    <t>Carmot Therapeutics, Inc.</t>
  </si>
  <si>
    <t>NCT06416410</t>
  </si>
  <si>
    <t>JAB-21822 Combined With JAB-3312 Compared SOC in the First Line for Treatment of Advanced Non-small Cell Lung Cancer With KRAS p.G12C Mutation</t>
  </si>
  <si>
    <t>Allist Pharmaceuticals, Inc.</t>
  </si>
  <si>
    <t>NCT06518538</t>
  </si>
  <si>
    <t>Evaluate Efficacy of Devimistat in Combination With mFFX in 2nd Line Patients With Metastatic Pancreatic Cancer</t>
  </si>
  <si>
    <t>Cornerstone Pharmaceuticals</t>
  </si>
  <si>
    <t>NCT06556368</t>
  </si>
  <si>
    <t>A Study to Evaluate the Efficacy and Safety of Tarcocimab Tedromer and Tabirafusp Tedromer Compared to Aflibercept in Participants With Neovascular (Wet) Age-related Macular Degeneration (wAMD) - DAYBREAK</t>
  </si>
  <si>
    <t>NCT06349980</t>
  </si>
  <si>
    <t>A Study to Explore the Reasonable Dosage and Evaluate the Efficacy, Safety and Tolerability of HLX10 and HLX04 with or Without HLX53 in Untreated, Locally Advanced or Metastatic Hepatocellular Carcinoma Patients.</t>
  </si>
  <si>
    <t>NCT06292780</t>
  </si>
  <si>
    <t>A Trial to Learn if Linvoseltamab is Safe and Works in Adults With Relapsed or Refractory Systemic Light Chain Amyloidosis (AL Amyloidosis)</t>
  </si>
  <si>
    <t>NCT06522035</t>
  </si>
  <si>
    <t>Evaluation of Allocetra by Intra-articular Injection for the Treatment of Psoriatic Arthritis</t>
  </si>
  <si>
    <t>NCT06520553</t>
  </si>
  <si>
    <t>A Study in Healthy Men to Test How BI 1569912 is Processed in the Body</t>
  </si>
  <si>
    <t>NCT06413498</t>
  </si>
  <si>
    <t>A Study Comparing Anitocabtagene Autoleucel to Standard of Care Therapy in Participants With Relapsed/ Refractory Multiple Myeloma</t>
  </si>
  <si>
    <t>NCT06512363</t>
  </si>
  <si>
    <t>A Study of Ramelteon in Chinese Patients With Chronic Insomnia</t>
  </si>
  <si>
    <t>NCT06508658</t>
  </si>
  <si>
    <t>A Study of Subcutaneously Injected Epcoritamab Plus Oral Lenalidomide Tablets Compared to Intravenously (IV) Infused Rituximab Plus IV Infused Gemcitabine and IV Infused Oxaliplatin in Adult Participants With Relapsed or Refractory Diffuse Large B-Cell Lymphoma</t>
  </si>
  <si>
    <t>NCT06531512</t>
  </si>
  <si>
    <t>Evaluate the Efficacy and Safety of Xianglei Tangzu Gao for the Treatment of Wagner Grade II Diabetic Foot Ulcers</t>
  </si>
  <si>
    <t>NCT06549465</t>
  </si>
  <si>
    <t>Study Evaluating Dosimetry, Randomized Dose Optimization, Dose Escalation and Efficacy of Ac-225 Rosopatamab Tetraxetan in Participants With PSMA PET-Positive Castration-Resistant Prostate Cancer (CRPC)</t>
  </si>
  <si>
    <t>Convergent Therapeutics</t>
  </si>
  <si>
    <t>NCT04974151</t>
  </si>
  <si>
    <t>China Stroke Primary Prevention Trial 2 for Participants With Hypertension and MTHFR 677 TT Genotype</t>
  </si>
  <si>
    <t>Shenzhen Ausa Pharmed Co.,Ltd</t>
  </si>
  <si>
    <t>NCT07275775</t>
  </si>
  <si>
    <t>Single and Multiple Dose and Food Effect Study to Evaluate the Safety, Tolerability and Pharmacokinetics of D-2570 Tablets in Healthy Subjects</t>
  </si>
  <si>
    <t>NCT06401356</t>
  </si>
  <si>
    <t>An Extension Study for Patients Previously Enrolled in Studies With Pelabresib</t>
  </si>
  <si>
    <t>NCT06555822</t>
  </si>
  <si>
    <t>A Study to Investigate Multiple Ascending Doses and Relative Bioavailability of AZD5004 in Healthy Participants</t>
  </si>
  <si>
    <t>NCT06445972</t>
  </si>
  <si>
    <t>Substudy 06D: Combination Therapies in Second Line (2L) Gastroesophageal Adenocarcinoma (MK-3475-06D/Keymaker-U06)</t>
  </si>
  <si>
    <t>NCT06757738</t>
  </si>
  <si>
    <t>A Clinical Study Aiming to Assess Pharmacokinetics, Pharmacodynamics and Preliminary Efficacy of TRX-100 in Healthy Volunteers</t>
  </si>
  <si>
    <t>NCT06568042</t>
  </si>
  <si>
    <t>Effects of LY3848575 Versus Placebo in Participants With Painful Distal Sensory Polyneuropathy</t>
  </si>
  <si>
    <t>NCT06096116</t>
  </si>
  <si>
    <t>Phase 3 Study on the Efficacy and Safety of Human Plasma Derived Antithrombin (Atenativ) in Heparin-Resistant Patients Scheduled to Undergo Cardiac Surgery Necessitating Cardiopulmonary Bypass</t>
  </si>
  <si>
    <t>NCT06564584</t>
  </si>
  <si>
    <t>Phase 2a Study of Safety, Tolerability, and Efficacy of TLC-2716 in Subjects With Hypertriglyceridemia and NAFLD</t>
  </si>
  <si>
    <t>OrsoBio, Inc</t>
  </si>
  <si>
    <t>NCT07193576</t>
  </si>
  <si>
    <t>A Pharmacokinetic Study of the Food Effect on Flonoltinib Maleate Tablets</t>
  </si>
  <si>
    <t>NCT06592482</t>
  </si>
  <si>
    <t>A Phase I Study to Investigate the Effect of Renal Impairment on the Pharmacokinetics, Safety, and Tolerability of AZD0780</t>
  </si>
  <si>
    <t>NCT06511947</t>
  </si>
  <si>
    <t>Pharmacokinetics of GH001 Delivered Via a Proprietary Aerosol Delivery Device in Healthy Subjects</t>
  </si>
  <si>
    <t>GH Research Ireland Limited</t>
  </si>
  <si>
    <t>NCT06539481</t>
  </si>
  <si>
    <t>Open Label Trial Studying the Safety and Effectiveness of ILUVIEN® (190μg) in Children and Adolescents, Who Have Recurrent Non-infectious Uveitis Affecting the Posterior Segment of the Eye.</t>
  </si>
  <si>
    <t>Alimera Sciences</t>
  </si>
  <si>
    <t>NCT06507813</t>
  </si>
  <si>
    <t>Safety and Efficacy of ADC189 in Children 2-11 Years Old With Influenza</t>
  </si>
  <si>
    <t>NCT06593457</t>
  </si>
  <si>
    <t>A Food-Effect, Drug-Drug Interaction, and Pharmacokinetics Study of NX-5948 in Healthy Adult Subjects</t>
  </si>
  <si>
    <t>Nurix Therapeutics, Inc.</t>
  </si>
  <si>
    <t>NCT06466187</t>
  </si>
  <si>
    <t>A Study of SGN-MesoC2 in Advanced Solid Tumors</t>
  </si>
  <si>
    <t>NCT06500884</t>
  </si>
  <si>
    <t>A Study to Evaluate Preventive Treatments for Talquetamab-related Oral Toxicity</t>
  </si>
  <si>
    <t>NCT06313593</t>
  </si>
  <si>
    <t>A Study to Evaluate the Safety, Tolerability of INCB160058 in Participants With Myeloproliferative Neoplasms</t>
  </si>
  <si>
    <t>NCT06533605</t>
  </si>
  <si>
    <t>Phase I Clinical Study to Evaluate the Safety and Efficacy of SSGJ-706 Monotherapy for Patients With Advanced Solid Tumors</t>
  </si>
  <si>
    <t>NCT07253441</t>
  </si>
  <si>
    <t>A Trial to Characterize Differences in Blood Levels of Different Lots of Centanafadine QD XR and to Understand the Effect of Food on Blood Levels</t>
  </si>
  <si>
    <t>Otsuka Pharmaceutical Development &amp; Commercialization, Inc.</t>
  </si>
  <si>
    <t>NCT06444529</t>
  </si>
  <si>
    <t>A Double-Masked Comparison of FID 123320 Ophthalmic Solution to Vehicle for the Reduction of Ocular Redness</t>
  </si>
  <si>
    <t>Alcon Research</t>
  </si>
  <si>
    <t>NCT06577987</t>
  </si>
  <si>
    <t>Safety/Efficacy Study of CID-078 in Patients With Advanced Solid Tumor Malignancies</t>
  </si>
  <si>
    <t>Circle Pharma</t>
  </si>
  <si>
    <t>NCT05157243</t>
  </si>
  <si>
    <t>Trial to Evaluate Nitazoxanide for Treatment of Mild or Moderate COVID-19 in Subjects at High Risk of Severe Illness</t>
  </si>
  <si>
    <t>NCT06787989</t>
  </si>
  <si>
    <t>BCMA-CD19 CCAR T Cell Treatment of Refractory Immune Thrombocytopenia Associated with Autoimmune Diseases</t>
  </si>
  <si>
    <t>iCell Gene Therapeutics</t>
  </si>
  <si>
    <t>NCT06543459</t>
  </si>
  <si>
    <t>To Evaluate the Effect of Single Oral Dose of MY008211A Tablets on QTc Interval in Healthy Subjects</t>
  </si>
  <si>
    <t>NCT06484777</t>
  </si>
  <si>
    <t>A Clinical Study of SHR-9539 in Patients With Multiple Myeloma</t>
  </si>
  <si>
    <t>NCT06319963</t>
  </si>
  <si>
    <t>A Study to Evaluate Lenti-HPV-07 Immunotherapy Against HPV+ Cervical or Oropharyngeal Cancer</t>
  </si>
  <si>
    <t>Theravectys S.A.</t>
  </si>
  <si>
    <t>NCT07110883</t>
  </si>
  <si>
    <t>A Clinical Study of SYS6023 in Patients With Advanced Solid Tumors</t>
  </si>
  <si>
    <t>CSPC Megalith Biopharmaceutical Co.,Ltd.</t>
  </si>
  <si>
    <t>NCT06343792</t>
  </si>
  <si>
    <t>Safety, PK, PD, Dosing, and Efficacy of RLS-0071for the Treatment of Hospitalized Patients With Steroid-Refractory Acute Graft-versus-Host Disease</t>
  </si>
  <si>
    <t>NCT06555263</t>
  </si>
  <si>
    <t>Study to Investigate Luveltamab Tazevibulin in Adults With Advanced or Metastatic Non-small Cell Lung Cancer</t>
  </si>
  <si>
    <t>Sutro Biopharma, Inc.</t>
  </si>
  <si>
    <t>NCT06351592</t>
  </si>
  <si>
    <t>First in Human (FIH) Study of ALN-SOD in Adult Participants With Amyotrophic Lateral Sclerosis Associated With Mutation in the SOD1 Gene (SOD1-ALS)</t>
  </si>
  <si>
    <t>NCT06932471</t>
  </si>
  <si>
    <t>Study of Safety and Efficacy of MY008211A in Patients With Residual Anemia Despite Anti-C5 Antibody Treatment</t>
  </si>
  <si>
    <t>NCT06189170</t>
  </si>
  <si>
    <t>Phase I Study to Evaluate KP405 in Healthy and Parkinson's Disease Patients</t>
  </si>
  <si>
    <t>Kariya Pharmaceuticals</t>
  </si>
  <si>
    <t>NCT06549959</t>
  </si>
  <si>
    <t>A Single Dose Study to Investigate the Pharmacokinetics (PK) of Telitacicept Pre-filled Injection and Freeze-dried Powder Injection in Chinese Healthy Subjects</t>
  </si>
  <si>
    <t>NCT06518876</t>
  </si>
  <si>
    <t>A Study of KQ-2003 CAR-T Cell Therapy for Patients With Relapsed or Refractory POEMS Syndrome</t>
  </si>
  <si>
    <t>NCT06544733</t>
  </si>
  <si>
    <t>Study of Oral Weekly GS-1720 and GS-4182 Versus Biktarvy in People With HIV-1 Who Are Virologically Suppressed</t>
  </si>
  <si>
    <t>NCT06504732</t>
  </si>
  <si>
    <t>To Evaluate IAH0968 in Combination With CAPEOX in HER2-positive Gastric Cancer</t>
  </si>
  <si>
    <t>NCT07122414</t>
  </si>
  <si>
    <t>A Study of Intravesical FL115 Alone or in Combination With BCG in Non-Muscle Invasive Bladder Cancer</t>
  </si>
  <si>
    <t>NCT06538116</t>
  </si>
  <si>
    <t>A Study of Mevidalen (LY3154207) in Participants With Alzheimer's Disease</t>
  </si>
  <si>
    <t>NCT06689527</t>
  </si>
  <si>
    <t>Evaluation of Vamorolone CYP3A4 Induction on Midazolam (a Sensitive CYP 3A4 Substrate) Pharmacokinetics</t>
  </si>
  <si>
    <t>NCT06858657</t>
  </si>
  <si>
    <t>A Phase I Study to Assess the Safety,Tolerability, PK, PD, and Food Effect of HSK44459 in Healthy Subjects</t>
  </si>
  <si>
    <t>NCT06496490</t>
  </si>
  <si>
    <t>A Clinical Trial of TQB2102 for Injection in Non-small Cell Lung Cancer With HER2 Gene Abnormality</t>
  </si>
  <si>
    <t>NCT06719310</t>
  </si>
  <si>
    <t>Phase Ib/IIa Clinical Study of ACC017 Tablets</t>
  </si>
  <si>
    <t>NCT06577025</t>
  </si>
  <si>
    <t>A Study of Different Sequences of Cilta-cel, Talquetamab in Combination With Daratumumab and Teclistamab in Combination With Daratumumab Following Induction With Daratumumab, Bortezomib, Lenalidomide and Dexamethasone in Participants With Standard-risk Newly Diagnosed Multiple Myeloma</t>
  </si>
  <si>
    <t>NCT06582017</t>
  </si>
  <si>
    <t>Safety, PK and Efficacy of QXL138AM in Patients With Solid Tumors and Multiple Myeloma</t>
  </si>
  <si>
    <t>Nammi Therapeutics Inc</t>
  </si>
  <si>
    <t>NCT06423781</t>
  </si>
  <si>
    <t>Long-term Safety Study of BHV-7000 in Participants With Major Depressive Disorder (MDD)</t>
  </si>
  <si>
    <t>NCT06566547</t>
  </si>
  <si>
    <t>GR1803 Injection in Patients With Relapsed/Refractory Multiple Myeloma</t>
  </si>
  <si>
    <t>NCT06525649</t>
  </si>
  <si>
    <t>A Double Blind, Randomized, Cross-over Study Examining the Suppression of the Photoparoxysmal EEG Response With NPT 2042</t>
  </si>
  <si>
    <t>NeuroPro Therapeutics, Inc.</t>
  </si>
  <si>
    <t>NCT06592326</t>
  </si>
  <si>
    <t>9MW2821 in Combination With Toripalimab vs Standard Chemotherapy in Locally Advanced or Metastatic Urothelial Cancer</t>
  </si>
  <si>
    <t>NCT06532578</t>
  </si>
  <si>
    <t>Evaluate the Safety and Efficacy of CPX101 in Overweight and Obese Subjects Without Diabetes Mellitus</t>
  </si>
  <si>
    <t>Guangzhou Chia Tai Innovative Pharmaceutical Co., Ltd.</t>
  </si>
  <si>
    <t>NCT06398652</t>
  </si>
  <si>
    <t>Comparative Study of CMAB015 and Secukinumab for Patients With Moderate to Severe Plaque Psoriasis</t>
  </si>
  <si>
    <t>NCT04974138</t>
  </si>
  <si>
    <t>China Stroke Primary Prevention Trial 2 for Participants With H-type Hypertension and MTHFR 677 CC/CT Genotype (CSPPT2-CC/CT)</t>
  </si>
  <si>
    <t>NCT06554548</t>
  </si>
  <si>
    <t>A Study Evaluating Food Effect on Pharmacokinetics of HS-10518</t>
  </si>
  <si>
    <t>NCT06610526</t>
  </si>
  <si>
    <t>A Study of Dapagliflozin in Chinese Adult Patients With Chronic Kidney Disease</t>
  </si>
  <si>
    <t>NCT06555640</t>
  </si>
  <si>
    <t>A Phase II Study to Evaluate the Efficacy and Safety of of DR10624 in Subjects With Severe Hypertriglyceridemia</t>
  </si>
  <si>
    <t>Zhejiang Doer Biologics Co., Ltd.</t>
  </si>
  <si>
    <t>NCT06510504</t>
  </si>
  <si>
    <t>Efficacy of BNC210 in Acute, As-needed Treatment of Anxiety in Social Anxiety Disorder - 1</t>
  </si>
  <si>
    <t>Bionomics Limited</t>
  </si>
  <si>
    <t>NCT06529419</t>
  </si>
  <si>
    <t>A Dose Range-Finding Study to Assess the Efficacy and Safety of Multiple Dose Levels of AZD8630 in Adults With Uncontrolled Asthma at Risk of Exacerbations</t>
  </si>
  <si>
    <t>NCT06422351</t>
  </si>
  <si>
    <t>Clinical Trial to Evaluate the Efficacy of Gene Therapy for Pyruvate Kinase Deficiency</t>
  </si>
  <si>
    <t>Rocket Pharmaceuticals Inc.</t>
  </si>
  <si>
    <t>NCT06557772</t>
  </si>
  <si>
    <t>A Phase 2a/b Study of the Efficacy and Safety of Subcutaneous Amlitelimab in Adults With Nonresponsive Celiac Disease</t>
  </si>
  <si>
    <t>NCT06559722</t>
  </si>
  <si>
    <t>A Trial Investigating the Efficacy and Safety of Insulin Degludec/Liraglutide Injection in Subjects With Type 2 Diabetes</t>
  </si>
  <si>
    <t>NCT06577116</t>
  </si>
  <si>
    <t>Open-Label Extension Study for Subjects With H1 Antihistamine Refractory Chronic Spontaneous Urticaria Completing Study AK006-001</t>
  </si>
  <si>
    <t>Allakos Inc.</t>
  </si>
  <si>
    <t>NCT06949852</t>
  </si>
  <si>
    <t>Evaluation of Safety and Efficacy of Nalbuphine Versus Morphine for Postoperative Analgesia</t>
  </si>
  <si>
    <t>Yangtze River Pharmaceutical Group Jiangsu Zilong Pharmaceutical Co. Ltd</t>
  </si>
  <si>
    <t>NCT06422624</t>
  </si>
  <si>
    <t>A Study to Evaluate Safety, Tolerability and pK of Semaglutide ER Injectable Suspension in Healthy, Adult Human Subjects</t>
  </si>
  <si>
    <t>Bostal Drug Delivery Co., Ltd</t>
  </si>
  <si>
    <t>NCT06976372</t>
  </si>
  <si>
    <t>A Study to Evaluate AMG 133 Administered Subcutaneously in Participants With Overweight or Obesity</t>
  </si>
  <si>
    <t>NCT06162572</t>
  </si>
  <si>
    <t>Phase 1b/2 Platform Study of Select Immunotherapy Combinations in Participants With Advanced Non-small Cell Lung Cancer (NSCLC)</t>
  </si>
  <si>
    <t>NCT06538857</t>
  </si>
  <si>
    <t>CEB-01 in Locally Resectable Pancreatic Cancer</t>
  </si>
  <si>
    <t>CEBIOTEX</t>
  </si>
  <si>
    <t>NCT06502977</t>
  </si>
  <si>
    <t>Study Evaluating Tarlatamab in Chinese Participants With Advanced Small Cell Lung Cancer After Two or More Prior Lines of Treatment</t>
  </si>
  <si>
    <t>NCT06525077</t>
  </si>
  <si>
    <t>Safety and Efficacy of FT218 in Idiopathic Hypersomnia (REVITALYZ)</t>
  </si>
  <si>
    <t>Avadel</t>
  </si>
  <si>
    <t>NCT06597201</t>
  </si>
  <si>
    <t>Evaluate the Efficacy and Safety of Amino Acid (15) Peritoneal Dialysis Solution in Peritoneal Dialysis Patients with Malnutrition.</t>
  </si>
  <si>
    <t>Chengdu Qingshan Likang Pharmaceutical Co., Ltd</t>
  </si>
  <si>
    <t>NCT04807257</t>
  </si>
  <si>
    <t>Auger Molecular Therapy (AMT) for Malignant Cutaneous Lesions Treatment</t>
  </si>
  <si>
    <t>NanoRay Biotech Co., Ltd.</t>
  </si>
  <si>
    <t>NCT07440524</t>
  </si>
  <si>
    <t>A Phase 2 Trial of JKN24011 in COPD</t>
  </si>
  <si>
    <t>NCT06462183</t>
  </si>
  <si>
    <t>Study of Safety and Efficacy of RGT-61159 in Adults With Relapsed/Refractory Adenoid Cystic Carcinoma (ACC) or Colorectal Carcinoma (CRC)</t>
  </si>
  <si>
    <t>Rgenta Therapeutics Inc</t>
  </si>
  <si>
    <t>NCT06503731</t>
  </si>
  <si>
    <t>A Study to Evaluate the Safety and Tolerability of Efgartigimod PH20 SC Given by Prefilled Syringe in Kidney Transplant Recipients With Antibody-Mediated Rejection (AMR)</t>
  </si>
  <si>
    <t>NCT06471205</t>
  </si>
  <si>
    <t>A Study of BL-B01D1+PD-1 Monoclonal Antibody in Patients With Unresectable Locally Advanced or Recurrent Metastatic Triple-negative Breast Cancer</t>
  </si>
  <si>
    <t>NCT06556173</t>
  </si>
  <si>
    <t>Phase 2a Study of VTX3232 in Parkinson's Disease</t>
  </si>
  <si>
    <t>Zomagen Biosciences Ltd.</t>
  </si>
  <si>
    <t>NCT06435429</t>
  </si>
  <si>
    <t>A Study Comparing the Efficacy and Safety of Zanidatamab to Trastuzumab, Each in Combination With Physician's Choice Chemotherapy, for the Treatment of Participants With Metastatic HER2-positive Breast Cancer</t>
  </si>
  <si>
    <t>NCT06604767</t>
  </si>
  <si>
    <t>Study of a Respiratory Syncytial Virus/Human Metapneumovirus/Parainfluenza Virus Type 3 Vaccine Candidate in Adults Aged 60 Years and Older</t>
  </si>
  <si>
    <t>NCT06493279</t>
  </si>
  <si>
    <t>Evaluate the Safety and Efficacy of Intrathecal Injection of RJK002 in Patients With Amyotrophic Lateral Sclerosis</t>
  </si>
  <si>
    <t>RJK Biopharma Ltd</t>
  </si>
  <si>
    <t>NCT06436742</t>
  </si>
  <si>
    <t>A Phase 1b Study to Investigate Safety and Tolerability of ARGX-119 in Adult Participants With DOK7-Congenital Myasthenic Syndromes (CMS)</t>
  </si>
  <si>
    <t>NCT06660394</t>
  </si>
  <si>
    <t>A Phase 3, Placebo-Controlled Study to Investigate LP352 in Children and Adults With Dravet Syndrome (DS)</t>
  </si>
  <si>
    <t>Longboard Pharmaceuticals</t>
  </si>
  <si>
    <t>NCT06528457</t>
  </si>
  <si>
    <t>Study to Examine the Effects of Oral Fenretinide</t>
  </si>
  <si>
    <t>Island Pharmaceuticals</t>
  </si>
  <si>
    <t>NCT06486974</t>
  </si>
  <si>
    <t>Efficacy of Manual Toothbrushes in Removing Tooth Stains</t>
  </si>
  <si>
    <t>NCT06433791</t>
  </si>
  <si>
    <t>Evaluation of Ascorbate-Meglumine Therapeutic for SRS</t>
  </si>
  <si>
    <t>LadeRx LLC</t>
  </si>
  <si>
    <t>NCT06307522</t>
  </si>
  <si>
    <t>MRG-001 in Patients With Alcoholic Hepatitis</t>
  </si>
  <si>
    <t>MedRegen LLC</t>
  </si>
  <si>
    <t>NCT06614686</t>
  </si>
  <si>
    <t>U87 CAR-T in Patients With Advanced Head and Neck Tumors</t>
  </si>
  <si>
    <t>NCT05860569</t>
  </si>
  <si>
    <t>Safety Evaluation of Gene Therapy Drug in the Treatment of Primary Hypertriglyceridemic Patients With Recurrent Pancreatitis</t>
  </si>
  <si>
    <t>NCT06611930</t>
  </si>
  <si>
    <t>CK-0045 Proof-of-concept Study in Participants With Overweight / Obesity and Type 2 Diabetes</t>
  </si>
  <si>
    <t>Cytoki Pharma</t>
  </si>
  <si>
    <t>NCT06603077</t>
  </si>
  <si>
    <t>A Study to Evaluate the Efficacy and Safety of AVTX-009 in Patients With Moderate to Severe Hidradenitis Suppurativa</t>
  </si>
  <si>
    <t>Avalo Therapeutics, Inc.</t>
  </si>
  <si>
    <t>NCT06580301</t>
  </si>
  <si>
    <t>Study of YK012 in B-cell Acute Lymphoblastic Leukemia</t>
  </si>
  <si>
    <t>NCT06248801</t>
  </si>
  <si>
    <t>Vildagliptin and Metformin Tablets 50/1000 mg Relative to GALVUS MET (50mg/1000 mg) Tablets</t>
  </si>
  <si>
    <t>NCT06575153</t>
  </si>
  <si>
    <t>Phase 1 Study of ART5803 in Healthy Participants</t>
  </si>
  <si>
    <t>Arialys Therapeutics</t>
  </si>
  <si>
    <t>NCT06376253</t>
  </si>
  <si>
    <t>A Phase I Study of [177Lu]Lu-EVS459 in Patients With Ovarian and Lung Cancers</t>
  </si>
  <si>
    <t>NCT06588504</t>
  </si>
  <si>
    <t>Research Study in Japan to Compare Dasiglucagon With Glucagon in Treating Very Low Levels of Blood Sugar in Asian Adults With Type 1 Diabetes and Testing of Dasiglucagon for the Same Condition in Japanese Adolescents</t>
  </si>
  <si>
    <t>NCT06560632</t>
  </si>
  <si>
    <t>Phase 1 Trial of RP-3467 Alone and in Combination With Olaparib in Participants With Advanced Solid Tumors</t>
  </si>
  <si>
    <t>NCT06104839</t>
  </si>
  <si>
    <t>Safety and Efficacy of Oral NXC-736 in Adult Participants with Moderate and Severe Alopecia Areata</t>
  </si>
  <si>
    <t>NEXTGEN Bioscience</t>
  </si>
  <si>
    <t>NCT06554184</t>
  </si>
  <si>
    <t>HR20013 for Nausea and Vomiting Associated With Moderate Emetic Risk Anticancer Agents</t>
  </si>
  <si>
    <t>NCT06585787</t>
  </si>
  <si>
    <t>A Study to Evaluate KarXT as a Treatment for Psychosis Associated With Alzheimer's Disease (ADEPT-4)</t>
  </si>
  <si>
    <t>Karuna Therapeutics</t>
  </si>
  <si>
    <t>NCT06359379</t>
  </si>
  <si>
    <t>Ropidoxuridine as a Radiosensitizer in Newly Diagnosed IDH-Wildtype Glioblastoma With Unmethylated MGMT Promoter</t>
  </si>
  <si>
    <t>Shuttle Pharmaceuticals, Inc.</t>
  </si>
  <si>
    <t>NCT06140524</t>
  </si>
  <si>
    <t>A Proof-of-Concept Study to Learn Whether Linvoseltamab Can Eliminate Abnormal Plasma Cells That May Lead to Multiple Myeloma in Adult Patients With High-Risk Monoclonal Gammopathy of Undetermined Significance or Non-High-Risk Smoldering Multiple Myeloma</t>
  </si>
  <si>
    <t>NCT06566261</t>
  </si>
  <si>
    <t>ABA-101 in Participants With Progressive Multiple Sclerosis</t>
  </si>
  <si>
    <t>Abata Therapeutics</t>
  </si>
  <si>
    <t>NCT06639087</t>
  </si>
  <si>
    <t>A Phase Ib Study of AZD5462 on Top of Dapagliflozin in Participants With Heart Failure and Moderate Renal Impairment</t>
  </si>
  <si>
    <t>NCT06397313</t>
  </si>
  <si>
    <t>RVU120 in Patients With Intermediate or High-risk, Primary or Secondary Myelofibrosis</t>
  </si>
  <si>
    <t>NCT06335303</t>
  </si>
  <si>
    <t>A Study to Test Whether BI 1819479 Improves Lung Function in People With Idiopathic Pulmonary Fibrosis (IPF)</t>
  </si>
  <si>
    <t>NCT06633016</t>
  </si>
  <si>
    <t>Study of ABX-002 for the Adjunctive Treatment of Major Depressive Disorder (AMPLIFY)</t>
  </si>
  <si>
    <t>Autobahn Therapeutics, Inc.</t>
  </si>
  <si>
    <t>NCT06493760</t>
  </si>
  <si>
    <t>A Phase 2 Study of SSGJ-707 in Metastatic Colorectal Cancer Patients</t>
  </si>
  <si>
    <t>NCT06402123</t>
  </si>
  <si>
    <t>A Phase 2b Study of Zagociguat in Patients With MELAS</t>
  </si>
  <si>
    <t>Tisento Therapeutics</t>
  </si>
  <si>
    <t>NCT06577597</t>
  </si>
  <si>
    <t>Safety, Tolerability and Blood Sampling of GSK3923868 Administered Via Dry Powder Inhaler to Healthy Participants of Chinese, Japanese and European Ancestry</t>
  </si>
  <si>
    <t>NCT05212662</t>
  </si>
  <si>
    <t>Study of Cysteamine-pantetheine Disulfide (TTI-0102) in Mild to Moderate COVID-19</t>
  </si>
  <si>
    <t>Thiogenesis Therapeutics, Inc.</t>
  </si>
  <si>
    <t>NCT06616883</t>
  </si>
  <si>
    <t>Pharmacokinetics and Safety Profiles After Administration of DA-5221_01 and Co-administration of 5221_01-R1 and DA-5221_01-R2 in Healthy Adult Volunteers</t>
  </si>
  <si>
    <t>NCT06569056</t>
  </si>
  <si>
    <t>A Trial of HRS-8427 in the Treatment of Adults With Complicated Urinary Tract Infection, Including Acute Pyelonephritis</t>
  </si>
  <si>
    <t>NCT06737081</t>
  </si>
  <si>
    <t>SAL-0951 in the Treatment of Chemotherapy-induced Anemia in Patients With Non-myeloid Malignancies</t>
  </si>
  <si>
    <t>Shenzhen Salubris Pharmaceuticals Co., Ltd.</t>
  </si>
  <si>
    <t>NCT06190951</t>
  </si>
  <si>
    <t>A Trial to Learn if Fianlimab and Cemiplimab Are Safe and Work Better Than Anti-PD1 Alone in Adult Participants With Resectable Stage 3 or 4 Melanoma</t>
  </si>
  <si>
    <t>NCT06274801</t>
  </si>
  <si>
    <t>Open-label Extension Study of Seralutinib in Adult Subjects With PAH (PROSERA-EXT)</t>
  </si>
  <si>
    <t>GB002, Inc.</t>
  </si>
  <si>
    <t>NCT06058689</t>
  </si>
  <si>
    <t>A Pilot Bioequivalence Study of Pomalidomide</t>
  </si>
  <si>
    <t>NCT06484985</t>
  </si>
  <si>
    <t>Study of AXT-1003 in Subjects With Advanced Malignant Tumors.</t>
  </si>
  <si>
    <t>Axter Therapeutics (Beijing) Co., Ltd</t>
  </si>
  <si>
    <t>NCT06369831</t>
  </si>
  <si>
    <t>HER2 Targeted Molecular Imaging in mBC Using 68Ga-ABS011</t>
  </si>
  <si>
    <t>Abscint NV/SA</t>
  </si>
  <si>
    <t>NCT06589765</t>
  </si>
  <si>
    <t>A Study of HRS-7535 Compared With Dapagliflozin in Adult Participants With Type 2 Diabetes and Inadequately Controlled With Metformin</t>
  </si>
  <si>
    <t>NCT06068465</t>
  </si>
  <si>
    <t>A Study of the Safety and Efficacy of Pimavanserin in Patients With Parkinson's Disease Psychosis</t>
  </si>
  <si>
    <t>NCT06576271</t>
  </si>
  <si>
    <t>A Study of GSK4527363 in Healthy Participants, Systemic Lupus Erythematosus (SLE) Participants, Healthy Chinese, and Japanese Participants and CTD-ILD Participants</t>
  </si>
  <si>
    <t>NCT06134843</t>
  </si>
  <si>
    <t>Study to Assess the Safety and Efficacy of DERMASEAL for the Treatment of Split-Thickness Skin Graft Donor Site Wounds</t>
  </si>
  <si>
    <t>Hobart W. Harris</t>
  </si>
  <si>
    <t>NCT06589778</t>
  </si>
  <si>
    <t>A Study of SHR-A2102 in Combination With Adebrelimab and SHR-8068 in Subjects With Locally Advanced or Metastatic Non-Small Cell Lung Cancer</t>
  </si>
  <si>
    <t>NCT06528314</t>
  </si>
  <si>
    <t>A Study Evaluating Efruxifermin in Subjects With Compensated Cirrhosis Due to NASH/MASH</t>
  </si>
  <si>
    <t>Akero Therapeutics, Inc</t>
  </si>
  <si>
    <t>NCT06612775</t>
  </si>
  <si>
    <t>A Study to Evaluate the Safety, Tolerability, and Efficacy of CB03-154 in Adult Patients With Focal Epilepsy</t>
  </si>
  <si>
    <t>NCT06615557</t>
  </si>
  <si>
    <t>Fasedienol Nasal Spray for the Acute Treatment of Anxiety in Adults With Social Anxiety Disorder (PALISADE-4)</t>
  </si>
  <si>
    <t>NCT06816719</t>
  </si>
  <si>
    <t>To Evaluate the Safety and PK Characteristics in Healthy Volunteers-JW24107</t>
  </si>
  <si>
    <t>NCT06618235</t>
  </si>
  <si>
    <t>Trial of THEO-260 in Ovarian Cancer Patients</t>
  </si>
  <si>
    <t>Theolytics Limited</t>
  </si>
  <si>
    <t>NCT07299825</t>
  </si>
  <si>
    <t>A Study of A166 in Patients With HER2-Positive Unresectable or Metastatic Breast Cancer</t>
  </si>
  <si>
    <t>NCT06315491</t>
  </si>
  <si>
    <t>A Study of CBX 12 in Subjects With Platinum Resistant or Refractory Ovarian Cancer</t>
  </si>
  <si>
    <t>Cybrexa Therapeutics</t>
  </si>
  <si>
    <t>NCT06562985</t>
  </si>
  <si>
    <t>A Study to Learn About How Safe BAY3018250 is and What Happens to it in Healthy Japanese Men and Adult Participants Aged 18 to 55 Years</t>
  </si>
  <si>
    <t>NCT06539338</t>
  </si>
  <si>
    <t>A Study to Investigate Safety of INT2104 Infusions in Participants Aged 18 Years of Age and Older Who Have B-cell Cancers That Came Back After Previous Treatment</t>
  </si>
  <si>
    <t>NCT06598735</t>
  </si>
  <si>
    <t>A Clinical Study of the Safety, Tolerability, Pharmacokinetics, and Initial Efficacy of HRS-4508 Monotherapy in Patients With Advanced or Metastatic Solid Tumors</t>
  </si>
  <si>
    <t>NCT06150885</t>
  </si>
  <si>
    <t>A Safety and Efficacy Study of Allogeneic CAR Gamma-Delta T Cells in Subjects with Relapsed/Refractory Solid Tumors</t>
  </si>
  <si>
    <t>Ever Supreme Bio Technology Co., Ltd.</t>
  </si>
  <si>
    <t>NCT06575933</t>
  </si>
  <si>
    <t>A Study of Calderasib (MK-1084) With Midazolam and Digoxin in Healthy Participants (MK-1084-009)</t>
  </si>
  <si>
    <t>NCT06476808</t>
  </si>
  <si>
    <t>A Study to Evaluate the Safety, Tolerability, and Efficacy of Escalating Doses of BMS-986463 in Participants With Select Advanced Malignant Tumors.</t>
  </si>
  <si>
    <t>NCT06246916</t>
  </si>
  <si>
    <t>A Study With Combinations of Anti-LAG-3 and Anti-PD-1 Antibodies in Adult Participants With Advanced or Metastatic Melanoma (Harmony Head-to-Head)</t>
  </si>
  <si>
    <t>NCT06554795</t>
  </si>
  <si>
    <t>First-in-human Study of DB-1419 for Advanced/Metastatic Solid Tumors</t>
  </si>
  <si>
    <t>NCT06577766</t>
  </si>
  <si>
    <t>A Research Study on How NNC0638-0355, a New Medicine, Works in People Living With Overweight or Obesity</t>
  </si>
  <si>
    <t>NCT06589986</t>
  </si>
  <si>
    <t>A Study to Assess the Efficacy and Safety of Afimkibart (Also Known as RO7790121) for Induction and Maintenance Therapy in Participants With Moderately to Severely Active Ulcerative Colitis</t>
  </si>
  <si>
    <t>NCT06610903</t>
  </si>
  <si>
    <t>Bioequivalence Test of Hemay005 Tablets</t>
  </si>
  <si>
    <t>NCT06549296</t>
  </si>
  <si>
    <t>Clinical Study on Targeted CD19CAR-T Therapy for Autoimmune Diseases</t>
  </si>
  <si>
    <t>NCT06606093</t>
  </si>
  <si>
    <t>Evaluate the Efficacy and Safety of DWP16001 in Type 2 Diabetic Nephropathy with Moderate Renal Impairment Patients</t>
  </si>
  <si>
    <t>NCT07137819</t>
  </si>
  <si>
    <t>Phase 3 - Evaluation of Veregen® 10% Ointment as New Herbal Topical Treatment for Actinic Keratosis</t>
  </si>
  <si>
    <t>Aresus Pharma GmbH</t>
  </si>
  <si>
    <t>NCT06577337</t>
  </si>
  <si>
    <t>Phase 1 Single Ascending Doses (SAD) of M5542 in Healthy Participants</t>
  </si>
  <si>
    <t>NCT06553027</t>
  </si>
  <si>
    <t>To Evaluate the Efficacy of CVN424 in Parkinson's Disease Participants With Motor Complications</t>
  </si>
  <si>
    <t>Cerevance</t>
  </si>
  <si>
    <t>NCT06500442</t>
  </si>
  <si>
    <t>A Study to Assess NEU-111 in Healthy Participants</t>
  </si>
  <si>
    <t>Neuron23 Inc.</t>
  </si>
  <si>
    <t>NCT06497504</t>
  </si>
  <si>
    <t>Study of Bepirovirsen in Participants Living With Human Immunodeficiency Virus and Chronic Hepatitis B Virus Infection (B-Focus)</t>
  </si>
  <si>
    <t>NCT06688292</t>
  </si>
  <si>
    <t>The Safety and Effectiveness of Taneasy and Actein in COPD Patients</t>
  </si>
  <si>
    <t>Bun Yao Biotechnology Co., Ltd</t>
  </si>
  <si>
    <t>NCT06643156</t>
  </si>
  <si>
    <t>Study to Assess the Tolerability, Safety and Efficacy of GP681 Powder for Oral Suspension</t>
  </si>
  <si>
    <t>Jiangxi Qingfeng Pharmaceutical Co. Ltd.</t>
  </si>
  <si>
    <t>NCT06640972</t>
  </si>
  <si>
    <t>Effects of RDX-002 on Postprandial Triglycerides in Patients Discontinuing GLP-1 Agonists</t>
  </si>
  <si>
    <t>Response Pharmaceuticals</t>
  </si>
  <si>
    <t>NCT06920771</t>
  </si>
  <si>
    <t>A Randomized, Double-Blind, Placebo-Controlled, Multi-Centre Study to Assess the Efficacy of PURETHAL Mites Mixture 50,000 AUeq/mL Subcutaneous Immunotherapy in Adult Subjects With Moderate to Severe Allergic Rhinitis/Rhinoconjunctivitis With or Without Asthma Induced by House Dust Mite (HDM)</t>
  </si>
  <si>
    <t>HAL Allergy</t>
  </si>
  <si>
    <t>NCT06417775</t>
  </si>
  <si>
    <t>Study of Oral Ubrogepant to Assess Adverse Events and Change in Disease Activity in Adult Participants With Menstrual Migraine</t>
  </si>
  <si>
    <t>NCT06557850</t>
  </si>
  <si>
    <t>A Trial Investigating Lu AG22515 in Adult Participants With Moderate-to-Severe Thyroid Eye Disease</t>
  </si>
  <si>
    <t>NCT06550076</t>
  </si>
  <si>
    <t>A Study of TAK-279 in Participants With Moderate-to-Severe Plaque Psoriasis</t>
  </si>
  <si>
    <t>NCT06616974</t>
  </si>
  <si>
    <t>A Study of TX000045 in Patients With Pulmonary Hypertension Secondary to Heart Failure With Preserved Ejection Fraction (the APEX Study)</t>
  </si>
  <si>
    <t>Tectonic Therapeutic</t>
  </si>
  <si>
    <t>NCT06630169</t>
  </si>
  <si>
    <t>Study of Cryopreserved AURN001 in Subjects With Corneal Edema Secondary to Corneal Endothelial Dysfunction</t>
  </si>
  <si>
    <t>Aurion Biotech</t>
  </si>
  <si>
    <t>NCT06554847</t>
  </si>
  <si>
    <t>Evaluation of 611 in Combination With Topical Corticosteroid in Participants With Moderate to Severe Atopic Dermatitis</t>
  </si>
  <si>
    <t>NCT06496048</t>
  </si>
  <si>
    <t>Lurbinectedin or in Combination with Irinotecan Versus Topotecan in Patients with Relapsed SCLC</t>
  </si>
  <si>
    <t>NCT06631989</t>
  </si>
  <si>
    <t>A Study to Assess the Efficacy and Safety of WSD0922-FU in Patients With EGFRm+ Advanced Non-small Cell Lung Cancer</t>
  </si>
  <si>
    <t>Wayshine Biopharm, Inc.</t>
  </si>
  <si>
    <t>NCT06588283</t>
  </si>
  <si>
    <t>Ixekizumab Concomitantly Administered With Tirzepatide in Adults With Moderate-to-Severe Plaque Psoriasis and Obesity or Overweight</t>
  </si>
  <si>
    <t>NCT06431373</t>
  </si>
  <si>
    <t>A Study of Brepocitinib in Adults With Active, Non-Infectious, Non-Anterior Uveitis</t>
  </si>
  <si>
    <t>NCT06616571</t>
  </si>
  <si>
    <t>Compare the Efficacy and Safety of QL0605 Injections at Different Timepoints</t>
  </si>
  <si>
    <t>NCT06283719</t>
  </si>
  <si>
    <t>Dose Escalation Study of ZG006 in Participants With Advanced Small Cell Lung Cancer or Neuroendocrine Carcinoma, Followed by Dose Expansion Study in Participants With Advanced Small Cell Lung Cancer</t>
  </si>
  <si>
    <t>NCT06384976</t>
  </si>
  <si>
    <t>KYSA-7: A Study of Anti-CD19 CAR T-Cell Therapy, in Subjects With Refractory Primary and Secondary Progressive Multiple Sclerosis</t>
  </si>
  <si>
    <t>NCT06411860</t>
  </si>
  <si>
    <t>A Study to Assess the Effect of Olpasiran on QT/QTc Intervals in Healthy Participants</t>
  </si>
  <si>
    <t>NCT06563102</t>
  </si>
  <si>
    <t>Study to Investigate Changes in Airway Inflammation, Symptoms, and Rescue Therapy Utilization With AIRSUPRA Compared to Albuterol as Needed in Adults With Mild Asthma</t>
  </si>
  <si>
    <t>NCT06546553</t>
  </si>
  <si>
    <t>A Study to Learn About How Different Amounts of the Study Medicine PF-07826390 Act in the Body of People With Cancer When Taken Alone or With Other Anti-cancer Medicines.</t>
  </si>
  <si>
    <t>NCT06588296</t>
  </si>
  <si>
    <t>Ixekizumab Concomitantly Administered With Tirzepatide in Adults With Psoriatic Arthritis and Obesity or Overweight</t>
  </si>
  <si>
    <t>NCT06579300</t>
  </si>
  <si>
    <t>A Study to Assess Multiple Ascending Dose, Drug-Drug Interaction, and Asian Pharmacokinetic Study of ABBV-1088</t>
  </si>
  <si>
    <t>NCT06736275</t>
  </si>
  <si>
    <t>A Phase I Study on Evaluating the Safety, Tolerability, Pharmacokinetic Characteristics and Preliminary Efficacy of SXRN Plasmid DNA Technique in Patients With Advanced Solid Tumors</t>
  </si>
  <si>
    <t>Jiangsu Nutai Biologics Co., Ltd</t>
  </si>
  <si>
    <t>NCT06482905</t>
  </si>
  <si>
    <t>Safety and Efficacy Study of TX103 CAR-T Cell Therapy for Recurrent or Progressive Grade 4 Glioma.</t>
  </si>
  <si>
    <t>Tcelltech Inc.</t>
  </si>
  <si>
    <t>NCT06595797</t>
  </si>
  <si>
    <t>A Multicenter, Randomized, Double-blind, Placebo-parallel-controlled Phase II Clinical Study Evaluating the Efficacy and Safety of HRS9531 Injection in Obese Subjects With Polycystic Ovary Syndrome</t>
  </si>
  <si>
    <t>NCT06657859</t>
  </si>
  <si>
    <t>Open-Label Extension Study to Assess GLM101 in PMM2-CDG Patients</t>
  </si>
  <si>
    <t>Glycomine, Inc.</t>
  </si>
  <si>
    <t>NCT06963580</t>
  </si>
  <si>
    <t>Efficacy of MI078 Capsules in Treating Postpartum Depression</t>
  </si>
  <si>
    <t>Nanjing Minova Pharmaceutical Co., Ltd.</t>
  </si>
  <si>
    <t>NCT06970639</t>
  </si>
  <si>
    <t>A Study Evaluating Furmonertinib Plus Platinum-based Doublet Chemotherapy Versus Osimertinib in Patients With Epidermal Growth Factor Receptor (EGFR) Sensitizing Mutation-Positive Non-squamous Non-Small Cell Lung Cancer (NSCLC) and Brain Metastases</t>
  </si>
  <si>
    <t>NCT06537817</t>
  </si>
  <si>
    <t>Study to Evaluate HT-4253 in Healthy Subjects</t>
  </si>
  <si>
    <t>NCT06602024</t>
  </si>
  <si>
    <t>A Study of mRNA-1010 Compared With a Licensed Influenza Vaccine in Adults ≥50 Years of Age</t>
  </si>
  <si>
    <t>NCT06497556</t>
  </si>
  <si>
    <t>A Study Evaluating the Efficacy and Safety of Divarasib Versus Sotorasib or Adagrasib in Participants With Previously Treated KRAS G12C-positive Advanced or Metastatic Non-Small Cell Lung Cancer</t>
  </si>
  <si>
    <t>NCT06672172</t>
  </si>
  <si>
    <t>A Study of HRS-7535 Compared With Placebo in Adult Participants With Type 2 Diabetes and Inadequately Controlled With Diet and Exercise</t>
  </si>
  <si>
    <t>NCT06555081</t>
  </si>
  <si>
    <t>A Study to Evaluate the Bioequivalence of Ruxolitinib Extended Release (XR) Tablets With Ruxolitinib Immediate Release (IR) Tablets Administered Orally in Healthy Participants</t>
  </si>
  <si>
    <t>NCT06537999</t>
  </si>
  <si>
    <t>A Clinical Study to Evaluate DNTH103 in Adults With Multifocal Motor Neuropathy</t>
  </si>
  <si>
    <t>NCT06333951</t>
  </si>
  <si>
    <t>AMG 193 Alone or in Combination With Other Therapies in Subjects With Advanced Thoracic Tumors With Homozygous MTAP-deletion (Master Protocol) (MTAPESTRY 104).</t>
  </si>
  <si>
    <t>NCT06559163</t>
  </si>
  <si>
    <t>A Study of Obexelimab in Patients With Systemic Lupus Erythematosus</t>
  </si>
  <si>
    <t>NCT06586957</t>
  </si>
  <si>
    <t>A Study With NKT3964 for Adults With Advanced/Metastatic Solid Tumors</t>
  </si>
  <si>
    <t>NCT06469944</t>
  </si>
  <si>
    <t>Substudy 06C: A Study of Investigational Agents With Pembrolizumab (MK-3475) and Chemotherapy in Participants With First-Line Locally Advanced Unresectable/Metastatic Gastroesophageal Adenocarcinoma (MK-3475-06C/KEYMAKER-U06)</t>
  </si>
  <si>
    <t>NCT06635148</t>
  </si>
  <si>
    <t>A Long-term Extension Study of JNJ-81201887 (AAVCAGsCD59) Parent Studies in Participants With Geographic Atrophy (GA) Secondary to Age-related Macular Degeneration (AMD)</t>
  </si>
  <si>
    <t>NCT06418711</t>
  </si>
  <si>
    <t>ICoN-1 Phase 3 Study of the Efficacy and Safety of Treatment With MNKD-101, Clofazimine Inhalation Suspension</t>
  </si>
  <si>
    <t>NCT06567392</t>
  </si>
  <si>
    <t>A Study to Evaluate the Mass Balance of [14C] HRS-5965 in Healthy Adult Male Volunteers</t>
  </si>
  <si>
    <t>NCT06605703</t>
  </si>
  <si>
    <t>A Randomized Controlled Trial Comparing the Effectiveness of Different Treatment Options for Weight Management After Discontinuation of Semaglutide and Tirzepatide (GLP1 Transition Trial)</t>
  </si>
  <si>
    <t>WW International Inc</t>
  </si>
  <si>
    <t>NCT06602258</t>
  </si>
  <si>
    <t>A Study of E2814 With Concurrent Lecanemab Treatment in Participants With Early Alzheimer's Disease</t>
  </si>
  <si>
    <t>NCT06571448</t>
  </si>
  <si>
    <t>Efficacy, Safety, and Tolerability of SR750 in Patients With Trigeminal Neuralgia</t>
  </si>
  <si>
    <t>Shanghai SIMR Biotechnology Co., Ltd.</t>
  </si>
  <si>
    <t>NCT06568094</t>
  </si>
  <si>
    <t>A Study of HRS-5041 Tablets Combined With Antitumor Therapy in Subjects With Advanced Prostate Cancer</t>
  </si>
  <si>
    <t>NCT06590194</t>
  </si>
  <si>
    <t>PH009-1 in Patients With EGFR Mutation Locally Advanced or Metastatic Non-small Cell Lung Cancer (NSCLC)</t>
  </si>
  <si>
    <t>Suzhou Puhe Pharmaceutical Technology Co., LTD</t>
  </si>
  <si>
    <t>NCT06562946</t>
  </si>
  <si>
    <t>The Study to Assess the Pharmacokinetics of Pimicotinib in Subjects With Mild and Moderate Hepatic Impairment Relative to Subjects With Normal Hepatic Function</t>
  </si>
  <si>
    <t>NCT06570772</t>
  </si>
  <si>
    <t>Study to Investigate Comparative Efficacy, Safety and Immunogenicity Between AVT16 and Entyvio</t>
  </si>
  <si>
    <t>NCT06635447</t>
  </si>
  <si>
    <t>Capivasertib+Fulvestrant asTreatment for Locally Advanced(Inoperable) or Metastatic HR+/HER2- Breast Cancer in Chinese Patients</t>
  </si>
  <si>
    <t>NCT06600425</t>
  </si>
  <si>
    <t>A Study to Assess the Safety, Tolerability, Ciliary Rescue, and Pharmacodynamics of RCT1100 in Adults With PCD</t>
  </si>
  <si>
    <t>NCT06992687</t>
  </si>
  <si>
    <t>A Study to Evaluate the Safety and Efficacy of HB0052 in Patients With Advanced Solid Tumors</t>
  </si>
  <si>
    <t>NCT06441643</t>
  </si>
  <si>
    <t>Next Generation Rocklatan</t>
  </si>
  <si>
    <t>NCT06569758</t>
  </si>
  <si>
    <t>A Study of GenSci098 in Subjects With Active Thyroid Eye Disease</t>
  </si>
  <si>
    <t>NCT06548347</t>
  </si>
  <si>
    <t>A Phase II/III Study of Linperlisib Plus CHOP Versus CHOP in Patients With Newly Diagnosed Peripheral T Cell Lymphoma</t>
  </si>
  <si>
    <t>NCT06968858</t>
  </si>
  <si>
    <t>Pilot Study of the α Prototype NIMBLE System: Feasibility, Safety, and Initial Performance in Non-Invasive Detection of Coronary In-Stent Restenosis</t>
  </si>
  <si>
    <t>Nimble Diagnostics S.L.</t>
  </si>
  <si>
    <t>NCT06585163</t>
  </si>
  <si>
    <t>Study to Investigate the Safety, Tolerability and Pharmacokinetics of QEV-817 Oral Suspension</t>
  </si>
  <si>
    <t>Quivive Pharma, Inc.</t>
  </si>
  <si>
    <t>NCT05620940</t>
  </si>
  <si>
    <t>A Clinical Trial to Assess Pharmacokinetic Profiles, Safety and Tolerability of IVL3004 and IVL4002 in Healthy Male Subjects.</t>
  </si>
  <si>
    <t>Inventage Lab., Inc.</t>
  </si>
  <si>
    <t>NCT06578585</t>
  </si>
  <si>
    <t>A Trial Investigating Lu AG09222 With Ubrogepant in Participants With Migraine</t>
  </si>
  <si>
    <t>NCT06576843</t>
  </si>
  <si>
    <t>INDV-6001 Multiple-Dose Pharmacokinetic Study</t>
  </si>
  <si>
    <t>NCT06564194</t>
  </si>
  <si>
    <t>A Phase 1 Study to Evaluate JCXH-108, an mRNA-based Vaccine Against RSV</t>
  </si>
  <si>
    <t>Immorna Biotherapeutics, Inc.</t>
  </si>
  <si>
    <t>NCT06525597</t>
  </si>
  <si>
    <t>Study of Stapokibart Injection in Patients With Allergic Rhinitis</t>
  </si>
  <si>
    <t>NCT06469879</t>
  </si>
  <si>
    <t>A Clinical Study of TQB2450 Combined With Anlotinib in Limited-Stage Small Cell Lung Cancer Patients</t>
  </si>
  <si>
    <t>NCT06482437</t>
  </si>
  <si>
    <t>Safety and Efficacy of NMD670 in Adult Patients With Type 1 and Type 2 Charcot-Marie-Tooth Disease</t>
  </si>
  <si>
    <t>NCT06484686</t>
  </si>
  <si>
    <t>An Immunity Persistence Study of Booster Dose of Live Attenuated Varicella Vaccine</t>
  </si>
  <si>
    <t>NCT06659562</t>
  </si>
  <si>
    <t>Clinical Study of HER-096 in Healthy Volunteer Subjects and Patients With Parkinson's Disease</t>
  </si>
  <si>
    <t>Herantis Pharma Plc.</t>
  </si>
  <si>
    <t>NCT06536101</t>
  </si>
  <si>
    <t>The Purpose of the Study is to Evaluate the Safety, Tolerability and Pharmacokinetics of Single-ascending and Multiple-ascending Doses of GIM-407</t>
  </si>
  <si>
    <t>NCT06512584</t>
  </si>
  <si>
    <t>Efficacy and Safety of PJ009 in Patients With Short Bowel Syndrome Requiring Parenteral Nutrition</t>
  </si>
  <si>
    <t>NCT06596915</t>
  </si>
  <si>
    <t>Safety and Efficacy of BA1302 in Patients With Advanced Solid Tumors</t>
  </si>
  <si>
    <t>Shandong Boan Biotechnology Co., Ltd</t>
  </si>
  <si>
    <t>NCT06740799</t>
  </si>
  <si>
    <t>Assessment of Quizartinib Pharmacokinetic in Subjects With Severe Hepatic Impairment</t>
  </si>
  <si>
    <t>NCT06606847</t>
  </si>
  <si>
    <t>A Study to Investigate the Effects of Durvalumab With Oleclumab Following Chemoradiation in Participants With Locally Advanced Unresectable Non-Small Cell Lung Cancer (LADOGA)</t>
  </si>
  <si>
    <t>NCT06567015</t>
  </si>
  <si>
    <t>Study of FIH of STX-241 in Locally Advanced or Metastatic NSCLC Resistant to EGFR TKIs</t>
  </si>
  <si>
    <t>Pierre Fabre Medicament</t>
  </si>
  <si>
    <t>NCT06202989</t>
  </si>
  <si>
    <t>Multiprofen-CC™ to Reduce Pain After Total Knee Arthroplasty</t>
  </si>
  <si>
    <t>KAZM Pharmaceuticals Inc.</t>
  </si>
  <si>
    <t>NCT06537310</t>
  </si>
  <si>
    <t>A Dose-escalation Study of RO7567132 as Single Agent and in Combination With Atezolizumab in Participants With Advanced Solid Tumors</t>
  </si>
  <si>
    <t>NCT03250923</t>
  </si>
  <si>
    <t>CelAgace™ OraRinse Solution for Treatment of Candidiasis</t>
  </si>
  <si>
    <t>CelaCare Technologies, Inc.</t>
  </si>
  <si>
    <t>NCT06634927</t>
  </si>
  <si>
    <t>Pharmacokinetic Similarity, Safety, and Immunogenicity of Semaglutide Injection and Ozempic ® Injection in Healthy Subjects.</t>
  </si>
  <si>
    <t>NCT06518122</t>
  </si>
  <si>
    <t>A Study to Evaluate the Drug-drug Interaction and Safety Between HCP1306, RLD2302 and RLD2102 in Healthy Volunteers</t>
  </si>
  <si>
    <t>NCT06233227</t>
  </si>
  <si>
    <t>Dutasteride Soft Capsule 0.5 mg Relative to Avodart 0.5 mg Soft Capsule</t>
  </si>
  <si>
    <t>NCT06607172</t>
  </si>
  <si>
    <t>Clinical Efficacy of the Combined Effect of Oral Irrigator and Chemicals (0.075% CPC)</t>
  </si>
  <si>
    <t>NCT06598007</t>
  </si>
  <si>
    <t>A Study to Determine the Effect of CT3001 in Patients with Advanced Solid Tumors</t>
  </si>
  <si>
    <t>Crossignal Therapeutics, Inc.</t>
  </si>
  <si>
    <t>NCT06315751</t>
  </si>
  <si>
    <t>Efficacy and Safety of Gemlapodect (NOE-105) in Adults and Adolescents With Tourette Syndrome</t>
  </si>
  <si>
    <t>NCT06523803</t>
  </si>
  <si>
    <t>A Study of ZW171 in Participants With Advanced or Metastatic Mesothelin-expressing Cancers</t>
  </si>
  <si>
    <t>Zymeworks BC Inc.</t>
  </si>
  <si>
    <t>NCT06525220</t>
  </si>
  <si>
    <t>A Phase 3 Study to Evaluate Petosemtamab Plus Pembrolizumab vs Pembrolizumab in First-line Treatment of Head and Neck Cancer (LiGeR - HN1)</t>
  </si>
  <si>
    <t>NCT06585241</t>
  </si>
  <si>
    <t>A Study to Investigate the Immunogenicity and Safety of mRNA COVID-19 Variant-containing Vaccine Formulations</t>
  </si>
  <si>
    <t>NCT06603571</t>
  </si>
  <si>
    <t>A Study to Investigate Weight Management With LY3841136 and Tirzepatide (LY3298176), Alone or in Combination, in Adult Participants With Obesity or Overweight With Type 2 Diabetes</t>
  </si>
  <si>
    <t>NCT06659250</t>
  </si>
  <si>
    <t>A Study to Learn How Different Amounts and Forms of the Study Medicine Called PF-06414300 Act in Healthy Adults</t>
  </si>
  <si>
    <t>NCT06585059</t>
  </si>
  <si>
    <t>Clinical Trial of TQB2928 in Combination With a Third-Generation Epidermal Growth Factor Receptor (EGFR) Tyrosine Kinase Inhibitor (TKI) in Patients With Advanced Non-Small Cell Lung Cancers</t>
  </si>
  <si>
    <t>NCT06525298</t>
  </si>
  <si>
    <t>EIS-12656 as Single Agent and in Combination in Patients With Specified Solid Tumors</t>
  </si>
  <si>
    <t>Eisbach Bio GmbH</t>
  </si>
  <si>
    <t>NCT06462235</t>
  </si>
  <si>
    <t>A Study to Learn About the Study Medicine Aztreonam-Avibactam (ATM-AVI) in Infants and Newborns Admitted in Hospitals With Bacterial Infection (CHERISH)</t>
  </si>
  <si>
    <t>NCT06560489</t>
  </si>
  <si>
    <t>Pharmacokinetics and Efficacy of Multiple Dosing of LP-98 for Injection in HIV-infected Patients</t>
  </si>
  <si>
    <t>Shanxi Kangbao Biological Product Co., Ltd.</t>
  </si>
  <si>
    <t>NCT04418414</t>
  </si>
  <si>
    <t>Hematopoietic Stem Cell Transplantation Gene Therapy for Treatment of Severe Hemophilia A</t>
  </si>
  <si>
    <t>Expression Therapeutics, LLC</t>
  </si>
  <si>
    <t>NCT06572384</t>
  </si>
  <si>
    <t>A Study of the Efficacy and Safety of Belimumab in Adults With Interstitial Lung Disease Associated With Connective Tissue Disease</t>
  </si>
  <si>
    <t>NCT06561685</t>
  </si>
  <si>
    <t>A Study of LY4050784 in Participants With Advanced or Metastatic Solid Tumors</t>
  </si>
  <si>
    <t>NCT06597500</t>
  </si>
  <si>
    <t>A Study to Evaluate the Effect of Itraconazole on the Concentration of GSK3923868 in the Blood in Healthy Participants</t>
  </si>
  <si>
    <t>NCT06559007</t>
  </si>
  <si>
    <t>Phase 1 Study to Evaluate PK, Safety, and Tolerability of HRS-5041 in Healthy Caucasian Male Participants</t>
  </si>
  <si>
    <t>NCT06679959</t>
  </si>
  <si>
    <t>A Study to Evaluate the Safety, Tolerability, Pharmacokinetics, and Efficacy of ASC30 Injection in Participants With Obesity</t>
  </si>
  <si>
    <t>NCT06627556</t>
  </si>
  <si>
    <t>A Study of Single and Multiple Ascending Doses of H021 in Healthy Participants</t>
  </si>
  <si>
    <t>Jiangsu Carephar Pharmaceutical Co., Ltd.</t>
  </si>
  <si>
    <t>NCT06606483</t>
  </si>
  <si>
    <t>A Study to Evaluate the Efficacy and Safety of MDR-001 in Subjects Who Are Obesity or Overweight</t>
  </si>
  <si>
    <t>MindRank AI Ltd</t>
  </si>
  <si>
    <t>NCT06542250</t>
  </si>
  <si>
    <t>A Study to Evaluate Safety, PK, PD and Efficacy of AZD5492, a T Cell-engaging Antibody Targeting CD20 in Subjects With R/R B-Cell Malignancies.</t>
  </si>
  <si>
    <t>NCT06444178</t>
  </si>
  <si>
    <t>Assessment of Gastrointestinal Blood Loss After Receiving Aspirin or Aspirin Plus Rivaroxaban, or Aspirin Plus REGN9933, or Aspirin Plus REGN7508 in Healthy Adult Participants</t>
  </si>
  <si>
    <t>NCT06428838</t>
  </si>
  <si>
    <t>Eptinezumab as an Adjunct to Standard of Care for Migraine in an Acute Emergency Context</t>
  </si>
  <si>
    <t>Dr George Medvedev</t>
  </si>
  <si>
    <t>NCT06542237</t>
  </si>
  <si>
    <t>Open Label, Dose Escalation, Repeat Dose Study Evaluating YCT-529 in Healthy Males</t>
  </si>
  <si>
    <t>YourChoice Therapeutics, Inc.</t>
  </si>
  <si>
    <t>NCT06622486</t>
  </si>
  <si>
    <t>First-in-human Trial of EGL-001 in Patients with Selected Advanced And/or Metastatic Solid Tumors</t>
  </si>
  <si>
    <t>Egle Therapeutics</t>
  </si>
  <si>
    <t>NCT06548542</t>
  </si>
  <si>
    <t>Study of Targeted Therapies for the Treatment of Adult Participants With Moderate to Severe Crohn's Disease</t>
  </si>
  <si>
    <t>NCT06568458</t>
  </si>
  <si>
    <t>A Study to Assess the Extent of Drug Interaction Between BMS-986278 and Nintedanib, the Relative Bioavailability of BMS-986278 in Tablet and the Effect That Food Has on BMS-986278 in Tablet Formulations in Healthy Participants</t>
  </si>
  <si>
    <t>NCT06554509</t>
  </si>
  <si>
    <t>Clinical Study of the Efficacy and Safety of SHR-1819 Injection in Adult Patients With Prurigo Nodularis</t>
  </si>
  <si>
    <t>NCT06780254</t>
  </si>
  <si>
    <t>A Study to Evaluate the Pharmacokinetics (PK), Safety and Tolerability of Single- and Multiple-Ascending Doses of MH-001 in Healthy Volunteers</t>
  </si>
  <si>
    <t>Vespina Lifesciences Inc.</t>
  </si>
  <si>
    <t>NCT06558279</t>
  </si>
  <si>
    <t>A Study to Assess Efficacy and Safety of Efgartigimod PH20 SC in Adults With Ocular Myasthenia Gravis</t>
  </si>
  <si>
    <t>NCT06551142</t>
  </si>
  <si>
    <t>A Study of GSK5764227 in Participants With. Advanced Solid Tumors (EMBOLD PanTumor-101)</t>
  </si>
  <si>
    <t>NCT06589726</t>
  </si>
  <si>
    <t>A TQT Study to Investigate the Effect of Enpatoran on Cardiac Repolarization in Healthy Participants</t>
  </si>
  <si>
    <t>NCT06413680</t>
  </si>
  <si>
    <t>A First-In Human (FIH) Study to Find Out How Well REGN10597 Medicine Given Alone or in Combination With Cemiplimab Works in Adult Participants Who Have Cancer With Tumors That Have Spread in Their Body</t>
  </si>
  <si>
    <t>NCT06619951</t>
  </si>
  <si>
    <t>A Clinical Trial to Evaluate the Effects of Itraconazole or Rifampicin on the Pharmacokinetics of VC004 Capsules in Healthy Adult Subjects</t>
  </si>
  <si>
    <t>NCT06699628</t>
  </si>
  <si>
    <t>Phase I Trial Evaluating the Pharmacokinetics of Single Ascending Oral Doses of IRL757 in Healthy Elderly Volunteers</t>
  </si>
  <si>
    <t>NCT06533475</t>
  </si>
  <si>
    <t>A Study to Assess the Bioavailability of a New Tablet Formulation of Minzasolmin and the Effect of Food in Healthy Participants</t>
  </si>
  <si>
    <t>NCT06660992</t>
  </si>
  <si>
    <t>A Study to Assess the Efficacy and Safety of HSK31858 in Participants With Non-Cystic Fibrosis Bronchiectasis</t>
  </si>
  <si>
    <t>NCT06571383</t>
  </si>
  <si>
    <t>STEP TEENS Weight Maintenance: A Research Study on How Well Semaglutide Helps Teenagers With Excess Body Weight to Lose Weight and Maintain Weight Loss</t>
  </si>
  <si>
    <t>NCT06555796</t>
  </si>
  <si>
    <t>Evaluation of Xaluritamig in High-Risk, Biochemically Recurrent, Non-metastatic Castrate-sensitive Prostate Cancer</t>
  </si>
  <si>
    <t>NCT06566989</t>
  </si>
  <si>
    <t>A Study of the Absorption, Distribution, Metabolism, and Elimination of Opevesostat (MK-5684) in Healthy Adult Male Participants (MK-5684-008)</t>
  </si>
  <si>
    <t>NCT05684380</t>
  </si>
  <si>
    <t>Efficacy and Safety of MAZ-101 in the Treatment of Persistent Allergic Rhinitis (PER)</t>
  </si>
  <si>
    <t>NCT06652633</t>
  </si>
  <si>
    <t>Long-term Follow-up of Participants Treated With Galapagos Chimeric Antigen Receptor (CAR) T-cell Therapies</t>
  </si>
  <si>
    <t>Galapagos NV</t>
  </si>
  <si>
    <t>NCT07290855</t>
  </si>
  <si>
    <t>A Study to Evaluate the Safety and Efficacy of Icatibant in Patients With Bradykinin Induced Angioedema</t>
  </si>
  <si>
    <t>Nang Kuang Pharmaceutical Co., Ltd.</t>
  </si>
  <si>
    <t>NCT06545097</t>
  </si>
  <si>
    <t>A Study of Cebranopadol for the Treatment of Acute Pain After Abdominoplasty</t>
  </si>
  <si>
    <t>NCT06393738</t>
  </si>
  <si>
    <t>A Study of ARV-393 in Relapsed/Refractory Non-Hodgkin Lymphoma.</t>
  </si>
  <si>
    <t>Arvinas Inc.</t>
  </si>
  <si>
    <t>NCT06608238</t>
  </si>
  <si>
    <t>The Purpose of This Study is to Evaluate the Safety and Efficacy of D-MNA in Adult Patients With Nodular Basal Cell Carcinoma</t>
  </si>
  <si>
    <t>SkinJect, Inc.</t>
  </si>
  <si>
    <t>NCT06755515</t>
  </si>
  <si>
    <t>A Phase Ⅱ/Ⅲ Study of Rulonilimab Plus Chemotherapy± Bevacizumab for the First-Line Treatment of Persistent, Recurrent or Metastatic Cervical Cancer</t>
  </si>
  <si>
    <t>NCT06550895</t>
  </si>
  <si>
    <t>A Study of Ciltacabtagene Autoleucel and Talquetamab for the Treatment of Participants With High-Risk Multiple Myeloma</t>
  </si>
  <si>
    <t>NCT06607263</t>
  </si>
  <si>
    <t>Comparative Study of CPC+Zn Mouthwash, Dental Floss, and Essential Oils Mouthwash on Plaque and Gingivitis Reduction</t>
  </si>
  <si>
    <t>NCT06572111</t>
  </si>
  <si>
    <t>A Study in Healthy Men to Test How BI 1839100 is Taken up and Handled by the Body</t>
  </si>
  <si>
    <t>NCT06469385</t>
  </si>
  <si>
    <t>Topical ENS-002 for Atopic Dermatitis in Adults</t>
  </si>
  <si>
    <t>Concerto Biosciences</t>
  </si>
  <si>
    <t>NCT06817343</t>
  </si>
  <si>
    <t>A Long-term Follow up Study of EXG102-031 in Patients With wAMD (Everest LTFU)</t>
  </si>
  <si>
    <t>Exegenesis Bio</t>
  </si>
  <si>
    <t>NCT06701110</t>
  </si>
  <si>
    <t>Pharmacokinetic Study of Sudapyridine（WX-081）in Healthy Chinese Subjects</t>
  </si>
  <si>
    <t>Shanghai Jiatan Pharmatech Co., Ltd</t>
  </si>
  <si>
    <t>NCT06590246</t>
  </si>
  <si>
    <t>A Study to Evaluate C-CAR031 in Glypican-3 (GPC3)+ Advanced/Recurrent Hepatocellular Carcinoma (HCC)</t>
  </si>
  <si>
    <t>Shanghai AbelZeta Ltd.</t>
  </si>
  <si>
    <t>NCT06299111</t>
  </si>
  <si>
    <t>A Trial to Learn How Well REGN9933 and REGN7508 Work for Preventing Blood Clots, and How Safe They Are, in Adults Who Have a Peripherally Inserted Central Catheter (PICC)</t>
  </si>
  <si>
    <t>NCT06589505</t>
  </si>
  <si>
    <t>Software as a Medical Device for the Treatment of Patients With PTSD</t>
  </si>
  <si>
    <t>NCT06597656</t>
  </si>
  <si>
    <t>A Gene Transfer Therapy to Evaluate the Safety and Efficacy of Delandistrogene Moxeparvovec (SRP-9001) Following Therapeutic Plasma Exchange (Plasmapheresis) in Participants With Duchenne Muscular Dystrophy (DMD) and Pre-existing Antibodies to AAVrh74</t>
  </si>
  <si>
    <t>NCT06121375</t>
  </si>
  <si>
    <t>Study to Assess Efficacy, Safety, Tolerability, Pharmacokinetics (PK), and Pharmacodynamics (PD) of Obeticholic Acid (OCA) Compared to Placebo in Pediatric Participants With Biliary Atresia, Post-hepatoportoenterostomy</t>
  </si>
  <si>
    <t>NCT06549751</t>
  </si>
  <si>
    <t>MT-601 Administered To Patients With Locally Advanced Unresectable or Metastatic Pancreatic Cancer</t>
  </si>
  <si>
    <t>Marker Therapeutics, Inc.</t>
  </si>
  <si>
    <t>NCT06575400</t>
  </si>
  <si>
    <t>A Study to Test How Well Different Doses of BI 3804379 Are Tolerated by Healthy People</t>
  </si>
  <si>
    <t>NCT04918667</t>
  </si>
  <si>
    <t>Effect of Gamma-cyclodextrin on the Bioavailability of Berberine</t>
  </si>
  <si>
    <t>EuroPharma, Inc.</t>
  </si>
  <si>
    <t>NCT06577519</t>
  </si>
  <si>
    <t>Efficacy and Safety Study of Vicagrel in Patients With Acute Coronary Syndrome (ACS) Undergoing Percutaneous Coronary Intervention (PCI)</t>
  </si>
  <si>
    <t>NCT06216028</t>
  </si>
  <si>
    <t>Bone Marrow Aspirate Concentrate (BMAC) Treatment for Knee Osteoarthritis</t>
  </si>
  <si>
    <t>CELL Technologies Inc.</t>
  </si>
  <si>
    <t>NCT06527144</t>
  </si>
  <si>
    <t>A Clinical Trial of TQC3721 Suspension for Inhalation in Patients With Moderate to Severe Chronic Obstructive Pulmonary Disease</t>
  </si>
  <si>
    <t>NCT06547333</t>
  </si>
  <si>
    <t>A Study of CM310 in Subjects With Moderate to Severe Chronic Obstructive Pulmonary Disease</t>
  </si>
  <si>
    <t>NCT06595706</t>
  </si>
  <si>
    <t>Evaluating the Safety and Pharmacokinetics of Multiple Ascending Doses of Lucid-21-302 in Healthy Adult Participants</t>
  </si>
  <si>
    <t>Huge Biopharma Australia Pty Ltd</t>
  </si>
  <si>
    <t>NCT06492616</t>
  </si>
  <si>
    <t>A Study of Elacestrant Versus Standard Endocrine Therapy in Women and Men With ER+,HER2-, Early Breast Cancer With High Risk of Recurrence</t>
  </si>
  <si>
    <t>Stemline Therapeutics, Inc.</t>
  </si>
  <si>
    <t>NCT06463665</t>
  </si>
  <si>
    <t>Efficacy &amp; Safety of Olvimulogene Nanivacirepvec &amp; Platinum-doublet + Physician's Choice of Immune Checkpoint Inhibitor Compared to Docetaxel in NSCL Cancer</t>
  </si>
  <si>
    <t>Genelux Corporation</t>
  </si>
  <si>
    <t>NCT06421636</t>
  </si>
  <si>
    <t>A Study to Test the Safety, Tolerability, and Efficacy of an Antibody, REGN7999, Injected Under the Skin for the Treatment of Iron Overload in Adult Participants With Non-Transfusion Dependent β-thalassemia, Using MRI Scans to Measure Iron Levels in the Body</t>
  </si>
  <si>
    <t>NCT06987942</t>
  </si>
  <si>
    <t>Simultaneous Administration Study of Varicella Attenuated Live Vaccine and Trivalent Inactivated Influenza Vaccine (Split Virion)</t>
  </si>
  <si>
    <t>NCT06635798</t>
  </si>
  <si>
    <t>A Phase III Clinical Trail to Evaluate the Efficacy, Safety, Pharmacokinetics and Immunogenicity Characteristics of GR2001 Injection</t>
  </si>
  <si>
    <t>NCT06591598</t>
  </si>
  <si>
    <t>A Study to Learn About the Blood Levels of Aflibercept When High-dose Aflibercept is Injected in Both Eyes of Participants With Diabetic Macular Edema or Neovascular Age-related Macular Degeneration</t>
  </si>
  <si>
    <t>NCT06473779</t>
  </si>
  <si>
    <t>Open-label Study to Assess Reduction of Background Asthma Medication While Sustaining Asthma Control and Clinical Remission With Tezepelumab in Patients 12-80yrs With Severe Asthma.</t>
  </si>
  <si>
    <t>NCT07168473</t>
  </si>
  <si>
    <t>Study to Evaluate the Efficacy and Safety of DW1807 in Perennial Allergic Rhinitis Patients With Asthma</t>
  </si>
  <si>
    <t>NCT05070650</t>
  </si>
  <si>
    <t>Efficacy and Safety of the Combination of Acetylcysteine, Paracetamol and Phenylephrine for the Treatment of Common Cold</t>
  </si>
  <si>
    <t>NCT06025318</t>
  </si>
  <si>
    <t>An Evaluation of the Effect of Food on the PK of a Novel PanCytoVir™ Suspension (100mg/ml), in Healthy, Adult Volunteers</t>
  </si>
  <si>
    <t>TrippBio, Inc.</t>
  </si>
  <si>
    <t>NCT06635135</t>
  </si>
  <si>
    <t>A Study of Aticaprant Plus an Antidepressant to Prevent Return of Depression Symptoms in Participants With Major Depressive Disorder Who Experience a Loss of Interest and Pleasure</t>
  </si>
  <si>
    <t>NCT06577259</t>
  </si>
  <si>
    <t>Study to Assess Relative Bioavailability of BMS-986435 Formulations in Healthy Adult Participants</t>
  </si>
  <si>
    <t>NCT06210945</t>
  </si>
  <si>
    <t>Study to Evaluate the Safety, Tolerability, and Activity of CM-101 in Patients With Systemic Sclerosis</t>
  </si>
  <si>
    <t>ChemomAb Ltd.</t>
  </si>
  <si>
    <t>NCT06559150</t>
  </si>
  <si>
    <t>A Phase II Study of Ensifentrine in Non-Cystic Fibrosis Bronchiectasis</t>
  </si>
  <si>
    <t>NCT06487559</t>
  </si>
  <si>
    <t>A Study to Assess the Adverse Events and How Intravenously Infused Livmoniplimab in Combination With Budigalimab Moves Through the Bodies of Adult Chinese Participants With Locally Advanced or Metastatic Hepatocellular Carcinoma (HCC)</t>
  </si>
  <si>
    <t>NCT06585462</t>
  </si>
  <si>
    <t>Single and Multiple Ascending Dose Study of AMG 513 in Participants With Obesity</t>
  </si>
  <si>
    <t>NCT06194656</t>
  </si>
  <si>
    <t>Clinical Trial of SIBP-03 in Patients With Head and Neck Squamous Cell Carcinoma</t>
  </si>
  <si>
    <t>NCT06370598</t>
  </si>
  <si>
    <t>Phase 1/2a to Assess the Safety and Tolerability of TP-122A for the Treatment of Ventilator-Associated Pneumonia</t>
  </si>
  <si>
    <t>Technophage, SA</t>
  </si>
  <si>
    <t>NCT06564272</t>
  </si>
  <si>
    <t>A Study of KC1036 in Adolescents With Advanced Ewing Sarcoma</t>
  </si>
  <si>
    <t>NCT06573281</t>
  </si>
  <si>
    <t>A Study on the Safety and Immune Response to an mRNA-based RSV Investigational Vaccine in Healthy Adults Aged 18-45 Years</t>
  </si>
  <si>
    <t>NCT06504043</t>
  </si>
  <si>
    <t>A Study on Evaluating the Safety of HST101 in Healthy Chinese Participants</t>
  </si>
  <si>
    <t>Hasten Biopharmaceutical Co., Ltd.</t>
  </si>
  <si>
    <t>NCT06621017</t>
  </si>
  <si>
    <t>Effect of GLP-1 Analogue ROSE-010 on Appetite in Overweight and Obese Subjects</t>
  </si>
  <si>
    <t>Rose Pharma Inc</t>
  </si>
  <si>
    <t>NCT06692166</t>
  </si>
  <si>
    <t>A Study to Evaluate 9MW2821 Versus Treatment of Physician's Choice for Subjects With Recurrent or Metastatic Cervical Cancer</t>
  </si>
  <si>
    <t>NCT06481891</t>
  </si>
  <si>
    <t>A Study to Evaluate the Efficacy and Safety of Sotagliflozin in Symptomatic Obstructive and Non-obstructive Hypertrophic Cardiomyopathy</t>
  </si>
  <si>
    <t>Lexicon Pharmaceuticals</t>
  </si>
  <si>
    <t>NCT06477536</t>
  </si>
  <si>
    <t>Long-Term Safety and Efficacy of HB0034 in Subjects With Generalized Pustular Psoriasis</t>
  </si>
  <si>
    <t>NCT06632444</t>
  </si>
  <si>
    <t>LIVERAGE™: A Study to Test Whether Survodutide Helps People With a Liver Disease Called NASH/MASH Who Have Moderate or Advanced Liver Fibrosis</t>
  </si>
  <si>
    <t>NCT06456567</t>
  </si>
  <si>
    <t>A Study of Telitacicept for the Treatment of Moderately to Severely Active Systemic Lupus Erythematosus (REMESLE-2)</t>
  </si>
  <si>
    <t>NCT06561594</t>
  </si>
  <si>
    <t>To Evaluate Recombinant Human Follicle Stimulating Hormone-CTP Fusion Protein Injection or Placebo Combined With Chorionic Gonadotropin for Injection</t>
  </si>
  <si>
    <t>NCT06609239</t>
  </si>
  <si>
    <t>Long-term Safety and Efficacy Evaluation of Lunsekimig (SAR443765) in Adult Participants With Asthma.</t>
  </si>
  <si>
    <t>NCT06615570</t>
  </si>
  <si>
    <t>A Phase 1 Dose Escalation Study of VX-973 in Healthy Participants</t>
  </si>
  <si>
    <t>NCT06550830</t>
  </si>
  <si>
    <t>Clinical Trial of PCV24 in Children Aged 2-17 Years</t>
  </si>
  <si>
    <t>NCT05171894</t>
  </si>
  <si>
    <t>A Study to Evaluate Efficacy and Safety of Light Dose in Subjects With PWB Treated With Hemoporfin PDT</t>
  </si>
  <si>
    <t>NCT06592794</t>
  </si>
  <si>
    <t>A Study to Investigate the Safety and Efficacy of mRNA-1403 in Participants ≥18 Years of Age for the Prevention of Acute Gastroenteritis</t>
  </si>
  <si>
    <t>NCT06444815</t>
  </si>
  <si>
    <t>A Study of VET3-TGI in Patients With Solid Tumors</t>
  </si>
  <si>
    <t>KaliVir Immunotherapeutics</t>
  </si>
  <si>
    <t>NCT06471543</t>
  </si>
  <si>
    <t>Study of RN0361in Adult Healthy Subjects and Adult Hypertriglyceridemic Subjects</t>
  </si>
  <si>
    <t>Ikaria Bioscience Pty Ltd</t>
  </si>
  <si>
    <t>NCT06878170</t>
  </si>
  <si>
    <t>A First in Human Study to Evaluate the Safety and Immunogenicity of RBM-001 in Healthy Adult Volunteers</t>
  </si>
  <si>
    <t>Rock BioMedical, Inc.</t>
  </si>
  <si>
    <t>NCT06863662</t>
  </si>
  <si>
    <t>Efficacy and Safety of Etoricoxib/Tizanidine Versus Etoricoxib for Acute Low Back Pain Associated to Muscle Spasm</t>
  </si>
  <si>
    <t>NCT06504446</t>
  </si>
  <si>
    <t>Study to Assess the Efficacy, Safety, and Tolerability of NOC-110 in Adults With Refractory or Unexplained Chronic Cough</t>
  </si>
  <si>
    <t>Nocion Therapeutics</t>
  </si>
  <si>
    <t>NCT06372574</t>
  </si>
  <si>
    <t>A Study of RO7617991 in Patients With Locally Advanced or Metastatic MAGE-A4-Positive Solid Tumors</t>
  </si>
  <si>
    <t>NCT06567002</t>
  </si>
  <si>
    <t>A Study of MK-6552 and the Effect of Food in Healthy Participants (MK-6552-006)</t>
  </si>
  <si>
    <t>NCT06331728</t>
  </si>
  <si>
    <t>Study to Evaluate the Safety, Tolerability, Pharmacokinetics and Pharmacodynamics of IGNX001</t>
  </si>
  <si>
    <t>IgGenix Australia Pty Ltd</t>
  </si>
  <si>
    <t>NCT06464692</t>
  </si>
  <si>
    <t>Study to Assess Adverse Events and How Intravenously (IV) Infused Telisotuzumab Adizutecan (ABBV-400) Moves Through the Body of Adult Participants With Unresectable Locally Advanced/Metastatic Colorectal Cancer</t>
  </si>
  <si>
    <t>NCT07095049</t>
  </si>
  <si>
    <t>Safety, Tolerability, and Systemic Exposure of Apo-Si- K170A-C76 in Healthy Volunteers</t>
  </si>
  <si>
    <t>Interna Therapeutics Ltd.</t>
  </si>
  <si>
    <t>NCT06025344</t>
  </si>
  <si>
    <t>A Relative Bioavailability Study With a Novel PanCytoVir™ Oral Suspension (100 mg/ml)</t>
  </si>
  <si>
    <t>NCT06577558</t>
  </si>
  <si>
    <t>Efficacy and Safety of SR1375 in Adult Patients With CAP</t>
  </si>
  <si>
    <t>NCT05833958</t>
  </si>
  <si>
    <t>Polypill Versus Metformin in New Onset Type 2 Diabetes</t>
  </si>
  <si>
    <t>George Medicines PTY Limited</t>
  </si>
  <si>
    <t>NCT06581198</t>
  </si>
  <si>
    <t>A Study of Rapcabtagene Autoleucel in Active, Refractory Systemic Lupus Erythematosus (SLE) or Lupus Nephritis (LN) Patients (AUTOGRAPH - SLE/LN)</t>
  </si>
  <si>
    <t>NCT06586866</t>
  </si>
  <si>
    <t>JK-1201I in Triple Negative Breast Cancer Patients with Brain Metastases</t>
  </si>
  <si>
    <t>JenKem Technology Co., Ltd.</t>
  </si>
  <si>
    <t>NCT06649630</t>
  </si>
  <si>
    <t>A Study Looking at How Different Doses of Study Medicine (Inno8) Works in the Body of Healthy Men</t>
  </si>
  <si>
    <t>NCT06591845</t>
  </si>
  <si>
    <t>Thorough QT/QTc (TQT) Clinical Study to Evaluate the Effects of Ziresovir on Cardiac Repolarization in Healthy Subjects</t>
  </si>
  <si>
    <t>NCT06539507</t>
  </si>
  <si>
    <t>A Study of the Safety, Tolerability, Pharmacokinetics, and Immunogenicity of BCX17725</t>
  </si>
  <si>
    <t>BioCryst Pharmaceuticals</t>
  </si>
  <si>
    <t>NCT06927466</t>
  </si>
  <si>
    <t>A Clinical Study to Evaluate the Safety, Tolerability, and Preliminary Efficacy of B019 Injection in Subjects With Relapsed or Refractory B-cell Acute Lymphoblastic Leukemia.</t>
  </si>
  <si>
    <t>Shanghai Pharmaceutical Group Biological Therapy Technology Co., Ltd.</t>
  </si>
  <si>
    <t>NCT06598072</t>
  </si>
  <si>
    <t>Comparative Study to Evaluate the Efficacy of an Alcohol-free Mouthwash Regimen With CPC+Zn, Flossing and Brushing, and an Alcohol-based Mouthwash Regimen With Essential Oils in Reducing Plaque and Gingivitis.</t>
  </si>
  <si>
    <t>NCT05542173</t>
  </si>
  <si>
    <t>Efficacy and Safety of BALI Association in the Treatment of Aphthous Ulcerations</t>
  </si>
  <si>
    <t>NCT06540066</t>
  </si>
  <si>
    <t>A Study of BGB-B3227 Alone and in Combination With Tislelizumab in Participants With Advanced or Metastatic Solid Tumors</t>
  </si>
  <si>
    <t>NCT06575595</t>
  </si>
  <si>
    <t>Pharmacokinetic (PK) Characterization of Subcutaneous Tulisokibart (MK-7240-010)</t>
  </si>
  <si>
    <t>NCT06581380</t>
  </si>
  <si>
    <t>JK-1201I Compared with Topotecan in Patients with Relapsed Extensive Stage Small Cell Lung Cancer</t>
  </si>
  <si>
    <t>NCT06575959</t>
  </si>
  <si>
    <t>A Clinical Study of Enlicitide Decanoate in People With Liver Function Problems (MK-0616-030)</t>
  </si>
  <si>
    <t>NCT06430866</t>
  </si>
  <si>
    <t>Pharmacokinetic Similarity Between ABP 234 and Keytruda® (Pembrolizumab)</t>
  </si>
  <si>
    <t>NCT06487897</t>
  </si>
  <si>
    <t>Phase III Presbyopia Correction Using the VIS Opti-K™ System</t>
  </si>
  <si>
    <t>VIS, Inc.</t>
  </si>
  <si>
    <t>NCT06589713</t>
  </si>
  <si>
    <t>Effect of Renal Impairment on Enpatoran Pharmacokinetics</t>
  </si>
  <si>
    <t>NCT06547840</t>
  </si>
  <si>
    <t>A Study of MOv18 IgE in Folate Receptor Alpha-expressing Platinum Resistant Ovarian Cancer</t>
  </si>
  <si>
    <t>Epsilogen Ltd</t>
  </si>
  <si>
    <t>NCT06360640</t>
  </si>
  <si>
    <t>A First-in-human Trial to Evaluate Safety, Tolerability, and Pharmacokinetics of APC148 in Healthy Adults</t>
  </si>
  <si>
    <t>AdjuTec Pharma AS</t>
  </si>
  <si>
    <t>NCT06571266</t>
  </si>
  <si>
    <t>A Study to Assess the Relative Bioavailability of Two Formulations of Risankizumab Following Subcutaneous Administration With Prefilled Syringes in Healthy Adult Participants</t>
  </si>
  <si>
    <t>NCT06744569</t>
  </si>
  <si>
    <t>A Phase I Clinical Trial to Evaluate CU-10101 Unguent</t>
  </si>
  <si>
    <t>NCT04469127</t>
  </si>
  <si>
    <t>A Phase I/II Multicenter, Open-Label Study of Lu-177-DOTAGA-IAC, for the Treatment of Angiogenic Breast Cancer Patients.</t>
  </si>
  <si>
    <t>Advanced Imaging Projects, LLC</t>
  </si>
  <si>
    <t>NCT06484881</t>
  </si>
  <si>
    <t>Clinical Study of Probiotic Treatment for Androgenetic Alopecia</t>
  </si>
  <si>
    <t>Applied Biology, Inc.</t>
  </si>
  <si>
    <t>NCT06233162</t>
  </si>
  <si>
    <t>Febuxostat 80 mg Tablets Relative to Feburic® 80 mg Tablets</t>
  </si>
  <si>
    <t>NCT06918587</t>
  </si>
  <si>
    <t>Open Label Randomized Comparative Crossover Pharmacokinetic and Immunogenicity Study</t>
  </si>
  <si>
    <t>NCT06611033</t>
  </si>
  <si>
    <t>A Study of V118 Formulation C (V118C) in Healthy Participants (V118C-001)</t>
  </si>
  <si>
    <t>NCT06994052</t>
  </si>
  <si>
    <t>Study on Booster Immunization With Varicella Vaccine at Different Intervals</t>
  </si>
  <si>
    <t>NCT05888922</t>
  </si>
  <si>
    <t>Evaluation of Efficacy and Safety of Oral Minoxidil 1 mg in Female Androgenetic Alopecia</t>
  </si>
  <si>
    <t>NCT06592625</t>
  </si>
  <si>
    <t>Neoadjuvant SHR-A1811 Plus Adebrelimab in HR Negative/Low &amp; HER2 Low Breast Cancer Patients</t>
  </si>
  <si>
    <t>NCT06248086</t>
  </si>
  <si>
    <t>A Study to Find a Suitable Dose of ASP2802 in People With CD20-positive B-cell Lymphomas</t>
  </si>
  <si>
    <t>NCT06379789</t>
  </si>
  <si>
    <t>A Study to Investigate the Safety and Effectiveness of a Coagulation Factor IX Gene Insertion Therapy (REGV131-LNP1265) in Pediatric, Adolescent and Adult Participants With Hemophilia B</t>
  </si>
  <si>
    <t>NCT06613763</t>
  </si>
  <si>
    <t>A Study of RAY1225 in Participants With Impaired Kidney Function</t>
  </si>
  <si>
    <t>NCT06311721</t>
  </si>
  <si>
    <t>A Study to Compare ABP 234 and Keytruda® (Pembrolizumab) in Participants With Advanced or Metastatic Non-squamous Non-Small Cell Lung Cancer</t>
  </si>
  <si>
    <t>NCT06905847</t>
  </si>
  <si>
    <t>Phase I Clinical Trial to Evaluate the Safety, Tolerability, Pharmacokinetic Characteristics, and Primary Efficacy of HSK39004 Suspension for Inhalation</t>
  </si>
  <si>
    <t>NCT06565026</t>
  </si>
  <si>
    <t>CS-206 in Patients With Sickle Cell Disease</t>
  </si>
  <si>
    <t>NCT06873555</t>
  </si>
  <si>
    <t>A Study of DC05F01 in Chinese Patients with Recurrent/Refractory Ovarian Cancer and Other Advanced Solid Tumors</t>
  </si>
  <si>
    <t>NCT06592274</t>
  </si>
  <si>
    <t>A Phase 2 Study of HB0017 in Psoriasis Patients</t>
  </si>
  <si>
    <t>NCT07442877</t>
  </si>
  <si>
    <t>A Phase 2 Clinical Trial Evaluating the Efficacy and Safety of HSK21542 in Patients for Postoperative Pain Treatment in Orthopedic Surgery</t>
  </si>
  <si>
    <t>NCT06388707</t>
  </si>
  <si>
    <t>A Safety, Tolerability, and Preliminary Efficacy of Low-intensity Focused Ultrasound Neuromodulation in Patients With Drug-resistant Epilepsy</t>
  </si>
  <si>
    <t>NCT06554574</t>
  </si>
  <si>
    <t>A Phase 1 Single and Multiple Ascending Dose Study of LTG-305 Administered Orally in Healthy Participants</t>
  </si>
  <si>
    <t>Latigo Biotherapeutics</t>
  </si>
  <si>
    <t>NCT06588491</t>
  </si>
  <si>
    <t>KYSA-8: A Study of Anti-CD19 Chimeric Antigen Receptor T-Cell (CD19 CAR T) Therapy, in Subjects With Treatment Refractory Stiff Person Syndrome</t>
  </si>
  <si>
    <t>NCT06572397</t>
  </si>
  <si>
    <t>Open-Label Study of Safety of H1337 in Healthy Volunteers</t>
  </si>
  <si>
    <t>D. Western Therapeutics Institute, Inc.</t>
  </si>
  <si>
    <t>NCT06889064</t>
  </si>
  <si>
    <t>A Study to Evaluate the Pharmacokinetic, Pharmacodynamic Characteristics and the Safety After Administration by Doses of BR1400-1, BR1400-2, BR1400-3 in Healthy Adult Volunteers</t>
  </si>
  <si>
    <t>NCT06526624</t>
  </si>
  <si>
    <t>A Study of HS-20093 vs Active Surveillance in Limited-Stage Small Cell Lung Cancer</t>
  </si>
  <si>
    <t>NCT06678542</t>
  </si>
  <si>
    <t>Study to Assess Relative Bioavailability of GP681 Formulations in Healthy Chinese Male Subjects</t>
  </si>
  <si>
    <t>NCT06574269</t>
  </si>
  <si>
    <t>A Study on TLC590 for Managing Postsurgical Pain</t>
  </si>
  <si>
    <t>TLC Biopharmaceuticals, Inc.</t>
  </si>
  <si>
    <t>NCT06553209</t>
  </si>
  <si>
    <t>Study of CM512 in Healthy Subjects and Patients With Atopic Dermatitis</t>
  </si>
  <si>
    <t>NCT06586216</t>
  </si>
  <si>
    <t>A Study to Learn How Renal Impairment Affects the Pharmacokinetics of PF-07817883.</t>
  </si>
  <si>
    <t>NCT06364501</t>
  </si>
  <si>
    <t>Phase 1 Trial of KH801</t>
  </si>
  <si>
    <t>Beijing Kanghong Biopharmaceutical Co., Ltd.</t>
  </si>
  <si>
    <t>NCT06783114</t>
  </si>
  <si>
    <t>A Clinical Study on Recombinant Botulinum Toxin Type A (YY001) for Injection in The Treatment of Upper Limb Spasticity in Adults</t>
  </si>
  <si>
    <t>NCT05977647</t>
  </si>
  <si>
    <t>Medical Stone Expulsive Therapy for Acutely Obstructed Ureteric Calculi</t>
  </si>
  <si>
    <t>Getz Pharma</t>
  </si>
  <si>
    <t>NCT06852092</t>
  </si>
  <si>
    <t>Study on Mass Balance of [14C]HSK39297 in Healthy Chinese Adult Male Subjects</t>
  </si>
  <si>
    <t>NCT06525506</t>
  </si>
  <si>
    <t>A Study of IBI311 in Subjects With Inactive or Active Thyroid Eye Disease</t>
  </si>
  <si>
    <t>NCT06613698</t>
  </si>
  <si>
    <t>A Study to Investigate the Safety and Efficacy of GSK4532990 Compared With Placebo in Adult Participants Aged 18 to 65 Years With Alcohol-related Liver Disease</t>
  </si>
  <si>
    <t>NCT06256484</t>
  </si>
  <si>
    <t>A Study to Evaluate the Safety and Preliminary Efficacy of ATA3219 in Participants With Relapsed/Refractory B-cell Non-Hodgkin Lymphoma</t>
  </si>
  <si>
    <t>Atara Biotherapeutics</t>
  </si>
  <si>
    <t>NCT06547554</t>
  </si>
  <si>
    <t>A DDI Study to Investigate PK and Safety of Cefiderocol in Combination With Xeruborbactam in Healthy Adult Participants</t>
  </si>
  <si>
    <t>NCT06781957</t>
  </si>
  <si>
    <t>Pharmacokinetics of FSH and hCG After a Single Subcutaneous Injection of Gonadotropins-IBSA</t>
  </si>
  <si>
    <t>NCT06571461</t>
  </si>
  <si>
    <t>Liposomal Irinotecan in Combination With Oxaliplatin and S-1 Versus Gemcitabine Combined With Capecitabine as Postoperative Adjuvant Therapy for Pancreatic Cancer</t>
  </si>
  <si>
    <t>NCT06569381</t>
  </si>
  <si>
    <t>Comparative Pharmacokinetic Study of Pirfenidone Modified-Release Tablets in Healthy Subjects Under Fasting and Fed Conditions</t>
  </si>
  <si>
    <t>NCT06582264</t>
  </si>
  <si>
    <t>A Phase 1b Trial to Evaluate the Safety of MB310 in Patients With Active, Mild-to-Moderate Ulcerative Colitis</t>
  </si>
  <si>
    <t>NCT06606106</t>
  </si>
  <si>
    <t>A Study of LY3537031 in Overweight, Obese, and Healthy Participants</t>
  </si>
  <si>
    <t>NCT06243458</t>
  </si>
  <si>
    <t>RVU120 for Treatment of Anemia in Patients With Lower-risk Myelodysplastic Neoplasms</t>
  </si>
  <si>
    <t>NCT06691256</t>
  </si>
  <si>
    <t>Preventing Medication Mismanagement in People Living with Dementia Through Automated Medication Dispensing with Facial Recognition and Video Observation</t>
  </si>
  <si>
    <t>HiDO Technologies</t>
  </si>
  <si>
    <t>NCT06240481</t>
  </si>
  <si>
    <t>Clinical Research Study to Assess the Efficacy of Two Brushing Regimens</t>
  </si>
  <si>
    <t>NCT06863636</t>
  </si>
  <si>
    <t>Efficacy and Safety of Celecoxib/Acetaminophen Versus Celecoxib for Diagnosed Osteoarthritis in Acute Exacerbation</t>
  </si>
  <si>
    <t>NCT06596356</t>
  </si>
  <si>
    <t>A Mass Balance Study of TS-172 in Healthy Adult Subjects</t>
  </si>
  <si>
    <t>Taisho Pharmaceutical Co., Ltd.</t>
  </si>
  <si>
    <t>NCT06599684</t>
  </si>
  <si>
    <t>Study of INV-102 Ophthalmic Solution in Adults With Diabetic Macular Edema Associated With Non-proliferative Diabetic Retinopathy</t>
  </si>
  <si>
    <t>NCT06513364</t>
  </si>
  <si>
    <t>Neoadjuvant Chemotherapy With WH002 in Women With HER2-negative Breast Cancer</t>
  </si>
  <si>
    <t>NCT06633835</t>
  </si>
  <si>
    <t>Impact of Reactogenicity of the 2024-2025 COVID-19 Vaccines on Health Care Workers and First Responders in the United States</t>
  </si>
  <si>
    <t>Novavax</t>
  </si>
  <si>
    <t>NCT06567743</t>
  </si>
  <si>
    <t>Phase 2 Study to Evaluate Safety and Efficacy of Cretostimogene Grenadenorepvec in High-Risk NMIBC</t>
  </si>
  <si>
    <t>CG Oncology, Inc.</t>
  </si>
  <si>
    <t>NCT06604624</t>
  </si>
  <si>
    <t>Semaglutide in Treatment of Obesity</t>
  </si>
  <si>
    <t>NCT06609460</t>
  </si>
  <si>
    <t>Study of CD388 for the Prevention of Influenza in Subjects Not at Risk for Influenza Complications</t>
  </si>
  <si>
    <t>Cidara Therapeutics Inc.</t>
  </si>
  <si>
    <t>NCT06548607</t>
  </si>
  <si>
    <t>Clinical Study on Targeted CD19 or CD19-BCMA CAR-T Therapy for Autoimmune Diseases</t>
  </si>
  <si>
    <t>NCT06584916</t>
  </si>
  <si>
    <t>A Study of Orforglipron for the Maintenance of Body Weight Reduction in Participants Who Have Obesity or Overweight With Weight-Related Comorbidities (ATTAIN-MAINTAIN)</t>
  </si>
  <si>
    <t>NCT06586515</t>
  </si>
  <si>
    <t>MOONRAY-01, A Study of LY3962673 in Participants With KRAS G12D-Mutant Solid Tumors</t>
  </si>
  <si>
    <t>NCT06260774</t>
  </si>
  <si>
    <t>Study of TTX-MC138 in Subjects With Advanced Solid Tumors</t>
  </si>
  <si>
    <t>TransCode Therapeutics</t>
  </si>
  <si>
    <t>NCT06053814</t>
  </si>
  <si>
    <t>NS-050/NCNP-03 in Boys With DMD (Meteor50)</t>
  </si>
  <si>
    <t>NCT06526923</t>
  </si>
  <si>
    <t>A Phase 1/2 Trial of SP-101 for the Treatment of Cystic Fibrosis (CF)</t>
  </si>
  <si>
    <t>Spirovant Sciences, Inc.</t>
  </si>
  <si>
    <t>NCT06530251</t>
  </si>
  <si>
    <t>A Study of AK112 in Patients With Advanced Hepatocellular Carcinoma (HCC)</t>
  </si>
  <si>
    <t>NCT06516302</t>
  </si>
  <si>
    <t>A Study of GR1802 in Participants With Chronic Sinusitis With Nasal Polyps</t>
  </si>
  <si>
    <t>NCT06381141</t>
  </si>
  <si>
    <t>A Study of CLN-619 (Anti-MICA/MICB Antibody) in Patients With Relapsed and Refractory Multiple Myeloma</t>
  </si>
  <si>
    <t>Cullinan Therapeutics Inc.</t>
  </si>
  <si>
    <t>NCT06577077</t>
  </si>
  <si>
    <t>Efficacy/ Safety of Product CM9241GRU in Patients With Perennial Allergic Rhinitis</t>
  </si>
  <si>
    <t>NCT06586294</t>
  </si>
  <si>
    <t>A Study of Anti-PD-1 and LAG-3 Bispecific Antibody(AK129) Combined With Chemotherapy With or Without Cadonilimab in the First-line Treatment of Unresectable Locally Advanced or Metastatic G/ GEJ Adenocarcinoma</t>
  </si>
  <si>
    <t>NCT06436781</t>
  </si>
  <si>
    <t>Effect of Maolactin™ FMR on Exercise Recovery, Inflammation, and Muscle Comfort in an Otherwise Healthy Population</t>
  </si>
  <si>
    <t>NCT06552520</t>
  </si>
  <si>
    <t>To Evaluate the Phase III Clinical Trial of TQH2722 Injection in the Treatment of Moderate to Severe Atopic Dermatitis</t>
  </si>
  <si>
    <t>Shanghai Chia Tai Tianqing Pharmaceutical Technology Development Co., Ltd.</t>
  </si>
  <si>
    <t>NCT06671405</t>
  </si>
  <si>
    <t>An Open-label Study in Healthy Participants to Evaluate AZD0780 as an Object or Precipitant of CYP3A4-mediated Drug-drug Interactions</t>
  </si>
  <si>
    <t>NCT06708637</t>
  </si>
  <si>
    <t>Ocular Safety and Usability Study for FYB203 PFS</t>
  </si>
  <si>
    <t>NCT05833724</t>
  </si>
  <si>
    <t>Chidamide in Patients With Relapsed or Refractory Peripheral T-cell Lymphoma (R/R PTCL)</t>
  </si>
  <si>
    <t>Great Novel Therapeutics Biotech &amp; Medicals Corporation</t>
  </si>
  <si>
    <t>NCT06615505</t>
  </si>
  <si>
    <t>ASCEND: A Clinical Trial to Evaluate the Safety and Effectiveness of VIA Disc NP, a Supplement for Degenerated Intervertebral Discs</t>
  </si>
  <si>
    <t>VIVEX Biologics, Inc.</t>
  </si>
  <si>
    <t>NCT06599502</t>
  </si>
  <si>
    <t>A Phase I/IIa Study to Investigate the Safety, Tolerability, Pharmacokinetics, and Efficacy of AZD0022 as Monotherapy and in Combination With Anti-cancer Agents in Adult Participants With Tumours Harbouring a KRASG12D Mutation</t>
  </si>
  <si>
    <t>NCT06602219</t>
  </si>
  <si>
    <t>A Study of LY4100511 (DC-853) in Adult Participants With Moderate-to-Severe Plaque Psoriasis</t>
  </si>
  <si>
    <t>NCT06441682</t>
  </si>
  <si>
    <t>A Safety and Efficacy Study of ARGX-119 in Adult Patients With Amyotrophic Lateral Sclerosis (ALS)</t>
  </si>
  <si>
    <t>NCT07417670</t>
  </si>
  <si>
    <t>Satisfaction With Orodispersible vs Conventional Memantine in Moderate to Severe Alzheimer's Disease</t>
  </si>
  <si>
    <t>NCT06055959</t>
  </si>
  <si>
    <t>A Study to Evaluate Subcutaneous Zilucoplan in Pediatric Participants With Generalized Myasthenia Gravis</t>
  </si>
  <si>
    <t>NCT04954989</t>
  </si>
  <si>
    <t>Biosimilarity Study of Intravenous Recombinant Human Erythropoietin in Healthy Volunteers</t>
  </si>
  <si>
    <t>NCT06630494</t>
  </si>
  <si>
    <t>Phase I Study to Evaluate rhTPO in Healthy Caucasian Volunteers</t>
  </si>
  <si>
    <t>3SBIO AU PTY LTD</t>
  </si>
  <si>
    <t>NCT06604949</t>
  </si>
  <si>
    <t>A Study of Single Dose of LP-003 in Healthy Adult Subjects</t>
  </si>
  <si>
    <t>NCT06662097</t>
  </si>
  <si>
    <t>A Study of Bevonescein in Patients Undergoing Abdominopelvic Surgery</t>
  </si>
  <si>
    <t>Alume Biosciences, Inc.</t>
  </si>
  <si>
    <t>NCT06636682</t>
  </si>
  <si>
    <t>FK-PC101 as Adjuvant Therapy for Men With High-Risk Prostate Cancer</t>
  </si>
  <si>
    <t>Cellvax Therapeutics Inc</t>
  </si>
  <si>
    <t>NCT06642571</t>
  </si>
  <si>
    <t>A Research Study to Compare How Much of the Medicine NNC0519-0130 is in the Blood of People With Overweight or Obesity Who Receive 2 Preparations of the Medicine</t>
  </si>
  <si>
    <t>NCT06581432</t>
  </si>
  <si>
    <t>Beamion PANTUMOR-1: A Study to Test Whether Zongertinib Helps People With Advanced Cancers With HER2 Alterations</t>
  </si>
  <si>
    <t>NCT06585150</t>
  </si>
  <si>
    <t>Study of Obeldesivir to Treat Nonhospitalized Adults With Acute Respiratory Syncytial Virus (RSV) Infection</t>
  </si>
  <si>
    <t>NCT06641089</t>
  </si>
  <si>
    <t>Evaluation of Sonelokimab in Patients With Active Psoriatic Arthritis and Anti-TNFα Inadequate Response</t>
  </si>
  <si>
    <t>NCT06928779</t>
  </si>
  <si>
    <t>Effects of Hepatic Impairment on the Pharmacokinetics of Dazucorilant</t>
  </si>
  <si>
    <t>NCT05202353</t>
  </si>
  <si>
    <t>A Study in People With Obesity to Test the Effects of BI 456906 Compared With Semaglutide on Glucagon Receptor Activity in the Liver</t>
  </si>
  <si>
    <t>NCT06549530</t>
  </si>
  <si>
    <t>Open-label, Multicenter Immunogenicity and Safety Study of MVA-BN Vaccine in Children From 2 Years to Less Than 12 Years of Age Compared to Adults for the Prevention of Smallpox, Mpox, and Related Orthopoxvirus Infections</t>
  </si>
  <si>
    <t>Bavarian Nordic</t>
  </si>
  <si>
    <t>NCT06522828</t>
  </si>
  <si>
    <t>A Study to Evaluate SSGJ-707 in Advanced Gynecologic Cancer Patients</t>
  </si>
  <si>
    <t>NCT06683651</t>
  </si>
  <si>
    <t>A Study in Chinese Patients With Acquired Blepharoptosis</t>
  </si>
  <si>
    <t>Santen Pharmaceutical Co., Ltd.</t>
  </si>
  <si>
    <t>NCT06842966</t>
  </si>
  <si>
    <t>Efficacy, Safety, and Tolerability of 4-MUST Tablets in Chronic Cholecystitis and Biliary Dyskinesia</t>
  </si>
  <si>
    <t>NCT06619054</t>
  </si>
  <si>
    <t>A Study to Evaluate the Effect of Hepatic Impairment on the Pharmacokinetics of KP-001</t>
  </si>
  <si>
    <t>Kaken Pharmaceutical</t>
  </si>
  <si>
    <t>NCT06659757</t>
  </si>
  <si>
    <t>A Study to Investigate the Safety and Tolerability of Single and Multiple Ascending Doses of KIT2014 in Healthy Subjects</t>
  </si>
  <si>
    <t>Kither Biotech Srl</t>
  </si>
  <si>
    <t>NCT06625775</t>
  </si>
  <si>
    <t>Open-Label Study of BBO-10203 in Subjects With Advanced Solid Tumors</t>
  </si>
  <si>
    <t>NCT06568614</t>
  </si>
  <si>
    <t>An Investigational Study of BG-89894 Tablets in Participants With Advanced Solid Tumors</t>
  </si>
  <si>
    <t>NCT06607185</t>
  </si>
  <si>
    <t>A Study of the Pan-KRAS Inhibitor LY4066434 in Participants With KRAS Mutant Solid Tumors</t>
  </si>
  <si>
    <t>NCT06456593</t>
  </si>
  <si>
    <t>Efficacy and Safety of Obefazimod in Subjects With Moderately to Severely Active Crohn's Disease</t>
  </si>
  <si>
    <t>Abivax S.A.</t>
  </si>
  <si>
    <t>NCT05726682</t>
  </si>
  <si>
    <t>A Study to Investigate Use of Off-the-shelf Natural Killer (NK) Cells (SAR445419) in Allogeneic Hematopoietic Stem Cell Transplantation (HSCT)</t>
  </si>
  <si>
    <t>NCT06825624</t>
  </si>
  <si>
    <t>ARTEMIS-102: HS-20093 Combinations in Patients with Advanced Metastatic Colorectal Cancer</t>
  </si>
  <si>
    <t>NCT06668987</t>
  </si>
  <si>
    <t>A Study of the Boron Neutron Capture Therapy (BNCT) Using B10 L-BPA in Recurrent Meningioma</t>
  </si>
  <si>
    <t>Heron Neutron Medical Corp.</t>
  </si>
  <si>
    <t>NCT06049680</t>
  </si>
  <si>
    <t>Safety Study of SMOFlipid to Evaluate the Risk of Developing EFAD and/or PNAC in Pediatric and Adult Patients</t>
  </si>
  <si>
    <t>Fresenius Kabi</t>
  </si>
  <si>
    <t>NCT06538662</t>
  </si>
  <si>
    <t>An Investigation of FID 123320 for the Reduction of Ocular Redness in Pediatric and Adult Populations</t>
  </si>
  <si>
    <t>NCT06439563</t>
  </si>
  <si>
    <t>Study to Evaluate the Efficacy and Safety of JP-1366 in the Prevention of NSAIDs-Induced Peptic Ulcers</t>
  </si>
  <si>
    <t>Onconic Therapeutics Inc.</t>
  </si>
  <si>
    <t>NCT06594159</t>
  </si>
  <si>
    <t>A Study of LY4065967 in Healthy Japanese Participants</t>
  </si>
  <si>
    <t>NCT06475937</t>
  </si>
  <si>
    <t>A Study of DM001 in Patients With Advanced Solid Tumors</t>
  </si>
  <si>
    <t>Xadcera Biopharmaceutical (Suzhou) Co., Ltd.</t>
  </si>
  <si>
    <t>NCT06639997</t>
  </si>
  <si>
    <t>Safety and Tolerability of AZD5148 in Japanese Participants</t>
  </si>
  <si>
    <t>NCT06601517</t>
  </si>
  <si>
    <t>A Drug-Drug Interaction (DDI) Study of HDM1002 With Repaglinide, Atorvastatin, Digoxin and Rosuvastatin in Healthy Subjects and Overweight Subjects.</t>
  </si>
  <si>
    <t>NCT06639256</t>
  </si>
  <si>
    <t>Phase 1/2 Clinical Study of HY07121 Powder for Solution for Infusion in Patients With Advanced Solid Tumors</t>
  </si>
  <si>
    <t>NCT06681441</t>
  </si>
  <si>
    <t>A 3-way Cross-over Study on the Effects of QRL-101 on Transcranial Magnetic Stimulation and Nerve Excitability in Healthy Participants</t>
  </si>
  <si>
    <t>NCT06598943</t>
  </si>
  <si>
    <t>A Study of Eltrekibart and Mirikizumab in Adult Patients With Moderately to Severely Active Ulcerative Colitis</t>
  </si>
  <si>
    <t>NCT06671132</t>
  </si>
  <si>
    <t>Development and Evaluation of Computerized Chemosensory-Based Orbitofrontal Networks Training for Treatment of Pain (CBOT-P)</t>
  </si>
  <si>
    <t>Evon Medics LLC</t>
  </si>
  <si>
    <t>NCT06549114</t>
  </si>
  <si>
    <t>Leniolisib for Immune Dysregulation in PIDs</t>
  </si>
  <si>
    <t>Pharming Technologies B.V.</t>
  </si>
  <si>
    <t>NCT06288230</t>
  </si>
  <si>
    <t>An Open Label Study of Gene Therapy Product (Vesemnogene Lantuparvovec) in Spinal Muscular Atrophy</t>
  </si>
  <si>
    <t>NCT06619392</t>
  </si>
  <si>
    <t>A Single Dose Escalation Trial of HRS-2129 in Healthy Subjects</t>
  </si>
  <si>
    <t>NCT06633757</t>
  </si>
  <si>
    <t>Study of Inhaled RCT1100 in Adults With PCD Caused by Pathogenic Mutations in the DNAI1 Gene to Measure Mucociliary Clearance</t>
  </si>
  <si>
    <t>NCT06596772</t>
  </si>
  <si>
    <t>A Study to Compare Efficacy, Pharmacokinetics, Safety and Immunogenicity of MB04 [proposed Etanercept Biosimilar] to Enbrel® [EU-sourced] in Rheumatoid Arthritis</t>
  </si>
  <si>
    <t>NCT06704581</t>
  </si>
  <si>
    <t>A Study of BGM0504 Injection in Participants with Obesity or Overweight</t>
  </si>
  <si>
    <t>BrightGene New Bio-Medical Technology(Wuxi) Co.Ltd.</t>
  </si>
  <si>
    <t>NCT06613139</t>
  </si>
  <si>
    <t>Bioequivalence Study Between YHP2305 and YHR2404 in Healthy Volunteers</t>
  </si>
  <si>
    <t>NCT06815965</t>
  </si>
  <si>
    <t>A Clinical Study of Neflamapimod in Patients With Dementia With Lewy Bodies</t>
  </si>
  <si>
    <t>EIP Pharma Inc</t>
  </si>
  <si>
    <t>NCT06735391</t>
  </si>
  <si>
    <t>A Clinical Study of JMT101 in Combination With Osimertinib Versus Osimertinib Alone as First-Line Treatment for Patients With Locally Advanced or Metastatic Non-Squamous Non-Small Cell Lung Cancer (NSCLC) Harboring Epidermal Growth Factor Receptor (EGFR) Sensitive Mutations</t>
  </si>
  <si>
    <t>NCT06649110</t>
  </si>
  <si>
    <t>A Study to Learn About the Treatment LTP001 in Healthy Participants (Part A) and in Participants With PAH (Part B)</t>
  </si>
  <si>
    <t>NCT06660563</t>
  </si>
  <si>
    <t>A Study of JNJ-80948543 in Combination With Other CD3 T-Cell Engagers in Participants With Relapsed/Refractory B-Cell Non-Hodgkin Lymphoma (R/R B-Cell NHL)</t>
  </si>
  <si>
    <t>NCT06663332</t>
  </si>
  <si>
    <t>A Long-term Extension (LTE) Study of Guselkumab in Pediatric Participants</t>
  </si>
  <si>
    <t>NCT06607016</t>
  </si>
  <si>
    <t>A Clinical Trial With KJ103 in Anti-GBM Disease</t>
  </si>
  <si>
    <t>NCT06593938</t>
  </si>
  <si>
    <t>A Study to Evaluate the Efficacy and Safety of Oral HRS-5965 in Adult Paroxysmal Nocturnal Hemoglobinuria (PNH) Patients Who Are Naive to Complement Inhibitor Therapy</t>
  </si>
  <si>
    <t>NCT06535308</t>
  </si>
  <si>
    <t>BnH-015B Clinical Trial in Moderate Alzheimer's Disease</t>
  </si>
  <si>
    <t>BnH Research</t>
  </si>
  <si>
    <t>NCT06670209</t>
  </si>
  <si>
    <t>A Phase I Clinical Study to Evaluate the Effect of GZR18 Injection on the Pharmacokinetics of Oral Metformin Hydrochloride Tablets in Overweight/Obese Subjects</t>
  </si>
  <si>
    <t>NCT06341647</t>
  </si>
  <si>
    <t>Phase 1 Clinical Trial to Evaluate the Safety and Anti-Tumor Activity of AB-201</t>
  </si>
  <si>
    <t>GC Cell Corporation</t>
  </si>
  <si>
    <t>NCT06640933</t>
  </si>
  <si>
    <t>A Study to Find Out How Different Forms of BIIB091 is Processed in The Body With and Without Food in Healthy Participants</t>
  </si>
  <si>
    <t>NCT05417789</t>
  </si>
  <si>
    <t>Study of Emactuzumab for Tenosynovial Giant Cell Tumor (TGCT)</t>
  </si>
  <si>
    <t>SynOx Therapeutics Limited</t>
  </si>
  <si>
    <t>NCT06589817</t>
  </si>
  <si>
    <t>A Double-Blind, Randomized Comparative Study of Carliprazine and Aripiprazole in Patients with Acute Schizophrenia</t>
  </si>
  <si>
    <t>Chengdu Kanghong Pharmaceutical Group Co., Ltd.</t>
  </si>
  <si>
    <t>NCT06642584</t>
  </si>
  <si>
    <t>A Research Study Looking at New Protein-based Tablets in Healthy Men - Oral Formulation IV</t>
  </si>
  <si>
    <t>NCT06628908</t>
  </si>
  <si>
    <t>Evaluation of Efficacy and Safety of Suzetrigine for Pain Associated With Diabetic Peripheral Neuropathy</t>
  </si>
  <si>
    <t>NCT06649045</t>
  </si>
  <si>
    <t>A Master Protocol for Orforglipron in Participants With Obstructive Sleep Apnea and Obesity or Overweight</t>
  </si>
  <si>
    <t>NCT06679270</t>
  </si>
  <si>
    <t>Open-label Extension Study to Evaluate Metreleptin in Patients With Partial Lipodystrophy</t>
  </si>
  <si>
    <t>NCT06600022</t>
  </si>
  <si>
    <t>Aims to Explore the Safety, Tolerability, and Preliminary Efficacy of SCTB41 in Adult Patients with Advanced Malignant Solid Tumours.</t>
  </si>
  <si>
    <t>NCT06692764</t>
  </si>
  <si>
    <t>A Study to Assess the Effect of AZD0780 on Ambulatory Blood Pressure</t>
  </si>
  <si>
    <t>NCT06598800</t>
  </si>
  <si>
    <t>Study of BG-T187 Alone and in Combination With Other Therapeutic Agents in Participants With Advanced Solid Tumors</t>
  </si>
  <si>
    <t>NCT06650852</t>
  </si>
  <si>
    <t>A Study to Evaluate the Efficacy and Safety of Combination Therapy of BRII-179, BRII-835 and PEG-IFNα in Participants With Chronic Hepatitis B Virus (HBV) Infection (ENHANCE)</t>
  </si>
  <si>
    <t>NCT06564441</t>
  </si>
  <si>
    <t>A Study to Test Whether BI 456906 (Survodutide) Influences the Amount of Bupropion, Caffeine and Midazolam in the Blood in People With Overweight or Obesity</t>
  </si>
  <si>
    <t>NCT06598631</t>
  </si>
  <si>
    <t>Efficacy and Safety of Volenrelaxin in Adults With Chronic Kidney Disease</t>
  </si>
  <si>
    <t>NCT06616766</t>
  </si>
  <si>
    <t>A Phase 1/2, Open-label, Multicenter, FIH Study to Evaluate Safety, Tolerability, PK and Anti-tumor Activity of YH42946</t>
  </si>
  <si>
    <t>NCT06623422</t>
  </si>
  <si>
    <t>A Study of Pembrolizumab (MK-3475) With or Without Intismeran Autogene (V940) in Participants With Non-small Cell Lung Cancer (V940-009/INTerpath-009)</t>
  </si>
  <si>
    <t>NCT06597422</t>
  </si>
  <si>
    <t>A Study of STSP-0902 Ophthalmic Solution in Healthy Subjects</t>
  </si>
  <si>
    <t>NCT06461286</t>
  </si>
  <si>
    <t>SAD of IVT PYC-001 in OPA1 Mutation-Associated Autosomal Dominant Optic Atrophy (Sundew)</t>
  </si>
  <si>
    <t>NCT06515314</t>
  </si>
  <si>
    <t>HRYZ-T102 TCR-T Cell for AFP Positive Advanced HCC and Other Solid Tumors</t>
  </si>
  <si>
    <t>Shanghai Ruiliyuan Biotechnology Co., Ltd.</t>
  </si>
  <si>
    <t>NCT06613152</t>
  </si>
  <si>
    <t>HS-IT201 Injection in the Treatment of Advanced Solid Tumors</t>
  </si>
  <si>
    <t>NCT06652958</t>
  </si>
  <si>
    <t>A Study to Assess the Safety and Pharmacokinetics of a Human Monoclonal Antibody (VH4527079) in Healthy Adults and Persons With HIV</t>
  </si>
  <si>
    <t>NCT06450886</t>
  </si>
  <si>
    <t>Long-term Extension Study of Ulviprubart (ABC008) in Subjects With Inclusion Body Myositis</t>
  </si>
  <si>
    <t>Abcuro, Inc.</t>
  </si>
  <si>
    <t>NCT06633783</t>
  </si>
  <si>
    <t>A Phase III Study Comparing the Weight Loss Effects of Semaglutide Injection and Wegovy®</t>
  </si>
  <si>
    <t>Hangzhou Jiuyuan Gene Engineering Co. Ltd.,</t>
  </si>
  <si>
    <t>NCT06650566</t>
  </si>
  <si>
    <t>Study of LM-299 in Subjects Advanced Malignant Tumors</t>
  </si>
  <si>
    <t>LaNova Medicines Limited</t>
  </si>
  <si>
    <t>NCT06433219</t>
  </si>
  <si>
    <t>Tuvusertib Combined With Niraparib or Lartesertib in Participants With Epithelial Ovarian Cancer (DDRiver EOC 302)</t>
  </si>
  <si>
    <t>NCT06655597</t>
  </si>
  <si>
    <t>Efficacy of a Dietary Supplement Powder Formula (Daily Ultimate Essentials) in an Adult Population.</t>
  </si>
  <si>
    <t>Prenetics Global</t>
  </si>
  <si>
    <t>NCT06937697</t>
  </si>
  <si>
    <t>Clinical of Hypersensitivity Reduction Efficacy on Two Toothpastes</t>
  </si>
  <si>
    <t>NCT06510374</t>
  </si>
  <si>
    <t>Trial of Nadofaragene Firadenovec vs. Observation in Participants With Intermediate Risk Non-Muscle Invasive Bladder Cancer</t>
  </si>
  <si>
    <t>NCT06513312</t>
  </si>
  <si>
    <t>Study of Lenacapavir Taken Twice a Year for HIV Pre-Exposure Prophylaxis (PrEP)</t>
  </si>
  <si>
    <t>NCT06403267</t>
  </si>
  <si>
    <t>NoNO-42 Trial in Acute Ischemic Stroke Patients Selected for Thrombolysis With or Without Endovascular Thrombectomy</t>
  </si>
  <si>
    <t>NoNO Inc.</t>
  </si>
  <si>
    <t>NCT06578949</t>
  </si>
  <si>
    <t>Efficacy, Safety, Pharmacokinetics, Pharmacodynamics, and Immunogenicity of Ravulizumab in Chinese Adults Participants With Paroxysmal Nocturnal Hemoglobinuria (PNH)</t>
  </si>
  <si>
    <t>NCT06663176</t>
  </si>
  <si>
    <t>Nebulised RESP30X Nitric Oxide Formulations in NCFB Patients With Pseudomonas Aeruginosa (Pa)</t>
  </si>
  <si>
    <t>Thirty Respiratory Limited</t>
  </si>
  <si>
    <t>NCT06541704</t>
  </si>
  <si>
    <t>A Study Investigating Subcutaneously Administered Pozelimab in Combination With Cemdisiran or Cemdisiran Alone in Adult Participants With Geographic Atrophy</t>
  </si>
  <si>
    <t>NCT07364669</t>
  </si>
  <si>
    <t>Pharmacokinetic and Pharmacodynamic Effects of Insulex® R in Comparison to Humulin® R in Healthy Subjects</t>
  </si>
  <si>
    <t>Laboratorios Pisa S.A. de C.V.</t>
  </si>
  <si>
    <t>NCT06645938</t>
  </si>
  <si>
    <t>A Study to Learn How Different Tablets of the Study Medicine Vepdegestrant Are Taken up Into the Blood in Healthy Adults</t>
  </si>
  <si>
    <t>NCT06440252</t>
  </si>
  <si>
    <t>Effectiveness of a Grape Seed Extract on Circulatory Measures in Healthy Adults</t>
  </si>
  <si>
    <t>NCT07253207</t>
  </si>
  <si>
    <t>Efficacy and Safety Study of Levomilnacipran Hydrochloride Extended-Release Capsules in Major Depressive Disorder</t>
  </si>
  <si>
    <t>Zhejiang Huahai Pharmaceutical Co., Ltd.</t>
  </si>
  <si>
    <t>NCT06684379</t>
  </si>
  <si>
    <t>Study on Safety and Efficacy of Two Doses of PRS CK STORM in the Modulation of the Cytokine Storm for the Treatment of Acute Respiratory Distress Syndrome (ARDS) Caused by SARS-Cov-2, Influenza A, Influenza B and Respiratory Syncytial Virus (RSV)</t>
  </si>
  <si>
    <t>PEACHES BIOTECH</t>
  </si>
  <si>
    <t>NCT06602284</t>
  </si>
  <si>
    <t>A Full Face Study to Evaluate the Efficacy of Dermapen 4™ Microneedling Device in Addition with MG-CLR Serum for Acne Treatment Over 12 Weeks.</t>
  </si>
  <si>
    <t>Equipmed USA LLC</t>
  </si>
  <si>
    <t>NCT06591520</t>
  </si>
  <si>
    <t>AK112 Combined With Chemotherapy Versus Durvalumab Combined With Chemotherapy in Advanced Biliary Tract Cancer</t>
  </si>
  <si>
    <t>NCT06553768</t>
  </si>
  <si>
    <t>Evaluation of Maralixibat in Pruritus Associated With General Cholestatic Liver Disease (EXPAND)</t>
  </si>
  <si>
    <t>Mirum Pharmaceuticals, Inc.</t>
  </si>
  <si>
    <t>NCT06673108</t>
  </si>
  <si>
    <t>Vaginal Photobiomodulation for Chronic Pelvic Pain</t>
  </si>
  <si>
    <t>SoLa Pelvic Therapy</t>
  </si>
  <si>
    <t>NCT06693843</t>
  </si>
  <si>
    <t>A Phase 2b, Dose-range Finding Study of the Efficacy and Safety of Multiple Doses of Aleniglipron (GSBR-1290) in Participants Living With Obesity or Overweight With at Least One Weight-related Comorbidity</t>
  </si>
  <si>
    <t>Gasherbrum Bio, Inc., a wholly owned subsidiary of Structure Therapeutics</t>
  </si>
  <si>
    <t>NCT06602193</t>
  </si>
  <si>
    <t>Safety and Pharmacodynamic Effects of BIIB122 in Participants With LRRK2-Associated Parkinson's Disease (LRRK2-PD)</t>
  </si>
  <si>
    <t>NCT06577935</t>
  </si>
  <si>
    <t>A Trial Evaluating Efficacy of AGA2118 in PostMenopausal Women wIth Low Bone MasS (ARTEMIS)</t>
  </si>
  <si>
    <t>Angitia Biopharmaceuticals</t>
  </si>
  <si>
    <t>NCT06605222</t>
  </si>
  <si>
    <t>A Trial of SHR-7787 Injection in Patients With Advanced Solid Tumors</t>
  </si>
  <si>
    <t>NCT06456528</t>
  </si>
  <si>
    <t>QL0911 for the Treatment of Cancer Treatment-Induced Thrombocytopenia</t>
  </si>
  <si>
    <t>NCT06490939</t>
  </si>
  <si>
    <t>Clinical Trial of Efepoetin Alfa in Healthy Subjects</t>
  </si>
  <si>
    <t>NCT06525311</t>
  </si>
  <si>
    <t>A Study to Evaluate the Pharmacokinetics and Safety of K-808 (Pemafibrate) in Subjects With Primary Biliary Cholangitis With Compensated Cirrhosis and Without Cirrhosis.</t>
  </si>
  <si>
    <t>NCT06693375</t>
  </si>
  <si>
    <t>To Evaluate Dose and Safety of NanoEcho Particle-1 Using NanoEcho Imaging Device Examinations of Rectal Lymph Nodes in Healthy Volunteers and Rectal Cancer Patients.</t>
  </si>
  <si>
    <t>NanoEcho AB</t>
  </si>
  <si>
    <t>NCT06636071</t>
  </si>
  <si>
    <t>Setrusumab in Pediatric Japanese Subjects With Osteogenesis Imperfecta</t>
  </si>
  <si>
    <t>NCT06545916</t>
  </si>
  <si>
    <t>Study of Sunobinop on Alcohol Consumption in Alcohol Use Disorder</t>
  </si>
  <si>
    <t>Imbrium Therapeutics</t>
  </si>
  <si>
    <t>NCT06637371</t>
  </si>
  <si>
    <t>A Phase 1, Randomized, Double-blind, Placebo-controlled Study Evaluating AMG 691 in Healthy Participants and Participants With Mild-to-Moderate Asthma</t>
  </si>
  <si>
    <t>NCT06473961</t>
  </si>
  <si>
    <t>A Phase Ib Study of GC101 in NSCLC</t>
  </si>
  <si>
    <t>NCT06602479</t>
  </si>
  <si>
    <t>A Study to Investigate the Safety and Efficacy of MEDI0618 Compared to Placebo in Adult Participants With Episodic Migraine</t>
  </si>
  <si>
    <t>NCT06634797</t>
  </si>
  <si>
    <t>A Study to Investigate Cardiac Troponin Levels After mRNA-1273.712 Vaccine in Participants 12 Through 30 Years of Age</t>
  </si>
  <si>
    <t>NCT06670950</t>
  </si>
  <si>
    <t>A Phase 1 Single Dose and Multiple Ascending Dose Study to Assess the Relative Bioavailability, Food Effect, Safety, Tolerability and Pharmacokinetics of SYT-510 in Healthy Participants</t>
  </si>
  <si>
    <t>Synendos Therapeutics AG</t>
  </si>
  <si>
    <t>NCT06774859</t>
  </si>
  <si>
    <t>Study to Assess the Safety, Pharmacokinetics, and Efficacy of Baloxavir Marboxil in Chinese Pediatric Participants 1 to &lt;12 Years of Age With Influenza Symptoms</t>
  </si>
  <si>
    <t>NCT06772246</t>
  </si>
  <si>
    <t>A Study to Evaluate QTc Prolongation With Quizartinib in Healthy Subjects Under Rapid Acceleration of Heart Rate</t>
  </si>
  <si>
    <t>NCT06340581</t>
  </si>
  <si>
    <t>A Study to Assess the Lung Exposure Bioequivalence of Budesonide, Glycopyrronium, &amp; Formoterol (BGF) Metered Dose Inhaler (MDI) With a Next-generation Propellant (NGP) With a Spacer, BGF MDI Hydrofluoroalkane (HFA) With a Spacer, as Well as BGF MDI NGP Without a Spacer</t>
  </si>
  <si>
    <t>NCT06494527</t>
  </si>
  <si>
    <t>A Phase 1 Study to Evaluate the Safety/Tolerability, PK/PD of RG002C0106 Injection in Healthy Adults</t>
  </si>
  <si>
    <t>Rigerna Therapeutics Co., Ltd.; Rigerna Therapeutics (Beijing) Co., Ltd.</t>
  </si>
  <si>
    <t>NCT06562296</t>
  </si>
  <si>
    <t>Study Evaluating Several CAMPs in Nonhealing Diabetic Foot and Venous Leg Ulcers</t>
  </si>
  <si>
    <t>Cellution Biologics</t>
  </si>
  <si>
    <t>NCT06779851</t>
  </si>
  <si>
    <t>A Study to Evaluate Safety and Tolerability of BPT567 in Patients With Advanced Solid Tumors</t>
  </si>
  <si>
    <t>Bright Peak Therapeutics Inc</t>
  </si>
  <si>
    <t>NCT06701396</t>
  </si>
  <si>
    <t>Evaluating the Effects of Tasimelteon Vs. Placebo in Delayed Sleep-Wake Phase Disorder (DSWPD) and the CRY1Δ11 Variant</t>
  </si>
  <si>
    <t>NCT06655870</t>
  </si>
  <si>
    <t>A Study to Investigate Safety and Tolerability of mRNA-0184 Administered Subcutaneously in Healthy Participants</t>
  </si>
  <si>
    <t>NCT06780930</t>
  </si>
  <si>
    <t>Phase 3 Study of Vorasidenib (S095032/AG-881) in Asian Participants With Residual or Recurrent Grade 2 Glioma With an IDH1 orIDH2 Mutation</t>
  </si>
  <si>
    <t>Servier</t>
  </si>
  <si>
    <t>NCT06635057</t>
  </si>
  <si>
    <t>A Study of Tirzepatide (LY3298176) in Participants With Type 2 Diabetes During Ramadan</t>
  </si>
  <si>
    <t>NCT06663319</t>
  </si>
  <si>
    <t>A Study of JNJ-89402638 for Metastatic Colorectal and Gastric Cancers</t>
  </si>
  <si>
    <t>NCT06667141</t>
  </si>
  <si>
    <t>Phase 1 Study of ACR-2316 in Specific Advanced Solid Tumors</t>
  </si>
  <si>
    <t>Acrivon Therapeutics</t>
  </si>
  <si>
    <t>NCT06673667</t>
  </si>
  <si>
    <t>First-in-human Study of Orally Administered KT-621 in Healthy Adult Participants</t>
  </si>
  <si>
    <t>Kymera Therapeutics, Inc.</t>
  </si>
  <si>
    <t>NCT06655896</t>
  </si>
  <si>
    <t>Phase 2 Study Evaluating Rapcabtagene Autoleucel in Participants With Diffuse Cutaneous Systemic Sclerosis</t>
  </si>
  <si>
    <t>NCT06726850</t>
  </si>
  <si>
    <t>Clinical Study to Evaluate the Efficacy and Safety of GS1-144 Tablets in the Treatment of Moderate to Severe Vasomotor Symptoms in Chinese Postmenopausal Women.</t>
  </si>
  <si>
    <t>NCT06361836</t>
  </si>
  <si>
    <t>Study of Single Doses of SBT777101 in Subjects With Hidradenitis Suppurativa</t>
  </si>
  <si>
    <t>NCT06740825</t>
  </si>
  <si>
    <t>Study to Assess the Effect of a CYP3A Weak Inducer Rufinamide on Quizartinib Pharmacokinetics in Healthy Subjects</t>
  </si>
  <si>
    <t>NCT07236476</t>
  </si>
  <si>
    <t>Identify Effective Doses of LY01021 in Controlled Ovarian Hyperstimulation (COH) for Female Subjects Undergoing Assisted Reproductive Technology (ART)</t>
  </si>
  <si>
    <t>NCT06597058</t>
  </si>
  <si>
    <t>Phase 2 Estimation Study of Fixed Dose Drugs Combination Type of Polypill</t>
  </si>
  <si>
    <t>Noah Pharmaceuticals, Inc.</t>
  </si>
  <si>
    <t>NCT06618196</t>
  </si>
  <si>
    <t>Study to Evaluate the Immunogenicity of LR20062 Compared to Control When Administered Intramuscularly in Healthy Infants At 2, 4, 6 Months of Age</t>
  </si>
  <si>
    <t>NCT06589596</t>
  </si>
  <si>
    <t>An Investigational Study of BGB-58067 As a Single Agent and in Combination With Anticancer Agents in Participants With Advanced Solid Tumors</t>
  </si>
  <si>
    <t>NCT06611423</t>
  </si>
  <si>
    <t>AZD3427 Effects on Renal Perfusion in Heart Failure Patients With Reduced Ejection Fraction and Renal Impairment</t>
  </si>
  <si>
    <t>NCT06246552</t>
  </si>
  <si>
    <t>Clinical Trial to Evaluate the Safety and Efficacy of JTM201 to Treat Moderate or Severe Glabellar Lines</t>
  </si>
  <si>
    <t>Jetema USA Inc.</t>
  </si>
  <si>
    <t>NCT06594874</t>
  </si>
  <si>
    <t>A Phase Ib Study of HS-10370 in Addition to Other Anti-cancer Therapies in Participants with KRAS G12C Mutation Advanced Solid Tumors</t>
  </si>
  <si>
    <t>NCT06662227</t>
  </si>
  <si>
    <t>Universal CAR-T Cells (REVO-UWD-19) for Refractory and Relapsed B-Cell Tumors</t>
  </si>
  <si>
    <t>Wondercel Biotech (ShenZhen)</t>
  </si>
  <si>
    <t>NCT06635850</t>
  </si>
  <si>
    <t>A Study of Mosliciguat in PH-ILD</t>
  </si>
  <si>
    <t>Pulmovant, Inc.</t>
  </si>
  <si>
    <t>NCT06619873</t>
  </si>
  <si>
    <t>A Phase 1, Randomized, Crossover Study to Evaluate the Relative Bioavailability and Food Effect of HRS-8080 in Healthy Subjects</t>
  </si>
  <si>
    <t>NCT06629779</t>
  </si>
  <si>
    <t>A Study to Learn How PF-06821497 (Mevrometostat) Works in Men With Metastatic Castration-resistant Prostate Cancer.</t>
  </si>
  <si>
    <t>NCT06630286</t>
  </si>
  <si>
    <t>Study to Compare an Oral Weekly Islatravir/Lenacapavir Regimen With Bictegravir/Emtricitabine/Tenofovir Alafenamide in Virologically Suppressed People With HIV-1</t>
  </si>
  <si>
    <t>NCT06598787</t>
  </si>
  <si>
    <t>A Study of BL-B01D1 in Patients With Recurrent Glioblastoma</t>
  </si>
  <si>
    <t>NCT06645704</t>
  </si>
  <si>
    <t>An Open-Label Phase 1 Study in Healthy Male Subjects to Investigate the Absorption, Metabolism and Excretion of [14C]-EP262 Following Single-Dose Oral Administration</t>
  </si>
  <si>
    <t>Escient Pharmaceuticals, Inc</t>
  </si>
  <si>
    <t>NCT06582602</t>
  </si>
  <si>
    <t>A Study of MK-2060 in Healthy Participants (MK-2060-016)</t>
  </si>
  <si>
    <t>NCT06673238</t>
  </si>
  <si>
    <t>A Study to Assess How the Drug Moves Through the Body, Adverse Events, and Tolerability of Oral ABBV-722 Capsules of Single and Multiple Ascending Doses in Adult Participants and Single Doses in Adult Asian Participants</t>
  </si>
  <si>
    <t>NCT06631417</t>
  </si>
  <si>
    <t>A Study in Healthy People to Test How 2 Different Doses of BI 1291583 Are Taken up in the Body When Given in 3 Different Formulations</t>
  </si>
  <si>
    <t>NCT06648824</t>
  </si>
  <si>
    <t>Study of How Mitapivat Affects Midazolam Blood Levels in Healthy Participants</t>
  </si>
  <si>
    <t>NCT06509906</t>
  </si>
  <si>
    <t>M9466 in Combination With Topoisomerase 1 Inhibitors-based Regimens in Advanced Solid Tumors and Colorectal Cancer (DDRiver 511)</t>
  </si>
  <si>
    <t>NCT06559176</t>
  </si>
  <si>
    <t>A Study of the Safety and Efficacy of Prime Editing (PM359) in Participants With p47phox Autosomal Recessive Chronic Granulomatous Disease (CGD )</t>
  </si>
  <si>
    <t>Prime Medicine, Inc.</t>
  </si>
  <si>
    <t>NCT06573814</t>
  </si>
  <si>
    <t>The Effects of Bio Gelee Royale Forte on Immune Health in Healthy Adults</t>
  </si>
  <si>
    <t>Medex d.o.o.</t>
  </si>
  <si>
    <t>NCT06613685</t>
  </si>
  <si>
    <t>Study of Oral Weekly GS-1720 and GS-4182 Compared With Biktarvy in People With HIV-1 Who Have Not Been Treated</t>
  </si>
  <si>
    <t>NCT05803785</t>
  </si>
  <si>
    <t>Safety of BBC1501 Intravitreal Injection in Patients With Neovascular Age-Related Macular Degeneration (nAMD)</t>
  </si>
  <si>
    <t>Benobio Co., Ltd.</t>
  </si>
  <si>
    <t>NCT06671938</t>
  </si>
  <si>
    <t>Safety, Tolerability, and Pharmacokinetics of Exidavnemab in Patients With Parkinson's Disease and Patients With Multiple System Atrophy</t>
  </si>
  <si>
    <t>BioArctic AB</t>
  </si>
  <si>
    <t>NCT06644378</t>
  </si>
  <si>
    <t>A Study of [14C]-LY3866288 in Healthy Participants</t>
  </si>
  <si>
    <t>NCT06271538</t>
  </si>
  <si>
    <t>Evaluation of Efficacy of Skål Pro Powder on Symptoms of Irritable Bowel Syndrome</t>
  </si>
  <si>
    <t>EP Plus Group Sdn Bhd</t>
  </si>
  <si>
    <t>NCT06625515</t>
  </si>
  <si>
    <t>First-in-Human Study of ATX-559, an Oral Inhibitor of DHX9, in Patients With Advanced or Metastatic Solid Tumors, and Molecularly Defined Cancers</t>
  </si>
  <si>
    <t>Accent Therapeutics</t>
  </si>
  <si>
    <t>NCT06617715</t>
  </si>
  <si>
    <t>Clinical Trial of 13-Valent Pneumococcal Conjugate Vaccine</t>
  </si>
  <si>
    <t>NCT06625320</t>
  </si>
  <si>
    <t>Phase 3 Study of Daraxonrasib (RMC-6236) in Patients With Previously Treated Metastatic Pancreatic Ductal Adenocarcinoma (PDAC)</t>
  </si>
  <si>
    <t>NCT06608329</t>
  </si>
  <si>
    <t>A Relative Bioavailability and Food Effect Study of HDM1002 in Healthy Subjects</t>
  </si>
  <si>
    <t>NCT06619483</t>
  </si>
  <si>
    <t>A Study to Learn How Safe BAY3018250 is, How it Moves Into, Through and Out of the Body, and How it Affects the Body in Healthy Chinese Participants</t>
  </si>
  <si>
    <t>NCT06598956</t>
  </si>
  <si>
    <t>To Evaluate the Pharmacokinetics and Safety of TQ05105 Tablet in Renal Impairment Subjects</t>
  </si>
  <si>
    <t>NCT06641037</t>
  </si>
  <si>
    <t>A Study of LY3866288 in Healthy Participants</t>
  </si>
  <si>
    <t>NCT06581575</t>
  </si>
  <si>
    <t>A Phase 2 Study to Evaluate JCXH-105, an srRNA-based Herpes Zoster Vaccine</t>
  </si>
  <si>
    <t>NCT06596473</t>
  </si>
  <si>
    <t>A Study of BG-C477 in Participants With Advanced Solid Tumors</t>
  </si>
  <si>
    <t>NCT06634394</t>
  </si>
  <si>
    <t>APVO436 Phase 1b/2 Study in Patients With Newly Diagnosed AML</t>
  </si>
  <si>
    <t>Aptevo Therapeutics</t>
  </si>
  <si>
    <t>NCT06504394</t>
  </si>
  <si>
    <t>A Study to Evaluate the Safety and Efficacy of Pembrolizumab (MK-3475) Coformulated With Berahyaluronidase Alfa (MK-3475A) in Participants With Relapsed or Refractory Classical Hodgkin Lymphoma (rrcHL) or Relapsed or Refractory Primary Mediastinal Large B-cell Lymphoma (rrPMBCL)(MK-3475A-F65)</t>
  </si>
  <si>
    <t>NCT06627478</t>
  </si>
  <si>
    <t>Study to Demonstrate Pharmacokinetic and Pharmacodynamic Similarity Between NKF-INS Glargine (G), United States (US)-Lantus®, and European Union (EU)-Lantus®</t>
  </si>
  <si>
    <t>NCT06528093</t>
  </si>
  <si>
    <t>A Study to Find a Suitable Dose of BI 765883 and to Test Whether it Helps People With Advanced Pancreatic Cancer When Taken Alone or Together With Chemotherapy</t>
  </si>
  <si>
    <t>NCT06605950</t>
  </si>
  <si>
    <t>A Study to Assess the Safety, Tolerability and Pharmacokinetics (PK) of Xanomeline With Trospium Chloride Versus KarXT in Healthy Adult and Elderly Participants of Japanese Ethnicity and to Assess the Effect of Omeprazole on the PK of Xanomeline With Trospium Chloride in Healthy Adult Participants</t>
  </si>
  <si>
    <t>NCT06651567</t>
  </si>
  <si>
    <t>A Study to Assess the Efficacy and Safety of ITI-1284 in the Treatment of Agitation Associated With Alzheimer's Dementia</t>
  </si>
  <si>
    <t>NCT06555744</t>
  </si>
  <si>
    <t>A Study of ZW191 in Participants With Solid Tumors</t>
  </si>
  <si>
    <t>NCT06596668</t>
  </si>
  <si>
    <t>Drug-Drug Interaction Study of Bomedemstat and Carbamazepine in Healthy Adult Participants (MK-3543-020)</t>
  </si>
  <si>
    <t>NCT06637254</t>
  </si>
  <si>
    <t>A Study to Evaluate the Efficacy and Safety of HSK31858 Tablets in Patients with Bronchial Asthma</t>
  </si>
  <si>
    <t>NCT06531941</t>
  </si>
  <si>
    <t>Extension Study to Evaluate the Long-Term Safety and Tolerability of MBX 2109 in Patients With Hypoparathyroidism</t>
  </si>
  <si>
    <t>NCT06613373</t>
  </si>
  <si>
    <t>An Exploratory Clinical Study of CDK4/6i Dalpiciclib Combined With AI Neoadjuvant Therapy for Stage II-III HR+/HER2- Breast Cancer</t>
  </si>
  <si>
    <t>Jiangsu Famous Medical Technology Co., Ltd.</t>
  </si>
  <si>
    <t>NCT06377930</t>
  </si>
  <si>
    <t>Study Evaluating the Safety and Efficacy of RAP-219 in Adult Participants With Refractory Focal Epilepsy</t>
  </si>
  <si>
    <t>Rapport Therapeutics Inc.</t>
  </si>
  <si>
    <t>NCT06409663</t>
  </si>
  <si>
    <t>A Strain Change Study for SARS-CoV-2 rS Vaccines</t>
  </si>
  <si>
    <t>NCT05484154</t>
  </si>
  <si>
    <t>Efficacy and Safety Evaluation of 3K3A-APC in Ischemic Stroke</t>
  </si>
  <si>
    <t>ZZ Biotech, LLC</t>
  </si>
  <si>
    <t>NCT06631430</t>
  </si>
  <si>
    <t>A Study to Test How Well Different Doses of BI 3810477 Are Tolerated by Healthy Men</t>
  </si>
  <si>
    <t>NCT06505031</t>
  </si>
  <si>
    <t>A Study of TAK-861 in People With Narcolepsy Type 1</t>
  </si>
  <si>
    <t>NCT06669117</t>
  </si>
  <si>
    <t>FIH Trial of VERT-002 in Patients With Locally Advanced or Metastatic Solid Tumors With MET Alterations</t>
  </si>
  <si>
    <t>NCT06617169</t>
  </si>
  <si>
    <t>Dose-Escalation of MNPR-101-PCTA-177Lu in Solid Tumors</t>
  </si>
  <si>
    <t>NCT06600282</t>
  </si>
  <si>
    <t>Bioequivalence of Two Formulations of Parecoxib in Healthy Volunteers Under Fasting Conditions</t>
  </si>
  <si>
    <t>Yung Shin Pharm. Ind. Co., Ltd.</t>
  </si>
  <si>
    <t>NCT06597760</t>
  </si>
  <si>
    <t>A Clinical Study to Assess the Effect of Enlicitide on How the Body Processes Digoxin in Healthy Adult Participants (MK-0616-031)</t>
  </si>
  <si>
    <t>NCT06649773</t>
  </si>
  <si>
    <t>The Experiment of Noiiglutide Injection in Type 2 Diabetes Patients</t>
  </si>
  <si>
    <t>NCT06653010</t>
  </si>
  <si>
    <t>Universal CAR-T Cells (REVO-UWD-01) for Metastatic Colorectal Cancer</t>
  </si>
  <si>
    <t>NCT06625489</t>
  </si>
  <si>
    <t>A Study to Evaluate the Safety, Tolerability and Blood Levels of GSK3915393 Administered to Healthy Participants of Chinese, Japanese and European Ancestry and to Assess Effects of GSK3915393 on Nintedanib</t>
  </si>
  <si>
    <t>NCT06662123</t>
  </si>
  <si>
    <t>Pharmacokinetic and Safety Study of Subcutaneous and Intravenous Anifrolumab Delivered in Healthy Adult Participants</t>
  </si>
  <si>
    <t>NCT06630247</t>
  </si>
  <si>
    <t>A Dose-escalation, Dose-finding, and Expansion Study of XL495 in Participants With Locally Advanced or Metastatic Solid Tumors</t>
  </si>
  <si>
    <t>NCT06657560</t>
  </si>
  <si>
    <t>Pharmacokinetics, Dialysability and Safety of HRS-9231 in Healthy Volunteers and in Patients With Impaired Renal Function</t>
  </si>
  <si>
    <t>NCT06382155</t>
  </si>
  <si>
    <t>A Phase 2 Study of Vosoritide in Children With Idiopathic Short Stature</t>
  </si>
  <si>
    <t>NCT06561048</t>
  </si>
  <si>
    <t>Soquelitinib vs Standard of Care in Participants With Relapsed/Refractory Peripheral T-cell Lymphoma Not Otherwise Specified, Follicular Helper T-cell Lymphomas, or Systemic Anaplastic Large-cell Lymphoma</t>
  </si>
  <si>
    <t>NCT06631079</t>
  </si>
  <si>
    <t>Personalised Neoantigen-targeting Cancer Vaccine NECVAX-NEO1 in Anti-PD-1/PD-L1 Therapy in Patients With Solid Tumors</t>
  </si>
  <si>
    <t>NEC Bio B.V</t>
  </si>
  <si>
    <t>NCT06656416</t>
  </si>
  <si>
    <t>ALTO-100 in Bipolar Disorder With Depression (BD-D)</t>
  </si>
  <si>
    <t>NCT06561386</t>
  </si>
  <si>
    <t>A Study to Compare the Efficacy of Nivolumab and Relatlimab Plus Chemotherapy vs Pembrolizumab Plus Chemotherapy for Stage IV/Recurrent Non-squamous Non-small Cell Lung Cancer With PD-L1 Expression ≥ 1%</t>
  </si>
  <si>
    <t>NCT06618118</t>
  </si>
  <si>
    <t>A Study to Assess Adverse Events of Fosigotifator (ABBV-CLS-7262) in Adults With Major Depressive Disorder</t>
  </si>
  <si>
    <t>NCT06730009</t>
  </si>
  <si>
    <t>Phase I/II Study: Allogeneic NK-cell Therapy With Chemotherapy for Post-Surgery PDA or Cholangiocarcinoma Patients</t>
  </si>
  <si>
    <t>Medigen Biotechnology Corporation</t>
  </si>
  <si>
    <t>NCT06619847</t>
  </si>
  <si>
    <t>A Study Evaluating Efficacy and Safety of VX-993 for Acute Pain After a Bunionectomy</t>
  </si>
  <si>
    <t>NCT06259409</t>
  </si>
  <si>
    <t>Regenn® Therapy System Safety Study</t>
  </si>
  <si>
    <t>Progenerative Medical, Inc</t>
  </si>
  <si>
    <t>NCT06594965</t>
  </si>
  <si>
    <t>A Study of HS-20106 to Treat Anemia Due to Very Low, Low, or Intermediate Risk Myelodysplastic Syndromes</t>
  </si>
  <si>
    <t>NCT06668064</t>
  </si>
  <si>
    <t>A 2-year Study of EYP-1901 in Subjects With Wet Age Related Macular Degeneration (wAMD) (LUGANO) Primary Efficacy Will be Determined at Week 56</t>
  </si>
  <si>
    <t>NCT06618105</t>
  </si>
  <si>
    <t>Bronchoprovocation Study to Demonstrate the Pharmacodynamic Bioequivalence of Albuterol Sulfate HFA Inhalation Aerosol (E.Q. 90 mcg of Albuterol Base/Inh) of Macleods Pharmaceuticals Ltd</t>
  </si>
  <si>
    <t>Macleods Pharmaceuticals Ltd</t>
  </si>
  <si>
    <t>NCT06595238</t>
  </si>
  <si>
    <t>A Study in Participants With Obesity or Overweight With at Least One Weight-related Comorbidity</t>
  </si>
  <si>
    <t>NCT07138352</t>
  </si>
  <si>
    <t>Bioavailability Study of XS003 (Nilotinib)</t>
  </si>
  <si>
    <t>Xspray Pharma AB</t>
  </si>
  <si>
    <t>NCT06417814</t>
  </si>
  <si>
    <t>A Study to Investigate the Efficacy and Safety of Dato-DXd With or Without Osimertinib Compared With Platinum Based Doublet Chemotherapy in Participants With EGFR-Mutated Locally Advanced or Metastatic Non-Small Cell Lung Cancer</t>
  </si>
  <si>
    <t>NCT06597344</t>
  </si>
  <si>
    <t>A Study in Adolescent and Adult Female Participants to Evaluate Clinical Symptom Improvement and the Safety of Gepotidacin During Treatment of Uncomplicated Urinary Tract Infections (Acute Cystitis)</t>
  </si>
  <si>
    <t>NCT06609187</t>
  </si>
  <si>
    <t>A Study of GNC-077 in Patients With Locally Advanced or Metastatic Breast Cancer and Other Solid Tumors</t>
  </si>
  <si>
    <t>NCT06578143</t>
  </si>
  <si>
    <t>Effects of Synbiotics on Obesity</t>
  </si>
  <si>
    <t>Leeuwenhoek Laboratories Co. Ltd.</t>
  </si>
  <si>
    <t>NCT06034262</t>
  </si>
  <si>
    <t>Use of a Treated, Devitalized and Sterile Umbilical Cord Amniotic Membrane in the Treatment of PIP Joint Osteoarthritis</t>
  </si>
  <si>
    <t>NCT06714955</t>
  </si>
  <si>
    <t>Evaluate the Pharmacokinetics, Pharmacodynamics, Safety and Tolerability of BGM0504 Injection in Non-diabetic Overweight or Obese Adult Subjects</t>
  </si>
  <si>
    <t>BrightGene Bio-Medical Technology Co., Ltd.</t>
  </si>
  <si>
    <t>NCT06608134</t>
  </si>
  <si>
    <t>Safety and Feasibility of Umbilical Cord Wharton's Jelly Allograft Injections for Knee Osteoarthritis</t>
  </si>
  <si>
    <t>R3 Medical Research</t>
  </si>
  <si>
    <t>NCT06630806</t>
  </si>
  <si>
    <t>A Study to Investigate the Safety and Efficacy of SAR446523 Injected Subcutaneously in Adult Participants With Relapsed/Refractory Myeloma</t>
  </si>
  <si>
    <t>NCT06420089</t>
  </si>
  <si>
    <t>CD5-deleted Chimeric Antigen Receptor Cells (Senza5 CART5) for T Cell Non-Hodgkin Lymphoma (NHL)</t>
  </si>
  <si>
    <t>Vittoria Biotherapeutics</t>
  </si>
  <si>
    <t>NCT06612879</t>
  </si>
  <si>
    <t>A Study to Find Out How BIIB141 (Omaveloxolone) Moves From the Blood Into the Breastmilk of Healthy Women Who Are Breastfeeding or Pumping Milk</t>
  </si>
  <si>
    <t>NCT07119073</t>
  </si>
  <si>
    <t>In-clinic Crossover Study in Subjects With Two Treatments (Fed vs Fasted)</t>
  </si>
  <si>
    <t>Cingulate Therapeutics</t>
  </si>
  <si>
    <t>NCT06619860</t>
  </si>
  <si>
    <t>Evaluation of Efficacy and Safety of VX-993 for Pain Associated With Diabetic Peripheral Neuropathy</t>
  </si>
  <si>
    <t>NCT06612840</t>
  </si>
  <si>
    <t>A Study of GNC-077 in Patients With Locally Advanced or Metastatic Non-small-cell Lung Cancer and Other Solid Tumors</t>
  </si>
  <si>
    <t>NCT06516510</t>
  </si>
  <si>
    <t>A Dosimetry Study of Lutetium (177Lu) rhPSMA-10.1 and Lutetium (177Lu) Vipivotide Tetraxetan (Pluvicto®) in Patients With Non-curative Metastatic Prostate Cancer</t>
  </si>
  <si>
    <t>Blue Earth Therapeutics Ltd</t>
  </si>
  <si>
    <t>NCT06686472</t>
  </si>
  <si>
    <t>Evaluation of TL-925 for the Treatment of Allergic Conjunctivitis</t>
  </si>
  <si>
    <t>NCT06238401</t>
  </si>
  <si>
    <t>An Open-label, Multi-center, Dose-escalation and Cohort Expansion Phase I/IIa Clinical Study to Evaluate the Safety, Tolerability, Pharmacokinetic Profile and Efficacy of ACR246 in Patients With Advanced Solid Tumors</t>
  </si>
  <si>
    <t>Hangzhou Adcoris Biopharmacy Co., Ltd</t>
  </si>
  <si>
    <t>NCT06592495</t>
  </si>
  <si>
    <t>Bioepuivalence Study for the Safety and the Pharmacokinetics of DWJ1589 and DWC202315</t>
  </si>
  <si>
    <t>NCT06638307</t>
  </si>
  <si>
    <t>A First-in-Human Study of MEN2312 in Adults With Advanced Breast Cancer</t>
  </si>
  <si>
    <t>NCT06556810</t>
  </si>
  <si>
    <t>IC14 for Treatment of Acute Decompensated Heart Failure</t>
  </si>
  <si>
    <t>NCT06617897</t>
  </si>
  <si>
    <t>Phase 3 Study of Fibrinogen Concentrate (CSL511) in Subjects With Pseudomyxoma Peritonei Undergoing Cytoreductive Surgery</t>
  </si>
  <si>
    <t>NCT06653023</t>
  </si>
  <si>
    <t>Universal CAR-T Cells (REVO-UWD-03) for Advanced Hepatocellular Carcinoma and Lung Cancer</t>
  </si>
  <si>
    <t>NCT06672055</t>
  </si>
  <si>
    <t>A Study to Evaluate VXA-CoV2-3.3 COVID-19 Vaccine Against Currently Approved/Authorized mRNA COVID-19 Injectable Booster Vaccine in Adults Previously Immunized Against COVID-19 Infection</t>
  </si>
  <si>
    <t>Vaxart</t>
  </si>
  <si>
    <t>NCT06644404</t>
  </si>
  <si>
    <t>Phase 1 Study of Drug-Drug Interactions Between DWP16001, DWC202407, and DWC202408 in Healthy Adults</t>
  </si>
  <si>
    <t>NCT06233149</t>
  </si>
  <si>
    <t>Esomeprazole Magnesium Dihydrate 40 mg Tablets Relative to Nexium 40 mg Tablets Under Fed Condition</t>
  </si>
  <si>
    <t>NCT05947955</t>
  </si>
  <si>
    <t>Rhu-pGSN for Acute Respiratory Distress Syndrome (ARDS)</t>
  </si>
  <si>
    <t>BioAegis Therapeutics Inc.</t>
  </si>
  <si>
    <t>NCT06695689</t>
  </si>
  <si>
    <t>An Investigator-initiated Clinical Study of LM303 Injection for the Treatment of Advanced Solid Tumours</t>
  </si>
  <si>
    <t>NCT06625710</t>
  </si>
  <si>
    <t>Evaluation of the Safety, Tolerability and PK Characteristics of GV1001 in Healthy Subjects</t>
  </si>
  <si>
    <t>GemVax &amp; Kael</t>
  </si>
  <si>
    <t>NCT06667960</t>
  </si>
  <si>
    <t>Study of JK06 in Patients With Unresectable Locally Advanced or Metastatic Cancer</t>
  </si>
  <si>
    <t>NCT06596135</t>
  </si>
  <si>
    <t>Open-Label Extension Study of Setmelanotide</t>
  </si>
  <si>
    <t>NCT06644768</t>
  </si>
  <si>
    <t>A Study of Valemetostat Tosylate Plus Pembrolizumab Versus Pembrolizumab Alone in First-Line NSCLC Without Actionable Genomic Alterations</t>
  </si>
  <si>
    <t>NCT06812104</t>
  </si>
  <si>
    <t>Clinical Trial of KK2845 in Patients With Relapsed or Refractory Acute Myeloid Leukemia</t>
  </si>
  <si>
    <t>NCT06630299</t>
  </si>
  <si>
    <t>Study to Compare an Oral Weekly Islatravir/Lenacapavir Regimen With Standard of Care in Virologically Suppressed People With HIV-1</t>
  </si>
  <si>
    <t>NCT06568237</t>
  </si>
  <si>
    <t>A Trial to Test if TEV-56286 is Effective for Treatment of Participants With Multiple System Atrophy</t>
  </si>
  <si>
    <t>NCT06625671</t>
  </si>
  <si>
    <t>A Phase 1/2a Study of DB-2304 in Healthy Adults and SLE Participants</t>
  </si>
  <si>
    <t>NCT06624072</t>
  </si>
  <si>
    <t>A Study in Healthy People to Compare 2 Different Formulations of Nerandomilast Tablets When Taken With or Without Food</t>
  </si>
  <si>
    <t>NCT06470048</t>
  </si>
  <si>
    <t>A Clinical Study to Evaluate Ianalumab in Participants With Diffuse Cutaneous Systemic Sclerosis</t>
  </si>
  <si>
    <t>NCT06619990</t>
  </si>
  <si>
    <t>Study of XmAb942 in Healthy Participants and Participants With Ulcerative Colitis</t>
  </si>
  <si>
    <t>NCT07134478</t>
  </si>
  <si>
    <t>Clinical Study to Evaluate the Effect of Rifampicin on the Pharmacokinetics of HSK31858 in Healthy Subjects</t>
  </si>
  <si>
    <t>NCT06644040</t>
  </si>
  <si>
    <t>A Study of TeriQ Patch in Healthy Adult Female Participants</t>
  </si>
  <si>
    <t>QuadMedicine</t>
  </si>
  <si>
    <t>NCT06439082</t>
  </si>
  <si>
    <t>A Study to Investigate the Efficacy and Safety of Crizanlizumab (5 mg/kg) Compared With Placebo in Adolescent and Adult Sickle Cell Disease Patients Who Experience Frequent Vaso-Occlusive Crises (SPARKLE)</t>
  </si>
  <si>
    <t>NCT06598462</t>
  </si>
  <si>
    <t>A Study to Investigate the Efficacy and Safety of NSI-8226 in Adults With Eosinophilic Esophagitis</t>
  </si>
  <si>
    <t>NCT06600607</t>
  </si>
  <si>
    <t>Pharmacodynamic Study of 300mg Pregabalin vs Placebo in Healthy Male Adults</t>
  </si>
  <si>
    <t>NCT06536465</t>
  </si>
  <si>
    <t>The Clostridioides Difficile Trial of REC-3964</t>
  </si>
  <si>
    <t>NCT06321601</t>
  </si>
  <si>
    <t>Study to Evaluate Avacopan in Combination With a Rituximab or Cyclophosphamide-containing Regimen, in Children From 6 Years to &lt; 18 Years of Age With AAV.</t>
  </si>
  <si>
    <t>NCT06798454</t>
  </si>
  <si>
    <t>Single Ascending Dose Study to Evaluate Safety Tolerability, Pharmacokinetics, and Pharmacodynamics of PVT201 in Healthy Subjects and Patients (PBC/PSC)</t>
  </si>
  <si>
    <t>Parvus Therapeutics, Inc.</t>
  </si>
  <si>
    <t>NCT06300307</t>
  </si>
  <si>
    <t>Study of ATX-01 in Participants With DM1</t>
  </si>
  <si>
    <t>ARTHEx Biotech S.L.</t>
  </si>
  <si>
    <t>NCT06593587</t>
  </si>
  <si>
    <t>A Study to Assess the Safety, Tolerability, and Immunogenicity of RSVpreF in Older Adults in Korea</t>
  </si>
  <si>
    <t>NCT06624228</t>
  </si>
  <si>
    <t>A Study to Evaluate the Efficacy and Safety of Bimekizumab in Adult Study Participants With Active Psoriatic Arthritis</t>
  </si>
  <si>
    <t>NCT06605599</t>
  </si>
  <si>
    <t>Study of Oral ABBV-932 to Assess Adverse Events and Change in Disease Activity in Adult Participants With Bipolar I or II Disorder</t>
  </si>
  <si>
    <t>NCT06608368</t>
  </si>
  <si>
    <t>A Clinical Study Assessing the Effects of a Marketed Dentifrice on Tooth Sensitivity While Undergoing Tooth Bleaching</t>
  </si>
  <si>
    <t>NCT06654089</t>
  </si>
  <si>
    <t>A Study Evaluating Quality of Life Parameters Following Use of Emergen-C</t>
  </si>
  <si>
    <t>NCT06525636</t>
  </si>
  <si>
    <t>A First-in-human Study of KK8123 in Adults With X-linked Hypophosphatemia</t>
  </si>
  <si>
    <t>NCT06365216</t>
  </si>
  <si>
    <t>ALS Phase II Study of NX210c</t>
  </si>
  <si>
    <t>Axoltis Pharma</t>
  </si>
  <si>
    <t>NCT06558071</t>
  </si>
  <si>
    <t>Supplementation of Galatonol 300 mg / Striatin 30 mg in Postpartum Lactating Mothers</t>
  </si>
  <si>
    <t>NCT06816667</t>
  </si>
  <si>
    <t>Safety, Tolerability, and Efficacy of Sublingual Microdoses of 5-MeO-DMT for Depression and Anxiety</t>
  </si>
  <si>
    <t>Biomind Labs Inc.</t>
  </si>
  <si>
    <t>NCT06625307</t>
  </si>
  <si>
    <t>A Research Study on the Effects of NNC0537-1482 in Healthy Individuals When Injected Under the Skin</t>
  </si>
  <si>
    <t>NCT06544707</t>
  </si>
  <si>
    <t>A Study Designed to Evaluate Tear Production</t>
  </si>
  <si>
    <t>NCT06562192</t>
  </si>
  <si>
    <t>Phase I Study of [177Lu]Lu-NNS309 in Patients With Pancreatic, Lung, Breast and Colorectal Cancers</t>
  </si>
  <si>
    <t>NCT06662019</t>
  </si>
  <si>
    <t>Phase I Safety Study of Inhaled N-IP-00001 to Determine Tolerability and Safety in Healthy Volunteers.</t>
  </si>
  <si>
    <t>NeoTrials Pty Ltd</t>
  </si>
  <si>
    <t>NCT06782594</t>
  </si>
  <si>
    <t>A Phase Ⅱ Study of Mosapride Citrate Injection in the Treatment of Postoperative Gastrointestinal Dysfunction</t>
  </si>
  <si>
    <t>NCT06493461</t>
  </si>
  <si>
    <t>A Study of HS135 for the Treatment of Pulmonary Arterial Hypertension in Adults</t>
  </si>
  <si>
    <t>35Pharma Inc</t>
  </si>
  <si>
    <t>NCT06558227</t>
  </si>
  <si>
    <t>Study of ZG005 Combined With Bevacizumab Versus Sintilimab Combined With Bevacizumab in Advanced Hepatocellular Carcinoma</t>
  </si>
  <si>
    <t>NCT06819215</t>
  </si>
  <si>
    <t>Phase I/II Clinical Study to Evaluate VB15010 Tablets in Patients With Advanced Solid Tumors</t>
  </si>
  <si>
    <t>Zhejiang Yangli Pharmaceutical Technology Co., Ltd.</t>
  </si>
  <si>
    <t>NCT06656091</t>
  </si>
  <si>
    <t>A Study of Simmitinib Versus Chemotherapy for Participants With Advanced Oesophageal Squamous Cell Carcinoma</t>
  </si>
  <si>
    <t>NCT06537596</t>
  </si>
  <si>
    <t>89Zr-olaratumab Dosimetry in Participants With Soft Tissue Sarcoma</t>
  </si>
  <si>
    <t>Telix Pharmaceuticals (Innovations) Pty Ltd</t>
  </si>
  <si>
    <t>NCT06579105</t>
  </si>
  <si>
    <t>Efficacy, Safety, and Tolerability of Once Daily Oral Administration of AZD5004 Versus Placebo for 26 Weeks in Adults With Type 2 Diabetes Mellitus.</t>
  </si>
  <si>
    <t>NCT06257537</t>
  </si>
  <si>
    <t>Sustained Acoustic Medicine for Symptomatic Treatment of Knee Pain Related to Osteoarthritis</t>
  </si>
  <si>
    <t>NCT06643481</t>
  </si>
  <si>
    <t>A Clinical Trial to Learn About the Effects of VHB937 in People With Amyotrophic Lateral Sclerosis (ALS)</t>
  </si>
  <si>
    <t>NCT07057726</t>
  </si>
  <si>
    <t>A Study to Evaluate the Safety, Tolerability, and Pharmacokinetics of SSS39 Injection in Healthy Chinese Subjects</t>
  </si>
  <si>
    <t>NCT06677138</t>
  </si>
  <si>
    <t>PK Study of Gefurulimab SC in Healthy Chinese Adult Participants</t>
  </si>
  <si>
    <t>NCT06285253</t>
  </si>
  <si>
    <t>miroliverELAP® for the Treatment of Acute Liver Failure: A Phase 1 Trial</t>
  </si>
  <si>
    <t>Miromatrix Medical Inc.</t>
  </si>
  <si>
    <t>NCT06464939</t>
  </si>
  <si>
    <t>Phase 2 Study of KH001 in Long-term Relief From Dentin Hypersensitivity</t>
  </si>
  <si>
    <t>NCT06662786</t>
  </si>
  <si>
    <t>A Study of Amivantamab and mFOLFOX6 or FOLFIRI Versus Cetuximab and mFOLFOX6 or FOLFIRI as First-line Treatment in Participants With KRAS/NRAS and BRAF Wild-type Unresectable or Metastatic Left-sided Colorectal Cancer</t>
  </si>
  <si>
    <t>NCT06646783</t>
  </si>
  <si>
    <t>Phase IIT Trial of SNA014</t>
  </si>
  <si>
    <t>SmartNuclide Biopharma</t>
  </si>
  <si>
    <t>NCT06572449</t>
  </si>
  <si>
    <t>Study to Assess Safety and Effectiveness of Slowly Increasing Dose and Food Effect of KarXT in Participants With Schizophrenia</t>
  </si>
  <si>
    <t>NCT06633718</t>
  </si>
  <si>
    <t>Study to Assess the Efficacy and Safety of Meropenem and Pralurbactam in CIAI</t>
  </si>
  <si>
    <t>NCT06640049</t>
  </si>
  <si>
    <t>A Study of Dostarlimab in Participants With Untreated Locally Advanced Rectal Cancer in China</t>
  </si>
  <si>
    <t>NCT06583031</t>
  </si>
  <si>
    <t>Study to Evaluate the Safety and Immune Response of an Investigational Vaccine for the Prevention of RSV (Respiratory Syncytial Virus) and (hMPV) Human Metapneumovirus Infection in Participants Aged 60 to 75 Years</t>
  </si>
  <si>
    <t>NCT06627231</t>
  </si>
  <si>
    <t>Mass Balance Clinical Trial With TEV-56286</t>
  </si>
  <si>
    <t>NCT07101601</t>
  </si>
  <si>
    <t>Study of DM5167 in Patients With Advanced Solid Tumors</t>
  </si>
  <si>
    <t>DIGMBIO</t>
  </si>
  <si>
    <t>NCT06492174</t>
  </si>
  <si>
    <t>A Clinical Trial to Assess the Agent Paclitaxel Coated PTCA Balloon Catheter for the Treatment of Subjects With In-Stent Restenosis (ISR) - Long Lesion Cohort</t>
  </si>
  <si>
    <t>Boston Scientific Corporation</t>
  </si>
  <si>
    <t>NCT06540144</t>
  </si>
  <si>
    <t>An Extension Study Evaluating 6-week Treatment Cycles of Rozanolixizumab in Pediatric Study Participants With Generalized Myasthenia Gravis</t>
  </si>
  <si>
    <t>NCT06712836</t>
  </si>
  <si>
    <t>A Phase 2b Study to Examine the Safety and Efficacy of Once-Weekly MET097 in Adults With Obesity or Overweight</t>
  </si>
  <si>
    <t>NCT06564844</t>
  </si>
  <si>
    <t>A Phase III, Randomised Study of Adjuvant Dato-DXd in Combination With Rilvegostomig or Rilvegostomig Monotherapy Versus Standard of Care, Following Complete Tumour Resection, in Participants With Stage I Adenocarcinoma NSCLC Who Are ctDNA-positive or Have High-risk Pathological Features</t>
  </si>
  <si>
    <t>NCT06643117</t>
  </si>
  <si>
    <t>Similar Efficacy, Safety, and Immunogenicity of FYB206 in Comparison to Keytruda as add-on to Chemotherapy in Patients With Non-squamous Non-small Cell Lung Cancer (NSCLC)</t>
  </si>
  <si>
    <t>NCT07110740</t>
  </si>
  <si>
    <t>Bioequivalence Study Between UI009 and UIC202005 in Healthy Subjects</t>
  </si>
  <si>
    <t>NCT06600412</t>
  </si>
  <si>
    <t>The Evaluation of the Drug R3R01 for the Excretion of Protein in the Urine in Patients With Diabetic Kidney Disease.</t>
  </si>
  <si>
    <t>River 3 Renal Corp.</t>
  </si>
  <si>
    <t>NCT06716853</t>
  </si>
  <si>
    <t>A Clinical Gene Therapy Study With Hematopoietic Stem Cells for the Treatment, With Single Dose of Temferon, of Patients Suffering From Metastatic Renal Cell Carcinoma</t>
  </si>
  <si>
    <t>Genenta Science</t>
  </si>
  <si>
    <t>NCT06609512</t>
  </si>
  <si>
    <t>A Clinical Study of Enlicitide and the Effect of Food in Healthy Adult Participants (MK-0616-033)</t>
  </si>
  <si>
    <t>NCT06607484</t>
  </si>
  <si>
    <t>Study Investigating the Safety, Tolerability and Blood Concentration of the Substance SR-878</t>
  </si>
  <si>
    <t>SciRhom GmbH</t>
  </si>
  <si>
    <t>NCT06453213</t>
  </si>
  <si>
    <t>Open-label Study of Cenobamate Monotherapy in Adult Subjects With Newly Diagnosed or Recurrent Partial-Onset Epilepsy</t>
  </si>
  <si>
    <t>SK Life Science, Inc.</t>
  </si>
  <si>
    <t>NCT06614608</t>
  </si>
  <si>
    <t>The Safety and Pharmacokinetics of ASKC200 in Osteoarthritic Knee Pain</t>
  </si>
  <si>
    <t>Jiangsu Aosaikang Pharmaceutical Co., Ltd.</t>
  </si>
  <si>
    <t>NCT06601335</t>
  </si>
  <si>
    <t>A Phase 3 Study of AK112 Plus AK117 Versus Pembrolizumab in Recurrent or Metastatic Head and Neck Squamous Cell Carcinoma (R/M HNSCC)</t>
  </si>
  <si>
    <t>NCT06539429</t>
  </si>
  <si>
    <t>Clinical Study to Evaluate Efficacy and Safety of ANT-301 in Patients With Knee Osteoarthritis in Grade III/IV by K/L</t>
  </si>
  <si>
    <t>Anterogen Co., Ltd.</t>
  </si>
  <si>
    <t>NCT06632938</t>
  </si>
  <si>
    <t>A Study to Evaluate Adverse Events and How the Drug Moves Through the Body From Subcutaneous (SC) and Intravenous (IV) Doses of ABBV-382 in Healthy Adult Chinese Volunteers</t>
  </si>
  <si>
    <t>NCT06585449</t>
  </si>
  <si>
    <t>A Study to Evaluate ALN-HTT02 in Adult Patients With Huntington's Disease</t>
  </si>
  <si>
    <t>NCT06544499</t>
  </si>
  <si>
    <t>A Study to Assess the Efficacy and Safety of Efgartigimod IV in Adult Participants With Primary Immune Thrombocytopenia</t>
  </si>
  <si>
    <t>NCT06582277</t>
  </si>
  <si>
    <t>Safety and Immunogenicity of Two Dose Levels of OVX836 Influenza Vaccine as a Booster on Participants Previously Administered With OVX836</t>
  </si>
  <si>
    <t>NCT06116045</t>
  </si>
  <si>
    <t>Evaluation of the Efficacy, Safety and Tolerability of BZ371A in Women with Sexual Arousal Disorder</t>
  </si>
  <si>
    <t>Biozeus Biopharmaceutical S.A.</t>
  </si>
  <si>
    <t>NCT06670352</t>
  </si>
  <si>
    <t>Phase II Study of Efficacy and Safety of HSK39297 Tablet in Treatment of Patients with Primary IgAN</t>
  </si>
  <si>
    <t>NCT06547359</t>
  </si>
  <si>
    <t>A Study to Evaluate Drug-Drug Interactions of Obicetrapib Tablets and Ezetimibe Tablets in Healthy Adult Subjects</t>
  </si>
  <si>
    <t>NCT04381689</t>
  </si>
  <si>
    <t>Phase 3 Study to Evaluate the Immunogenicity and Safety of Inactived Split Influenza Vaccine in Healthy Korea Infants</t>
  </si>
  <si>
    <t>NCT06224660</t>
  </si>
  <si>
    <t>Modulation of SERCA2a of Intra-Myocytic Calcium Trafficking in Cardiomyopathy Secondary to Duchenne Muscular Dystrophy</t>
  </si>
  <si>
    <t>Sardocor Corp.</t>
  </si>
  <si>
    <t>NCT06654791</t>
  </si>
  <si>
    <t>Mass Balance Clinical Trial of SIM0270</t>
  </si>
  <si>
    <t>NCT06625060</t>
  </si>
  <si>
    <t>A Study to Evaluate IPN10200 Safety and Efficacy in the Prevention of Episodic or Chronic Migraine in Adults</t>
  </si>
  <si>
    <t>NCT06649942</t>
  </si>
  <si>
    <t>A Study to Evaluate the Effects of KP-001 on the QT/QTc Intervals in Healthy Adults</t>
  </si>
  <si>
    <t>NCT06558344</t>
  </si>
  <si>
    <t>A Study to Test Different Doses of BI 1569912 in People With Depression</t>
  </si>
  <si>
    <t>NCT06598306</t>
  </si>
  <si>
    <t>Subcutaneous Tarlatamab in Participants With Extensive Stage Small Cell Lung Cancer (DeLLphi-308)</t>
  </si>
  <si>
    <t>NCT06602232</t>
  </si>
  <si>
    <t>A Study of DR-01 in Subjects With Alopecia Areata and Vitiligo</t>
  </si>
  <si>
    <t>Dren Bio</t>
  </si>
  <si>
    <t>NCT06543966</t>
  </si>
  <si>
    <t>NCT06669351</t>
  </si>
  <si>
    <t>Study to Assess the Safety and Efficacy of ZX-7101A in Children Aged 5-11 Years With Influenza</t>
  </si>
  <si>
    <t>Nanjing Zenshine Pharmaceuticals</t>
  </si>
  <si>
    <t>NCT06335979</t>
  </si>
  <si>
    <t>An Ascending Dose Study of PIT565 in Participants With Systemic Lupus Erythematosus (SLE).</t>
  </si>
  <si>
    <t>NCT06646289</t>
  </si>
  <si>
    <t>A Follow-on Study for Second-Eye Treatment for Participants Previously Treated With Gene Therapy for X-Linked Retinitis Pigmentosa (XLRP)</t>
  </si>
  <si>
    <t>NCT06657768</t>
  </si>
  <si>
    <t>A Study of LY4006895 in Healthy Participants With Early Symptomatic Alzheimer's Disease (AD)</t>
  </si>
  <si>
    <t>NCT06623526</t>
  </si>
  <si>
    <t>Clinical Trial to Evaluate the PK Interactions of YHR2402 Monotherapy and YHR2402 and YHR2403 Co-Administration in Healthy Volunteers</t>
  </si>
  <si>
    <t>NCT05028140</t>
  </si>
  <si>
    <t>Efficacy and Safety of Piemonte Association in the Treatment of Type II Diabetes Mellitus</t>
  </si>
  <si>
    <t>NCT06654726</t>
  </si>
  <si>
    <t>A Multi-center Evaluation of Aldafermin in a Randomized, Double-blind, Placebo-controlled Study in Subjects With Primary Sclerosing Cholangitis.</t>
  </si>
  <si>
    <t>NGM Biopharmaceuticals, Inc</t>
  </si>
  <si>
    <t>NCT06579092</t>
  </si>
  <si>
    <t>Effects of AZD5004 in Adults Who Are Living With Obesity or Overweight With at Least 1 Weight-related Comorbidity</t>
  </si>
  <si>
    <t>NCT07155499</t>
  </si>
  <si>
    <t>A Clinical Trial for Evaluation of Efficacy, Safety and Immunogenicity of GNR-127 (Recombinant ABP Antigen Protein Which Carries a Birch Pollen Allergen [BET V 1] and an Apple Allergen [MAL D 1]) in Patients With Birch Pollen Allergic Rhinitis.</t>
  </si>
  <si>
    <t>NCT06614725</t>
  </si>
  <si>
    <t>A Study in India on the Immune Response and Safety of a Respiratory Syncytial Virus (RSV) Older Adults (OA) Vaccine When Given to Older Adults 60 Years of Age and Above and Adults 50-59 Years of Age at Increased Risk (AIR) of Respiratory Syncytial Virus Lower Respiratory Tract Disease (RSV-LRTD)</t>
  </si>
  <si>
    <t>NCT06483789</t>
  </si>
  <si>
    <t>Efficacy and Safety of HB-1 for Panic Disorder</t>
  </si>
  <si>
    <t>Honeybrains Biotech LLC</t>
  </si>
  <si>
    <t>NCT06388564</t>
  </si>
  <si>
    <t>A Study to Evaluate the Safety and Efficacy of Axatilimab in Combination With Ruxolitinib in Participants With Newly Diagnosed Chronic Graft-Versus-Host Disease</t>
  </si>
  <si>
    <t>NCT06362265</t>
  </si>
  <si>
    <t>A Study to Evaluate Pharmacokinetics of LY3209590 in Pediatric Participants With Type 2 Diabetes Mellitus</t>
  </si>
  <si>
    <t>NCT06677203</t>
  </si>
  <si>
    <t>Study of ASN51 in Adults With Early Alzheimer's Disease</t>
  </si>
  <si>
    <t>NCT06622824</t>
  </si>
  <si>
    <t>To Evaluate Efficacy and Safety of TopicalKX-826 Solution in Chinese Male Patients With Androgenetic Alopecia</t>
  </si>
  <si>
    <t>Suzhou Kintor Pharmaceutical Inc,</t>
  </si>
  <si>
    <t>NCT06506955</t>
  </si>
  <si>
    <t>Futibatinib in Patients Previously Enrolled in an Antecedent Futibatinib as Monotherapy or Combination Therapy.</t>
  </si>
  <si>
    <t>Taiho Oncology, Inc.</t>
  </si>
  <si>
    <t>NCT06544655</t>
  </si>
  <si>
    <t>A Study of BMS-986484 Alone and Combination Therapy in Participants With Advanced Solid Tumors</t>
  </si>
  <si>
    <t>NCT06558799</t>
  </si>
  <si>
    <t>LUNAR-4: Effect of Tumor Treating Fields (TTFields) (150 kHz) Concurrent With Pembrolizumab for Treatment of Metastatic Non-small Cell Lung Cancer (NSCLC)</t>
  </si>
  <si>
    <t>NCT06413706</t>
  </si>
  <si>
    <t>A Study Comparing Abemaciclib Plus Temozolomide to Temozolomide Monotherapy in Children and Young Adults With High-grade Glioma Following Radiotherapy</t>
  </si>
  <si>
    <t>NCT06618664</t>
  </si>
  <si>
    <t>Study of SHR-8068 Combined With Adebrelimab and Bevacizumab Versus Sintilimab Combined With Bevacizumab for the Treatment of Advanced Hepatocellular Carcinoma</t>
  </si>
  <si>
    <t>NCT06516965</t>
  </si>
  <si>
    <t>A Study to Evaluate the Efficacy and Safety Study of Povorcitinib in Participants With Prurigo Nodularis (STOP-PN2)</t>
  </si>
  <si>
    <t>NCT06603623</t>
  </si>
  <si>
    <t>Efficacy and Safety Trial of BHV-2100 for the Acute Treatment of Migraine</t>
  </si>
  <si>
    <t>NCT06432764</t>
  </si>
  <si>
    <t>Positron Emission Tomography Study of Changes in [11C]AZ14132516 Uptake Following Administration of AZD7798 to Patients With Crohn's Disease.</t>
  </si>
  <si>
    <t>NCT06656390</t>
  </si>
  <si>
    <t>A Study to Evaluate the Safety, Tolerability, Pharmacokinetics (PK), and Antitumor Activity of ALK201 in Participants With Advanced Solid Tumors</t>
  </si>
  <si>
    <t>Shanghai Allink Biotherapeutics Co., Ltd.</t>
  </si>
  <si>
    <t>NCT06649344</t>
  </si>
  <si>
    <t>A Study of HRS9531 Versus Semaglutide Once Weekly as Add-on Therapy to Metformin Monotherapy or in Combination With SGLT2 Inhibitors in Participants With Type 2 Diabetes</t>
  </si>
  <si>
    <t>NCT06551324</t>
  </si>
  <si>
    <t>A Study to Learn About the Investigational Medicine Called PF-06821497 (Mevrometostat) in Men With mCRPC Who Were Previously Treated With Abiraterone Acetate for Prostate Cancer (MEVPRO-1).</t>
  </si>
  <si>
    <t>NCT06625242</t>
  </si>
  <si>
    <t>A Study of Filgotinib in Korean Participants With Rheumatoid Arthritis</t>
  </si>
  <si>
    <t>Eisai Korea Inc.</t>
  </si>
  <si>
    <t>NCT07169214</t>
  </si>
  <si>
    <t>Evaluation of Safety, Efficacy, and Pharmacokinetics of BT-114143 Injection in Patients With Abnormal Uterine Bleeding</t>
  </si>
  <si>
    <t>ScinnoHub Pharmaceutical Co., Ltd.</t>
  </si>
  <si>
    <t>NCT06545955</t>
  </si>
  <si>
    <t>A Trial to Evaluate Intravesical Nadofaragene Firadenovec Alone or in Combination With Chemotherapy or Immunotherapy in Participants With High-grade BCG Unresponsive Non-muscle Invasive Bladder Cancer</t>
  </si>
  <si>
    <t>NCT06549790</t>
  </si>
  <si>
    <t>Study of NMS-03597812 in Adult Patients With Relapsed/Refractory Acute Myeloid Leukemia</t>
  </si>
  <si>
    <t>Nerviano Medical Sciences</t>
  </si>
  <si>
    <t>NCT06515990</t>
  </si>
  <si>
    <t>A Study of DM005 in Patients With Advanced Solid Tumors</t>
  </si>
  <si>
    <t>Doma Biopharmaceutical（Suzhou）Co., Ltd.</t>
  </si>
  <si>
    <t>NCT06641076</t>
  </si>
  <si>
    <t>Evaluation of Sonelokimab in Patients With Active Psoriatic Arthritis Naive to Biologic Disease-Modifying Antirheumatic Drug</t>
  </si>
  <si>
    <t>NCT06763159</t>
  </si>
  <si>
    <t>A Study of HS-20124 in Patients with Advanced Solid Tumors</t>
  </si>
  <si>
    <t>NCT06659692</t>
  </si>
  <si>
    <t>Pharmacokinetics of FSH and hCG Following Multiple Dose of Gonadotropins-IBSA.</t>
  </si>
  <si>
    <t>NCT06621316</t>
  </si>
  <si>
    <t>A Study of Safety and Tolerability of Multiple Doses of HRS-7535 in Obese Subjects</t>
  </si>
  <si>
    <t>NCT06481592</t>
  </si>
  <si>
    <t>A Study of Lifileucel (Tumor-infiltrating Lymphocytes) in Adults With Advanced Endometrial Cancer.</t>
  </si>
  <si>
    <t>NCT06566768</t>
  </si>
  <si>
    <t>Study to Evaluate Drug Levels of Various Solid Gastro-retentive Formulations of Deucravacitinib (BMS-986165) in Healthy Participants</t>
  </si>
  <si>
    <t>NCT06643819</t>
  </si>
  <si>
    <t>Phase 3 Trial to Evaluate the Efficacy and Safety of CKD-202A</t>
  </si>
  <si>
    <t>NCT06586606</t>
  </si>
  <si>
    <t>A Study to Evaluate the Effects of Itraconazole on MK-1708 in Healthy Participants (MK-1708-003)</t>
  </si>
  <si>
    <t>NCT06651021</t>
  </si>
  <si>
    <t>A Phase I PK Study of Balcinrenone/Dapagliflozin in Healthy Chinese Participants</t>
  </si>
  <si>
    <t>NCT06508021</t>
  </si>
  <si>
    <t>A Study of Andecaliximab in Participants With Fibrodysplasia Ossificans Progressiva (FOP)</t>
  </si>
  <si>
    <t>Ashibio Inc</t>
  </si>
  <si>
    <t>NCT06516952</t>
  </si>
  <si>
    <t>A Study to Evaluate the Efficacy and Safety Study of Povorcitinib in Participants With Prurigo Nodularis (STOP-PN1)</t>
  </si>
  <si>
    <t>NCT06590740</t>
  </si>
  <si>
    <t>Establish FeNO Cut-off Value for Predicting Budesonide-formoterol Response in Chronic Cough Suggestive of CVA Patients.</t>
  </si>
  <si>
    <t>NCT06430385</t>
  </si>
  <si>
    <t>ATTUNE: A Study to Evaluate the Safety, Tolerability, Pharmacokinetics, and Pharmacodynamics of Intrathecally-Administered ION440 in Participants With Methyl CpG Binding Protein 2 (MECP2) Duplication Syndrome (MDS)</t>
  </si>
  <si>
    <t>NCT06682572</t>
  </si>
  <si>
    <t>A Study of Avutometinib + Defactinib in Recurrent Low-Grade Serous Ovarian Cancer in Japanese Patients</t>
  </si>
  <si>
    <t>NCT06711900</t>
  </si>
  <si>
    <t>A Study of SKB264 in Combination With Pembrolizumab Versus Chemotherapy in Combination With Pembrolizumab as First-Line Treatment for PD-L1 Negative Patients With Locally Advanced or Metastatic Non-Squamous Non-Small Cell Lung Cancer</t>
  </si>
  <si>
    <t>NCT06505551</t>
  </si>
  <si>
    <t>Phase 1/2 Study of Autologous SCG142 TCR T Cells in Patients With HPV16/52-positive Carcinoma</t>
  </si>
  <si>
    <t>SCG Cell Therapy Pte. Ltd.</t>
  </si>
  <si>
    <t>NCT06643728</t>
  </si>
  <si>
    <t>A Study to Investigate Weight Management With Bimagrumab (LY3985863) and Tirzepatide (LY3298176), Alone or in Combination, in Adults With Obesity or Overweight</t>
  </si>
  <si>
    <t>NCT06762743</t>
  </si>
  <si>
    <t>Bioequivalence Study of Two Brivaracetam Oral Solutions in Healthy Adults Under Fasting and High-Fat Meal Conditions</t>
  </si>
  <si>
    <t>NCT06538558</t>
  </si>
  <si>
    <t>Study to Assess the Use of Tezampanel for Opioid Withdrawal Syndrome in Treatment-Seeking Patients With Opioid Use Disorder</t>
  </si>
  <si>
    <t>Proniras Corporation</t>
  </si>
  <si>
    <t>NCT06637527</t>
  </si>
  <si>
    <t>The Study Assessing the Safety and Efficacy of OK-101 Treatment in Subjects With Neuropathic Corneal Pain</t>
  </si>
  <si>
    <t>Okyo Pharma Ltd</t>
  </si>
  <si>
    <t>NCT06911866</t>
  </si>
  <si>
    <t>A Phase Ib Study of RC1416 Injection</t>
  </si>
  <si>
    <t>Nanjing RegeneCore Biotech Co., Ltd.</t>
  </si>
  <si>
    <t>NCT06653153</t>
  </si>
  <si>
    <t>A Study of Remternetug (LY3372993) in Early Alzheimer's Disease (TRAILRUNNER-ALZ 3)</t>
  </si>
  <si>
    <t>NCT06544694</t>
  </si>
  <si>
    <t>A Study to Investigate the Effect of 0.003% AR-15512 on Subjects With Dry Eye Disease</t>
  </si>
  <si>
    <t>NCT06671054</t>
  </si>
  <si>
    <t>A Dose Response Study to Evaluate the Efficacy and Safety of Oral AP1189 Administered in Disease-Modifying Anti-Rheumatic Drug (DMARD) naïve Participants Participants With Early Rheumatoid Arthritis</t>
  </si>
  <si>
    <t>SynAct Pharma Aps</t>
  </si>
  <si>
    <t>NCT06343805</t>
  </si>
  <si>
    <t>A Phase 1 Study of AJ1-11095 in Patients With Primary Myelofibrosis (PMF), Post-Polycythemia Vera Myelofibrosis (PPV-MF), or Post-Essential Thrombocythemia Myelofibrosis (PET-MF) Who Have Been Failed by a Type I JAK2 Inhibitor (JAK2i)</t>
  </si>
  <si>
    <t>Ajax Therapeutics, Inc.</t>
  </si>
  <si>
    <t>NCT06646042</t>
  </si>
  <si>
    <t>A Study to Learn If the Study Medicine Called Carbamazepine Changes How the Body Processes the Other Study Medicine Ibuzatrelvir in Healthy Adults</t>
  </si>
  <si>
    <t>NCT06636877</t>
  </si>
  <si>
    <t>A Study to Evaluate the Pharmacokinetics and the Safety After Administration of "BR1019" and Co-administration of "BR1019-3" and "BR1019-2" in Healthy Volunteers</t>
  </si>
  <si>
    <t>NCT06568692</t>
  </si>
  <si>
    <t>A Phase 2 Study of PCS6422 With Capecitabine in Patients With Advanced or Metastatic Breast Cancer</t>
  </si>
  <si>
    <t>Processa Pharmaceuticals</t>
  </si>
  <si>
    <t>NCT06451770</t>
  </si>
  <si>
    <t>Phase 1b Study of VERVE-201 in Patients With Refractory Hyperlipidemia</t>
  </si>
  <si>
    <t>NCT06426680</t>
  </si>
  <si>
    <t>A Study of the ILB-3101 in Patients with Advanced Solid Tumors</t>
  </si>
  <si>
    <t>Innolake Biopharm</t>
  </si>
  <si>
    <t>NCT06617546</t>
  </si>
  <si>
    <t>SAD and MAD Study of FTX-101 in Healthy Male Subjects</t>
  </si>
  <si>
    <t>Find Therapeutics</t>
  </si>
  <si>
    <t>NCT06698042</t>
  </si>
  <si>
    <t>A Clinical Study of Pembrolizumab (+) Berahyaluronidase Alfa (MK-3475A) to Treat Newly-diagnosed Metastatic Non-small Cell Lung Cancer (MK-3475A-F84)</t>
  </si>
  <si>
    <t>NCT06710288</t>
  </si>
  <si>
    <t>A Phase 2, Open-label, Single-arm Study Of Autologous M-CENK Adoptive Cell Therapy And N-803 (IL-15 Superagonist) In Combination With Gemcitabine In Participants With Recurrent Platinum-Resistant High-Grade Ovarian Cancer</t>
  </si>
  <si>
    <t>NCT07156136</t>
  </si>
  <si>
    <t>Study of IMC-P115C in Advanced PRAME-Positive Cancers</t>
  </si>
  <si>
    <t>NCT06702605</t>
  </si>
  <si>
    <t>To Evaluate XNW5004 Tablets in Patients with Relapsed or Refractory Peripheral T Cell Lymphoma</t>
  </si>
  <si>
    <t>Evopoint Biosciences Inc.</t>
  </si>
  <si>
    <t>NCT06647628</t>
  </si>
  <si>
    <t>A Clinical Study of MK-1708 in Healthy Elderly Participants (MK-1708-005)</t>
  </si>
  <si>
    <t>NCT06633042</t>
  </si>
  <si>
    <t>The Safety and Efficacy of Universal CAR-T Cells Targeting BCMA in the Treatment of Refractory NMOSD</t>
  </si>
  <si>
    <t>Bioray Laboratories</t>
  </si>
  <si>
    <t>NCT07092605</t>
  </si>
  <si>
    <t>Effectiveness of Microdosed GLP-1 in Improving Health, Quality of Life, and Longevity Measures</t>
  </si>
  <si>
    <t>NCT06701903</t>
  </si>
  <si>
    <t>Study of ITI-1284 as Monotherapy Treatment in Patients With Generalized Anxiety Disorder</t>
  </si>
  <si>
    <t>NCT06618651</t>
  </si>
  <si>
    <t>A Study of SHR-3821 Injection in Subjects With Advanced Solid Tumors</t>
  </si>
  <si>
    <t>NCT06443502</t>
  </si>
  <si>
    <t>A Study to Learn About the Safety of Vedolizumab and How Well it Works in Children and Teenagers With Active Chronic Pouchitis</t>
  </si>
  <si>
    <t>NCT06614192</t>
  </si>
  <si>
    <t>A Study Assessing Adverse Events and Disease Activity When Comparing Intravenously (IV) Infused ABBV-400 to Trifluridine and Tipiracil (LONSURF) Oral Tablets Plus IV Infused Bevacizumab in Adult Participants With c-Met Protein Above Cutoff Level Above Refractory Metastatic Colorectal Cancer</t>
  </si>
  <si>
    <t>NCT06690138</t>
  </si>
  <si>
    <t>A Study to Determine the Effect of Itraconazole on the Pharmacokinetics of Divarasib in Healthy Participants</t>
  </si>
  <si>
    <t>NCT06622226</t>
  </si>
  <si>
    <t>A Study of ONO-7018 in Patients With Relapsed or Refractory Non-Hodgkin Lymphoma</t>
  </si>
  <si>
    <t>NCT06702449</t>
  </si>
  <si>
    <t>A Study on the Safety and Immune Response of a Urinary Tract Infection (UTI) Vaccine in Adults 18-64 Years of Age and Clinical Efficacy in Females 18-64 Years of Age</t>
  </si>
  <si>
    <t>NCT06634589</t>
  </si>
  <si>
    <t>A Study to Investigate Safety and Effectiveness of BGB-16673 in Combination With Other Agents in Participants With Relapsed or Refractory B-Cell Malignancies</t>
  </si>
  <si>
    <t>NCT06632613</t>
  </si>
  <si>
    <t>Efficacy and Safety of ENN0403 in Patients At High Risk for Acute Kidney Injury Following Elective Cardiac Surgery</t>
  </si>
  <si>
    <t>EnnovaBio</t>
  </si>
  <si>
    <t>NCT06717269</t>
  </si>
  <si>
    <t>Relative Bioavailability of NX-5948 Tablets vs Capsules and the Effect of Covariates on the PK of NX-5948 Tablets</t>
  </si>
  <si>
    <t>NCT06567769</t>
  </si>
  <si>
    <t>Phase 1 Study of GC1130A in Patients With Sanfilippo Syndrome Type A (MPS IIIA)</t>
  </si>
  <si>
    <t>GC Biopharma Corp</t>
  </si>
  <si>
    <t>NCT06687980</t>
  </si>
  <si>
    <t>A Study to Investigate Improvement in Pruritus of Lichen Simplex Chronicus With Dupilumab Injections Compared With Placebo in Male and Female Participants Aged at Least 18 Years (STYLE 2)</t>
  </si>
  <si>
    <t>NCT06716216</t>
  </si>
  <si>
    <t>A Study of BGM0504 in Participants with Type 2 Diabetes</t>
  </si>
  <si>
    <t>NCT06693518</t>
  </si>
  <si>
    <t>A Study to Learn About if the Study Medicine Called Ibuzatrelvir Changes How the Body Process the Other Medicine Dabigatran Etexilate in Healthy Adults</t>
  </si>
  <si>
    <t>NCT05828303</t>
  </si>
  <si>
    <t>A Phase 1 Study to Evaluate the Potential Drug Interactions Between Repotrectinib and Metformin, Digoxin, and Rosuvastatin in Patients With Advanced Solid Tumors</t>
  </si>
  <si>
    <t>Turning Point Therapeutics, Inc.</t>
  </si>
  <si>
    <t>NCT06631092</t>
  </si>
  <si>
    <t>Personalised Neoantigen-targeting Cancer Vaccine NECVAX-NEO1 in Neoadjuvant Triple-negative Breast Cancer</t>
  </si>
  <si>
    <t>NCT06668805</t>
  </si>
  <si>
    <t>A Basket Study of Vosoritide in Children With Turner Syndrome, Short Stature Homeobox-Containing Gene Deficiency, and Noonan Syndrome With Inadequate Growth During or After Human Growth Hormone Treatment</t>
  </si>
  <si>
    <t>NCT06643637</t>
  </si>
  <si>
    <t>A Study to Evaluate the Safety, Tolerability, and Pharmacokinetics of Multiple Doses of MLS101 in Healthy Participants</t>
  </si>
  <si>
    <t>NCT06637501</t>
  </si>
  <si>
    <t>A Study to Investigate Sonrotoclax Combined With Zanubrutinib Versus Zanubrutinib Alone in Participants With Previously Untreated Chronic Lymphocytic Leukemia</t>
  </si>
  <si>
    <t>NCT06722430</t>
  </si>
  <si>
    <t>A Study to Assess Change in How Oral Icalcaprant With Itraconazole Moves Through the Body in Healthy Adult Participants</t>
  </si>
  <si>
    <t>NCT06534411</t>
  </si>
  <si>
    <t>A Research Study to See How Much CagriSema Lowers Blood Sugar and Body Weight Compared to Tirzepatide in People With Type 2 Diabetes Treated With Metformin, SGLT2 Inhibitor or Both</t>
  </si>
  <si>
    <t>NCT06671834</t>
  </si>
  <si>
    <t>A Study to Learn About the Study Medicine Called PF-07905428 in Healthy Participants and Participants With Acne Vulgaris</t>
  </si>
  <si>
    <t>NCT06449651</t>
  </si>
  <si>
    <t>A Study of Nipocalimab in Reducing the Risk of Fetal and Neonatal Alloimmune Thrombocytopenia (FNAIT)</t>
  </si>
  <si>
    <t>NCT06760702</t>
  </si>
  <si>
    <t>A Study Evaluating the Efficacy, Safety, Pharmacokinetics and Pharmacodynamics of AUR 109 in Patients with Colorectal, Ovarian, and Renal Cancers</t>
  </si>
  <si>
    <t>Aurigene Discovery Technologies Limited</t>
  </si>
  <si>
    <t>NCT06331598</t>
  </si>
  <si>
    <t>A Study of Adjuvant Atezolizumab or Atezolizumab Plus Tiragolumab in Solid Tumors with Resectable Disease with Intermediate-High Risk of Recurrence and High Tumor Mutational Burden (TMB-H) or Microsatellite Instability (MSI-H)</t>
  </si>
  <si>
    <t>NCT06693336</t>
  </si>
  <si>
    <t>An Adjuvant Study to Evaluate SMS001 (Paclitaxel) in Non-Small Cell Lung Cancer</t>
  </si>
  <si>
    <t>ToLymph Inc.</t>
  </si>
  <si>
    <t>NCT06672393</t>
  </si>
  <si>
    <t>A Study to Confirm Efficacy and Safety of HS-10374 for Moderate to Severe Plaque Psoriasis</t>
  </si>
  <si>
    <t>NCT06375993</t>
  </si>
  <si>
    <t>A Phase 1 Study of ADI-001 in Autoimmune Disease</t>
  </si>
  <si>
    <t>Adicet Therapeutics</t>
  </si>
  <si>
    <t>NCT06656026</t>
  </si>
  <si>
    <t>Pharmacokinetics，Safety and Efficacy of ZSP1273 in Children 2-17 Years Old With Influenza A</t>
  </si>
  <si>
    <t>NCT06712680</t>
  </si>
  <si>
    <t>A Phase I/II Study of HYP-6589 Monotherapy in Treating Advanced Solid Tumors and in Combination With Tyrosine Kinase Inhibitors in Treating Patients With Advanced NSCLC Positive for Driver Genes</t>
  </si>
  <si>
    <t>NCT06619613</t>
  </si>
  <si>
    <t>A Study of CM383 in Patients With Alzheimer's Disease Related Mild Cognitive Impairment and Mild Alzheimer's Disease</t>
  </si>
  <si>
    <t>NCT06736509</t>
  </si>
  <si>
    <t>An Open-Label Study to Assess the Long-term Safety of AXS-05 in Subjects With Dementia of the Alzheimer's Type, ADVANCE-2 and ACCORD-2 Extension Study</t>
  </si>
  <si>
    <t>NCT06428396</t>
  </si>
  <si>
    <t>Study of Belzutifan (MK-6482) Plus Fulvestrant for ER+/HER2- Metastatic Breast Cancer (MK-6482-029/LITESPARK-029)</t>
  </si>
  <si>
    <t>NCT06488924</t>
  </si>
  <si>
    <t>An Open-label Phase I/II Study of JR-446 in Mucopolysaccharidosis Type IIIB</t>
  </si>
  <si>
    <t>JCR Pharmaceuticals Co., Ltd.</t>
  </si>
  <si>
    <t>NCT06686524</t>
  </si>
  <si>
    <t>Clinical Study of CD19 Targeted Universal Chimeric Antigen Receptor T Lymphocytes (UCAR-T) for the Treatment of Refractory Juvenile Dermatomyositis (RJDM)</t>
  </si>
  <si>
    <t>NCT06594146</t>
  </si>
  <si>
    <t>Study of CM313 (SC) Injection in Subjects With Primary Immune Thrombocytopenia (ITP)</t>
  </si>
  <si>
    <t>NCT06758661</t>
  </si>
  <si>
    <t>Clinical Study to Evaluate Drug-drug Interaction and Safety After Co-administration of D352 and D794 in Healthy Adult Volunteers</t>
  </si>
  <si>
    <t>NCT06671873</t>
  </si>
  <si>
    <t>Study on Mass Balance of [14C]HMPL-306（Isocitrate Dehydrogenase Inhibitor） in Healthy Chinese Adult Male Subjects</t>
  </si>
  <si>
    <t>NCT06649656</t>
  </si>
  <si>
    <t>A Multicenter, Open Label Phase I Clinical Trial Evaluating the Safety and Pharmacokinetics of TQB2252 Injection in Subjects With Advanced Malignant Tumors</t>
  </si>
  <si>
    <t>Chia Tai Tianqing Pharmaceutical (Guangzhou) Co., Ltd.</t>
  </si>
  <si>
    <t>NCT06669091</t>
  </si>
  <si>
    <t>Food-effect Study of Ecopipam Pharmacokinetics</t>
  </si>
  <si>
    <t>NCT06640361</t>
  </si>
  <si>
    <t>A Study of Olverembatinib in SDH-deficient GIST.</t>
  </si>
  <si>
    <t>NCT06422923</t>
  </si>
  <si>
    <t>A Phase 1/2 Study of NRTX-1001 Neuronal Cell Therapy in Drug-Resistant Bilateral Mesial Temporal Lobe Epilepsy (MTLE)</t>
  </si>
  <si>
    <t>Neurona Therapeutics</t>
  </si>
  <si>
    <t>NCT05116761</t>
  </si>
  <si>
    <t>ExoFlo™ Infusion for Post-Acute COVID-19 and Chronic Post-COVID-19 Syndrome</t>
  </si>
  <si>
    <t>Direct Biologics, LLC</t>
  </si>
  <si>
    <t>NCT06668103</t>
  </si>
  <si>
    <t>A Phase 2 Clinical Study of Combination Therapy With ABSK043 and Firmonertinib</t>
  </si>
  <si>
    <t>NCT06632990</t>
  </si>
  <si>
    <t>A Study Evaluating the Potential of BMS-984923 to Alter the Systemic Exposure of Three Orally Administered Probe Substrates</t>
  </si>
  <si>
    <t>NCT06733935</t>
  </si>
  <si>
    <t>A Phase 1/2 Study of NKX019 in Subjects With Immune-Mediated Diseases (Ntrust-2)</t>
  </si>
  <si>
    <t>NCT06959615</t>
  </si>
  <si>
    <t>A Phase I/IIa Study of JAB-23E73 in Patients With Advanced Solid Tumors Harboring KRAS Gene Alteration</t>
  </si>
  <si>
    <t>NCT06608199</t>
  </si>
  <si>
    <t>A Phase 3 Study to Evaluate the Immunogenicity and Safety of Minhai's PCV13-DT/TT Vaccine As Compared to Pfizer's PCV13 Vaccine</t>
  </si>
  <si>
    <t>Beijing Minhai Biotechnology Co., Ltd</t>
  </si>
  <si>
    <t>NCT06679998</t>
  </si>
  <si>
    <t>A Phase I Clinical Trial Evaluating the Safety, Tolerability and Pharmacokinetics of AAPB for Injection</t>
  </si>
  <si>
    <t>Jiangsu Kanion Pharmaceutical Co., Ltd</t>
  </si>
  <si>
    <t>NCT06597721</t>
  </si>
  <si>
    <t>ADCE-T02, a Tissue Factor Targeted Antibody-Drug Conjugate, in Patients With Selected Advanced Solid Tumours</t>
  </si>
  <si>
    <t>Adcendo ApS</t>
  </si>
  <si>
    <t>NCT06661733</t>
  </si>
  <si>
    <t>A Study to Investigate the Pharmacokinetics, Safety and Tolerability of AZD5462 in Participants With Renal Impairment</t>
  </si>
  <si>
    <t>NCT06665555</t>
  </si>
  <si>
    <t>Plasma and Intrapulmonary Pharmacokinetics of Ceftibuten and Ledaborbactam in Healthy Male and Female Participants 18 to ≤55 Years of Age</t>
  </si>
  <si>
    <t>Basilea Pharmaceutica</t>
  </si>
  <si>
    <t>NCT06667544</t>
  </si>
  <si>
    <t>A Study of RNK08954 in Subjects With Advanced Solid Tumors With KRAS ((Kirsten Rat Sarcoma) G12D Mutation</t>
  </si>
  <si>
    <t>Ranok Therapeutics (Hangzhou) Co., Ltd.</t>
  </si>
  <si>
    <t>NCT06740526</t>
  </si>
  <si>
    <t>Trial of the Impact of Sibeprenlimab on Immunoglobulin A Nephropathy Kidney Tissue</t>
  </si>
  <si>
    <t>NCT06596876</t>
  </si>
  <si>
    <t>A Study to Evaluate the Efficacy and Safety of HRG2010 in Parkinson's Disease With Motor Fluctuations</t>
  </si>
  <si>
    <t>NCT06680232</t>
  </si>
  <si>
    <t>Phase 1 Study to Evaluate Safety and Antiviral Activity of PBGENE-HBV in Adult Patients With Chronic Hepatitis B</t>
  </si>
  <si>
    <t>Precision BioSciences, Inc.</t>
  </si>
  <si>
    <t>NCT06627647</t>
  </si>
  <si>
    <t>A Global Phase III Study of Rilvegostomig or Pembrolizumab Plus Chemotherapy for First-Line Treatment of Metastatic Non-squamous NSCLC</t>
  </si>
  <si>
    <t>NCT06635226</t>
  </si>
  <si>
    <t>Safety, Tolerability, Pharmacokinetics and Pharmacodynamics of ID110521156 in Healthy Adult Subjects</t>
  </si>
  <si>
    <t>IlDong Pharmaceutical Co Ltd</t>
  </si>
  <si>
    <t>NCT06916884</t>
  </si>
  <si>
    <t>Confirmatory Study on the Efficacy and Safety of the Fixed-dose Combination of Desloratadine/Betamethasone Versus Desloratadine</t>
  </si>
  <si>
    <t>NCT06589440</t>
  </si>
  <si>
    <t>Phase 2 Study of SR-8541A in Combination With Botensilimab and Balstilimab in Subjects With Refractory Metastatic Microsatellite Stable Colorectal Cancer (MSS-CRC)</t>
  </si>
  <si>
    <t>Stingray Therapeutics</t>
  </si>
  <si>
    <t>NCT06648655</t>
  </si>
  <si>
    <t>A Study to Investigate the Safety and Efficacy of TMP-301 Compared to Placebo in Adult Patients With Alcohol Use Disorder</t>
  </si>
  <si>
    <t>Tempero Bio, Inc.</t>
  </si>
  <si>
    <t>NCT06573008</t>
  </si>
  <si>
    <t>Study of GP681 Tablets Compared With Placebo in Patients With Influenza at High Risk of Influenza Complications</t>
  </si>
  <si>
    <t>NCT06724900</t>
  </si>
  <si>
    <t>A Study Assessing KB304 for the Treatment of Wrinkles in Women</t>
  </si>
  <si>
    <t>NCT06705140</t>
  </si>
  <si>
    <t>A Study on the Immunogenicity and Safety of 3 Different Dose Concentrations of a Respiratory Syncytial Virus Vaccine in Infants and Toddlers</t>
  </si>
  <si>
    <t>NCT06662773</t>
  </si>
  <si>
    <t>Drug-Drug Interaction (DDI) Study for TQB3616</t>
  </si>
  <si>
    <t>NCT06726161</t>
  </si>
  <si>
    <t>Study of the Theranostic Pair RYZ811 (Diagnostic) and RYZ801 (Therapeutic) to Identify and Treat Subjects With GPC3+ Unresectable HCC</t>
  </si>
  <si>
    <t>NCT06859073</t>
  </si>
  <si>
    <t>A Research Study to Evaluate the Safety of NNC4004-0002 When Given to Participants With Asymptomatic Hyperuricemia</t>
  </si>
  <si>
    <t>NCT06684041</t>
  </si>
  <si>
    <t>A Safety, Tolerability, Pharmacokinetic/Pharmacodynamic Study, and QT Interval Study of HRS-5965 Capsules in Healthy Subjects</t>
  </si>
  <si>
    <t>NCT04958772</t>
  </si>
  <si>
    <t>Biosimilarity Study of Subcutaneous Filgrastim in Healthy Volunteers</t>
  </si>
  <si>
    <t>NCT06664801</t>
  </si>
  <si>
    <t>A Clinical Study of Sotatercept (MK-7962) in People With Pulmonary Arterial Hypertension (PAH) (MK-7962-024)</t>
  </si>
  <si>
    <t>NCT06612281</t>
  </si>
  <si>
    <t>Evaluation of Gixam's Performance in a FIT Negative Population</t>
  </si>
  <si>
    <t>Jubaan Ltd.</t>
  </si>
  <si>
    <t>NCT06685692</t>
  </si>
  <si>
    <t>A Clinical Trial Investigating the Safety and Efficacy of Subjects With Alcohol Associated Hepatitis (Part 1)</t>
  </si>
  <si>
    <t>NCT05302037</t>
  </si>
  <si>
    <t>Allogeneic NKG2DL-targeting CAR γδ T Cells (CTM-N2D) in Advanced Cancers (ANGELICA)</t>
  </si>
  <si>
    <t>CytoMed Therapeutics Pte Ltd</t>
  </si>
  <si>
    <t>NCT06698926</t>
  </si>
  <si>
    <t>A Study to Assess the Safety, Tolerability, and Interactions of ABBV-CLS-616 Oral Tablets in Healthy Adult Participants</t>
  </si>
  <si>
    <t>NCT06693570</t>
  </si>
  <si>
    <t>Evaluating Intact Fish Skin Graft and Standard of Care Versus Standard of Care Alone in Nonhealing Venous Leg Ulcers</t>
  </si>
  <si>
    <t>Kerecis Ltd.</t>
  </si>
  <si>
    <t>NCT06593600</t>
  </si>
  <si>
    <t>Study of Natriuretic Peptide Receptor 1 (NPR1) Antagonist in Adult Patients With Postural Orthostatic Tachycardia Syndrome (POTS)</t>
  </si>
  <si>
    <t>NCT06690398</t>
  </si>
  <si>
    <t>Multicenter Study of Lumateperone for the Treatment of Irritability Associated With Autism Spectrum Disorder in Pediatric Patients</t>
  </si>
  <si>
    <t>NCT06714396</t>
  </si>
  <si>
    <t>A Study Exploring the PK/PD Relationship of QRL-101 in Adults With ALS</t>
  </si>
  <si>
    <t>NCT06702098</t>
  </si>
  <si>
    <t>Induced Pluripotent Stem Cells Derived Natural Killer Cells Therapy for Refractory and Relaps Acute Myelogenous Leukemia</t>
  </si>
  <si>
    <t>Guangzhou Ruixin Biotechnological Co., LTD</t>
  </si>
  <si>
    <t>NCT06622070</t>
  </si>
  <si>
    <t>A Study of SPY002-072 in Healthy Volunteers</t>
  </si>
  <si>
    <t>NCT06662669</t>
  </si>
  <si>
    <t>YL-13027 and/or HY-0102 Combined With AG Regimen Chemotherapy for Metastatic Pancreatic Cancer</t>
  </si>
  <si>
    <t>NCT06500793</t>
  </si>
  <si>
    <t>Single Dose Study, Pharmacokinetics of Oxycodone and PF614 Co-Administered With Nafamostat (PF614-MPAR-102)</t>
  </si>
  <si>
    <t>Ensysce Biosciences</t>
  </si>
  <si>
    <t>NCT06578247</t>
  </si>
  <si>
    <t>Quizartinib or Placebo Plus Chemotherapy in Newly Diagnosed Patients With FLT3-ITD Negative AML</t>
  </si>
  <si>
    <t>NCT06767800</t>
  </si>
  <si>
    <t>A Clinical Trial Evaluating TQB2102 for Injection in Combination With Behmosubaisumab/Payamprolizumab With or Without Chemotherapy in Unresectable Locally Advanced, Recurrent, or Metastatic Human Epidermal Growth Factor Receptor 2 (HER2)-Positive Gastroesophageal Adenocarcinoma</t>
  </si>
  <si>
    <t>NCT06564389</t>
  </si>
  <si>
    <t>FIH Study to Evaluate the Tolerability of PF-07832837 in Healthy Adults and Patients</t>
  </si>
  <si>
    <t>NCT06582589</t>
  </si>
  <si>
    <t>HEALSea Nasal Spray for Prevention of Infections in Children</t>
  </si>
  <si>
    <t>Lallemand Pharma AG</t>
  </si>
  <si>
    <t>NCT06685068</t>
  </si>
  <si>
    <t>A Phase 1/2 Study of GEN1286 in Patients With Advanced Solid Tumors</t>
  </si>
  <si>
    <t>NCT06157242</t>
  </si>
  <si>
    <t>PK &amp; Safety Study of Xeruborbactam Oral Prodrug Combined With Ceftibuten in Participants With Renal Impairment</t>
  </si>
  <si>
    <t>NCT06617325</t>
  </si>
  <si>
    <t>A Study to Evaluate the Efficacy and Safety of Dapirolizumab Pegol in Study Participants With Moderately to Severely Active Systemic Lupus Erythematosus</t>
  </si>
  <si>
    <t>NCT06622668</t>
  </si>
  <si>
    <t>NTLA-3001 in Adults with Alpha-1 Antitrypsin Deficiency-Associated Lung Disease</t>
  </si>
  <si>
    <t>Intellia Therapeutics</t>
  </si>
  <si>
    <t>NCT06787482</t>
  </si>
  <si>
    <t>Evaluating a New Peptide Therapy for Retinal Diseases: AMD, Diabetic Retinopathy, and Dystrophies</t>
  </si>
  <si>
    <t>Ace Cells Lab Limited</t>
  </si>
  <si>
    <t>NCT06839664</t>
  </si>
  <si>
    <t>A Study of HS-20094 in Chinese Adults with Overweight or Obesity</t>
  </si>
  <si>
    <t>NCT06690827</t>
  </si>
  <si>
    <t>Clinical Trial of CD123-targeted CAR-NK Therapy for Relapse/refractory AML or BPDCN</t>
  </si>
  <si>
    <t>NCT06594094</t>
  </si>
  <si>
    <t>An Open-label, Multidose Dose-escalation Study to Understand the Safety of CRISPR Gene-editing Therapy and Its Long-Lasting Effects in DMD Patients (MUSCLE)</t>
  </si>
  <si>
    <t>HuidaGene Therapeutics Co., Ltd.</t>
  </si>
  <si>
    <t>NCT05617651</t>
  </si>
  <si>
    <t>Study to Evaluate the Safety and the Pharmacokinetics of IY-NT-T</t>
  </si>
  <si>
    <t>NCT06647407</t>
  </si>
  <si>
    <t>Safety and Immunogenicity of an Investigational Pentavalent Meningococcal ABCYW Vaccine Against Meningococcal Disease in Children, Toddlers, and Infants</t>
  </si>
  <si>
    <t>NCT06677957</t>
  </si>
  <si>
    <t>A Clinical Trial to Investigate the Clinical Drug-Drug Interaction of Divarasib With Probe Substrates of P-Glycoprotein and Breast Cancer Resistance Protein in Healthy Participants</t>
  </si>
  <si>
    <t>NCT06718998</t>
  </si>
  <si>
    <t>A Research Study Comparing Different Ways of Increasing the Dose of NNC0519-0130 in Participants With Overweight or Obesity</t>
  </si>
  <si>
    <t>NCT07342257</t>
  </si>
  <si>
    <t>SYN023 With Rabies Vaccine in Healthy Pediatric Subjects</t>
  </si>
  <si>
    <t>Synermore Biologics (Suzhou) Co., Ltd.</t>
  </si>
  <si>
    <t>NCT06613100</t>
  </si>
  <si>
    <t>Evaluation of Neoadjuvant Xaluritamig in Localized Prostate Cancer</t>
  </si>
  <si>
    <t>NCT06393634</t>
  </si>
  <si>
    <t>Comparing Direct and Indirect Detection Methods of Multiple Routes of Testosterone Administration</t>
  </si>
  <si>
    <t>Sports Medicine Research and Testing Laboratory</t>
  </si>
  <si>
    <t>NCT06888960</t>
  </si>
  <si>
    <t>Safety Study of CC312 in Autoimmune Disease Patients</t>
  </si>
  <si>
    <t>CytoCares Inc</t>
  </si>
  <si>
    <t>NCT06674486</t>
  </si>
  <si>
    <t>Bioequivalence Study of Iron Sucrose Injection in Healthy Participants</t>
  </si>
  <si>
    <t>NCT06607939</t>
  </si>
  <si>
    <t>ORB-021 In Patients With Advanced Solid Tumors</t>
  </si>
  <si>
    <t>Orionis Biosciences Inc</t>
  </si>
  <si>
    <t>NCT07212426</t>
  </si>
  <si>
    <t>Efficacy, Safety, and Pharmacokinetics of LP-005 Injection in PNH Patients.</t>
  </si>
  <si>
    <t>NCT06384820</t>
  </si>
  <si>
    <t>Study of Cemiplimab Alone or in Combination With Fianlimab and/or Other Experimental Agents in Adult Participants With Peri-operative Stage III/IV Cutaneous Squamous Cell Carcinoma (CSCC)</t>
  </si>
  <si>
    <t>NCT06690242</t>
  </si>
  <si>
    <t>MT1013 Injection for the Treatment of Secondary Hyperparathyroidism in Patients With Chronic Kidney Disease</t>
  </si>
  <si>
    <t>NCT06713135</t>
  </si>
  <si>
    <t>A Study on Safety and Effectiveness of Long-term Treatment With Vamorolone in Boys With Duchenne Muscular Dystrophy</t>
  </si>
  <si>
    <t>NCT06775860</t>
  </si>
  <si>
    <t>ICP-332 in Subjects With Moderate to Severe Atopic Dermatitis</t>
  </si>
  <si>
    <t>NCT06672536</t>
  </si>
  <si>
    <t>Multicenter, Phase I/II Study to Evaluate the Safety, Tolerability, PK and Efficacy of SCT520FF in Patients With nAMD</t>
  </si>
  <si>
    <t>NCT06044675</t>
  </si>
  <si>
    <t>MDMA-Assisted CBCT for PTSD vs CBCT RCT</t>
  </si>
  <si>
    <t>Remedy</t>
  </si>
  <si>
    <t>NCT06675565</t>
  </si>
  <si>
    <t>A Study to Evaluate ALN-AGT01 RVR in Adult Healthy Volunteers</t>
  </si>
  <si>
    <t>NCT06671821</t>
  </si>
  <si>
    <t>Long-term Efficacy and Safety of HRS-7535 Tablets in Obese Subjects</t>
  </si>
  <si>
    <t>NCT06700083</t>
  </si>
  <si>
    <t>A Safety, Tolerability, Pharmacokinetic Study of SHR-6934 Injection in Healthy Subjects</t>
  </si>
  <si>
    <t>NCT06682169</t>
  </si>
  <si>
    <t>Evaluation of Rovadicitinib Compared to the Protocol Selected by Researchers in Third Line and Subsequent Studies of Moderate to Severe Chronic Graft-versus-host Disease</t>
  </si>
  <si>
    <t>NCT06631170</t>
  </si>
  <si>
    <t>Efficacy and Safety of Roflumilast Cream in Subjects With Atopic Dermatitis</t>
  </si>
  <si>
    <t>NCT06310967</t>
  </si>
  <si>
    <t>A Dose Escalation Study of IG3018 in Subjects With Hyperuricemia With or Without Chronic Kidney Disease</t>
  </si>
  <si>
    <t>Intelligem Therapeutics Australia Pty Ltd.</t>
  </si>
  <si>
    <t>NCT06575192</t>
  </si>
  <si>
    <t>Evaluation of the Safety and Effectiveness of ARTIA Reconstructive Tissue Matrix Breast Reconstruction (ADORA) in Adult Participants</t>
  </si>
  <si>
    <t>NCT06651281</t>
  </si>
  <si>
    <t>Extension Study of Long-term Safety and Efficacy of Tulisokibart in Participants With Crohn's Disease or Ulcerative Colitis (MK-7240-011)</t>
  </si>
  <si>
    <t>NCT06625177</t>
  </si>
  <si>
    <t>A Trial to Test the Safety and Efficacy of TEV-53408 in Treating Vitiligo</t>
  </si>
  <si>
    <t>NCT07138378</t>
  </si>
  <si>
    <t>A Bioavailability Study of Nilotinib in Healthy, Adult, Human Subjects Under Fasted Conditions.</t>
  </si>
  <si>
    <t>NCT06176794</t>
  </si>
  <si>
    <t>Immediate Release Torsemide Versus Extended Release Torsemide After Salty Meal</t>
  </si>
  <si>
    <t>NCT06659341</t>
  </si>
  <si>
    <t>A Phase I Study of BAY3498264 Given Together With Sotorasib in Participants Who Have Advanced Solid Cancers With Specific Genetic Changes Called KRASG12C Mutation</t>
  </si>
  <si>
    <t>NCT06457503</t>
  </si>
  <si>
    <t>A Study of Toripalimab in Combination With Cisplatin and Gemcitabine in Participants With Recurrent Metastatic Nasopharyngeal Cancer</t>
  </si>
  <si>
    <t>Coherus Oncology, Inc.</t>
  </si>
  <si>
    <t>NCT06690996</t>
  </si>
  <si>
    <t>A Study of LY4005130 in Healthy Participants</t>
  </si>
  <si>
    <t>NCT06640257</t>
  </si>
  <si>
    <t>A Study of the Efficacy and Safety of SHR-1314 for Adult Active Psoriatic Arthritis</t>
  </si>
  <si>
    <t>NCT06560645</t>
  </si>
  <si>
    <t>A Study of PRT7732, an Oral SMARCA2 Degrader, in Patients With Advanced or Metastatic Solid Tumors With a SMARCA4 Mutation</t>
  </si>
  <si>
    <t>Prelude Therapeutics</t>
  </si>
  <si>
    <t>NCT06303570</t>
  </si>
  <si>
    <t>A Study to Evaluate the Efficacy and Safety of CBL-514 Compared to Placebo in Participants With Dercum's Disease Lipomas</t>
  </si>
  <si>
    <t>Caliway Biopharmaceuticals Co., Ltd.</t>
  </si>
  <si>
    <t>NCT06585488</t>
  </si>
  <si>
    <t>A First-in-human Study of BGB-53038, a Pan-KRAS Inhibitor, Alone or in Combinations in Participants With Advanced or Metastatic Solid Tumors With KRAS Mutations or Amplification</t>
  </si>
  <si>
    <t>NCT06670196</t>
  </si>
  <si>
    <t>A Study of SKB264 in Combination With Osimertinib Versus Osimertinib in Patients With Epidermal Growth Factor Receptor (EGFR) Mutations, Locally Advanced or Metastatic Non-Squamous Non-Small Cell Lung Cancer</t>
  </si>
  <si>
    <t>NCT07285603</t>
  </si>
  <si>
    <t>A Study in Healthy Subjects to Assess the Safety and Tolerability of a 120-hour Continuous Infusion of M6229</t>
  </si>
  <si>
    <t>Matisse Pharmaceuticals</t>
  </si>
  <si>
    <t>NCT06634849</t>
  </si>
  <si>
    <t>An Open Label Dose Finding Study of PTT-4256 in Patients With Solid Tumours (RAISIC-1).</t>
  </si>
  <si>
    <t>Pathios Therapeutics Pty Ltd</t>
  </si>
  <si>
    <t>NCT06720038</t>
  </si>
  <si>
    <t>A Clinical Study to Evaluate the Safety, Tolerability, and Immunogenicity of VAX-31 in Healthy Infants</t>
  </si>
  <si>
    <t>Vaxcyte, Inc.</t>
  </si>
  <si>
    <t>NCT06691308</t>
  </si>
  <si>
    <t>WL276 CAR-T Cell Therapy for CD276 Positive Recurrent or Progressive Glioblastoma Patients</t>
  </si>
  <si>
    <t>NCT06666491</t>
  </si>
  <si>
    <t>An Interventional Study to Compare the Efficacy and Safety of Tafenoquine (TQ) and Primaquine (PQ) When Either Are Taken Together With Chloroquine (CQ) for the Treatment of P. Vivax Malaria in Indian Participants Aged 2 Years and Older</t>
  </si>
  <si>
    <t>NCT06710925</t>
  </si>
  <si>
    <t>A Sudy to Evaluate the Efficacy and Safety of TNM001 in High-risk Infants</t>
  </si>
  <si>
    <t>Zhuhai Trinomab Pharmaceutical Co., Ltd.</t>
  </si>
  <si>
    <t>NCT06686654</t>
  </si>
  <si>
    <t>Study of a Human Metapneumovirus/Respiratory Syncytial Virus mRNA Vaccine Candidate Encapsulated in a Lipid Nanoparticle-based Formulation in Adults Aged 60 Years and Older</t>
  </si>
  <si>
    <t>NCT06617416</t>
  </si>
  <si>
    <t>A Study of AK104 in Subjects With Unresectable Locally Advanced NSCLC</t>
  </si>
  <si>
    <t>NCT06727396</t>
  </si>
  <si>
    <t>A Study to Investigate the Safety, Tolerability, PK, and PD of CKD-508 in Healthy Participants</t>
  </si>
  <si>
    <t>NCT06652971</t>
  </si>
  <si>
    <t>A Clinical Trial to Evaluate the Food Effect of CKD-379</t>
  </si>
  <si>
    <t>NCT06632457</t>
  </si>
  <si>
    <t>LIVERAGE™ - Cirrhosis: A Study to Test Whether Survodutide Helps People With a Liver Disease Called NASH/MASH Who Have Cirrhosis</t>
  </si>
  <si>
    <t>NCT06724614</t>
  </si>
  <si>
    <t>Efficacy and Safety of VDPHL01 in Males With AGA</t>
  </si>
  <si>
    <t>NCT06602726</t>
  </si>
  <si>
    <t>A Study to Demonstrate How Well REGN1908-1909 Works in Reducing Ocular Allergy Signs and Symptoms in Adult Participants With Cat Allergy</t>
  </si>
  <si>
    <t>NCT06728176</t>
  </si>
  <si>
    <t>Safety and PK of Multiple Doses of MT1988</t>
  </si>
  <si>
    <t>Monument Therapeutics Limited</t>
  </si>
  <si>
    <t>NCT06703658</t>
  </si>
  <si>
    <t>A Study to Investigate Multiple Ascending Doses of AZD5004 in Healthy Japanese Participants and Participants With Type 2 Diabetes Mellitus</t>
  </si>
  <si>
    <t>NCT06737250</t>
  </si>
  <si>
    <t>NB02 (Poseltinib) Combined Rituximab and Lenalidomide in R/R PCNSL</t>
  </si>
  <si>
    <t>NOBO Medicine</t>
  </si>
  <si>
    <t>NCT06632262</t>
  </si>
  <si>
    <t>A Phase 2 Clinical Study of ABSK061 and ABSK043</t>
  </si>
  <si>
    <t>NCT06490445</t>
  </si>
  <si>
    <t>A Study of Medical Cannabis Aerosol Via the Fixed-dose Syqe Inhaler as an Add-on Treatment of Diabetic Peripheral Neuropathic Pain (DPNP)</t>
  </si>
  <si>
    <t>Syqe Medical</t>
  </si>
  <si>
    <t>NCT06671379</t>
  </si>
  <si>
    <t>A Study of SHR-A2009 Versus Platinum-based Chemotherapy in EGFR-mutated, Advanced or Metastatic NSCLC</t>
  </si>
  <si>
    <t>NCT06641180</t>
  </si>
  <si>
    <t>Study to Evaluate Immunogenicity and Safety of a High-Dose Influenza Vaccine in Adults 50 Through 64 Years of Age</t>
  </si>
  <si>
    <t>NCT06615375</t>
  </si>
  <si>
    <t>A Human Challenge Study to Assess Protection of a Shigella Tetravalent Bioconjugate Vaccine</t>
  </si>
  <si>
    <t>LimmaTech Biologics AG</t>
  </si>
  <si>
    <t>NCT06465329</t>
  </si>
  <si>
    <t>A Study of Cemiplimab Plus Chemotherapy Versus Cemiplimab Plus Chemotherapy Plus Other Cancer Treatments for Adult Patients With Operable Non-Small Cell Lung Cancer (NSCLC)</t>
  </si>
  <si>
    <t>NCT06693895</t>
  </si>
  <si>
    <t>A Study on the Safety of an Investigational Chickenpox Vaccine, When Given to Healthy Children, 12 to 15 Months of Age</t>
  </si>
  <si>
    <t>NCT06515002</t>
  </si>
  <si>
    <t>A Study to Test How Well BI 3720931 is Tolerated and Whether it Improves Lung Function in People With Cystic Fibrosis (Lenticlair™ 1)</t>
  </si>
  <si>
    <t>NCT06544265</t>
  </si>
  <si>
    <t>SynKIR-310 for Relapsed/Refractory B-NHL</t>
  </si>
  <si>
    <t>Verismo Therapeutics</t>
  </si>
  <si>
    <t>NCT06655155</t>
  </si>
  <si>
    <t>A Study to Assess the Efficacy and Safety of Efgartigimod PH20 SC in Adults With Systemic Sclerosis</t>
  </si>
  <si>
    <t>NCT06879132</t>
  </si>
  <si>
    <t>A Study to Evaluate the Pharmacokinetics and Safety of BR3409 and Co-administration of BR3409-1 and BR3409-2 in Healthy Volunteers Under Fed Conditions</t>
  </si>
  <si>
    <t>NCT05582993</t>
  </si>
  <si>
    <t>A Study of Vonicog Alfa (rVWF) in Children With Severe Von Willebrand Disease (vWD)</t>
  </si>
  <si>
    <t>NCT06695130</t>
  </si>
  <si>
    <t>Study of a Combination Vaccine Comprised of Different Recombinant Spike Antigen Levels of a Matrix-M Adjuvanted Recombinant COVID-19 Vaccine and Recombinant Influenza Vaccine in Adult Participants 50 Years of Age and Older</t>
  </si>
  <si>
    <t>NCT06667765</t>
  </si>
  <si>
    <t>A Study of RPT1G After Single and Multiple Doses in Healthy Adult Participants</t>
  </si>
  <si>
    <t>Remedy Plan, Inc.</t>
  </si>
  <si>
    <t>NCT06693765</t>
  </si>
  <si>
    <t>A Study to Investigate the Pharmacokinetics, Safety, and Tolerability of AZD4144 in Participants With Severe Renal Impairment, End-stage Kidney Disease, and in Healthy Participants</t>
  </si>
  <si>
    <t>NCT06671093</t>
  </si>
  <si>
    <t>Phase 1b, Open-label Study of Tune-401 to Assess Safety, PK and PD in Adults With Chronic Hepatitis B</t>
  </si>
  <si>
    <t>Tune Therapeutics, Inc.</t>
  </si>
  <si>
    <t>NCT06660173</t>
  </si>
  <si>
    <t>A Study of Maridebart Cafraglutide in Adult Participants With Type 2 Diabetes Mellitus (T2DM)</t>
  </si>
  <si>
    <t>NCT07260305</t>
  </si>
  <si>
    <t>A Phase I Study to Investigate the Safety and Tolerability of KGX101 Monotherapy and Combination Therapy With Envafolimab in Advanced or Metastatic Solid Tumor Patients</t>
  </si>
  <si>
    <t>Kangabio AUSTRALIA LTD PTY</t>
  </si>
  <si>
    <t>NCT06664502</t>
  </si>
  <si>
    <t>A 2-part Study Consisting of a Multiple Ascending Dose Safety Study in Participants With Macular Edema Following Branch Retinal Vein Occlusion and a Dose-finding Safety and Preliminary Efficacy Study in Participants With Either Diabetic Macular Edema or Neovascular Age-related Macular Degeneration</t>
  </si>
  <si>
    <t>NCT06458712</t>
  </si>
  <si>
    <t>Study to Assess Safety, Tolerability and Activity of DSB2455 in Participants With Advanced Malignancies</t>
  </si>
  <si>
    <t>Duke Street Bio Ltd</t>
  </si>
  <si>
    <t>NCT06520202</t>
  </si>
  <si>
    <t>RHPRG4 FOR THE TREATMENT OF SJÖGREN'S RELATED DRY EYE DISEASE</t>
  </si>
  <si>
    <t>Lubris Bio Pty Ltd</t>
  </si>
  <si>
    <t>NCT06619561</t>
  </si>
  <si>
    <t>A Study to Evaluate Vimseltinib in Adults With Active Chronic Graft-Versus-Host Disease (cGVHD)</t>
  </si>
  <si>
    <t>NCT06387342</t>
  </si>
  <si>
    <t>Namodenoson Treatment of Advanced Pancreatic Cancer</t>
  </si>
  <si>
    <t>Can-Fite BioPharma</t>
  </si>
  <si>
    <t>NCT06614751</t>
  </si>
  <si>
    <t>A PARG Inhibitor DAT-2645 Monotherapy in Patients with Advanced/Metastatic Solid Tumors Harboring BRCA1/2 Loss of Function Alterations And/or Other Defects in the DDR Pathway</t>
  </si>
  <si>
    <t>Danatlas Pharmaceuticals Co., Ltd</t>
  </si>
  <si>
    <t>NCT06596694</t>
  </si>
  <si>
    <t>Study of Patritumab Deruxtecan in Participants With Gastrointestinal Cancers (MK-1022-011) (HERTHENA-PanTumor02)</t>
  </si>
  <si>
    <t>NCT06462729</t>
  </si>
  <si>
    <t>LDGraft in Single Level Anterior Lumbar Interbody Fusion (ALIF)</t>
  </si>
  <si>
    <t>Locate Bio Pty Ltd</t>
  </si>
  <si>
    <t>NCT06625931</t>
  </si>
  <si>
    <t>Clinical Trial to Evaluate the Safety and Efficacy of NTCB01-1 in Patients Who Require Parenteral Nutrition</t>
  </si>
  <si>
    <t>NCT06668961</t>
  </si>
  <si>
    <t>A Study of SI-B001+SI-B003 Combined With Platinum-based Chemotherapy as First-line Treatment in Patients With Recurrent or Metastatic Head and Neck Squamous Cell Carcinoma</t>
  </si>
  <si>
    <t>NCT06681389</t>
  </si>
  <si>
    <t>A Study of NP-201 Acetate Injection in Healthy Adult Volunteers and in Patients With Mild-To-Moderate Active Ulcerative Colitis</t>
  </si>
  <si>
    <t>NIBEC Co., Ltd.</t>
  </si>
  <si>
    <t>NCT06657703</t>
  </si>
  <si>
    <t>Safety, Tolerability, and Pharmacokinetics of Single Doses of HC022 in Healthy Subjects.</t>
  </si>
  <si>
    <t>NCT06689436</t>
  </si>
  <si>
    <t>Pivotal BE Study of TAH3311 ODF vs ELIQUIS® Tablet Under Fasted Condition in Healthy Volunteers</t>
  </si>
  <si>
    <t>TAHO Pharmaceuticals Ltd.</t>
  </si>
  <si>
    <t>NCT06386744</t>
  </si>
  <si>
    <t>Dusquetide for the Treatment of Behcet's Disease</t>
  </si>
  <si>
    <t>Soligenix</t>
  </si>
  <si>
    <t>NCT06781632</t>
  </si>
  <si>
    <t>Phase I Study of Ropivacaine, Clonidine, and Betamethasone Combination for Sciatic Nerve Block in the Popliteal Region</t>
  </si>
  <si>
    <t>PHARMAFINA</t>
  </si>
  <si>
    <t>NCT06672549</t>
  </si>
  <si>
    <t>A Platform Trial for Pediatric Participants With Obesity or Overweight (LY900040)</t>
  </si>
  <si>
    <t>NCT06692738</t>
  </si>
  <si>
    <t>A Global Phase III Study of Rilvegostomig or Pembrolizumab Plus Chemotherapy for First-Line Treatment of Metastatic Squamous Non-small Cell Lung Cancer (NSCLC)</t>
  </si>
  <si>
    <t>NCT06624059</t>
  </si>
  <si>
    <t>A Study to See How Well and How Safely Different Treatments Work in a Group of Participants With Non-Small Cell Lung Cancer (NSCLC)</t>
  </si>
  <si>
    <t>NCT06460506</t>
  </si>
  <si>
    <t>Evaluation of Long-term Safety and Efficacy of ELX/TEZ/IVA in Cystic Fibrosis Participants 12 Months of Age and Older</t>
  </si>
  <si>
    <t>NCT06724978</t>
  </si>
  <si>
    <t>A Study of S-740792 in Healthy Adult Study Participants</t>
  </si>
  <si>
    <t>NCT06644417</t>
  </si>
  <si>
    <t>Clinical Study of TQA3605 Tablets Combined With Nucleoside (Acid) Analogs (NAs) Drugs Compared With NAs Drugs in the Treatment of Chronic Hepatitis B Virus (HBV) Infection</t>
  </si>
  <si>
    <t>NCT06685809</t>
  </si>
  <si>
    <t>A Phase 1 Study of FZ008-145 in Healthy Subjects.</t>
  </si>
  <si>
    <t>Guangzhou Fermion Technology Co., LTD</t>
  </si>
  <si>
    <t>NCT06672939</t>
  </si>
  <si>
    <t>A Study of Orforglipron (LY3502970) in Adolescent Participants With Obesity, or Overweight With Related Comorbidities</t>
  </si>
  <si>
    <t>NCT06748001</t>
  </si>
  <si>
    <t>Avapritinib Rollover Study</t>
  </si>
  <si>
    <t>NCT06687967</t>
  </si>
  <si>
    <t>A Study to Investigate Improvement in Pruritus of Lichen Simplex Chronicus With Dupilumab Injections Compared With Placebo in Male and Female Participants Aged at Least 18 Years (STYLE 1)</t>
  </si>
  <si>
    <t>NCT06343298</t>
  </si>
  <si>
    <t>To Evaluate the Safety and Efficacy of MANP in Subjects With Difficult to Control/ Resistant Hypertension</t>
  </si>
  <si>
    <t>E-Star BioTech, LLC</t>
  </si>
  <si>
    <t>NCT06680375</t>
  </si>
  <si>
    <t>A Study of an Investigational Flu Seasonal/SARS-CoV-2 Combination Vaccine in Adults</t>
  </si>
  <si>
    <t>NCT06714825</t>
  </si>
  <si>
    <t>Study of HS235 for Assessing the Pharmacokinetics, Safety, and Pharmacodynamics in Overweight/Obese Healthy Subjects</t>
  </si>
  <si>
    <t>NCT06454188</t>
  </si>
  <si>
    <t>A Study to Evaluate the Impact of Upadacitinib on Spondyloarthritis Outcomes in Patients With Active Psoriatic Arthritis</t>
  </si>
  <si>
    <t>CARE ARTHRITIS LTD.</t>
  </si>
  <si>
    <t>NCT06601504</t>
  </si>
  <si>
    <t>Study of HMPL-760 Plus R-GemOx Versus Placebo Plus R-GemOx in Relapsed/Refractory DLBCL</t>
  </si>
  <si>
    <t>NCT06686368</t>
  </si>
  <si>
    <t>Comparative Efficacy Study to Demonstrate the Non-inferiority of I-DROP® MGD Versus 2 Competitor Eye Drops in Managing Evaporative Dry Eye</t>
  </si>
  <si>
    <t>I-MED Pharma</t>
  </si>
  <si>
    <t>NCT06670274</t>
  </si>
  <si>
    <t>A Dose Escalating Study of HC002 in Healthy Adult Volunteers</t>
  </si>
  <si>
    <t>Holoclara Aus Pty Ltd</t>
  </si>
  <si>
    <t>NCT06672653</t>
  </si>
  <si>
    <t>Tolerance and Effectiveness of C14 on HPV Infection</t>
  </si>
  <si>
    <t>MGB Pharma</t>
  </si>
  <si>
    <t>NCT06427811</t>
  </si>
  <si>
    <t>Clinical Study of Asciminib in Previously Treated Indian Patients With Ph+ CML-CP Without T315I Mutation and in Patients With Ph+ CML-CP With T315I Mutation</t>
  </si>
  <si>
    <t>NCT06642558</t>
  </si>
  <si>
    <t>Safety and Immunogenicity of Recombinant RSV Vaccine (CHO Cell) in Healthy Subjects Aged 18 Years and Above</t>
  </si>
  <si>
    <t>NCT06642909</t>
  </si>
  <si>
    <t>A Phase II Study of Zuberitamab Injection in Patients With Primary Membranous Nephropathy</t>
  </si>
  <si>
    <t>NCT07014449</t>
  </si>
  <si>
    <t>Clinical Trial of WBC100 Capsule in Relapsed/Refractory Acute Myeloid Leukemia</t>
  </si>
  <si>
    <t>Hangzhou Weben Pharma Co., Ltd</t>
  </si>
  <si>
    <t>NCT07364838</t>
  </si>
  <si>
    <t>Study to Evaluate the Effect of Food on the Pharmacokinetics and Pharmacodynamics Characteristics in Healthy Adult Volunteers</t>
  </si>
  <si>
    <t>NCT06663605</t>
  </si>
  <si>
    <t>Phase 1 Study Evaluating PALI-2108 in Healthy Volunteers and Ulcerative Colitis Patients.</t>
  </si>
  <si>
    <t>Palisade Bio</t>
  </si>
  <si>
    <t>NCT06616194</t>
  </si>
  <si>
    <t>A Study to Learn About the Study Medicine Called Rimegepant in Adolescents With Frequent Migraine</t>
  </si>
  <si>
    <t>NCT06955598</t>
  </si>
  <si>
    <t>A Phase I Clinical Study to Evaluate the Safety, Tolerability, Pharmacokinetics, and Pharmacodynamics of Multiple Subcutaneous Injections of SHR-2173 in Patients With Systemic Lupus Erythematosus</t>
  </si>
  <si>
    <t>NCT06823232</t>
  </si>
  <si>
    <t>A Study on the Substance Balance of [14C]XY0206 in Healthy Adult Chinese Men</t>
  </si>
  <si>
    <t>Shijiazhuang Yiling Pharmaceutical Co. Ltd</t>
  </si>
  <si>
    <t>NCT06699680</t>
  </si>
  <si>
    <t>Phase 1 Study of PRX019 in Healthy Adult Volunteers</t>
  </si>
  <si>
    <t>Prothena Biosciences Ltd.</t>
  </si>
  <si>
    <t>NCT06659263</t>
  </si>
  <si>
    <t>RE104 Clinical Lactation Study</t>
  </si>
  <si>
    <t>NCT06653322</t>
  </si>
  <si>
    <t>A Multi-centered，Randomized，Double-blind，Placebo-controlled Study to Evaluate the Efficacy and Safety of SHR-1703 in Eosinophilic Asthma</t>
  </si>
  <si>
    <t>NCT06483802</t>
  </si>
  <si>
    <t>A Study of ASP2016 in Adults Who Have Heart Disease Associated With Friedreich Ataxia</t>
  </si>
  <si>
    <t>Astellas Gene Therapies</t>
  </si>
  <si>
    <t>NCT06386419</t>
  </si>
  <si>
    <t>A Clinical Study to Evaluate the Safety and Effectiveness of Inclisiran Sodium in Indian Patients With Primary Hypercholesterolemia or Mixed Dyslipidemia</t>
  </si>
  <si>
    <t>NCT06643377</t>
  </si>
  <si>
    <t>A Clinical Study of Enlicitide in Participants With Severe Renal Impairment (MK-0616-032)</t>
  </si>
  <si>
    <t>NCT06669208</t>
  </si>
  <si>
    <t>Trial of an Inactivated Chikungunya Virus Vaccine</t>
  </si>
  <si>
    <t>Najit Technologies, Inc.</t>
  </si>
  <si>
    <t>NCT06444113</t>
  </si>
  <si>
    <t>Concentration of Ofatumumab in the Breast Milk of Lactating Women With Relapsing Forms of Multiple Sclerosis</t>
  </si>
  <si>
    <t>NCT06672718</t>
  </si>
  <si>
    <t>A Study of SPY002-091 in Healthy Volunteers</t>
  </si>
  <si>
    <t>NCT06672276</t>
  </si>
  <si>
    <t>To Evaluate the Pharmacokinetics and Safety of TQD3606 for Injection in Subjects With Renal Insufficiency</t>
  </si>
  <si>
    <t>NCT06526793</t>
  </si>
  <si>
    <t>Surovatamig (AZD0486) as Monotherapy in Participants With Relapsed/Refractory (R/R) B-cell NHL</t>
  </si>
  <si>
    <t>NCT06682975</t>
  </si>
  <si>
    <t>A Research Study Looking at the Safety of Single and Multiple Doses of ZP9830 and How it Works in the Body of Healthy Participants</t>
  </si>
  <si>
    <t>Zealand Pharma</t>
  </si>
  <si>
    <t>NCT06682611</t>
  </si>
  <si>
    <t>Safety and Efficacy of SYHA1813 Single Agent or in Combination With Different Regimens in Unresectable Locally Advanced or Metastatic Solid Tumors.</t>
  </si>
  <si>
    <t>NCT06463132</t>
  </si>
  <si>
    <t>Phase 1b Clinical Trial to Evaluate PEP and EUFLEXXA for Knee Osteoarthritis (KOA)</t>
  </si>
  <si>
    <t>NCT06602739</t>
  </si>
  <si>
    <t>A Study to Demonstrate the Effect of REGN5713-5715 on Reducing Ocular Allergy Signs and Symptoms in Adult Participants With Birch Pollen Allergy</t>
  </si>
  <si>
    <t>NCT06369285</t>
  </si>
  <si>
    <t>A Study of Alisertib in Combination With Endocrine Therapy in Patients With HR-positive, HER2-negative Recurrent or Metastatic Breast Cancer</t>
  </si>
  <si>
    <t>NCT06695910</t>
  </si>
  <si>
    <t>Modulation of the Brain Fog Scale by Eicosapentaenoic Acid Monoglycerides (MAG-EPA).</t>
  </si>
  <si>
    <t>Samuel Fortin</t>
  </si>
  <si>
    <t>NCT06700096</t>
  </si>
  <si>
    <t>An Open-Label, Comparative Study of the Efficacy, Safety and Pharmacodynamics of Single Dose of ANB-002 in Patients With Hemophilia B</t>
  </si>
  <si>
    <t>NCT06641388</t>
  </si>
  <si>
    <t>A Study Evaluating the Single Subcutaneous Injection of Ebronucimab in Chinese Healthy Male Subjects</t>
  </si>
  <si>
    <t>NCT03160430</t>
  </si>
  <si>
    <t>A Two-Part Phase 2a Study of RVX000222 in Patients With End-Stage Renal Disease Treated With Hemodialysis</t>
  </si>
  <si>
    <t>Resverlogix Corp</t>
  </si>
  <si>
    <t>NCT06851949</t>
  </si>
  <si>
    <t>Vsling™ I: Clinical Evaluation of the Vsling™ Device for Ventricular Repair in Patients With Heart Failure</t>
  </si>
  <si>
    <t>Cardiac Success</t>
  </si>
  <si>
    <t>NCT06695598</t>
  </si>
  <si>
    <t>Clinical Study to Evaluate the Food Effect of CKD-383 0.5/25/1000mg in Healthy Volunteers</t>
  </si>
  <si>
    <t>NCT06566586</t>
  </si>
  <si>
    <t>A Clinical Study to Evaluate the Efficacy and Safety of TQB3702 Tablets Combined With Immunochemotherapy for the Treatment of B-cell Lymphoma</t>
  </si>
  <si>
    <t>NCT06679556</t>
  </si>
  <si>
    <t>Phase 1 Pharmacokinetic Study of Minoxidil SL Tablets</t>
  </si>
  <si>
    <t>Samson Clinical Operations Pty Ltd</t>
  </si>
  <si>
    <t>NCT06719141</t>
  </si>
  <si>
    <t>A Study to Investigate LP352 in Children and Adults With Developmental and Epileptic Encephalopathies (DEE)</t>
  </si>
  <si>
    <t>NCT07093086</t>
  </si>
  <si>
    <t>Clinical Study of Multi-targeted CAR-T Therapy in Patients With Relapsed/Refractory B-Cell Lymphoma</t>
  </si>
  <si>
    <t>NCT06619587</t>
  </si>
  <si>
    <t>A Study to Evaluate Safety, Pharmacokinetics, and Activity of GDC-7035 as a Single Agent and in Combination in Patients With Advanced Solid Tumors</t>
  </si>
  <si>
    <t>NCT06713564</t>
  </si>
  <si>
    <t>A Single Dose, Open-Label, Dose-escalation Study of the Safety and Imaging Characteristics of LS301-IT for Intraoperative Imaging of Lung Cancer</t>
  </si>
  <si>
    <t>Integro Theranostics</t>
  </si>
  <si>
    <t>NCT06645314</t>
  </si>
  <si>
    <t>Study on the Safety and Efficacy of BST06 Injection in the Treatment of Advanced Hepatocellular Carcinoma</t>
  </si>
  <si>
    <t>NCT06422884</t>
  </si>
  <si>
    <t>A Phase 2 Trial of ENV-101 in Patients With Lung Fibrosis (WHISTLE-PF Trial)</t>
  </si>
  <si>
    <t>Endeavor Biomedicines, Inc.</t>
  </si>
  <si>
    <t>NCT06621615</t>
  </si>
  <si>
    <t>Clinical Study of CVL006 Injection in Advanced Solid Tumors</t>
  </si>
  <si>
    <t>NCT06629389</t>
  </si>
  <si>
    <t>Clinical Trial with Cannabidiol (Kanbis®) for Parkinson Disease Symptoms</t>
  </si>
  <si>
    <t>Laboratorio Elea Phoenix S.A.</t>
  </si>
  <si>
    <t>NCT06666855</t>
  </si>
  <si>
    <t>A Phase III Study in Subjects With Primary Open Angle Glaucoma or Ocular Hypertension in China</t>
  </si>
  <si>
    <t>NCT06700395</t>
  </si>
  <si>
    <t>A Clinical Study of TQB2029 for Injection in Subjects With Multiple Myeloma</t>
  </si>
  <si>
    <t>NCT06702332</t>
  </si>
  <si>
    <t>Single Ascending Dose Study of MSD-001 in Healthy Participants</t>
  </si>
  <si>
    <t>Mindstate Design Labs</t>
  </si>
  <si>
    <t>NCT06568471</t>
  </si>
  <si>
    <t>A Study on Efficacy and Safety of HST101 in Chinese Patients with Hypercholesterolemia</t>
  </si>
  <si>
    <t>NCT06676319</t>
  </si>
  <si>
    <t>Study of Lunsekimig (SAR443765) Compared With Placebo in Adults With High-risk Asthma</t>
  </si>
  <si>
    <t>NCT06650761</t>
  </si>
  <si>
    <t>A Phase I Study of CDX-622</t>
  </si>
  <si>
    <t>NCT06411639</t>
  </si>
  <si>
    <t>Pharmacokinetics Study of Ianalumab in Chinese Participants With Autoimmune Diseases</t>
  </si>
  <si>
    <t>NCT06659640</t>
  </si>
  <si>
    <t>A Study to Evaluate ALN-6400 in Healthy Volunteers and Patients With Hereditary Hemorrhagic Telangiectasia (HHT)</t>
  </si>
  <si>
    <t>NCT06603246</t>
  </si>
  <si>
    <t>A Study to Test the Safety and Effects of Inhaled GDC-6988 in Participants With Muco-obstructive Disease</t>
  </si>
  <si>
    <t>NCT06685718</t>
  </si>
  <si>
    <t>A Study Investigating BG-60366 in Adults With Epidermal Growth Factor Receptor (EGFR)-Mutant Non-Small Cell Lung Cancer</t>
  </si>
  <si>
    <t>NCT06612970</t>
  </si>
  <si>
    <t>A Study to Evaluate Single-dose of HB0056 in Healthy Adult Participants</t>
  </si>
  <si>
    <t>NCT06670170</t>
  </si>
  <si>
    <t>A Study to Learn How Different Forms of the Study Medicine Called PF-07976016 Are Taken Up Into the Blood in Healthy Adults</t>
  </si>
  <si>
    <t>NCT06639295</t>
  </si>
  <si>
    <t>A Study to Evaluate 611 in Patients With Chronic Rhinosinusitis With Nasal Polyps</t>
  </si>
  <si>
    <t>NCT06879158</t>
  </si>
  <si>
    <t>A Study to Evaluate the Pharmacokinetics and Safety of BR3409 and Co-administration of BR3409-1 and BR3409-2 in Healthy Volunteers Under Fasting Conditions</t>
  </si>
  <si>
    <t>NCT06564324</t>
  </si>
  <si>
    <t>A Phase III Study Comparing Taletrectinib With Standard Therapy in ROS1 Positive Locally Advanced or Metastatic Non-small Cell Lung Cancer Patients</t>
  </si>
  <si>
    <t>NCT06672237</t>
  </si>
  <si>
    <t>A Phase 3 Study of NTLA-2001 in ATTRv-PN</t>
  </si>
  <si>
    <t>NCT06690775</t>
  </si>
  <si>
    <t>CATALINA-2: A Clinical Study of TORL-1-23 in Platinum-resistant Ovarian Cancer.</t>
  </si>
  <si>
    <t>TORL Biotherapeutics, LLC</t>
  </si>
  <si>
    <t>NCT06695572</t>
  </si>
  <si>
    <t>Clinical Study to Evaluate the Food Effect of CKD-383 0.5/10/1000mg in Healthy Volunteers</t>
  </si>
  <si>
    <t>NCT06666270</t>
  </si>
  <si>
    <t>Study of SYN818 for the Treatment of Advanced or Metastatic Solid Tumors</t>
  </si>
  <si>
    <t>Hangzhou SynRx Therapeutics Biomedical Technology Co., Ltd</t>
  </si>
  <si>
    <t>NCT07307638</t>
  </si>
  <si>
    <t>Dose-escalation and Food Effect Study of ZT006 in Healthy, Overweight and Obese Participants</t>
  </si>
  <si>
    <t>NCT07115238</t>
  </si>
  <si>
    <t>Analysis of 18F-XTR006 PET Imaging in Cognitively Normal Subjects, and Patients With MCI and AD</t>
  </si>
  <si>
    <t>NCT06733922</t>
  </si>
  <si>
    <t>ELIOS - Investigational Biomarkers to Track Disease Modification in Active RRMS</t>
  </si>
  <si>
    <t>NCT06644755</t>
  </si>
  <si>
    <t>First-in-Human Trial of DS-2243a in Participants With Advanced Solid Tumors</t>
  </si>
  <si>
    <t>NCT06681337</t>
  </si>
  <si>
    <t>Universal CAR-T Cell Therapy for Refractory Lupus Nephritis</t>
  </si>
  <si>
    <t>NCT06956001</t>
  </si>
  <si>
    <t>Firmonertinib Versus Platinum Based Chemotherapy as First-line Treatment for NSCLC With EGFR PACC or EGFR l861q Mutation</t>
  </si>
  <si>
    <t>NCT06635824</t>
  </si>
  <si>
    <t>Trial to Evaluate Acasunlimab and Pembrolizumab Combination Superiority Over Standard of Care Docetaxel in Non-Small Cell Lung Cancer (ABBIL1TY NSCLC-06)</t>
  </si>
  <si>
    <t>NCT05017298</t>
  </si>
  <si>
    <t>Clinical Study for Subjects With COVID-19 Using Allogeneic Adipose Tissue-Derived Mesenchymal Stem Cells</t>
  </si>
  <si>
    <t>Celltex Therapeutics Corporation</t>
  </si>
  <si>
    <t>NCT06933914</t>
  </si>
  <si>
    <t>Long-term Safety and Tolerability of MY008211A Tablets in Patients With Paroxysmal Nocturnal Hemoglobinuria</t>
  </si>
  <si>
    <t>NCT06236009</t>
  </si>
  <si>
    <t>A First-In-Human Study of TAK-004 in Healthy Adults</t>
  </si>
  <si>
    <t>NCT06532006</t>
  </si>
  <si>
    <t>A Phase Ⅲ Clinical Study of HLX22 in Combination With Trastuzumab and Chemotherapy for the Treatment of Gastroesophageal Junction and Gastric Cancer</t>
  </si>
  <si>
    <t>NCT06683508</t>
  </si>
  <si>
    <t>A Study to Investigate Weight Management With LY3549492 Compared With Placebo in Adult Participants With Obesity or Overweight</t>
  </si>
  <si>
    <t>NCT06641908</t>
  </si>
  <si>
    <t>Anti-GD2 ADC M3554 in Advanced Solid Tumors</t>
  </si>
  <si>
    <t>NCT06435845</t>
  </si>
  <si>
    <t>Phase 2 Study on the Pharmacokinetics and Safety of RLYB212 in Pregnant Women at Higher Risk for HPA-1a Alloimmunization</t>
  </si>
  <si>
    <t>Rallybio</t>
  </si>
  <si>
    <t>NCT06450470</t>
  </si>
  <si>
    <t>Use of a Freeze-dried Amniotic Membrane Post Crosslinking in Subjects With Progressive Keratoconus</t>
  </si>
  <si>
    <t>NCT06592768</t>
  </si>
  <si>
    <t>A Double-blind, Placebo-controlled, Parallel-group Study to Evaluate the Safety and Efficacy of Briquilimab in Participants With Allergic Asthma</t>
  </si>
  <si>
    <t>NCT06678373</t>
  </si>
  <si>
    <t>Monitoring JE Antibody Levels in Healthy Populations and Immunization Strategy in Low-Prevalence Areas</t>
  </si>
  <si>
    <t>NCT06685185</t>
  </si>
  <si>
    <t>A Research Study of a New Medicine NNC0363-1063 in Healthy Participants and Participants With Type 1 Diabetes</t>
  </si>
  <si>
    <t>NCT06678659</t>
  </si>
  <si>
    <t>A Study of REC-1245 in Participants With Unresectable, Locally Advanced, or Metastatic Cancer</t>
  </si>
  <si>
    <t>NCT06843018</t>
  </si>
  <si>
    <t>Study to Evaluate the Efficacy and Safety of Different Doses of Graminidin With Anesthetic, a Metered Dose Topical Spray, in the Treatment of Acute Infectious and Inflammatory Pharyngeal Diseases Compared With Drug Septolete Total, Lozenges</t>
  </si>
  <si>
    <t>NCT06804590</t>
  </si>
  <si>
    <t>A Study on Efficacy, Safety and Immunogenicity of 9MW0311 in Postmenopausal Women With Osteoporosis</t>
  </si>
  <si>
    <t>NCT06228053</t>
  </si>
  <si>
    <t>Study of SX-682 Plus Enzalutamide in Men With ARPI-Resistant Metastatic Castration Resistant Prostate Cancer</t>
  </si>
  <si>
    <t>Syntrix Biosystems, Inc.</t>
  </si>
  <si>
    <t>NCT06691828</t>
  </si>
  <si>
    <t>Absolute Bioavailability, Absorption, Metabolism, Excretion, and Mass Balance Study of [14C] NX-5948</t>
  </si>
  <si>
    <t>NCT06645301</t>
  </si>
  <si>
    <t>BGT007 Treatment for Recurrent/refractory Gastrointestinal Malignancies</t>
  </si>
  <si>
    <t>NCT06649214</t>
  </si>
  <si>
    <t>A Study of Olanzapine-Samidorphan Tablets in Adults With Schizophrenia</t>
  </si>
  <si>
    <t>NCT06726863</t>
  </si>
  <si>
    <t>Pharmacokinetics and Pharmacodynamics of Two Prolonged-release Formulations of Vamifeport in Healthy Adults</t>
  </si>
  <si>
    <t>NCT06650007</t>
  </si>
  <si>
    <t>the Efficacy and Safety of HRS9531 Injection in Subjects With Type 2 Diabetes， Inadequately Controlled With Diet and Exercise Alone</t>
  </si>
  <si>
    <t>NCT06645665</t>
  </si>
  <si>
    <t>A Study to Describe the Safety and Immunogenicity of a Respiratory Syncytial Virus Vaccine IN006 in Healthy Adult Aged 18 Years and Above</t>
  </si>
  <si>
    <t>NCT06686628</t>
  </si>
  <si>
    <t>An Open-label, DDI Study to Investigate the Effects of Amlitelimab on the PK of Selected Cytochrome P450 Substrates</t>
  </si>
  <si>
    <t>NCT06662383</t>
  </si>
  <si>
    <t>A Study of Retatrutide (LY3437943) Compared to Tirzepatide (LY3298176) in Adults Who Have Obesity</t>
  </si>
  <si>
    <t>NCT06654960</t>
  </si>
  <si>
    <t>Influence of HRS9531 on Pharmacokinetics of Metformin in Healthy Subjects</t>
  </si>
  <si>
    <t>NCT06607627</t>
  </si>
  <si>
    <t>PK, PD, Safety, and Efficacy Study of Gefurulimab in Pediatric Patients With AChR+ Generalized Myasthenia Gravis</t>
  </si>
  <si>
    <t>NCT05104268</t>
  </si>
  <si>
    <t>Study of a New Medical Device for Oral Mucositis</t>
  </si>
  <si>
    <t>E2Bio Life Sciences, LLC</t>
  </si>
  <si>
    <t>NCT06654440</t>
  </si>
  <si>
    <t>A Trial of SHR-A2102 for Treatment of Advanced Gynecological Malignancy</t>
  </si>
  <si>
    <t>NCT06499350</t>
  </si>
  <si>
    <t>A Study of FC084CSA in Combination of Tislelizumab in Patients With Advanced Malignant Solid Tumors</t>
  </si>
  <si>
    <t>FindCure Biosciences (ZhongShan) Co., Ltd.</t>
  </si>
  <si>
    <t>NCT06628362</t>
  </si>
  <si>
    <t>A Study of CT-388 in Participants Who Are Overweight or Obese With Type 2 Diabetes Mellitus</t>
  </si>
  <si>
    <t>NCT06762873</t>
  </si>
  <si>
    <t>Assessment of OSA in Latin American and Response to Neuromod Therapy</t>
  </si>
  <si>
    <t>Lunair Medical</t>
  </si>
  <si>
    <t>NCT06729073</t>
  </si>
  <si>
    <t>Comparison of Diclofenac Systemic Exposure From Two Different Products (AMZ001 and Diclofenac Diethylammonium 1.16% Gel) in Healthy Participants After Repeated Topical Administrations for 7 Days.</t>
  </si>
  <si>
    <t>Amzell</t>
  </si>
  <si>
    <t>NCT06640777</t>
  </si>
  <si>
    <t>Efficacy and Safety of LEAF-4L6715 for Acute Respiratory Distress Syndrome</t>
  </si>
  <si>
    <t>LEAF4Life, Inc.</t>
  </si>
  <si>
    <t>NCT06635772</t>
  </si>
  <si>
    <t>A Study of the Effect and Safety of HS-10390 in the Treatment of Patients with Primary IgA Nephropathy</t>
  </si>
  <si>
    <t>NCT06674915</t>
  </si>
  <si>
    <t>Investigation of Pharmacokinetics,Safety,and Pharmacodynamics of HRS-5965 in Subjects With Hepatic Impairment</t>
  </si>
  <si>
    <t>NCT06697899</t>
  </si>
  <si>
    <t>TGRX-678 Phase I Oral Pharmacokinetic Study</t>
  </si>
  <si>
    <t>NCT06496971</t>
  </si>
  <si>
    <t>A Prospective Pivotal Study to Evaluate the Efficacy and Safety of Avastin® Bevacizumab (BEV) With or Without Microbubble-mediated Focused Ultrasound (FUS-MB) Using NaviFUS System in Recurrent Glioblastoma Multiforme Patients</t>
  </si>
  <si>
    <t>NCT06663436</t>
  </si>
  <si>
    <t>A Study on the Immune Response and Safety of a Multicomponent Shigella Vaccine in Preventing Shigellosis in Infants</t>
  </si>
  <si>
    <t>NCT07024641</t>
  </si>
  <si>
    <t>A Study to Assess the Safety, Tolerability, and Pharmacokinetics of GIGA-2339 in Participants With Chronic Hepatitis B Virus Infection</t>
  </si>
  <si>
    <t>NCT06641024</t>
  </si>
  <si>
    <t>Clinical Research of CD19 Targeted CAR-T Cell in Relapsed/ Refractory B-ALL</t>
  </si>
  <si>
    <t>NCT06485752</t>
  </si>
  <si>
    <t>Phase 3 Lot Consistency Study of Trivalent Hemagglutinin Nanoparticle Influenza Vaccine</t>
  </si>
  <si>
    <t>NCT06531499</t>
  </si>
  <si>
    <t>A Study of Radiation Dosimetry, Safety, and Tolerability of Extended Lutetium (177Lu) Vipivotide Tetraxetan Treatment in Chemo-naïve Adults With Metastatic Castration-resistant Prostate Cancer: RADIOpharmaceutical DOSimetry Evaluation (RADIODOSE) Study</t>
  </si>
  <si>
    <t>NCT06671236</t>
  </si>
  <si>
    <t>Clinical Study of Regulatory T Cells (Tregs) in the Treatment of Neurodegenerative Diseases</t>
  </si>
  <si>
    <t>Novabio Therapeutics</t>
  </si>
  <si>
    <t>NCT06621654</t>
  </si>
  <si>
    <t>Clinical Trial of Lyophilized Haemophilus Influenzae Type b Conjugate Vaccine</t>
  </si>
  <si>
    <t>NCT06736262</t>
  </si>
  <si>
    <t>A Phase 2, Open-Label, Extension Study to Evaluate Long Term Safety and Clinical Activity of Briquilimab in Participants From Jasper-Sponsored Chronic Urticaria Trials</t>
  </si>
  <si>
    <t>NCT06495918</t>
  </si>
  <si>
    <t>Study to Evaluate the Efficacy and Safety of Intravitreal OTX-TKI (Axitinib Implant) in Subjects With Neovascular Age- Related Macular Degeneration</t>
  </si>
  <si>
    <t>NCT06537414</t>
  </si>
  <si>
    <t>A Study of Sequential Therapy With Daplusiran/Tomligisiran (DAP/TOM) Followed by Bepirovirsen in Participants Living With Chronic Hepatitis B (CHB)</t>
  </si>
  <si>
    <t>NCT06727136</t>
  </si>
  <si>
    <t>A Study to Characterize Single and Repeat Dose Pharmacokinetics of Tebipenem-Pivoxil-Hydrobromide (TBP-PI-HBr) and Its Major Metabolite (SPR1349) in Healthy Participants</t>
  </si>
  <si>
    <t>Spero Therapeutics</t>
  </si>
  <si>
    <t>NCT07022977</t>
  </si>
  <si>
    <t>A Study of MET233 in Individuals With Obesity or Overweight</t>
  </si>
  <si>
    <t>NCT06709807</t>
  </si>
  <si>
    <t>Clinical Study to Evaluate the Food Effect of CKD-378 in Healthy Volunteers</t>
  </si>
  <si>
    <t>NCT06649292</t>
  </si>
  <si>
    <t>SHR-A1904 Compared With Investigator's Choice of Therapy in Claudin18.2 Positive Patitens With Second-line Advanced or Metastatic Gastric or Gastroesophageal Junction Adenocarcinoma</t>
  </si>
  <si>
    <t>NCT06680921</t>
  </si>
  <si>
    <t>A Study of SIM0270 Combined With Everolimus vs. Treatment of Physician's Choice in Patients With ER+/HER2- Advanced Breast Cancer (SIMRISE)</t>
  </si>
  <si>
    <t>NCT06647810</t>
  </si>
  <si>
    <t>A Study in Healthy People to Test How 2 Different Formulations of BI 690517 Are Taken up in the Body and How Probenecid Influences the Amount of BI 690517 in the Blood</t>
  </si>
  <si>
    <t>NCT06752681</t>
  </si>
  <si>
    <t>To Evaluate the Safety, Tolerability, Pharmacokinetics and Antitumor Activity of DAY301 in Participants With Locally Advanced or Metastatic Solid Tumors</t>
  </si>
  <si>
    <t>Day One Biopharmaceuticals, Inc.</t>
  </si>
  <si>
    <t>NCT05893888</t>
  </si>
  <si>
    <t>Safety and Efficacy Study of PRV111 and PRV211 in Subjects With Oral Squamous Cell Carcinoma</t>
  </si>
  <si>
    <t>Privo Technologies</t>
  </si>
  <si>
    <t>NCT06611371</t>
  </si>
  <si>
    <t>Phase I/II Study to a Assess the GBS-06 Vaccine Manufactured by Inventprise, Inc., in Healthy, Non-Pregnant, Adult Women of Childbearing Age.</t>
  </si>
  <si>
    <t>Inventprise Inc.</t>
  </si>
  <si>
    <t>NCT06616532</t>
  </si>
  <si>
    <t>PM8002 in Combination With Paclitaxel Compared With Chemotherapy as Second-line Treatment in Small Cell Lung Cancer</t>
  </si>
  <si>
    <t>NCT06672263</t>
  </si>
  <si>
    <t>A Clinical Trial to Evaluate the Safety and Tolerability of TQB3911 Tablets in Patients With BCR::ABL Fusion Gene Positive Leukemia</t>
  </si>
  <si>
    <t>NCT06639347</t>
  </si>
  <si>
    <t>A Trial of SHR-A2102 With Antitumor Therapy in Advanced Urothelial Carcinoma</t>
  </si>
  <si>
    <t>NCT06695117</t>
  </si>
  <si>
    <t>Study of a Combination Vaccine Comprised of Different Recombinant Spike Antigen Levels of a Matrix-M Adjuvanted Recombinant COVID-19 Vaccine and High-Dose Inactivated Influenza Vaccine in Adult Participants 50 Years of Age and Older</t>
  </si>
  <si>
    <t>NCT06435312</t>
  </si>
  <si>
    <t>An Open-label Extension Study to Evaluate Subcutaneous Zilucoplan in Pediatric Participants With Generalized Myasthenia Gravis</t>
  </si>
  <si>
    <t>NCT06704932</t>
  </si>
  <si>
    <t>A First-in-human Study to Investigate Safety and Tolerability of SAR446959 in Participants With Osteoarthritis of the Knee</t>
  </si>
  <si>
    <t>NCT06750419</t>
  </si>
  <si>
    <t>89Zr-TLX250 for PET/CT Imaging of ccRCC - ZIRCON-CP Study</t>
  </si>
  <si>
    <t>NCT06683352</t>
  </si>
  <si>
    <t>A Study to Learn About Flu and COVID-19 Vaccine Responses in Healthy People</t>
  </si>
  <si>
    <t>NCT06488313</t>
  </si>
  <si>
    <t>A Study to Evaluate the Pharmacodynamics and Safety of ARCT-810 in Participants With OTCD</t>
  </si>
  <si>
    <t>NCT06623409</t>
  </si>
  <si>
    <t>Safety and Immunogenicity of V540B in Healthy Adults (V540B-002).</t>
  </si>
  <si>
    <t>NCT06687681</t>
  </si>
  <si>
    <t>Injection of Active Allogeneic Natural Killer Cells in Patients With Gliomas</t>
  </si>
  <si>
    <t>Marzieh Ebrahimi</t>
  </si>
  <si>
    <t>NCT06660667</t>
  </si>
  <si>
    <t>A Safety and Efficacy Study of One-time SAR402663 in Adults With Neovascular Age-related Macular Degeneration</t>
  </si>
  <si>
    <t>NCT06674265</t>
  </si>
  <si>
    <t>Safety and Efficacy of Systemic Allogenic NK Cells in R/R Neuroblastoma</t>
  </si>
  <si>
    <t>NCT06648772</t>
  </si>
  <si>
    <t>Efficacy and Safety of Roflumilast Cream 0.3% in Subjects With Plaque Psoriasis: a Phase 3 Study</t>
  </si>
  <si>
    <t>NCT06595004</t>
  </si>
  <si>
    <t>A Study to Evaluate the Efficacy and Safety of HCP1004 in Chronic Low-Back Pain Patients</t>
  </si>
  <si>
    <t>NCT06658964</t>
  </si>
  <si>
    <t>Study to Evaluate the Drug-drug Interaction of JMKX003142 in Healthy Subjects</t>
  </si>
  <si>
    <t>NCT06497985</t>
  </si>
  <si>
    <t>A Study of Tucidinostat in Combination With Sintilimab and Bevacizumab in MSS/pMMR Colorectal Cancer Patients</t>
  </si>
  <si>
    <t>NCT06715891</t>
  </si>
  <si>
    <t>Clinical Trial of the Efficacy and Safety of Raphamin in the Treatment of ARVI in Children Aged 3-12 Years</t>
  </si>
  <si>
    <t>Materia Medica Holding</t>
  </si>
  <si>
    <t>NCT06703840</t>
  </si>
  <si>
    <t>Phase 2a Trial to Investigate the Efficacy of LIB-01 in Treatment of Erectile Dysfunction</t>
  </si>
  <si>
    <t>Dicot AB</t>
  </si>
  <si>
    <t>NCT06694389</t>
  </si>
  <si>
    <t>Study to Investigate the Immunogenicity, Reactogenicity, and Safety of mRNA-1083 Vaccine (SARS-CoV-2 [COVID-19] and Influenza) in Adults ≥50 Years of Age</t>
  </si>
  <si>
    <t>NCT06686797</t>
  </si>
  <si>
    <t>A Study to Learn How Different Amounts of the Study Medicine Called PF-08049820 Are Tolerated and Act in the Body in Healthy Adults</t>
  </si>
  <si>
    <t>NCT06681181</t>
  </si>
  <si>
    <t>A First-time in Human (FTIH) Study to Evaluate Safety, Tolerability, Pharmacokinetics and Target Engagement of GSK4528287 in Healthy Participants</t>
  </si>
  <si>
    <t>NCT06772142</t>
  </si>
  <si>
    <t>Early Feasibility of the Nervonik Peripheral Nerve Stimulation Device</t>
  </si>
  <si>
    <t>Nervonik</t>
  </si>
  <si>
    <t>NCT06560112</t>
  </si>
  <si>
    <t>An Exploratory, Multi-cohort Phase II Study of Combination Therapy With AK104 and AK112 for Recurrent Ovarian Cancer</t>
  </si>
  <si>
    <t>NCT06580938</t>
  </si>
  <si>
    <t>A Study to Learn About PF-07921585 Alone or With Other Anti-cancer Medicines in People With Cancer</t>
  </si>
  <si>
    <t>NCT06763965</t>
  </si>
  <si>
    <t>A Clinical Study Evaluating the Safety and Efficacy of BioTTT001 in Patients With Recurrent/Progressive High-grade Glioma.</t>
  </si>
  <si>
    <t>NCT06459687</t>
  </si>
  <si>
    <t>Phase III Study of Socazolimab as First-Line Treatment in Persistent, Recurrent, or Metastatic Cervical Cancer</t>
  </si>
  <si>
    <t>NCT06452706</t>
  </si>
  <si>
    <t>The Clinical Trial of TQB2102 for Injection Against Human Epidermal Growth Factor Receptor 2 Negative Breast Cancer</t>
  </si>
  <si>
    <t>NCT06722417</t>
  </si>
  <si>
    <t>A Single Dose Study to Assess Adverse Events and How Oral Icalcaprant Moves Through the Body in Healthy Adult Japanese and Han Chinese Participants</t>
  </si>
  <si>
    <t>NCT06677996</t>
  </si>
  <si>
    <t>A Phase 1 Study to Examine the Effects of Itraconazole After Single Dose Administration of Varegacestat (AL102) to Healthy Participants</t>
  </si>
  <si>
    <t>Immunome, Inc.</t>
  </si>
  <si>
    <t>NCT06341712</t>
  </si>
  <si>
    <t>Effects of Maintenance Cabozantinib+BSC Versus BSC in Children and AYA With Osteosarcoma</t>
  </si>
  <si>
    <t>NCT06657105</t>
  </si>
  <si>
    <t>A Study to Investigate the Pharmacokinetics of Ethinyl Estradiol and Levonorgestrel When Given Alone and in Combination With Baxdrostat in Healthy Females of Non-childbearing Potential</t>
  </si>
  <si>
    <t>NCT06532656</t>
  </si>
  <si>
    <t>Study of Bictegravir/Lenacapavir in Children and Adolescents With HIV-1</t>
  </si>
  <si>
    <t>NCT06052423</t>
  </si>
  <si>
    <t>ARTEMIS-007: HS-20093 in Patients With Extensive Stage Small Cell Lung Cancer</t>
  </si>
  <si>
    <t>NCT06076642</t>
  </si>
  <si>
    <t>A Study About the Long-Term Safety of TAK-881 in People With Primary Immunodeficiency Diseases</t>
  </si>
  <si>
    <t>NCT06655220</t>
  </si>
  <si>
    <t>A Study in Healthy Men to Test Whether BI 1815368 Influences the Amount of Metformin in the Body</t>
  </si>
  <si>
    <t>NCT06934941</t>
  </si>
  <si>
    <t>Phase 1 Single Ascending Dose Study</t>
  </si>
  <si>
    <t>Neuramedy Co. Ltd.</t>
  </si>
  <si>
    <t>NCT04670666</t>
  </si>
  <si>
    <t>Efficacy and Safety of Madalena Association in the Treatment of Type II Diabetes Mellitus</t>
  </si>
  <si>
    <t>NCT06683742</t>
  </si>
  <si>
    <t>A 2-year Study of EYP-1901 in Subjects With Wet Age Related Macular Degeneration (wAMD) (LUCIA) Primary Efficacy Will be Determined at Week 56</t>
  </si>
  <si>
    <t>NCT06622941</t>
  </si>
  <si>
    <t>Study to ONO-4538 in Patients With Rhabdoid Tumor</t>
  </si>
  <si>
    <t>NCT06742762</t>
  </si>
  <si>
    <t>A Phase I Study to Investigate the Effect of Renal Impairment on the Pharmacokinetics, Safety, and Tolerability of AZD5004</t>
  </si>
  <si>
    <t>NCT06648031</t>
  </si>
  <si>
    <t>Comparison of the Safety, Efficacy and Pharmacokinetics of DehydraTECH -CBD and DehydraTECH-GLP1 Agonists Alone or in Combination, in Overweight or Obese, Pre- and Type 2 Diabetic Participants</t>
  </si>
  <si>
    <t>Lexaria Bioscience Corp.</t>
  </si>
  <si>
    <t>NCT06727812</t>
  </si>
  <si>
    <t>Multicenter Phase I Study of HRS-6208 in Patients With Solid Tumors</t>
  </si>
  <si>
    <t>NCT06637631</t>
  </si>
  <si>
    <t>A Study to Investigate Efficacy and Safety of SAR441566 in Patients With Crohn's Disease.</t>
  </si>
  <si>
    <t>NCT06701331</t>
  </si>
  <si>
    <t>Safety and Efficacy of Upadacitinib in Combination With Topical Corticosteroids in Children From 2 to Less Than 12 Years of Age in Japan With Moderate to Severe Atopic Dermatitis</t>
  </si>
  <si>
    <t>NCT06078202</t>
  </si>
  <si>
    <t>A Study to Assess the Relative Bioavailability of Three Immediate-Release Tablet Formulations of ABBV-903 in Healthy Adult Volunteers</t>
  </si>
  <si>
    <t>NCT06423885</t>
  </si>
  <si>
    <t>A Study of BL-M07D1 Combination Therapy in Patients With Unresectable Locally Advanced or Metastatic HER2-positive Gastric or Gastroesophageal Junction Adenocarcinoma</t>
  </si>
  <si>
    <t>NCT06308926</t>
  </si>
  <si>
    <t>MRG-001 as an Immunoregulatory and Regenerative Therapy for ARDS Patients</t>
  </si>
  <si>
    <t>NCT06857890</t>
  </si>
  <si>
    <t>Safety, Tolerability, and Pharmacokinetic Profile of Grammidin With Anesthetic, a Metered Dose Topical Spray in Healthy Volunteers</t>
  </si>
  <si>
    <t>NCT06877247</t>
  </si>
  <si>
    <t>A Mass Balance Study of [14C] SHR6508 in Chinese Hemodialysis Subjects With Secondary Hyperparathyroidism</t>
  </si>
  <si>
    <t>NCT06742190</t>
  </si>
  <si>
    <t>A Study to Assess the Efficacy and Safety of Empasiprubart Versus IVIg in Adults With Multifocal Motor Neuropathy</t>
  </si>
  <si>
    <t>NCT03605654</t>
  </si>
  <si>
    <t>Cellular Immunotherapy in Recipients of Human Leukocyte Antigen (HLA)-Mismatched, Living Donor Kidney Transplants</t>
  </si>
  <si>
    <t>Medeor Therapeutics, Inc.</t>
  </si>
  <si>
    <t>NCT06664125</t>
  </si>
  <si>
    <t>Evaluate the Efficacy and Safety of JMKX003002 in End-Stage Renal Disease Patients on Hemodialysis with Hyperphosphatemia</t>
  </si>
  <si>
    <t>NCT06604715</t>
  </si>
  <si>
    <t>A Study of JNJ-87562761 in Participants With Relapsed or Refractory Multiple Myeloma</t>
  </si>
  <si>
    <t>NCT06699576</t>
  </si>
  <si>
    <t>ARTEMIS-103: Phase 1b Study of HS-20093 Combinations in Patients with Bone and Soft Tissue Sarcoma.</t>
  </si>
  <si>
    <t>NCT06699212</t>
  </si>
  <si>
    <t>A Study of ASP-1929 Photoimmunotherapy in Combination With Pembrolizumab in First-line Treatment of Locoregional Recurrent Squamous Cell Carcinoma of the Head and Neck With No Distant Metastases</t>
  </si>
  <si>
    <t>Rakuten Medical, Inc.</t>
  </si>
  <si>
    <t>NCT06602531</t>
  </si>
  <si>
    <t>Safety and Immunogenicity Study of Self-Amplifying RNA Pandemic Influenza Vaccine in Adults</t>
  </si>
  <si>
    <t>NCT06883539</t>
  </si>
  <si>
    <t>A Phase I Study of LXP1788 Injection with Advanced Solid Tumors.</t>
  </si>
  <si>
    <t>LaunXP Biomedical Co., Ltd.</t>
  </si>
  <si>
    <t>NCT06644300</t>
  </si>
  <si>
    <t>Study of BM230 in Patients With Advanced Solid Tumors</t>
  </si>
  <si>
    <t>Suzhou Biomissile Pharmaceuticals Co., Ltd.</t>
  </si>
  <si>
    <t>NCT06742281</t>
  </si>
  <si>
    <t>A Phase 2b, Randomized, Double-blind, Active-controlled Study of Single Dose CVXGA Intranasal COVID-19 Vaccine in Adults</t>
  </si>
  <si>
    <t>CyanVac LLC</t>
  </si>
  <si>
    <t>NCT06768151</t>
  </si>
  <si>
    <t>A Clinical Trial of CEA Targeting CAR-T for CEA Positive Advanced Lung Cancer</t>
  </si>
  <si>
    <t>NCT06704763</t>
  </si>
  <si>
    <t>A Drug-Drug Interaction Study of Orforglipron (LY3502970) With Quinidine in Healthy Participants</t>
  </si>
  <si>
    <t>NCT06492564</t>
  </si>
  <si>
    <t>Dose, Safety and Pathogenicity of SARS-CoV-2 (COVID-19) Omicron Virus (BA.5)</t>
  </si>
  <si>
    <t>Hvivo</t>
  </si>
  <si>
    <t>NCT06862726</t>
  </si>
  <si>
    <t>Apixaban Versus Rivaroxaban in Non Valvular Atrial Fibrillation</t>
  </si>
  <si>
    <t>Les Laboratoires des Médicaments Stériles</t>
  </si>
  <si>
    <t>NCT06674538</t>
  </si>
  <si>
    <t>Clinical Trial to Treat Stage IV Cancer Patients</t>
  </si>
  <si>
    <t>Moonshot Antibodies</t>
  </si>
  <si>
    <t>NCT06722950</t>
  </si>
  <si>
    <t>Phase II Clinical Study of AC591 in Preventing Oxaliplatin-Induced Peripheral Neuropathy</t>
  </si>
  <si>
    <t>NCT06694805</t>
  </si>
  <si>
    <t>A Study to Evaluate the Effectiveness of Long-acting (LA) Cabotegravir (CAB) + Rilpivirine (RPV) LA When Given to Participants With Detectable HIV-1</t>
  </si>
  <si>
    <t>NCT06556940</t>
  </si>
  <si>
    <t>G.I. Pharmacokinetics of LMN-401 in Individuals With Ileostomies</t>
  </si>
  <si>
    <t>NCT06675955</t>
  </si>
  <si>
    <t>An Extension Study to Assess Impact of Multiple Sclerosis (MS) on Physical Function and Provide Continued Ocrelizumab Treatment</t>
  </si>
  <si>
    <t>NCT06577298</t>
  </si>
  <si>
    <t>A Study to Evaluate the Safety and Immunogenicity of VLP-Polio in Infants and Toddlers</t>
  </si>
  <si>
    <t>NCT06727604</t>
  </si>
  <si>
    <t>A Study to Assess the Efficacy, Safety, and Tolerability of IMVT-1402 as Treatment for Adult Participants With Graves' Disease</t>
  </si>
  <si>
    <t>Immunovant Sciences GmbH</t>
  </si>
  <si>
    <t>NCT06707883</t>
  </si>
  <si>
    <t>A Clinical Study of TQC2731 Injection in Patients With Moderate to Severe Chronic Obstructive Pulmonary Disease</t>
  </si>
  <si>
    <t>NCT06588855</t>
  </si>
  <si>
    <t>A Study to Assess the Efficacy and Safety of Induction Therapy With Afimkibart (Also Known as RO7790121) in Participants With Moderately to Severely Active Ulcerative Colitis</t>
  </si>
  <si>
    <t>NCT06673069</t>
  </si>
  <si>
    <t>Hero: A Study to Evaluate the Safety, Tolerability, and Pharmacokinetics (PK) and Pharmacodynamics (PD) of ION269 in Participants With Down Syndrome (DS) at Risk for Alzheimer's Disease (AD)</t>
  </si>
  <si>
    <t>NCT06780306</t>
  </si>
  <si>
    <t>A Study in the Treatment of Mild to Moderate Dry Eye Disease Comparing Saline to TTAX03.</t>
  </si>
  <si>
    <t>NCT07377591</t>
  </si>
  <si>
    <t>A Study of HDM2006 in Patients With Advanced Solid Tumor</t>
  </si>
  <si>
    <t>NCT05670379</t>
  </si>
  <si>
    <t>Assessment of Safety, Tolerability and Drug Levels of Exenatide Implant</t>
  </si>
  <si>
    <t>Vivani Medical, Inc</t>
  </si>
  <si>
    <t>NCT06679946</t>
  </si>
  <si>
    <t>A Study to Evaluate Vutrisiran in Patients With Transthyretin Amyloidosis With Cardiomyopathy</t>
  </si>
  <si>
    <t>NCT06681870</t>
  </si>
  <si>
    <t>A Study of ASP1893 in Adults With Advanced CLDN6-positive Solid Tumors</t>
  </si>
  <si>
    <t>NCT06617429</t>
  </si>
  <si>
    <t>Phase 3 Efficacy and Safety Study of GTX-102 in Pediatric Subjects With Angelman Syndrome (AS)</t>
  </si>
  <si>
    <t>NCT06664619</t>
  </si>
  <si>
    <t>A Randomized, Double-Blind, Placebo-Controlled Trial on Efficacy and Safety of Fluticasone Propionate/Albuterol Sulfate Combination in Participants 12 Years and Older With Asthma</t>
  </si>
  <si>
    <t>NCT06717425</t>
  </si>
  <si>
    <t>A Study to Learn About the Study Medicine Called PF-07976016 in Adults With Obesity</t>
  </si>
  <si>
    <t>NCT06705725</t>
  </si>
  <si>
    <t>Phase I Clinical Study of CBG002 CAR-T Cell in Treatment of Relapsed/refractory Multiple Myeloma</t>
  </si>
  <si>
    <t>Carbiogene Therapeutics Co. Ltd.</t>
  </si>
  <si>
    <t>NCT06701721</t>
  </si>
  <si>
    <t>A Study Intravitreal THN391 in Diabetic Macular Oedema Secondary to Non-Proliferative Diabetic Retinopathy.</t>
  </si>
  <si>
    <t>Therini Bio Pty Ltd</t>
  </si>
  <si>
    <t>NCT07076706</t>
  </si>
  <si>
    <t>Clinical Trial to Evaluate CG2001 in Chinese Adult Male Participants With Androgenetic Alopecia</t>
  </si>
  <si>
    <t>NCT06738836</t>
  </si>
  <si>
    <t>A Study to Evaluate the Absorption, Metabolism, And Excretion Of Orally Administered [14C]-EDG-7500</t>
  </si>
  <si>
    <t>NCT06716203</t>
  </si>
  <si>
    <t>A Study of BGM0504 in Poorly Controlled Type 2 Diabetes Patients Only Through Diet and Exercise</t>
  </si>
  <si>
    <t>NCT05127122</t>
  </si>
  <si>
    <t>Bone Marrow Mesenchymal Stem Cell Derived Extracellular Vesicles Infusion Treatment for ARDS</t>
  </si>
  <si>
    <t>NCT06762457</t>
  </si>
  <si>
    <t>A First-in-Human Single and Multiple Ascending Dose Study of MT-501</t>
  </si>
  <si>
    <t>Mirador Therapeutics, Inc.</t>
  </si>
  <si>
    <t>NCT06709820</t>
  </si>
  <si>
    <t>A Study of LY4060874 in Healthy Participants</t>
  </si>
  <si>
    <t>NCT06971523</t>
  </si>
  <si>
    <t>A Phase I/II Clinical Study of CTS3497 in Patients With MTAP Deficient Malignacies</t>
  </si>
  <si>
    <t>CytosinLab Therapeutics Co., Ltd.</t>
  </si>
  <si>
    <t>NCT06736574</t>
  </si>
  <si>
    <t>Study With Omecamtiv Mecarbil (CK-1827452) to Treat Chronic Heart Failure With Severely Reduced Ejection Fraction</t>
  </si>
  <si>
    <t>NCT06732232</t>
  </si>
  <si>
    <t>A Dose Escalating Study of CD19/CD22/BCMA CAR-T Therapy in Relapsed/ Refractory Multiple Myeloma</t>
  </si>
  <si>
    <t>NCT07206043</t>
  </si>
  <si>
    <t>Pharmacokinetics, Safety and Immunogenicity of RPH-104 at a New Dosage and Different Doses Via Single Subcutaneous and Intravenous Administration in Healthy Volunteers</t>
  </si>
  <si>
    <t>R-Pharm International, LLC</t>
  </si>
  <si>
    <t>NCT06716606</t>
  </si>
  <si>
    <t>A Study to Investigate the Long-term Safety and Efficacy of Belimumab in Adults With Interstitial Lung Disease (ILD) Associated With Systemic Sclerosis (SSc) and Other Connective Tissue Diseases (CTD) (BLISSconneCTD-OLE)</t>
  </si>
  <si>
    <t>NCT06674577</t>
  </si>
  <si>
    <t>A Rollover Study to Evaluate the Long-Term Safety and Efficacy of Atacicept</t>
  </si>
  <si>
    <t>Vera Therapeutics, Inc.</t>
  </si>
  <si>
    <t>NCT06548100</t>
  </si>
  <si>
    <t>A Study of the Safety of Mibavademab in Pediatric and Adult Participants Switching From Metreleptin to Mibavademab for the Treatment of Generalized Lipodystrophy (GLD)</t>
  </si>
  <si>
    <t>NCT06751017</t>
  </si>
  <si>
    <t>A Drug-drug Interaction Study of S-892216 Coadministered With Carbamazepime to Healthy Adult Participants</t>
  </si>
  <si>
    <t>NCT06768489</t>
  </si>
  <si>
    <t>A Study of JNJ-79635322 in Combination With Daratumumab With or Without Lenalidomide or in Combination With Pomalidomide for Multiple Myeloma</t>
  </si>
  <si>
    <t>NCT06488716</t>
  </si>
  <si>
    <t>A Study to Evaluate the Safety, Pharmacokinetics, and Activity of RO7759065 as a Single Agent and in Combination With Atezolizumab in Patients With Locally Advanced or Metastatic Solid Tumors</t>
  </si>
  <si>
    <t>NCT06679140</t>
  </si>
  <si>
    <t>A Study to Learn About a Study Medicine Called Ibuzatrelvir in Adult and Adolescent Patients With COVID-19 Who Are Not Hospitalized But Are at Risk For Severe Disease</t>
  </si>
  <si>
    <t>NCT06828055</t>
  </si>
  <si>
    <t>VK2735 for Weight Management Phase 2 (Venture Oral Dosing)</t>
  </si>
  <si>
    <t>Viking Therapeutics, Inc.</t>
  </si>
  <si>
    <t>NCT06817577</t>
  </si>
  <si>
    <t>NG004 in Spinal Cord Injury Patients</t>
  </si>
  <si>
    <t>NovaGo Therapeutics AG</t>
  </si>
  <si>
    <t>NCT06747832</t>
  </si>
  <si>
    <t>INK Cells As Maintenance Therapy After Chemoradiotherapy for Small Cell Lung Cancer</t>
  </si>
  <si>
    <t>NCT06641609</t>
  </si>
  <si>
    <t>A Phase I Study of CFT8919 in Patients With Advanced NSCLC</t>
  </si>
  <si>
    <t>NCT06749457</t>
  </si>
  <si>
    <t>A Study to Evaluate AZD7760 Safety and Pharmacokinetics in Healthy Adults (Phase I) and Adults With End-stage Kidney Disease on Hemodialysis With a Central Venous Catheter (Phase IIa)</t>
  </si>
  <si>
    <t>NCT06703021</t>
  </si>
  <si>
    <t>A Dose-Range Study of Aleniglipron (GSBR-1290) in Participants Living With Obesity or Overweight With at Least One Weight-related Comorbidity</t>
  </si>
  <si>
    <t>NCT06754085</t>
  </si>
  <si>
    <t>Study of 18F-Florastamin PET/CT Imaging in Patients With Suspected Recurrence of Prostate Cancer</t>
  </si>
  <si>
    <t>NCT06828861</t>
  </si>
  <si>
    <t>ARD-101 for Treatment of PWS: The Hunger Elimination or Reduction Objective Trial</t>
  </si>
  <si>
    <t>NCT06706622</t>
  </si>
  <si>
    <t>A Trial of Amlenetug (Lu AF82422) in Participants With Multiple System Atrophy (MSA)</t>
  </si>
  <si>
    <t>NCT06775379</t>
  </si>
  <si>
    <t>A Randomized Study of Azetukalner Versus Placebo in Major Depressive Disorder</t>
  </si>
  <si>
    <t>Xenon Pharmaceuticals Inc.</t>
  </si>
  <si>
    <t>NCT06645886</t>
  </si>
  <si>
    <t>A Study to Investigate the Safety and Efficacy of KQB198 as Monotherapy and in Combination in Participants With Advanced Hematologic Malignancies</t>
  </si>
  <si>
    <t>NCT06543303</t>
  </si>
  <si>
    <t>Evaluation of BTV100 in Subjects With Dry Eye Disease</t>
  </si>
  <si>
    <t>BioTheraVision, Inc.</t>
  </si>
  <si>
    <t>NCT06724263</t>
  </si>
  <si>
    <t>A Multicenter, Open-label Phase IIa Clinical Study to Evaluate the Efficacy and Safety of B1962 Injection in the Treatment of Advanced Malignant Solid Tumors</t>
  </si>
  <si>
    <t>Tasly Biopharmaceuticals Co., Ltd.</t>
  </si>
  <si>
    <t>NCT06584032</t>
  </si>
  <si>
    <t>Study of Fruquintinib Plus Sintilimab for Treatment of Advanced Endometrial Cancer</t>
  </si>
  <si>
    <t>NCT06105008</t>
  </si>
  <si>
    <t>Study of Disitamab Vedotin With Toripalimab Verus Disitamab Vedotin in Hormone Receptor Positive, HER2-low Locally Advanced or Metastatic Breast Cancer</t>
  </si>
  <si>
    <t>NCT06745557</t>
  </si>
  <si>
    <t>Phase III Study with an Autologous Dermo-epidermal Skin Substitute for the Treatment of Burns in Adults and Adolescents</t>
  </si>
  <si>
    <t>CUTISS AG</t>
  </si>
  <si>
    <t>NCT06625957</t>
  </si>
  <si>
    <t>Clinical Trial to Evaluate the Safety and Efficacy of NTCB02-1 in Patients Who Require Parenteral Nutrition</t>
  </si>
  <si>
    <t>NCT06829329</t>
  </si>
  <si>
    <t>Study to Evaluate the Efficacy and Safety of AHB-137 in Treatment-naive Participants With Chronic Hepatitis B (CHB)</t>
  </si>
  <si>
    <t>NCT06781567</t>
  </si>
  <si>
    <t>Clinical Trial of HG146 Administered to Participants with Adenoid Cystic Carcinoma</t>
  </si>
  <si>
    <t>HitGen Inc.</t>
  </si>
  <si>
    <t>NCT06514612</t>
  </si>
  <si>
    <t>LIDRISE Study: A Phase 3 Study on the Efficacy and Safety of STN1013800 (Oxymetazoline HCl 0.1% Eye Drops, Single Dose) in the Treatment of Acquired Blepharoptosis.</t>
  </si>
  <si>
    <t>Santen SAS</t>
  </si>
  <si>
    <t>NCT06444867</t>
  </si>
  <si>
    <t>A Study to Evaluate Efficacy, Safety, Tolerability, Pharmacokinetics, and Pharmacodynamics of a Single Dose of LEO 158968</t>
  </si>
  <si>
    <t>NCT06687070</t>
  </si>
  <si>
    <t>APG-2449 Monotherapy or in Combination With PLD in Patients With Platinum-resistant Recurrent OC or Advanced ST</t>
  </si>
  <si>
    <t>NCT06704828</t>
  </si>
  <si>
    <t>A Phase II Study of SHR-4602 as Montherapy or in Combination With Other Anti-tumor Therapies in Advanced Solid Tumors</t>
  </si>
  <si>
    <t>NCT06700538</t>
  </si>
  <si>
    <t>Study of ARO-INHBE in Adults With Obesity With and Without Diabetes Mellitus</t>
  </si>
  <si>
    <t>NCT06710158</t>
  </si>
  <si>
    <t>Study of SC-102 in Patients With Advanced Solid Tumors</t>
  </si>
  <si>
    <t>NCT02546102</t>
  </si>
  <si>
    <t>Phase 3 Randomized, Double-blind, Controlled Study of ICT-107 in Glioblastoma</t>
  </si>
  <si>
    <t>Precision Life Sciences Group</t>
  </si>
  <si>
    <t>NCT05986721</t>
  </si>
  <si>
    <t>Clinical Trial of AGB101 for Mild Cognitive Impairment</t>
  </si>
  <si>
    <t>AgeneBio</t>
  </si>
  <si>
    <t>NCT06722729</t>
  </si>
  <si>
    <t>A Late Phase II Clinical Trial of KDT-3594 in Patients With Parkinson's Disease</t>
  </si>
  <si>
    <t>Kissei Pharmaceutical Co., Ltd.</t>
  </si>
  <si>
    <t>NCT03097796</t>
  </si>
  <si>
    <t>A Multiple Ascending Dose Study of PUL-042 in Stem Cell Transplant Recipients</t>
  </si>
  <si>
    <t>Pulmotect, Inc.</t>
  </si>
  <si>
    <t>NCT06665256</t>
  </si>
  <si>
    <t>Phase 2 Study of Rapcabtagene Autoleucel in Myositis</t>
  </si>
  <si>
    <t>NCT06755944</t>
  </si>
  <si>
    <t>A Study of XY03-EA Tablets in the Treatment of Acute Ischemic Stroke</t>
  </si>
  <si>
    <t>NCT06679101</t>
  </si>
  <si>
    <t>A Study of Belantamab Mafodotin Administered in Combination With Lenalidomide and Dexamethasone (BRd) Versus Daratumumab, Lenalidomide, and Dexamethasone (DRd) in Participants With Newly Diagnosed Multiple Myeloma (NDMM) Who Are Ineligible for Autologous Stem Cell Transplantation (TI-NDMM)</t>
  </si>
  <si>
    <t>NCT07245667</t>
  </si>
  <si>
    <t>Topical Tolnaftate Stick for Tinea Pedis: An Open-Label Interventional Study</t>
  </si>
  <si>
    <t>Propedix, Inc.</t>
  </si>
  <si>
    <t>NCT06753331</t>
  </si>
  <si>
    <t>A Multicenter Study to Evaluate Safety, Tolerability, and Clinical Responses of DSP-1083 Into Subjects With Parkinson's Disease</t>
  </si>
  <si>
    <t>NCT06600581</t>
  </si>
  <si>
    <t>Safety and Efficacy of IMM01-STEM Against Placebo on Muscle Performance in Seniors With Obesity and Muscle Weakness</t>
  </si>
  <si>
    <t>Immunis, Inc.</t>
  </si>
  <si>
    <t>NCT06731959</t>
  </si>
  <si>
    <t>A Study to Investigate Using Inhaled Fexlamose to Treat Adult Participants Who Have Moderate to Severe COPD</t>
  </si>
  <si>
    <t>Aer Therapeutics</t>
  </si>
  <si>
    <t>NCT06723080</t>
  </si>
  <si>
    <t>Phase III Clinical Study of VC005 Tablets in Adult Patients With Moderate to Severe Atopic Dermatitis</t>
  </si>
  <si>
    <t>NCT06706817</t>
  </si>
  <si>
    <t>A Study to Investigate Changes in Symptoms in Adult Participants With Chronic Rhinosinusitis With Nasal Polyposis Initiating Treatment With Tezepelumab</t>
  </si>
  <si>
    <t>NCT06701526</t>
  </si>
  <si>
    <t>A Trial of Eptinezumab in Participants With Migraine and Insufficient Response to Anti-CGRP Medications</t>
  </si>
  <si>
    <t>NCT06681324</t>
  </si>
  <si>
    <t>Study Evaluating AZD7798 for Treatment in Crohn's Disease Patients With an Ileostomy</t>
  </si>
  <si>
    <t>NCT06669247</t>
  </si>
  <si>
    <t>A Study to Assess the Safety and Anti-Tumor Activity of REGN7945 in Combination With Linvoseltamab in Adult Participants With Relapsed/Refractory Multiple Myeloma</t>
  </si>
  <si>
    <t>NCT06647550</t>
  </si>
  <si>
    <t>To Assess the Efficacy and Safety of HD-6277 in Adult Patients With Inadequate Control of Type 2 Diabetes Mellitus by Diet and Exercise</t>
  </si>
  <si>
    <t>NCT06662760</t>
  </si>
  <si>
    <t>Clinical Trial of TQB3002 in Patients With Advanced Cancers</t>
  </si>
  <si>
    <t>NCT06716970</t>
  </si>
  <si>
    <t>QR12000 Compound Tablets in Patients with Moderate to Severe Essential Hypertension</t>
  </si>
  <si>
    <t>NCT06727838</t>
  </si>
  <si>
    <t>Study on Drug Interaction of Metformin Tablets and HRS-7535 Tablets in Healthy Human</t>
  </si>
  <si>
    <t>NCT06657222</t>
  </si>
  <si>
    <t>First in Human Study of TUB-030 in Patients With Advanced Solid Tumors</t>
  </si>
  <si>
    <t>NCT06691113</t>
  </si>
  <si>
    <t>A Proof-of-Concept Study to Assess the Efficacy, Safety and Tolerability of Itepekimab (Anti--IL-33 mAb) in Participants With Chronic Rhinosinusitis Without Nasal Polyps</t>
  </si>
  <si>
    <t>NCT07117474</t>
  </si>
  <si>
    <t>Safety, Tolerability, Pharmacokinetics, and Pharmacodynamics of a Single Subcutaneous Injection of HRS-9563 in Subjects With Mild Hypertension: a Randomized, Double-blind, Placebo-controlled Phase I Study.</t>
  </si>
  <si>
    <t>NCT06742840</t>
  </si>
  <si>
    <t>A Multiple Ascending Dose Trial of HRS-2129 in Healthy Subjects</t>
  </si>
  <si>
    <t>NCT06679413</t>
  </si>
  <si>
    <t>A Study to Assess Drug-drug Interaction of ZX008 in Healthy Male and Female Study Participants</t>
  </si>
  <si>
    <t>NCT06716307</t>
  </si>
  <si>
    <t>A Research Study to Compare Blood Levels of Cagrilintide and Semaglutide After Single Doses of Different Versions of Injectable CagriSema in Adults With Overweight or Obesity</t>
  </si>
  <si>
    <t>NCT06668792</t>
  </si>
  <si>
    <t>An Open-Label Clinical Study of the Efficacy and Safety of BCD-248 in Patients With Relapsed/Refractory Multiple Myeloma</t>
  </si>
  <si>
    <t>NCT06603844</t>
  </si>
  <si>
    <t>First-in-human Study of CRB-601-01 to Treat Patients With Advanced Solid Tumor.</t>
  </si>
  <si>
    <t>NCT05367401</t>
  </si>
  <si>
    <t>A Study of Sabatolimab and Magrolimab-based Treatment in AML or Higher Risk MDS Participants</t>
  </si>
  <si>
    <t>NCT06685835</t>
  </si>
  <si>
    <t>A Study of the Efficacy and Safety of Brensocatib in Adults With Moderate to Severe Hidradenitis Suppurativa (HS)</t>
  </si>
  <si>
    <t>NCT06710379</t>
  </si>
  <si>
    <t>A Study of ADRX-0405 in Subjects With Select Advanced Solid Tumors</t>
  </si>
  <si>
    <t>Adcentrx Therapeutics</t>
  </si>
  <si>
    <t>NCT06716151</t>
  </si>
  <si>
    <t>A Study to Evaluate HB0034 in Healthy Chinese Adult Participants</t>
  </si>
  <si>
    <t>NCT06736327</t>
  </si>
  <si>
    <t>A Study on the Safety, Tolerability, Pharmacokinetics, and Antitumor Activity of SKB500 in Subjects With Advanced Solid Tumors</t>
  </si>
  <si>
    <t>NCT06826339</t>
  </si>
  <si>
    <t>Evaluating Several Cellular, Acellular, and Matrix-like Products (CAMPs) and Standard of Care Versus Standard of Care Alone in the Management of Nonhealing Diabetic Foot and Venous Leg Ulcers.</t>
  </si>
  <si>
    <t>Tiger Biosciences, LLC.</t>
  </si>
  <si>
    <t>NCT07381530</t>
  </si>
  <si>
    <t>Study of Cardioplegia in Cardiac Surgery Due to Congenital Heart Malformation in Children</t>
  </si>
  <si>
    <t>Dr. F. Köhler Chemie GmbH</t>
  </si>
  <si>
    <t>NCT06740019</t>
  </si>
  <si>
    <t>A Phase Ib Study of JMKX000197 Injection in the Treatment of Malignant Pleural Effusion</t>
  </si>
  <si>
    <t>NCT06741228</t>
  </si>
  <si>
    <t>A Phase 3 Trial of MM120 for Generalized Anxiety Disorder (Voyage)</t>
  </si>
  <si>
    <t>Definium Therapeutics US, Inc.</t>
  </si>
  <si>
    <t>NCT06923956</t>
  </si>
  <si>
    <t>Single Dose Oral Bioequivalence Study of Bempedoic Acid 180 mg Film Coated Tablet and Nilemdo® (Bempedoic Acid) 180 mg Film-coated Tablets in Healthy Adult Human Subjects Under Fasting Conditions.</t>
  </si>
  <si>
    <t>NCT06734832</t>
  </si>
  <si>
    <t>Efficacy, Safety, and Immunogenicity of the Bivalent Inactivated Enterovirus Vaccine (Vero Cell)</t>
  </si>
  <si>
    <t>NCT06608927</t>
  </si>
  <si>
    <t>Study of Quemliclustat and Chemotherapy Versus Placebo and Chemotherapy in Patients With Metastatic Pancreatic Ductal Adenocarcinoma</t>
  </si>
  <si>
    <t>NCT04971551</t>
  </si>
  <si>
    <t>A Study of Jaktinib for the Treatment of Steroid-Refractory Acute Graft-Versus-Host Disease.</t>
  </si>
  <si>
    <t>NCT05474859</t>
  </si>
  <si>
    <t>Subjects With Advanced or Metastatic Solid Tumor Malignancies</t>
  </si>
  <si>
    <t>Xenthera, Inc.</t>
  </si>
  <si>
    <t>NCT06637423</t>
  </si>
  <si>
    <t>A Clinical Study of Sacituzumab Tirumotecan (MK-2870) in Patients With Bladder Cancer (MK-2870-027)</t>
  </si>
  <si>
    <t>NCT06745973</t>
  </si>
  <si>
    <t>An Exploratory Clinical Study Evaluating EPI-003 Injection for the Treatment of Chronic Hepatitis B</t>
  </si>
  <si>
    <t>Epigenic Therapeutics, Inc</t>
  </si>
  <si>
    <t>NCT06574503</t>
  </si>
  <si>
    <t>Study to Assess the Efficacy and Safety of GP681 Versus Placebo for Postexposure Prophylaxis Against Influenza</t>
  </si>
  <si>
    <t>NCT06747338</t>
  </si>
  <si>
    <t>A Phase III Study of KN026 in Combination With HB1801 ± Carboplatin as Neoadjuvant Treatment for Early or Locally Advanced HER2-Positive Breast Cancer</t>
  </si>
  <si>
    <t>NCT06588686</t>
  </si>
  <si>
    <t>A Trial to Evaluate Efficacy and Safety of Buloxibutid in People With Idiopathic Pulmonary Fibrosis.</t>
  </si>
  <si>
    <t>Vicore Pharma AB</t>
  </si>
  <si>
    <t>NCT06735079</t>
  </si>
  <si>
    <t>A Study to Evaluate the Efficacy and Safety of REL-1017 As Adjunctive Treatment of Major Depressive Disorder (MDD)</t>
  </si>
  <si>
    <t>MGGM LLC</t>
  </si>
  <si>
    <t>NCT06747858</t>
  </si>
  <si>
    <t>Safety, Tolerability and Efficacy Study of ARCT-032 in People With Cystic Fibrosis</t>
  </si>
  <si>
    <t>NCT06926491</t>
  </si>
  <si>
    <t>Evaluate the Efficacy and Safety of KK8398 in Patients With Achondroplasia（AOBA Study）</t>
  </si>
  <si>
    <t>NCT06706310</t>
  </si>
  <si>
    <t>Evaluate TQ-A3334 Combined Nucleoside (Acid) Analogs in the First Treatment/Treatment of Chronic HBV Infection</t>
  </si>
  <si>
    <t>NCT06730581</t>
  </si>
  <si>
    <t>Utidelone Capsule Monotherapy for Patients with Advanced Solid Tumors</t>
  </si>
  <si>
    <t>Beijing Biostar Pharmaceuticals Co., Ltd.</t>
  </si>
  <si>
    <t>NCT06505928</t>
  </si>
  <si>
    <t>A Clinical Trial of Hepalatide for Injection in Patients With Chronic Hepatitis D</t>
  </si>
  <si>
    <t>Shanghai HEP Pharmaceutical Co., Ltd.</t>
  </si>
  <si>
    <t>NCT06785012</t>
  </si>
  <si>
    <t>A Study to Explore the Efficacy of JNJ-89495120 in the Treatment of Major Depressive Disorder</t>
  </si>
  <si>
    <t>NCT06643754</t>
  </si>
  <si>
    <t>A Clinical Study of SHR-3276 for Injection in Patients With Advanced Malignant Tumors</t>
  </si>
  <si>
    <t>NCT06654700</t>
  </si>
  <si>
    <t>Phase III Clinical Trial of Lot-to-lot Consistency of Recombinant Herpes Zoster Vaccine (CHO Cell).</t>
  </si>
  <si>
    <t>NCT06581406</t>
  </si>
  <si>
    <t>A Randomized, Phase 2/3 Study to Investigate the Efficacy and Safety of RP2 in Combination With Nivolumab in Immune Checkpoint Inhibitor-Naïve Adult Patients With Metastatic Uveal Melanoma</t>
  </si>
  <si>
    <t>NCT06688058</t>
  </si>
  <si>
    <t>A Trial to Evaluate Tolerability and Immunogenicity of V540D in Healthy Adults (V540D-004)</t>
  </si>
  <si>
    <t>NCT06696443</t>
  </si>
  <si>
    <t>Evaluation of the Long-term Safety and Effectiveness of Suzetrigine (SUZ) in Participants With Painful Diabetic Peripheral Neuropathy (DPN)</t>
  </si>
  <si>
    <t>NCT06704724</t>
  </si>
  <si>
    <t>A Study to Learn About the Study Medicine PF-07985045 When Given Alone or With Other Anti-cancer Therapies in People With Advanced Solid Tumors That Have a Change in a Gene.</t>
  </si>
  <si>
    <t>NCT06627179</t>
  </si>
  <si>
    <t>Study to Evaluate Ultevursen in Subjects With Retinitis Pigmentosa (RP) Due to Mutations in Exon 13 of the USH2A Gene</t>
  </si>
  <si>
    <t>NCT05911061</t>
  </si>
  <si>
    <t>A Phase Ⅲ Clinical Trial of Recombinant COVID-19 Trivalent (XBB+BA.5+Delta) Protein Vaccine (Sf9 Cell) in Booster Vaccination</t>
  </si>
  <si>
    <t>NCT06681766</t>
  </si>
  <si>
    <t>A Study to Assess Nomlabofusp in Adolescents and Children With Friedreich's Ataxia</t>
  </si>
  <si>
    <t>NCT06686576</t>
  </si>
  <si>
    <t>A Study of Neoadjuvant QL1706 in Participants With Untreated dMMR/MSI-H Resectable Colon Cancer</t>
  </si>
  <si>
    <t>NCT06218940</t>
  </si>
  <si>
    <t>HY1272 in Patients With Locally Advanced or Metastatic Solid Tumors or Locally Advanced or Metastatic EGFRm+ NSCLC</t>
  </si>
  <si>
    <t>Newsoara Biopharma Co., Ltd.</t>
  </si>
  <si>
    <t>NCT06593522</t>
  </si>
  <si>
    <t>A Phase 2 Study of AMG 193 in Participants With MTAP-deleted Advanced NSCLC (MTAPESTRY 201)</t>
  </si>
  <si>
    <t>NCT06721156</t>
  </si>
  <si>
    <t>A Study to Evaluate the Efficacy and Safety of MK-1167 in Participants With Alzheimer's Disease Dementia (MK-1167-008)</t>
  </si>
  <si>
    <t>NCT06932159</t>
  </si>
  <si>
    <t>Bioequivalence Study to Compare Empagliflozin + Linagliptin 25 mg/5 mg Film-coated Tablets Versus Glyxambi 25 mg/ 5 mg Film-coated Tablets</t>
  </si>
  <si>
    <t>NCT06714591</t>
  </si>
  <si>
    <t>Evaluate the Safety, Tolerability, Pharmacokinetic Profile, Efficacy of Bl-M11D1</t>
  </si>
  <si>
    <t>NCT06748079</t>
  </si>
  <si>
    <t>A Clinical Study of TQC3721 Inhalation Powder in Patients With Chronic Obstructive Pulmonary Disease</t>
  </si>
  <si>
    <t>NCT06717152</t>
  </si>
  <si>
    <t>Efficacy and Safety of SJP-0132 Eye Drops in Chinese Patients With Dry Eye Disease</t>
  </si>
  <si>
    <t>Senju Pharmaceutical Science &amp; Technology (Beijing) Co., Ltd.</t>
  </si>
  <si>
    <t>NCT07415863</t>
  </si>
  <si>
    <t>Phase 1/II Clinical Study of SYS6043 in the Treatment of Advanced/Metastatic Solid Tumors</t>
  </si>
  <si>
    <t>NCT06784193</t>
  </si>
  <si>
    <t>Phase 1 Study of OP-3136 in Advanced or Metastatic Solid Tumors</t>
  </si>
  <si>
    <t>Olema Pharmaceuticals, Inc.</t>
  </si>
  <si>
    <t>NCT06745804</t>
  </si>
  <si>
    <t>Study of 68Ga-R10602</t>
  </si>
  <si>
    <t>Radionetics Oncology</t>
  </si>
  <si>
    <t>NCT06513884</t>
  </si>
  <si>
    <t>A Study of HB-202/HB-201 With Pembrolizumab in Patients With HPV16+ Recurrent/Metastatic Oropharyngeal Cancer</t>
  </si>
  <si>
    <t>NCT07002398</t>
  </si>
  <si>
    <t>Safety and Preliminary Efficacy of VG801 in Patients With ABCA4 Mutation-associated Retinal Dystrophy (Stargardt Disease)</t>
  </si>
  <si>
    <t>VeonGen Therapeutics GmbH</t>
  </si>
  <si>
    <t>NCT06600321</t>
  </si>
  <si>
    <t>A Study to Evaluate ALN-BCAT in Patients With Hepatocellular Carcinoma</t>
  </si>
  <si>
    <t>NCT06604442</t>
  </si>
  <si>
    <t>Intrapatient Comparison of Urinary Radioactivity Following Piflufolastat (18F) and Flotufolastat (18F) PET in Men With Low PSA Biochemical Recurrence of Prostate Cancer Following Radical Prostatectomy</t>
  </si>
  <si>
    <t>Blue Earth Diagnostics</t>
  </si>
  <si>
    <t>NCT03606746</t>
  </si>
  <si>
    <t>Cellular Immunotherapy for Immune Tolerance in Past Recipients of HLA Zero-mismatch, Living Donor Kidney Transplants</t>
  </si>
  <si>
    <t>NCT03902067</t>
  </si>
  <si>
    <t>UC-MSC Transplantation for Left Ventricular Dysfunction After AMI</t>
  </si>
  <si>
    <t>Shanghai Life Science &amp; Technology</t>
  </si>
  <si>
    <t>NCT06643130</t>
  </si>
  <si>
    <t>Evaluate the Efficacy and Safety of Co-administration of JW0104+C2402 in Patients With Hypertension and Dyslipidemia</t>
  </si>
  <si>
    <t>NCT06698939</t>
  </si>
  <si>
    <t>ORKA-001 in Healthy Volunteers</t>
  </si>
  <si>
    <t>Oruka Therapeutics, Inc.</t>
  </si>
  <si>
    <t>NCT06774625</t>
  </si>
  <si>
    <t>This is a Study Evaluating the Efficacy and Safety of LTG-001 for Acute Pain After Surgical Removal of Impacted Third Molars</t>
  </si>
  <si>
    <t>NCT06783569</t>
  </si>
  <si>
    <t>A First-in-Human Escalation and Expansion Study of Patients With Advanced Solid Tumors</t>
  </si>
  <si>
    <t>JiaRay Group</t>
  </si>
  <si>
    <t>NCT06534983</t>
  </si>
  <si>
    <t>A Study to Evaluate the Efficacy and Safety of Autogene Cevumeran With Nivolumab Versus Nivolumab Alone in Participants With High-risk Muscle-invasive Urothelial Carcinoma (MIUC)</t>
  </si>
  <si>
    <t>NCT06772766</t>
  </si>
  <si>
    <t>A Multiple Ascending Dose Study of 9MW3011 in Patients With Non-transfusion-dependent β-thalassemia</t>
  </si>
  <si>
    <t>NCT06698575</t>
  </si>
  <si>
    <t>A Study to Assess the Safety, Pharmacokinetics, and Tolerability of ABI-1179 in Healthy Subjects and in Subjects Seropositive for HSV-2 With Recurrent Genital Herpes</t>
  </si>
  <si>
    <t>NCT06724016</t>
  </si>
  <si>
    <t>Dose Escalation and Expansion Study of HM16390 Alone or With Pembrolizumab in Advanced or Metastatic Solid Tumors</t>
  </si>
  <si>
    <t>NCT06549946</t>
  </si>
  <si>
    <t>Ixovex-1 Single Agent and Combination Therapy</t>
  </si>
  <si>
    <t>Psivac Ltd</t>
  </si>
  <si>
    <t>NCT06653842</t>
  </si>
  <si>
    <t>A Phase 2, Baseline-Controlled Study Evaluating the Safety and Efficacy of PTX-022 (Sirolimus) Topical Gel 3.9% in the Treatment of Cutaneous Venous Malformations</t>
  </si>
  <si>
    <t>NCT06820749</t>
  </si>
  <si>
    <t>A Study to Evaluate the Efficacy and Safety of HSK31858 Tablets in Patients with Airway Mucus Hypersecretion</t>
  </si>
  <si>
    <t>NCT06645808</t>
  </si>
  <si>
    <t>PET-imaging of Two Vartumabs in Patients With Solid Tumors</t>
  </si>
  <si>
    <t>Var2 Pharmaceuticals</t>
  </si>
  <si>
    <t>NCT06780410</t>
  </si>
  <si>
    <t>A Clinical Study to Evaluate the Efficacy, Tolerability, and Safety of Bempedoic Acid</t>
  </si>
  <si>
    <t>Gan &amp; Lee Pharmaceuticals.</t>
  </si>
  <si>
    <t>NCT06566079</t>
  </si>
  <si>
    <t>Study of ISM6331 in Participants With Advanced/Metastatic Malignant Mesothelioma or Other Solid Tumors</t>
  </si>
  <si>
    <t>NCT06750432</t>
  </si>
  <si>
    <t>PMN310 in Patients With Early Alzheimer's Disease (PRECISE-AD)</t>
  </si>
  <si>
    <t>ProMis Neurosciences, Inc</t>
  </si>
  <si>
    <t>NCT06810050</t>
  </si>
  <si>
    <t>Phase 2b Safety and Efficacy Study of CGB-500 Topical Ointment with 0.5% and 1% Tofacitnib for Treatment of Atopic Dermatitis</t>
  </si>
  <si>
    <t>CAGE Bio Inc.</t>
  </si>
  <si>
    <t>NCT06699108</t>
  </si>
  <si>
    <t>Study to Evaluate the Efficacy and Safety of VGR-R01 Gene Therapy in Patients With Bietti Crystalline Dystrophy</t>
  </si>
  <si>
    <t>NCT06770764</t>
  </si>
  <si>
    <t>Dose Escalation and Expansion Study Evaluating ODC-IL2 in Adult Patients With Advanced or Metastatic Solid Tumors</t>
  </si>
  <si>
    <t>Trutino Biosciences Inc.</t>
  </si>
  <si>
    <t>NCT06718738</t>
  </si>
  <si>
    <t>Clinical Study of IM96 CAR-T Cell Therapy in Patients With Advanced Colorectal Cancer</t>
  </si>
  <si>
    <t>NCT07444281</t>
  </si>
  <si>
    <t>An Phase I Trial of a CAR T-cell Infusion C-CAR031 in Participants With GPC3+ Advanced/Metastatic Squamous Cell Lung Cancer</t>
  </si>
  <si>
    <t>NCT06291857</t>
  </si>
  <si>
    <t>A Study to Evaluate the Safety and Immunogenicity of COVID-19 Vaccine and Influenza Combination Vaccine</t>
  </si>
  <si>
    <t>NCT06842992</t>
  </si>
  <si>
    <t>A Phase II Study to Evaluate NH102 for Depression</t>
  </si>
  <si>
    <t>Jiangsu Nhwa Pharmaceutical Co., Ltd.</t>
  </si>
  <si>
    <t>NCT06708260</t>
  </si>
  <si>
    <t>A Phase 2 Study to Evaluate the Efficacy and Safety of ENN0403 in Subjects with DME</t>
  </si>
  <si>
    <t>NCT06908642</t>
  </si>
  <si>
    <t>Evaluation the Safety of hemay005 Tablets</t>
  </si>
  <si>
    <t>Anhui Hemay Pharmaceutical Co., Ltd</t>
  </si>
  <si>
    <t>NCT06833931</t>
  </si>
  <si>
    <t>A Study of PGN-EDO51 or Placebo in People With Duchenne Muscular Dystrophy Amenable to Exon 51-Skipping Treatment</t>
  </si>
  <si>
    <t>NCT06686745</t>
  </si>
  <si>
    <t>Study of SIM0508 Alone and in Combination in Patients With Advanced Solid Tumors</t>
  </si>
  <si>
    <t>NCT06761586</t>
  </si>
  <si>
    <t>A Study of AUR104 in Patients With Relapsed/Refractory Lymphoid Malignancies (VIJAY-1)</t>
  </si>
  <si>
    <t>NCT06669754</t>
  </si>
  <si>
    <t>Study of Oral Deucrictibant Extended-Release Tablet for Prophylaxis Against Angioedema Attacks in Adolescents and Adults With HAE</t>
  </si>
  <si>
    <t>NCT06746116</t>
  </si>
  <si>
    <t>A Study to Evaluate the Use of Durvalumab in Combination With Platinum-based Chemotherapy Followed by Durvalumab With Olaparib as First-line Treatment in Advanced or Recurrent Endometrial Cancer in Spain</t>
  </si>
  <si>
    <t>NCT06727552</t>
  </si>
  <si>
    <t>A Study of Barzolvolimab in Patients With Atopic Dermatitis</t>
  </si>
  <si>
    <t>NCT06680947</t>
  </si>
  <si>
    <t>A Phase IIb Study of 610 in Participants With Severe Eosinophilic Asthma</t>
  </si>
  <si>
    <t>NCT06788509</t>
  </si>
  <si>
    <t>A Rollover Study for Continued Study Treatment and Ongoing Safety Monitoring</t>
  </si>
  <si>
    <t>NCT07183306</t>
  </si>
  <si>
    <t>A Clinical Study of HT-101 and/or HT-102 in Patients With Chronic Hepatitis B Virus Infection</t>
  </si>
  <si>
    <t>Suzhou HepaThera Biotech Co., Ltd.</t>
  </si>
  <si>
    <t>NCT06694948</t>
  </si>
  <si>
    <t>A Study to Evaluate the Relative Bioavailability of Two Different Pimicotinib Capsules in Healthy Subjects</t>
  </si>
  <si>
    <t>NCT06756490</t>
  </si>
  <si>
    <t>A Phase I Study of HY-2003 in the Subjects With Excessive Submental Fat Accumulation</t>
  </si>
  <si>
    <t>NCT06819293</t>
  </si>
  <si>
    <t>IB-T101 Injection for Treatment of Patients with Advanced Clear Cell Renal Cell Carcinoma</t>
  </si>
  <si>
    <t>NCT06735755</t>
  </si>
  <si>
    <t>A Phase 1/2, Dose-Exploration Study to Evaluate the Safety and Efficacy of BEAM-301 in Patients With Glycogen Storage Disease Type Ia (GSDIa)</t>
  </si>
  <si>
    <t>NCT06703398</t>
  </si>
  <si>
    <t>A Study of GC101 TIL in Advanced Melanoma</t>
  </si>
  <si>
    <t>NCT07266207</t>
  </si>
  <si>
    <t>Phase I Study to Evaluate Safety, Tolerability, Pharmacokinetic, and Food Effects of ARD-885 Film-coated Tablets in Healthy Chinese Subjects and Patients With Rheumatoid Arthritis</t>
  </si>
  <si>
    <t>Artivila (Shenzhen) Innovation Center, Ltd</t>
  </si>
  <si>
    <t>NCT06656494</t>
  </si>
  <si>
    <t>ICP-248 in Combination With Azacitidine for the Treatment in Patients With Myeloid Malignancies</t>
  </si>
  <si>
    <t>NCT06890299</t>
  </si>
  <si>
    <t>A Study to Evaluate the Pharmacokinetics and Safety Between Single Oral Administration of BR3006 and Co-administration of BR3006A, BR3006B and BR3006C in Healthy Adult Volunteers Under Fed Conditions</t>
  </si>
  <si>
    <t>NCT06628206</t>
  </si>
  <si>
    <t>Safety and Pharmacokinetics of LPX-TI641 in Rheumatoid Arthritis and Psoriatic Arthritis</t>
  </si>
  <si>
    <t>LAPIX Therapeutics Inc.</t>
  </si>
  <si>
    <t>NCT06584071</t>
  </si>
  <si>
    <t>A Study to Evaluate of PM8002 Combined With PM1009 in Patients With First-line HCC</t>
  </si>
  <si>
    <t>NCT07310563</t>
  </si>
  <si>
    <t>A Trial to Evaluate Interactions Between Antiemetic Medication and AMG 133 in Participants Living With Overweight or Obesity</t>
  </si>
  <si>
    <t>NCT06401538</t>
  </si>
  <si>
    <t>BMB-101 in Absence Epilepsy and DEE</t>
  </si>
  <si>
    <t>Bright Minds Biosciences Pty Ltd</t>
  </si>
  <si>
    <t>NCT06610890</t>
  </si>
  <si>
    <t>Pharmacokinetic Interactions Between Hemay005 Tablets and Midazolam Maleate Tablets</t>
  </si>
  <si>
    <t>NCT06394830</t>
  </si>
  <si>
    <t>Safety, Efficacy, and Frequency of Administration of VNX001 in the Treatment of Interstitial Cystitis / Bladder Pain Syndrome (IC/BPS)</t>
  </si>
  <si>
    <t>Vaneltix Pharma, Inc.</t>
  </si>
  <si>
    <t>NCT06729970</t>
  </si>
  <si>
    <t>A Study to Evaluate the Effects of Lithium, Valproic Acid, and Lamotrigine on the Pharmacokinetics of KarXT and Effects of KarXT on the Pharmacokinetics of Lithium, Valproic Acid, and Lamotrigine in Healthy Participants</t>
  </si>
  <si>
    <t>NCT06691360</t>
  </si>
  <si>
    <t>AK137 (Bispecific Antibody Targeting CD73 and LAG-3) in Patients With Advanced Malignant Tumors</t>
  </si>
  <si>
    <t>NCT06999902</t>
  </si>
  <si>
    <t>Double-blind, Randomized Trial of PRAX-628 in Adults With Focal Seizures to Evaluate Efficacy and Safety (POWER1)</t>
  </si>
  <si>
    <t>Praxis Precision Medicines</t>
  </si>
  <si>
    <t>NCT06742957</t>
  </si>
  <si>
    <t>Study Comparing Tapinarof Cream 1% To VTAMA ® (Tapinarof Cream 1%) In the Treatment of Plaque Psoriasis</t>
  </si>
  <si>
    <t>Teva Pharmaceuticals USA</t>
  </si>
  <si>
    <t>NCT06797336</t>
  </si>
  <si>
    <t>A Study of PT0253 in Participants With KRAS G12D Mutated Advanced Solid Tumors</t>
  </si>
  <si>
    <t>PAQ Therapeutics, Inc.</t>
  </si>
  <si>
    <t>NCT06745271</t>
  </si>
  <si>
    <t>A Study to Determine How Tebapivat is Absorbed, Broken Down, and Removed From the Body and the Extent to Which Tebapivat is Made Available in the Body in Healthy Participants</t>
  </si>
  <si>
    <t>NCT06721091</t>
  </si>
  <si>
    <t>Safety, Tolerability, and Dose Response of VNA-318 in Healthy Males</t>
  </si>
  <si>
    <t>VANDRIA</t>
  </si>
  <si>
    <t>NCT05390645</t>
  </si>
  <si>
    <t>A Study of MFA-370 in Patients with Metastatic Urothelial Cancer</t>
  </si>
  <si>
    <t>Ectin Research AB</t>
  </si>
  <si>
    <t>NCT06730828</t>
  </si>
  <si>
    <t>Amiodarone-Infused CardiaMend Patches for the Prevention of New-Onset POAF in Cardiac Surgery Subjects</t>
  </si>
  <si>
    <t>Helios Cardio Inc.</t>
  </si>
  <si>
    <t>NCT06679582</t>
  </si>
  <si>
    <t>Luveltamab Tazevibulin (STRO-002) in Infants and Children &lt; 12 Years of Age With Relapsed/Refractory CBFA2T3::GLIS2 AML</t>
  </si>
  <si>
    <t>NCT06702878</t>
  </si>
  <si>
    <t>Light-Activated Antimicrobial Therapy to Prevent Surgical Site Infections</t>
  </si>
  <si>
    <t>Ondine Biomedical Inc.</t>
  </si>
  <si>
    <t>NCT06710847</t>
  </si>
  <si>
    <t>A Study to Investigate the Safety, Pharmacokinetics, and Preliminary Effectiveness of GSK4418959 Alone or in Combination With Other Anti-cancer Agents in Participants With Solid Tumors</t>
  </si>
  <si>
    <t>NCT06705192</t>
  </si>
  <si>
    <t>Study in Asymptomatic GRN-FTD Patients to Investigate the Safety, Tolerability, Pharmacokinetics, and Pharmacodynamics of VES001</t>
  </si>
  <si>
    <t>Mads Kjolby</t>
  </si>
  <si>
    <t>NCT06768671</t>
  </si>
  <si>
    <t>An Open-label, Single-arm Study to Evaluate Pharmacokinetics and Safety of Subcutaneous Sonelokimab in Adolescents With Moderate to Severe Hidradenitis Suppurativa (VELA-TEEN)</t>
  </si>
  <si>
    <t>NCT06747585</t>
  </si>
  <si>
    <t>A Study to Investigate ALE.P02 as Monotherapy in Adult Patients With Selected CLDN1+ Solid Tumors</t>
  </si>
  <si>
    <t>Alentis Therapeutics AG</t>
  </si>
  <si>
    <t>NCT06687174</t>
  </si>
  <si>
    <t>Study to Evaluate the Efficacy and Safety of MY008211A in Subjects with Primary Immunoglobulin a Nephropathy (IgAN)</t>
  </si>
  <si>
    <t>NCT06752850</t>
  </si>
  <si>
    <t>A Study to Investigate the Course of Synovial Hypertrophy in Patients With Haemophilia A on Efanesoctocog Alfa Prophylaxis</t>
  </si>
  <si>
    <t>Swedish Orphan Biovitrum</t>
  </si>
  <si>
    <t>NCT06752668</t>
  </si>
  <si>
    <t>A Study of ORX750 in Participants With Narcolepsy and Idiopathic Hypersomnia</t>
  </si>
  <si>
    <t>Centessa Pharmaceuticals (UK) Limited</t>
  </si>
  <si>
    <t>NCT06750276</t>
  </si>
  <si>
    <t>A Study to Evaluate the Safety, Tolerability, PK, and PD Effects of AZD2389 in Participants With Liver Fibrosis and Compensated Cirrhosis.</t>
  </si>
  <si>
    <t>NCT06439342</t>
  </si>
  <si>
    <t>A Study of Maribavir in Chinese Adults With Cytomegalovirus (CMV) Infections</t>
  </si>
  <si>
    <t>NCT06706869</t>
  </si>
  <si>
    <t>A Study to Learn if the Study Medicine Called Itraconazole and if Food Changes How the Body Processes the Other Study Medicine Called PF 07258669 in Older Adults or Healthy Adults</t>
  </si>
  <si>
    <t>NCT06630234</t>
  </si>
  <si>
    <t>A Master Protocol to Evaluate DCC-3009 in Gastrointestinal Stromal Tumor (GIST)</t>
  </si>
  <si>
    <t>NCT06722664</t>
  </si>
  <si>
    <t>Efficacy and Safety of OsrhCT and Dimethicone Emulsion Before Upper Endoscopy on Visualization of the Gastric Mucosa.</t>
  </si>
  <si>
    <t>NCT06944457</t>
  </si>
  <si>
    <t>Clinical Trial to Evaluate the Safety, Tolerability and Pharmacokinetics of MPD-1 in Patients With Advanced Solid Tumor</t>
  </si>
  <si>
    <t>Pharosgen Co.,Ltd</t>
  </si>
  <si>
    <t>NCT06685757</t>
  </si>
  <si>
    <t>A Study to Learn More About the Effects and Safety of Felzartamab Infusions in Adults With Kidney Transplants Who Have Antibody-Mediated Rejection (AMR)</t>
  </si>
  <si>
    <t>NCT06890286</t>
  </si>
  <si>
    <t>A Study to Evaluate the Pharmacokinetics and Safety Between Single Oral Administration of BR3006 and Co-administration of BR3006A, BR3006B and BR3006C in Healthy Adult Volunteers Under Fasting Conditions</t>
  </si>
  <si>
    <t>NCT06587451</t>
  </si>
  <si>
    <t>Integrated Pharmacokinetics (PK)/Efficacy, Safety, and Immunogenicity Study to Demonstrate Similarity of JPB898, a Proposed Biosimilar to Nivolumab, to Opdivo® in Combination With Yervoy®</t>
  </si>
  <si>
    <t>NCT06922253</t>
  </si>
  <si>
    <t>Bioequivalence Study to Compare Sacubitril and Valsartan Tablets (97mg/103mg) Versus Entresto® (Sacubitril and Valsartan) Tablets (97 mg/103 mg)</t>
  </si>
  <si>
    <t>NCT06612151</t>
  </si>
  <si>
    <t>A Phase III Study of YL201 in Relapsed Small Cell Lung Cancer</t>
  </si>
  <si>
    <t>NCT06920498</t>
  </si>
  <si>
    <t>A Study to Learn How Different Amounts of the Study Medicine Called PF-07941944 Are Tolerated in the Body of Healthy Adults.</t>
  </si>
  <si>
    <t>NCT06524830</t>
  </si>
  <si>
    <t>A Study to Assess the Efficacy, Safety and Tolerability of VLS-01 Buccal Film, Compared to Placebo in Patients With Treatment Resistant Depression (ELUMINA)</t>
  </si>
  <si>
    <t>atai Therapeutics, Inc.</t>
  </si>
  <si>
    <t>NCT06736587</t>
  </si>
  <si>
    <t>A Randomized, Double-blind, Placebo-controlled, Dose-escalation Phase 1 Clinical Tiral in Healthy Male Volunteers</t>
  </si>
  <si>
    <t>NCT05959304</t>
  </si>
  <si>
    <t>Post Marketing Study to Evaluate the Safety and Effectiveness of Brolucizumab in Patients With Diabetic Macular Edema.</t>
  </si>
  <si>
    <t>NCT06723535</t>
  </si>
  <si>
    <t>A Study to Evaluate BMS-986278 in Participants With Normal Renal Function, Severe Renal Impairment, or End-Stage Renal Disease on Intermittent Hemodialysis</t>
  </si>
  <si>
    <t>NCT06727058</t>
  </si>
  <si>
    <t>Study to Evaluate Safety and Immunogenicity of a Pandemic Flu H5 mRNA Vaccine in Healthy Adults Aged 18 Years and Older</t>
  </si>
  <si>
    <t>NCT06637072</t>
  </si>
  <si>
    <t>A Study to Assess Adults With CIDP Transitioning From IVIg to Efgartigimod PH20 SC</t>
  </si>
  <si>
    <t>NCT06694298</t>
  </si>
  <si>
    <t>A Study of SYS6020 Injection in Refractory Active Systemic Lupus Erythematosus</t>
  </si>
  <si>
    <t>NCT07187895</t>
  </si>
  <si>
    <t>Comparative Imaging of XTR004 PET and MIBI SPECT in Borderline Coronary Stenosis</t>
  </si>
  <si>
    <t>NCT06798896</t>
  </si>
  <si>
    <t>RENAISSANCE 2: SPN-817 Phase 2, Double-Blind, Placebo-Controlled Study in Adults with Focal Onset Seizures</t>
  </si>
  <si>
    <t>NCT06742086</t>
  </si>
  <si>
    <t>A Study to Evaluate the Bioavailability and Food Effects of Oral Venetoclax New Tablet Formulation 2.0 in Healthy Adult Female Participants</t>
  </si>
  <si>
    <t>NCT06715670</t>
  </si>
  <si>
    <t>A Study to Investigate the Blood Concentrations of 4 Different Oral Doses of Zibotentan in Healthy Non-Asian and Japanese Participants</t>
  </si>
  <si>
    <t>NCT06608459</t>
  </si>
  <si>
    <t>PEX010-Assisted Therapy for Opioid Use Disorder (OUD): a Feasibility Study</t>
  </si>
  <si>
    <t>Filament Health Corp.</t>
  </si>
  <si>
    <t>NCT06723691</t>
  </si>
  <si>
    <t>Influence of HRS9531 on Gastric Emptying and Pharmacokinetics of Metformin, Atorvastatin, Warfarin, and Digoxin in Healthy Subjects</t>
  </si>
  <si>
    <t>NCT07028697</t>
  </si>
  <si>
    <t>A Study to Evaluate the Efficacy and Safety of Daridorexant in Participants With Insomnia Disorder</t>
  </si>
  <si>
    <t>Nxera Pharma Korea Co., Ltd.</t>
  </si>
  <si>
    <t>NCT06753890</t>
  </si>
  <si>
    <t>Efficacy and Safety of Changkang Granules in the Treatment of Irritable Bowel Syndrome With Predominant Diarrhea (Liver qi Affecting the Spleen Pattern)</t>
  </si>
  <si>
    <t>NCT06653296</t>
  </si>
  <si>
    <t>A Dose-Response Safety Study of ENX-102 in Patients With GAD</t>
  </si>
  <si>
    <t>Engrail Therapeutics INC</t>
  </si>
  <si>
    <t>NCT06480565</t>
  </si>
  <si>
    <t>A Phase 1/2 Trial of ADI-270 in ccRCC</t>
  </si>
  <si>
    <t>NCT06742853</t>
  </si>
  <si>
    <t>A Study to Investigate the Pharmacokinetics, Safety, Tolerability, and Efficacy of AZD0780 With Ezetimibe Combinations in Healthy Adults With Elevated LDL-C.</t>
  </si>
  <si>
    <t>NCT06672445</t>
  </si>
  <si>
    <t>Study of ARO-ATXN2 Injection in Adults With Spinocerebellar Ataxia Type 2</t>
  </si>
  <si>
    <t>NCT06683612</t>
  </si>
  <si>
    <t>PET Study of PIPE-791 in Healthy Volunteers and Volunteers With PrMS and IPF</t>
  </si>
  <si>
    <t>Contineum Therapeutics</t>
  </si>
  <si>
    <t>NCT06735144</t>
  </si>
  <si>
    <t>Phase I/II Clinical Study of FH-006 for Injection in Patients With Malignant Solid Tumors</t>
  </si>
  <si>
    <t>NCT06716190</t>
  </si>
  <si>
    <t>A Study to Test How Different Doses of BI 3731579 Are Tolerated by Healthy People</t>
  </si>
  <si>
    <t>NCT06540443</t>
  </si>
  <si>
    <t>Pilot Study of MPB-2043 Enhanced MRI for Nodal Staging in Head and Neck Squamous Cell Carcinomas</t>
  </si>
  <si>
    <t>MegaPro Biomedical Co. Ltd.</t>
  </si>
  <si>
    <t>NCT06706674</t>
  </si>
  <si>
    <t>Multicenter Study of Lumateperone for the Treatment of Irritability Associated With Autism Spectrum Disorder (ASD) in Pediatric Patients</t>
  </si>
  <si>
    <t>NCT06846567</t>
  </si>
  <si>
    <t>Phase I Study of BM2216 ER vs. Melogabalin Besilate: Safety, PK, and Food Effect in Healthy Adults</t>
  </si>
  <si>
    <t>Zhejiang Anglikang Pharmaceutical Co., Ltd.</t>
  </si>
  <si>
    <t>NCT06745583</t>
  </si>
  <si>
    <t>A Phase 2 Study to Assess the Safety of EI-1071 and the Effects of EI-1071 on Neuroinflammation in Alzheimer's Disease Patients</t>
  </si>
  <si>
    <t>Elixiron Immunotherapeutics (Hong Kong) Ltd.</t>
  </si>
  <si>
    <t>NCT06616415</t>
  </si>
  <si>
    <t>A Clinical Study to Evaluate the Pharmacokinetics, Efficacy, and Safety of Belumosudil in Chinese Adolescents With cGVHD Who Have Had an Inadequate Response to Glucocorticoids or Other Systemic Therapies</t>
  </si>
  <si>
    <t>NCT06636656</t>
  </si>
  <si>
    <t>A Study to Test Whether BI 3032950 Helps People With Ulcerative Colitis</t>
  </si>
  <si>
    <t>NCT06741345</t>
  </si>
  <si>
    <t>Phase 1 BIO 300 Oral Suspension</t>
  </si>
  <si>
    <t>Humanetics Corporation</t>
  </si>
  <si>
    <t>NCT06813781</t>
  </si>
  <si>
    <t>Study to Investigate the Effect of Hepatic Impairment on the Pharmacokinetics, Safety, and Tolerability of AZD5004</t>
  </si>
  <si>
    <t>NCT06625593</t>
  </si>
  <si>
    <t>A First-in-Human (FIH) Study of BG-C137, an Anti-Fibroblast Growth Factor Receptor 2b (FGFR2b) Antibody Drug Conjugate, in Participants With Advanced Solid Tumors</t>
  </si>
  <si>
    <t>NCT06718101</t>
  </si>
  <si>
    <t>A Study to Evaluate the Effectiveness and Safety of Treatments, Either Alone or in Combination, for the Treatment of Moderate to Severe Atopic Dermatitis</t>
  </si>
  <si>
    <t>NCT06674525</t>
  </si>
  <si>
    <t>Evaluation of 626 in Healthy Adult Subjects</t>
  </si>
  <si>
    <t>NCT06664853</t>
  </si>
  <si>
    <t>Open-Label Extension of EryDex Study IEDAT-04-2022</t>
  </si>
  <si>
    <t>NCT06628310</t>
  </si>
  <si>
    <t>A Study to Evaluate the Adverse Events, Efficacy, and Optimal Dose of Intravenous (IV) ABBV-400 in Combination With IV Fluorouracil, Leucovorin, and Budigalimab in Adult Participants With Locally Advanced Unresectable or Metastatic Gastric, Gastroesophageal Junction, or Esophageal Adenocarcinoma</t>
  </si>
  <si>
    <t>NCT06775730</t>
  </si>
  <si>
    <t>A Drug-Drug Interaction Study of S-217622 With Combined Oral Contraceptives in Healthy Adult Female Participants</t>
  </si>
  <si>
    <t>NCT06667700</t>
  </si>
  <si>
    <t>A Clinical Study of Molnupiravir to Prevent Severe Illness From Coronavirus Disease 2019 (COVID-19) in People Who Are High Risk (MK-4482-023)</t>
  </si>
  <si>
    <t>NCT06691984</t>
  </si>
  <si>
    <t>Phase 3 Study of Xaluritamig vs Cabazitaxel or Second Androgen Receptor-Directed Therapy in Participants With Progressive Metastatic Castration-Resistant Prostate Cancer (XALute)</t>
  </si>
  <si>
    <t>NCT06812221</t>
  </si>
  <si>
    <t>Efficacy of Sublingual 5-MeO-DMT for Reducing Anxiety and Depression in MCI</t>
  </si>
  <si>
    <t>NCT06692348</t>
  </si>
  <si>
    <t>A Study of Orforglipron (LY3502970) to Compare a Single Capsule and Multiple Capsules in Healthy Participants</t>
  </si>
  <si>
    <t>NCT06662539</t>
  </si>
  <si>
    <t>Once-weekly Petrelintide Versus Placebo for Obesity or Overweight With Co-morbidities</t>
  </si>
  <si>
    <t>NCT06750094</t>
  </si>
  <si>
    <t>A Study of Amivantamab and FOLFIRI Versus Cetuximab/Bevacizumab and FOLFIRI in Participants With KRAS/NRAS and BRAF Wild-type Colorectal Cancer Who Have Previously Received Chemotherapy</t>
  </si>
  <si>
    <t>NCT06500702</t>
  </si>
  <si>
    <t>A Study to Evaluate the Efficacy and Safety of Frexalimab, Brivekimig, or Rilzabrutinib in Participants Aged 16 to 75 Years With Primary Focal Segmental Glomerulosclerosis or Minimal Change Disease</t>
  </si>
  <si>
    <t>NCT06765993</t>
  </si>
  <si>
    <t>Efficacy and Safety of Isosorbide Oral Solution in Patients With Meniere's Disease</t>
  </si>
  <si>
    <t>NCT06700148</t>
  </si>
  <si>
    <t>A Clinical Trial of ACYW135 Group Meningococcal Polysaccharide Conjugate Vaccine (CRM197 Vector) in 7 to 17 Year Olds</t>
  </si>
  <si>
    <t>NCT06006416</t>
  </si>
  <si>
    <t>Effect of Fenugreek Fibre on Gut Microbiome</t>
  </si>
  <si>
    <t>NCT06713317</t>
  </si>
  <si>
    <t>A Phase I Study to Evaluate the Safety and Drug Allergy of HLB3-002 in Healthy Volunteers</t>
  </si>
  <si>
    <t>Huonslab Co., Ltd.</t>
  </si>
  <si>
    <t>NCT06690359</t>
  </si>
  <si>
    <t>IM19 CAR-T Cell Therapy for IgA Nephropathy Patients and Membranous Nephropathy Patients</t>
  </si>
  <si>
    <t>NCT06667908</t>
  </si>
  <si>
    <t>A Study of JNJ-90301900 in Combination With Chemoradiation Followed by Consolidation Immunotherapy for Non-Small Cell Lung Cancer (NSCLC)</t>
  </si>
  <si>
    <t>NCT06649708</t>
  </si>
  <si>
    <t>HX044,FIH Study in Patients with Advanced Solid Tumor Malignancies</t>
  </si>
  <si>
    <t>Hanx Biopharmaceuticals (Wuhan) Co., Ltd.</t>
  </si>
  <si>
    <t>NCT06597019</t>
  </si>
  <si>
    <t>Study to Evaluate Efficacy and Safety of Inclisiran in Children With Heterozygous Familial Hypercholesterolemia</t>
  </si>
  <si>
    <t>NCT06712771</t>
  </si>
  <si>
    <t>A Phase 3 Clinical Trial to Evaluate the Efficacy and Safety of VSA003 in Chinese HoFH Patients</t>
  </si>
  <si>
    <t>NCT06717100</t>
  </si>
  <si>
    <t>Study to Determine Potential for Drug-drug Interactions When Co-administering Deupirfenidone (LYT-100) and Nintedanib</t>
  </si>
  <si>
    <t>PureTech</t>
  </si>
  <si>
    <t>NCT06859281</t>
  </si>
  <si>
    <t>Safety, Tolerability, and Pharmacokinetic Profile of Grammidin, a Metered Dose Topical Spray in Healthy Volunteers</t>
  </si>
  <si>
    <t>NCT06717698</t>
  </si>
  <si>
    <t>A Research Study Comparing How Well Different Doses of the Medicine NNC0519-0130 Can Reduce Kidney Damage in People Living With Chronic Kidney Disease</t>
  </si>
  <si>
    <t>NCT06613009</t>
  </si>
  <si>
    <t>Study of IBI3009 in Participants with Unresectable, Metastatic or Extensive-Stage Small Cell Lung Cancer</t>
  </si>
  <si>
    <t>NCT06643884</t>
  </si>
  <si>
    <t>Suprachoroidal Administration in Subjects With Metastases to the Choroid</t>
  </si>
  <si>
    <t>Aura Biosciences</t>
  </si>
  <si>
    <t>NCT06719011</t>
  </si>
  <si>
    <t>A Study on How NNC0174-1213 Works in People With Overweight or Obesity.</t>
  </si>
  <si>
    <t>NCT05421858</t>
  </si>
  <si>
    <t>A Phase 3 Efficacy and Safety Study of Fosmanogepix for the Treatment of Adult Participants With Candidemia and/or Invasive Candidiasis.</t>
  </si>
  <si>
    <t>NCT06675175</t>
  </si>
  <si>
    <t>A Phase 1b Study to Assess the Safety, Tolerability, and Pharmacodynamics of AZD4144 in Participants With Established Atherosclerotic Cardiovascular and Chronic Kidney Disease.</t>
  </si>
  <si>
    <t>NCT06736912</t>
  </si>
  <si>
    <t>This Study Aims to Evaluate the Safety, Tolerability, Pharmacokinetic and Pharmacodynamic Properties and Food Effect of IN-114199 in Healthy Participants</t>
  </si>
  <si>
    <t>NCT06667453</t>
  </si>
  <si>
    <t>A Clinical Study of PGN-EDODM1 in People With Myotonic Dystrophy Type 1</t>
  </si>
  <si>
    <t>NCT06463028</t>
  </si>
  <si>
    <t>Sapanisertib and Serabelisib (PIKTOR) With Paclitaxel and a Substudy With an Insulin-Suppressing Diet in Patients With Advanced/Recurrent Endometrial Cancer</t>
  </si>
  <si>
    <t>Faeth Therapeutics</t>
  </si>
  <si>
    <t>NCT06534437</t>
  </si>
  <si>
    <t>MEN1703 (SEL24) to Treat Relapsed or Refractory Aggressive B-cell Non-Hodgkin Lymphoma (JASPIS-01)</t>
  </si>
  <si>
    <t>NCT06734351</t>
  </si>
  <si>
    <t>A Study to Assess Safety and Effectiveness of Injections of NOA VOLUME Injectable Gel in Adult Participants Compared to JUVÉDERM VOLUMA XC for Change of Mid-Face Volume</t>
  </si>
  <si>
    <t>NCT06716645</t>
  </si>
  <si>
    <t>A Clinical Evidence Study Evaluating Quality of Life Parameters Following Treatment With Robitussin</t>
  </si>
  <si>
    <t>NCT06731829</t>
  </si>
  <si>
    <t>A Study for Adults Undergoing Magnetic Resonance Imaging (MRI) for Known or Highly Suspected Brain and/or Spinal Cord Conditions</t>
  </si>
  <si>
    <t>NCT06472245</t>
  </si>
  <si>
    <t>Trial of Therapeutic Cancer Vaccine OSE2101 in Patients With Non-Small Cell Lung Cancer and Secondary Resistance to Immune Checkpoint Inhibitor</t>
  </si>
  <si>
    <t>OSE Immunotherapeutics</t>
  </si>
  <si>
    <t>NCT06736041</t>
  </si>
  <si>
    <t>Study of a 4-Dose Regimen of a 21-valent Pneumococcal Conjugate Vaccine in Healthy Infants From Approximately 2 Months of Age</t>
  </si>
  <si>
    <t>NCT06338280</t>
  </si>
  <si>
    <t>Remotely Observed Methadone Evaluation II</t>
  </si>
  <si>
    <t>Sonara Health</t>
  </si>
  <si>
    <t>NCT06708286</t>
  </si>
  <si>
    <t>A Clinical Trials of Adsorbed Cell-free DPT Vaccine (Five-component)</t>
  </si>
  <si>
    <t>NCT06683703</t>
  </si>
  <si>
    <t>Utidelone Injection Combined with Bevacizumab Injection for Non-small Cell Lung Cancer Patients with Brain Metastases</t>
  </si>
  <si>
    <t>NCT06687369</t>
  </si>
  <si>
    <t>A Study to Compare Pharmacokinetics, Efficacy, Safety, and Immunogenicity of MB12 (Proposed Pembrolizumab Biosimilar) to Keytruda® in Non-small Cell Lung Cancer (BENITO Study)</t>
  </si>
  <si>
    <t>NCT06581419</t>
  </si>
  <si>
    <t>NCT06726369</t>
  </si>
  <si>
    <t>A Phase 1 Study to Evaluate the Safety, Pharmacokinetics, and Preliminary Efficacy of MK-6204 (SKB535) for Injection in Participants With Advanced Solid Tumors</t>
  </si>
  <si>
    <t>NCT04073433</t>
  </si>
  <si>
    <t>Psychological Effects of Methylenedioxymethamphetamine (MDMA) When Administered to Healthy Volunteers (MT-2)</t>
  </si>
  <si>
    <t>Lykos Therapeutics</t>
  </si>
  <si>
    <t>NCT06734234</t>
  </si>
  <si>
    <t>A Study to Evaluate the Safety, Tolerability, and Effects on Blood and Urine Markers of Single Ascending Dose of GSK4771261 in Healthy Participants and Participants With Autosomal Dominant Polycystic Kidney Disease</t>
  </si>
  <si>
    <t>NCT05460507</t>
  </si>
  <si>
    <t>Safety &amp; Efficacy/Tolerability of Rhenium-186 NanoLiposomes (186RNL) for Patients Who Received a Prior 186RNL Treatment</t>
  </si>
  <si>
    <t>Plus Therapeutics</t>
  </si>
  <si>
    <t>NCT06545162</t>
  </si>
  <si>
    <t>Safety, Tolerability, and Pharmacokinetics of a Single or Multiple Ascending Doses of CPX101</t>
  </si>
  <si>
    <t>NCT06732154</t>
  </si>
  <si>
    <t>A Phase I Clinical Study of a Single Subcutaneous Injection of HRS-5632 in Healthy Subjects</t>
  </si>
  <si>
    <t>NCT06723106</t>
  </si>
  <si>
    <t>Phase 1b Long-term Extension Trial of RAY121 in Immunological Diseases (RAINBOW-LTE Trial)</t>
  </si>
  <si>
    <t>NCT06496243</t>
  </si>
  <si>
    <t>Impact of Obicetrapib and Obicetrapib Plus Repatha on Lp(a) Levels</t>
  </si>
  <si>
    <t>NCT06720714</t>
  </si>
  <si>
    <t>A Study to Assess the Concentration of Rozanolixizumab in the Breast Milk of Healthy Lactating Women</t>
  </si>
  <si>
    <t>NCT06661148</t>
  </si>
  <si>
    <t>Study of EPI-003 in Select Nucleos(t)Ide Analogue-Treated, Chronic Hepatitis B Patients</t>
  </si>
  <si>
    <t>NCT06547151</t>
  </si>
  <si>
    <t>Evaluating the Safety and Efficacy of AMOR-1 as a Treatment for Hypocalcemia Associated With Hypoparathyroidism in Adults</t>
  </si>
  <si>
    <t>Amorphical Ltd.</t>
  </si>
  <si>
    <t>NCT06621563</t>
  </si>
  <si>
    <t>Phase Ib Trial of HS-20117 in Combination With Other Drugs in Advanced Solid Tumors</t>
  </si>
  <si>
    <t>NCT05911048</t>
  </si>
  <si>
    <t>A Clinical Trial of Recombinant COVID-19 Bivalent (XBB+Prototype) Protein Vaccine (Sf9 Cell) in Booster Vaccination</t>
  </si>
  <si>
    <t>NCT06741397</t>
  </si>
  <si>
    <t>A Study to Evaluate the Pharmacokinetics, Safety, and Tolerability of a New Formulation of Cabotegravir Long-Acting Administered Intramuscularly in a 4-month Dosing Interval (Q4M)</t>
  </si>
  <si>
    <t>NCT06728124</t>
  </si>
  <si>
    <t>A Phase III Clinical Study to Evaluate the Efficacy and Safety of GZR18 Injection in Adult Obese/Overweight Subjects</t>
  </si>
  <si>
    <t>NCT06713499</t>
  </si>
  <si>
    <t>A Phase Ib/II Study to Investigate the Safety of SHR-1819 in Children and Adolescents With Moderate-to-severe Atopic Dermatitis</t>
  </si>
  <si>
    <t>NCT07092618</t>
  </si>
  <si>
    <t>Effectiveness of Alternative Therapies in Maintaining Weight Loss Achieved by GLP-1 Medications Post-Cessation</t>
  </si>
  <si>
    <t>NCT07421232</t>
  </si>
  <si>
    <t>A Study to Evaluate the Safety, Efficacy of SYH2053 in Chinese Participants With Non-familial Hypercholesterolemia and Mixed Hyperlipidemia</t>
  </si>
  <si>
    <t>NCT06396026</t>
  </si>
  <si>
    <t>A Study of Efficacy and Safety of TLL-018 in CSU Participants</t>
  </si>
  <si>
    <t>Hangzhou Highlightll Pharmaceutical Co., Ltd</t>
  </si>
  <si>
    <t>NCT07130916</t>
  </si>
  <si>
    <t>A Study of Aumolertinib in European Participants With Non-Small Cell Lung Cancer</t>
  </si>
  <si>
    <t>NCT06675864</t>
  </si>
  <si>
    <t>Open-label, Multi-center, Phase I/II Study to Assess Safety, Disease Progression and Cellular Kinetics Following YTB323 Administration in Participants With Non-active Progressive Multiple Sclerosis (PMS)</t>
  </si>
  <si>
    <t>NCT06725381</t>
  </si>
  <si>
    <t>A Phase 1 Study of SKB571 in Subjects With Advanced Solid Tumors</t>
  </si>
  <si>
    <t>NCT06939296</t>
  </si>
  <si>
    <t>A Research Study of VCT220 in Adult Chinese Participants With Obesity</t>
  </si>
  <si>
    <t>Vincentage Pharma Co., Ltd</t>
  </si>
  <si>
    <t>NCT06741969</t>
  </si>
  <si>
    <t>Nipocalimab in Moderate to Severe Sjogren's Disease</t>
  </si>
  <si>
    <t>NCT06758583</t>
  </si>
  <si>
    <t>A Trial Comparing Pharmacokinetics, Safety and Tolerability of Two Subcutaneous Concentrations of Dapiglutide</t>
  </si>
  <si>
    <t>NCT06834932</t>
  </si>
  <si>
    <t>A Study to Evaluate the Efficacy, Safety, and Pharmacokinetics of AZD0780 in Participants With Dyslipidaemia</t>
  </si>
  <si>
    <t>NCT06756126</t>
  </si>
  <si>
    <t>A Clinical Study of AK120 in Adolescents With Moderate-to-severe Atopic Dermatitis (AD)</t>
  </si>
  <si>
    <t>NCT06541678</t>
  </si>
  <si>
    <t>A Study to Learn if the Study Medicines Called Itraconazole and Cyclosporine Change How the Body Processes the Other Study Medicine Called Danuglipron in Healthy Adults.</t>
  </si>
  <si>
    <t>NCT06679985</t>
  </si>
  <si>
    <t>A Trial of Casdozokitug in Combination With Toripalimab Plus Bevacizumab in Participants With Unresectable and/or Locally Advanced or Metastatic Hepatocellular Carcinoma</t>
  </si>
  <si>
    <t>NCT06719128</t>
  </si>
  <si>
    <t>A Study of Olomorasib (LY3537982) in Participants With Hepatic Impairment and Healthy Participants</t>
  </si>
  <si>
    <t>NCT06777433</t>
  </si>
  <si>
    <t>Phase 2b Imaging Study of RAD101 in Participants With Suspected Recurrent Brain Metastases</t>
  </si>
  <si>
    <t>NCT06724640</t>
  </si>
  <si>
    <t>A Study to Assess the Safety, Tolerability, and Pharmacokinetics of VH4011499 Compared to Placebo in Adults Without HIV</t>
  </si>
  <si>
    <t>NCT06533540</t>
  </si>
  <si>
    <t>Safety Study of TPX-121 on Nasolabial Folds</t>
  </si>
  <si>
    <t>NCT06671587</t>
  </si>
  <si>
    <t>iGlarLixi CGM Study in Chinese T2D Individuals After OADs</t>
  </si>
  <si>
    <t>NCT06564818</t>
  </si>
  <si>
    <t>"A Study of a Deuterated Psilocin Analog (CYB003) in Humans With Major Depressive Disorder"</t>
  </si>
  <si>
    <t>NCT06440525</t>
  </si>
  <si>
    <t>A Study of RSLV-132 in Females With Sjögren's Disease</t>
  </si>
  <si>
    <t>Resolve Therapeutics</t>
  </si>
  <si>
    <t>NCT06712407</t>
  </si>
  <si>
    <t>Efficacy and Safety of Extended TARPEYO® Treatment Beyond 9 Months in Adult Patients With Primary IgA Nephropathy</t>
  </si>
  <si>
    <t>Calliditas Therapeutics AB</t>
  </si>
  <si>
    <t>NCT07251309</t>
  </si>
  <si>
    <t>A Two-Part, Phase 3 Study Evaluating the Efficacy and Safety of WS016 for the Treatment of Hyperkalemia</t>
  </si>
  <si>
    <t>Waterstone Pharmaceutical (Wuhan) Co., LTD.</t>
  </si>
  <si>
    <t>NCT06737536</t>
  </si>
  <si>
    <t>A First-in-human Research Study on How NNC0662-0419 Works in People Living With Overweight or Obesity</t>
  </si>
  <si>
    <t>NCT06689163</t>
  </si>
  <si>
    <t>A Study for the Treatment of Metastatic Prostate Cancer With HRS-1167 Tablets Combined With Abiraterone Acetate Tablets and Prednisone</t>
  </si>
  <si>
    <t>NCT07007910</t>
  </si>
  <si>
    <t>Phase I Study of HSK46575 in Patients With Metastatic Castration-Resistant Prostate Cancer</t>
  </si>
  <si>
    <t>NCT06629597</t>
  </si>
  <si>
    <t>A Phase III Study of YL201 in Recurrent or Metastatic Nasopharyngeal Carcinoma</t>
  </si>
  <si>
    <t>NCT07064525</t>
  </si>
  <si>
    <t>Evaluate the Efficacy and Safety of SPC1001 Low in Patients With Essential Hypertension</t>
  </si>
  <si>
    <t>NCT06739291</t>
  </si>
  <si>
    <t>A Study of SIGX1094R in Patients With Advanced Solid Tumors</t>
  </si>
  <si>
    <t>Signet Therapeutics</t>
  </si>
  <si>
    <t>NCT06611436</t>
  </si>
  <si>
    <t>BeCoMe-9: A Clinical Study of BE-101 for the Treatment of Adults With Moderately Severe or Severe Hemophilia B</t>
  </si>
  <si>
    <t>Be Biopharma</t>
  </si>
  <si>
    <t>NCT06732895</t>
  </si>
  <si>
    <t>A Clinical Trial to Evaluate Efficacy and Safety of Navepegritide in Adolescents (12 - 18 Years of Age) With Achondroplasia.</t>
  </si>
  <si>
    <t>NCT06806046</t>
  </si>
  <si>
    <t>Anti-CEACAM5 ADC Precemtabart Tocentecan (M9140) in Chinese Participants With Solid Tumors</t>
  </si>
  <si>
    <t>NCT06926933</t>
  </si>
  <si>
    <t>Efficacy and Safety of Leuprolide Acetate 45 mg in Subjects With Central Precocious Puberty</t>
  </si>
  <si>
    <t>NCT06619509</t>
  </si>
  <si>
    <t>A Study to Test Long-term Treatment With Brigimadlin in People With Solid Tumours Who Took Part in a Previous Study With This Medicine</t>
  </si>
  <si>
    <t>NCT06784648</t>
  </si>
  <si>
    <t>Different Doses of BI-1607 in Combination With Pembrolizumab and Ipilimumab, in Participants With Unresectable or Metastatic Melanoma</t>
  </si>
  <si>
    <t>BioInvent International AB</t>
  </si>
  <si>
    <t>NCT06655324</t>
  </si>
  <si>
    <t>A Study to Evaluate Safety, Tolerability, and Immunogenicity of V350A and V350B in Healthy Participants (V350-001).</t>
  </si>
  <si>
    <t>NCT06489028</t>
  </si>
  <si>
    <t>Allogeneic ABCB5-positive Dermal Mesenchymal Stromal Cells for Treatment of Therapy-resistant CVU (Phase III)</t>
  </si>
  <si>
    <t>RHEACELL GmbH &amp; Co. KG</t>
  </si>
  <si>
    <t>NCT06359041</t>
  </si>
  <si>
    <t>RESET-MG: A Study to Evaluate the Safety and Efficacy of CABA-201 in Participants With Generalized Myasthenia Gravis</t>
  </si>
  <si>
    <t>NCT06716879</t>
  </si>
  <si>
    <t>A Study to Evaluate Safety, Tolerability, and Pharmacokinetics of a Single Dose of Donzakimig in Healthy Chinese and Japanese Participants</t>
  </si>
  <si>
    <t>NCT06667076</t>
  </si>
  <si>
    <t>A Study of Amivantamab in Combination With Lazertinib, or Amivantamab in Combination With Platinum-Based Chemotherapy, for Common Epidermal Growth Factor Receptor (EGFR)-Mutated Locally Advanced or Metastatic Non-Small Cell Lung Cancer (NSCLC)</t>
  </si>
  <si>
    <t>NCT06715683</t>
  </si>
  <si>
    <t>A Study to Evaluate Comparative Bioavailability of BMS-986278 in Healthy Participants</t>
  </si>
  <si>
    <t>NCT06633419</t>
  </si>
  <si>
    <t>A Drug-Drug Interaction Study of Carbamazepine and Opevesostat (MK-5684) in Healthy Adult Male Participants (MK-5684-012)</t>
  </si>
  <si>
    <t>NCT06733441</t>
  </si>
  <si>
    <t>A Study of TLN-254 in Participants With Relapsed or Refractory T-cell Lymphoma</t>
  </si>
  <si>
    <t>Treeline Biosciences, Inc.</t>
  </si>
  <si>
    <t>NCT06705569</t>
  </si>
  <si>
    <t>A Study to Compare Two Forms of Study Medicine Tafamidis in the Blood in Healthy Adults</t>
  </si>
  <si>
    <t>NCT06850480</t>
  </si>
  <si>
    <t>A Phase III Clinical Trial for Efficacy and Safety Evaluation of JP-1366 Tablets on Reflux Esophagitis</t>
  </si>
  <si>
    <t>Livzon Pharmaceutical Group Inc.</t>
  </si>
  <si>
    <t>NCT06585774</t>
  </si>
  <si>
    <t>A Study to Evaluate Axatilimab and Corticosteroids as Initial Treatment for Chronic Graft-Versus-Host Disease</t>
  </si>
  <si>
    <t>NCT06692322</t>
  </si>
  <si>
    <t>A Study to Test How Zongertinib is Taken up in the Blood of People With and Without Liver Problems</t>
  </si>
  <si>
    <t>NCT06666010</t>
  </si>
  <si>
    <t>PEX010-Assisted Therapy for Stimulant Use Disorder: A Safety, Feasibility and Efficacy Study</t>
  </si>
  <si>
    <t>NCT07244406</t>
  </si>
  <si>
    <t>Assessment of Senl_B19 CAR-T Cells in Relapsed/Refractory CD19+ B-ALL</t>
  </si>
  <si>
    <t>Hebei Senlang Biotechnology Inc., Ltd.</t>
  </si>
  <si>
    <t>NCT06741683</t>
  </si>
  <si>
    <t>A Study of Dengue Tetravalent Vaccine (TDV) in Healthy Participants in Japan</t>
  </si>
  <si>
    <t>NCT06783621</t>
  </si>
  <si>
    <t>A Study to Evaluate Patient Satisfaction With the Overall Face and Neck Appearance After Combined Treatment of OnabotulinumtoxinA, JUVÉDERM® Products, KYBELLA, CoolSculpting Elite and SkinMedica Products</t>
  </si>
  <si>
    <t>NCT06672016</t>
  </si>
  <si>
    <t>Study to Evaluate Contraceptive Efficacy and Safety of a Progestin Only Patch in Women of Childbearing Potential</t>
  </si>
  <si>
    <t>Mylan Pharmaceuticals Inc</t>
  </si>
  <si>
    <t>NCT06771115</t>
  </si>
  <si>
    <t>Phase 2a Placebo-Controlled Study of VTX3232 Alone or in Combination With Semaglutide in Obesity</t>
  </si>
  <si>
    <t>NCT06605651</t>
  </si>
  <si>
    <t>Proof of Concept Study to Assess Safety and Efficacy of Phage Therapy in Hip or Knee Prosthetic Joint Infections Due to Staphylococcus Aureus Treated by DAIR.</t>
  </si>
  <si>
    <t>Phaxiam Therapeutics</t>
  </si>
  <si>
    <t>NCT06698796</t>
  </si>
  <si>
    <t>A Study to Understand How the Study Medicine Dazukibart Works in People With Idiopathic Inflammatory Myopathies</t>
  </si>
  <si>
    <t>NCT06745622</t>
  </si>
  <si>
    <t>Long-term Safety and Tolerability of HSK39297 in Patients With Paroxysmal Nocturnal Hemoglobinuria</t>
  </si>
  <si>
    <t>NCT06639828</t>
  </si>
  <si>
    <t>Phase 4 Paediatric Study to Evaluate Sonazoid Safety and Efficacy for Contrast-Enhanced Ultrasound Liver Imaging</t>
  </si>
  <si>
    <t>NCT06774963</t>
  </si>
  <si>
    <t>A Phase 1 Study of LNCB74 in Advanced Solid Tumors</t>
  </si>
  <si>
    <t>NextCure, Inc.</t>
  </si>
  <si>
    <t>NCT06697184</t>
  </si>
  <si>
    <t>A Study to Investigate the Safety of Novel Dose Ramp-up Schedule(s) When Initiating Sonrotoclax in Participants Treated for Blood Cancers.</t>
  </si>
  <si>
    <t>NCT06456463</t>
  </si>
  <si>
    <t>A Study of Tagraxofusp in Combination With Venetoclax and Azacitidine in Adults With Untreated CD123+ Acute Myeloid Leukemia Who Cannot Undergo Intensive Chemotherapy</t>
  </si>
  <si>
    <t>NCT06570434</t>
  </si>
  <si>
    <t>Phase 1b/2a in SLE With Budoputug</t>
  </si>
  <si>
    <t>Tenet Medicines</t>
  </si>
  <si>
    <t>NCT06752447</t>
  </si>
  <si>
    <t>A Phase I Study OfLNF2007 Monotherapy in Patients with Advanced Solid Tumors</t>
  </si>
  <si>
    <t>NCT06784349</t>
  </si>
  <si>
    <t>ALN-APOC3 in Adult Participants With Dyslipidemia</t>
  </si>
  <si>
    <t>NCT06809621</t>
  </si>
  <si>
    <t>A Study to Test How Insulin NNC0471-0119 H Works in the Body in Participants With Type 1 Diabetes When Given by an Insulin Pump</t>
  </si>
  <si>
    <t>NCT06788990</t>
  </si>
  <si>
    <t>FORTIFI-HN01: A Study of Ficerafusp Alfa (BCA101) or Placebo in Combination With Pembrolizumab in First-Line PD-L1-pos, R or M HNSCC</t>
  </si>
  <si>
    <t>Bicara Therapeutics</t>
  </si>
  <si>
    <t>NCT06818058</t>
  </si>
  <si>
    <t>TAR-0520 Gel in EGFR Inhibitor-induced Folliculitis</t>
  </si>
  <si>
    <t>Tarian Pharma</t>
  </si>
  <si>
    <t>NCT06790121</t>
  </si>
  <si>
    <t>A Study to Investigate the Efficacy and Safety of Subcutaneous Lunsekimig (SAR443765) Compared With Placebo in Adult Participants With Moderate-to-severe Atopic Dermatitis</t>
  </si>
  <si>
    <t>NCT05630352</t>
  </si>
  <si>
    <t>A Study to Learn About Bivalent COVID-19 RNA Vaccine Candidate(s) in Healthy Infants and Children</t>
  </si>
  <si>
    <t>NCT06588478</t>
  </si>
  <si>
    <t>A Study Evaluating the Efficacy and Safety of Pirtobrutinib in Participants With Relapsed or Refractory Chronic Lymphocytic Leukemia/Small Lymphocytic Lymphoma</t>
  </si>
  <si>
    <t>NCT06848946</t>
  </si>
  <si>
    <t>Safety and Efficacy of iDose® TR With Cataract Surgery vs. Cataract Surgery Alone</t>
  </si>
  <si>
    <t>Glaukos Corporation</t>
  </si>
  <si>
    <t>NCT06770569</t>
  </si>
  <si>
    <t>Safety, Tolerability, and Pharmacokinetics of HRS-3802 Monotherapy in Patients With Malignant Solid Tumors</t>
  </si>
  <si>
    <t>NCT06715124</t>
  </si>
  <si>
    <t>QTX3544 in Patients With Advanced Solid Tumors With KRAS G12V Mutations</t>
  </si>
  <si>
    <t>NCT06564038</t>
  </si>
  <si>
    <t>A Study of AZD0486 Monotherapy or in Combination With Other Anti-Cancer Agents for Mature B-Cell Malignancies</t>
  </si>
  <si>
    <t>NCT06514794</t>
  </si>
  <si>
    <t>A Phase 2 Study of WU-CART-007, an Anti-CD7 Allogeneic CAR-T Cell Therapy in T-Cell Acute Lymphoblastic Leukemia and Lymphoblastic Lymphoma (T-RRex)</t>
  </si>
  <si>
    <t>NCT06800729</t>
  </si>
  <si>
    <t>A Phase 1 Study to Evaluate Safety, Tolerability and Pharmacokinetics of TIX100 in Healthy Subjects</t>
  </si>
  <si>
    <t>TIXiMED, Inc.</t>
  </si>
  <si>
    <t>NCT06794866</t>
  </si>
  <si>
    <t>A Study to Assess Adverse Events and Effectiveness of OnabotulinumtoxinA Intramuscular Injections for the Change of Moderate to Severe Forehead Lines in Adult Participants</t>
  </si>
  <si>
    <t>NCT06517888</t>
  </si>
  <si>
    <t>Anti-VEGF Gene Therapy Trial for Vestibular Schwannoma</t>
  </si>
  <si>
    <t>Akouos, Inc.</t>
  </si>
  <si>
    <t>NCT06846541</t>
  </si>
  <si>
    <t>Long-term Safety and Efficacy of ESK-001 in Moderate to Severe Plaque Psoriasis</t>
  </si>
  <si>
    <t>NCT06695845</t>
  </si>
  <si>
    <t>A Phase 2 Study of Zanidatamab in Patients With HER2-expressing Tumors</t>
  </si>
  <si>
    <t>NCT06038539</t>
  </si>
  <si>
    <t>Efficacy and Safety of the Proposed Biosimilar Pertuzumab (PERT-IJS) Versus EU-Perjeta® Along With Trastuzumab and Chemotherapy (Carboplatin and Docetaxel) as Neoadjuvant Treatment in Chemotherapy naïve Patients With Early Stage or Locally Advanced HR Negative and HER2 Positive Breast Cancer</t>
  </si>
  <si>
    <t>Biocon Biologics UK Ltd</t>
  </si>
  <si>
    <t>NCT06760455</t>
  </si>
  <si>
    <t>A Safety and Tolerability Study of BPR-30221616 Injection in Healthy Subjects</t>
  </si>
  <si>
    <t>NCT06744426</t>
  </si>
  <si>
    <t>A Study to Evaluate the Pharmacokinetics and the Safety After Administration of BR1015 and Co-administration of BR1015-3 and BR1015-2 Under Fasting Conditions</t>
  </si>
  <si>
    <t>NCT06636500</t>
  </si>
  <si>
    <t>A Phase 1 Study of CG001419 Administered Orally in Healthy Subjects</t>
  </si>
  <si>
    <t>Cullgen Australia Pty Ltd</t>
  </si>
  <si>
    <t>NCT06667687</t>
  </si>
  <si>
    <t>Study to Evaluate Adverse Events, Change in Disease Activity, and How Intravenously Infused ABBV-291 Moves Through the Body in Adult Participants With Non-Hodgkin's Lymphoma</t>
  </si>
  <si>
    <t>NCT06932198</t>
  </si>
  <si>
    <t>Bioequivalence Study to Compare Selexipag 400mcg Film Coated Tablets (400 mcg Selexipag) Versus Uptravi® 400mcg Film Coated Tablets (400 mcg Selexipag)</t>
  </si>
  <si>
    <t>NCT06568939</t>
  </si>
  <si>
    <t>A Study to Assess Adverse Events and How Intravenously (IV) Infused Telisotuzumab Vedotin (ABBV-399) Moves Through the Body as a Monotherapy in Adult Participants With Previously Treated Non-Squamous Non-Small Cell Lung Cancer (NSCLC)</t>
  </si>
  <si>
    <t>NCT06618001</t>
  </si>
  <si>
    <t>A Study of JNJ-89853413 for Relapsed or Refractory Acute Myeloid Leukemia or Myelodysplastic Neoplasms</t>
  </si>
  <si>
    <t>NCT06677307</t>
  </si>
  <si>
    <t>A Phase 1/2a, Single- and Multiple-dose Escalation Study of KRRO-110</t>
  </si>
  <si>
    <t>Korro Bio, Inc.</t>
  </si>
  <si>
    <t>NCT06760637</t>
  </si>
  <si>
    <t>Study of PF-07220060 With Letrozole in Adults With HR-positive HER2-negative Breast Cancer Who Have Not Received Anticancer Treatment for Advanced/Metastatic Disease</t>
  </si>
  <si>
    <t>NCT06807424</t>
  </si>
  <si>
    <t>A Study to Evaluate the Efficacy and Safety of Icotrokinra (JNJ-77242113) in Biologic-experienced Participants With Active Psoriatic Arthritis</t>
  </si>
  <si>
    <t>NCT06764303</t>
  </si>
  <si>
    <t>A Study of NTQ5082 Capsules in the Treatment of Paroxysmal Nocturnal Hemoglobinuria Patients</t>
  </si>
  <si>
    <t>NCT07083193</t>
  </si>
  <si>
    <t>A Study of AC-101 Tablets in Participants With Moderate to Severe Active Ulcerative Colitis</t>
  </si>
  <si>
    <t>NCT06782555</t>
  </si>
  <si>
    <t>A Study of Evofosfamide in Combination with Zalifrelimab and Balstilimab</t>
  </si>
  <si>
    <t>ImmunoGenesis</t>
  </si>
  <si>
    <t>NCT06774664</t>
  </si>
  <si>
    <t>A Clinical Study of SCTC21C in Participants With Plasma Cell-driven Autoimmune Diseases</t>
  </si>
  <si>
    <t>NCT06775041</t>
  </si>
  <si>
    <t>Study to Determine Optimal Dose and Evaluate Safety, Tolerability, and Pharmacokinetics of Progerinin in Patients With Hutchinson-Gilford Progeria Syndrome (HGPS)</t>
  </si>
  <si>
    <t>PRG Science &amp; Technology Co., Ltd.</t>
  </si>
  <si>
    <t>NCT06710132</t>
  </si>
  <si>
    <t>Study of Anti-CEACAM5 ADC M9140 in Participants With Advanced Solid Tumors (PROCEADE PanTumor)</t>
  </si>
  <si>
    <t>NCT06672900</t>
  </si>
  <si>
    <t>A Multi-part Study of ALG-000184 to Evaluate Safety, Tolerability, Pharmacokinetics and Drug-drug Interaction Potential After Single and Multiple Doses in Healthy Volunteers</t>
  </si>
  <si>
    <t>NCT07021209</t>
  </si>
  <si>
    <t>GT719 Injection for Recurrent/Refractory Antibody-mediated Neurological Immune Diseases</t>
  </si>
  <si>
    <t>NCT06702618</t>
  </si>
  <si>
    <t>Evaluation of TQB3616 Capsules in a Phase II Clinical Trial for Recurrent/Metastatic Breast Cancer</t>
  </si>
  <si>
    <t>NCT06740474</t>
  </si>
  <si>
    <t>A Study to Assess the Safety, Tolerability and Pharmacokinetics of ABI-6250 in Healthy Participants</t>
  </si>
  <si>
    <t>NCT06916897</t>
  </si>
  <si>
    <t>A Study to Evaluate Effect of Verapamil and Food of Sevasemten in Healthy Volunteers</t>
  </si>
  <si>
    <t>NCT06700343</t>
  </si>
  <si>
    <t>Comparison Between ABP 692 and Ocrevus® (Ocrelizumab)</t>
  </si>
  <si>
    <t>NCT06799884</t>
  </si>
  <si>
    <t>A Drug-drug Interaction Trial in Healthy Female Participants to Investigate the Effect of Aprocitentan on Combined Hormonal Contraceptives</t>
  </si>
  <si>
    <t>Idorsia Pharmaceuticals Ltd.</t>
  </si>
  <si>
    <t>NCT06823284</t>
  </si>
  <si>
    <t>To Assess the Bioavailability of TK-254RX in Comparison with Oral Flurbiprofen Tablets and the Adhesion of TK-254RX in Healthy Subjects</t>
  </si>
  <si>
    <t>Teikoku Seiyaku Co., Ltd.</t>
  </si>
  <si>
    <t>NCT06777238</t>
  </si>
  <si>
    <t>A Phase III Clinical Study to Evaluate the Efficacy and Safety of GZR18 Injection in Subjects With Type 2 Diabetes Mellitus and Poor Blood Glucose Control by Diet and Exercise</t>
  </si>
  <si>
    <t>NCT07091929</t>
  </si>
  <si>
    <t>A Research Study to Evaluate the Safety and Preliminary Efficacy of SGC001 in Patients With Myocardial Infarction</t>
  </si>
  <si>
    <t>NCT06781983</t>
  </si>
  <si>
    <t>Safety and Tolerability of IPH4502 in Patients With Advanced Solid Tumors</t>
  </si>
  <si>
    <t>NCT06454721</t>
  </si>
  <si>
    <t>A Study to Determine the Biodistribution, Safety, and Tolerability of a Microdose of Radiolabeled BIIB080 Co-administered With BIIB080 in Healthy Adults</t>
  </si>
  <si>
    <t>NCT06555419</t>
  </si>
  <si>
    <t>A Study to Find Out How Nusinersen is Processed in the Body When Given Through the ThecaFlex DRx™ System in Adult and Pediatric Participants With Spinal Muscular Atrophy (PIERRE-PK)</t>
  </si>
  <si>
    <t>NCT05889845</t>
  </si>
  <si>
    <t>Candin for the Treatment of Common Warts</t>
  </si>
  <si>
    <t>Nielsen BioSciences, Inc.</t>
  </si>
  <si>
    <t>NCT06770881</t>
  </si>
  <si>
    <t>JSKN033 in Chinese Subjects with Advanced Malignant Tumors</t>
  </si>
  <si>
    <t>NCT06489860</t>
  </si>
  <si>
    <t>SARS-CoV-2 Safety Study for the Treatment of COVID-19</t>
  </si>
  <si>
    <t>DHA Coffee Co., Ltd</t>
  </si>
  <si>
    <t>NCT06675188</t>
  </si>
  <si>
    <t>A Study to Learn More About the Study Medicine PF-07275315 in Healthy Chinese Adult Participants</t>
  </si>
  <si>
    <t>NCT06754384</t>
  </si>
  <si>
    <t>Tolerability, Safety, and Immunogenicity of Tetravalent Inactivated Enterovirus Vaccine (Vero Cell).</t>
  </si>
  <si>
    <t>NCT06609005</t>
  </si>
  <si>
    <t>A Study to Evaluate the Safety, Pharmacokinetics, Pharmacodynamics, and Antitumor Activity of INV-9956 in Adult Patients With Advanced Metastatic Castration Resistant Prostate Cancer</t>
  </si>
  <si>
    <t>Shenzhen Ionova Life Sciences Co., Ltd.</t>
  </si>
  <si>
    <t>NCT06863701</t>
  </si>
  <si>
    <t>Efficacy Anda Safety of Etoricoxib With Betamethasone for the Treatment of Acute Gout Arthritis</t>
  </si>
  <si>
    <t>NCT06632951</t>
  </si>
  <si>
    <t>Study to Evaluate Adverse Events and Change in Disease Activity When Intravenously (IV) Infused Livmoniplimab is Used in Combination With IV Infused Budigalimab in Adult Participants With Urothelial Carcinoma (UC)</t>
  </si>
  <si>
    <t>NCT06688123</t>
  </si>
  <si>
    <t>Efficacy and Safety of SHR-3167 and Insulin Glargine in Type 2 Diabetes Subjects</t>
  </si>
  <si>
    <t>NCT06733298</t>
  </si>
  <si>
    <t>A Study Investigating [14C]-Labeled RO7269162 in Healthy Male Participants</t>
  </si>
  <si>
    <t>NCT04973618</t>
  </si>
  <si>
    <t>Study of APVO436 in Elderly or Unfit Patients With Newly Diagnosed AML</t>
  </si>
  <si>
    <t>NCT06805513</t>
  </si>
  <si>
    <t>Actual Use Trial of Tadalafil 5 mg</t>
  </si>
  <si>
    <t>NCT06852768</t>
  </si>
  <si>
    <t>Study of d-MAPPS™ Ophthalmic Solution, Safety, Tolerability, and Efficacy in the Treatment of Chronic Ocular Graft-Versus-Host Disease (oGVHD)</t>
  </si>
  <si>
    <t>Regenerative Ocular Immunobiologics LLC</t>
  </si>
  <si>
    <t>NCT06786624</t>
  </si>
  <si>
    <t>Study to Assess the Efficacy and Safety of NBI-1065845 as an Adjunctive Treatment in Participants With Major Depressive Disorder (MDD)</t>
  </si>
  <si>
    <t>NCT06291220</t>
  </si>
  <si>
    <t>A Study Assessing Adverse Event and How Oral ABBV-453 Moves Through the Body in Adult Participants With Relapsed or Refractory (R/R) Chronic Lymphocytic Leukemia (CLL)/Small Lymphocytic Lymphoma (SLL)</t>
  </si>
  <si>
    <t>NCT06682000</t>
  </si>
  <si>
    <t>Efficacy and Safety of DWC202404 and DWC202314 in Patients With Hypertension</t>
  </si>
  <si>
    <t>NCT06717867</t>
  </si>
  <si>
    <t>Long-Term PEA Safety Study</t>
  </si>
  <si>
    <t>NCT06754891</t>
  </si>
  <si>
    <t>Clinical Trial of TQH3906 Capsules for the Treatment of Adult Patients With Moderately to Severely Active Ulcerative Colitis or Crohn's Disease</t>
  </si>
  <si>
    <t>NCT06721143</t>
  </si>
  <si>
    <t>A Study to Investigate the Safety, Tolerability, and Preliminary Efficacy with AION-301 Administered by Intravenous Infusion Compared with Placebo Administered by Intravenous Infusion Investigational Intervention in Participants Aged 35 to 75 Years of Age with Chronic Kidney Disease (CKD)</t>
  </si>
  <si>
    <t>AION Healthspan, Inc.</t>
  </si>
  <si>
    <t>NCT06769633</t>
  </si>
  <si>
    <t>Pharmacokinetics and Safety of Givinostat in DMD Patients Ages From at Least 2 Years to Less Then 6 Years Old</t>
  </si>
  <si>
    <t>NCT06790290</t>
  </si>
  <si>
    <t>Phase 2 Trial to Evaluate Safety and Immunogenicity of Inventprise's (IVT) 25-valent Pneumococcal Conjugate Vaccine (IVT PCV-25) in Healthy Infants</t>
  </si>
  <si>
    <t>NCT06779071</t>
  </si>
  <si>
    <t>Pivotal Clinical Trial to Evaluate the Efficacy and Safety After NPNP-001 Application in Patients with Knee Osteoarthritis.</t>
  </si>
  <si>
    <t>PharmaResearch Co.,Ltd</t>
  </si>
  <si>
    <t>NCT06718634</t>
  </si>
  <si>
    <t>A Study of BL-M08D1 in Patients With Relapsed or Refractory Lymphoid Malignancies</t>
  </si>
  <si>
    <t>NCT04649411</t>
  </si>
  <si>
    <t>Study to Evaluate the Safety and Tolerability of KRX-0502 (Ferric Citrate) in Children With Iron Deficiency Anemia Associated With Non-Dialysis Dependent Chronic Kidney Disease</t>
  </si>
  <si>
    <t>Keryx Biopharmaceuticals</t>
  </si>
  <si>
    <t>NCT06764160</t>
  </si>
  <si>
    <t>Efficacy, Safety, Pharmacokinetics, Pharmacodynamics, and Immunogenicity of Eculizumab in Chinese Adults With gMG</t>
  </si>
  <si>
    <t>NCT06501924</t>
  </si>
  <si>
    <t>Clinical Study of DA-002 and DA-005 As a Treatment for Hair Loss</t>
  </si>
  <si>
    <t>NCT06764628</t>
  </si>
  <si>
    <t>A Study of SHR-4375 in Subjects With Solid Tumors</t>
  </si>
  <si>
    <t>NCT06975319</t>
  </si>
  <si>
    <t>Phase I Study With V-212 Vaccinations in Healthy Adult Volunteers</t>
  </si>
  <si>
    <t>Virometix</t>
  </si>
  <si>
    <t>NCT07036172</t>
  </si>
  <si>
    <t>Efficacy and Safety of Semaglutide Injection Vs WEGOVY® in Chinese Obese Patients</t>
  </si>
  <si>
    <t>NCT06670534</t>
  </si>
  <si>
    <t>A Dose-finding Study of JMKX003142 in Treatment of Renal Edema</t>
  </si>
  <si>
    <t>NCT06708845</t>
  </si>
  <si>
    <t>US Zamto-cel Autoimmune Diseases</t>
  </si>
  <si>
    <t>NCT06463327</t>
  </si>
  <si>
    <t>ACHIEVE2 - Safety and Preliminary Efficacy of Intravenous TCB008 in Patients With Relapse or Refractory Acute Myeloid Leukemia (AML) or Myelodysplastic Syndrome (MDS)/AML</t>
  </si>
  <si>
    <t>TC Biopharm</t>
  </si>
  <si>
    <t>NCT06470451</t>
  </si>
  <si>
    <t>Confirmatory Study of Topical HyBryte™ vs. Placebo for the Treatment of CTCL</t>
  </si>
  <si>
    <t>NCT06719219</t>
  </si>
  <si>
    <t>A First in Human Trial to Assess the Safety and Immunogenicity of LTB-SA7 Vaccine Against Staphylococcus Aureus.</t>
  </si>
  <si>
    <t>NCT06463782</t>
  </si>
  <si>
    <t>Clinical Study of 68Ga-LNC1007 Injection PET/CT</t>
  </si>
  <si>
    <t>NCT06775522</t>
  </si>
  <si>
    <t>Bioequivalence (BE) Study Between YHP2205 and YHR2401 in Healthy Volunteers</t>
  </si>
  <si>
    <t>NCT06808646</t>
  </si>
  <si>
    <t>A Study to Assess the Effect of Ceftobiprole on the PK of Pitavastatin and on Plasma Levels of Coproporphyrin</t>
  </si>
  <si>
    <t>NCT06628622</t>
  </si>
  <si>
    <t>A Study to Test Whether BI 1356225 Improves Impulsive Behavior in People With Opioid Use Disorder Who Are Taking Buprenorphine</t>
  </si>
  <si>
    <t>NCT06734208</t>
  </si>
  <si>
    <t>A Study to Evaluate the Pharmacokinetics of Divarasib in Healthy Participants and Participants With Impaired Hepatic Function</t>
  </si>
  <si>
    <t>NCT06809179</t>
  </si>
  <si>
    <t>A Clinical Trial to Assess the Efficacy, Safety, and Tolerability of a Repeat Dose of Fasedienol Nasal Spray for the Acute Treatment of Anxiety in Adults With Social Anxiety Disorder</t>
  </si>
  <si>
    <t>NCT06740630</t>
  </si>
  <si>
    <t>A Study on the Immune Response and Safety of an Investigational Chickenpox Vaccine When Given to Healthy Children 12 to 15 Months of Age</t>
  </si>
  <si>
    <t>NCT06733675</t>
  </si>
  <si>
    <t>Safety and PK of Ceftibuten-ledaborbactam Etzadroxil Fixed-dose Combination</t>
  </si>
  <si>
    <t>NCT06806995</t>
  </si>
  <si>
    <t>A Single-center, Open-label, Study Evaluating Safety and Pharmacokinetics of Single Doses of Zidebactam-Cefepime and Metronidazole Alone or in Combination.</t>
  </si>
  <si>
    <t>NCT06694935</t>
  </si>
  <si>
    <t>A Phase 1b Study of QX1206 in T2DM Patients With NAFLD</t>
  </si>
  <si>
    <t>1Globe Health Institute</t>
  </si>
  <si>
    <t>NCT06833749</t>
  </si>
  <si>
    <t>Efficacy and Safety of KBP-336 in Obese Individuals with Osteoarthritis</t>
  </si>
  <si>
    <t>KeyBioscience AG</t>
  </si>
  <si>
    <t>NCT05685225</t>
  </si>
  <si>
    <t>Single-Site Study of Naltrexone/Acetaminophen for the Acute Treatment of Migraine: A Phase 2 Randomized Trial</t>
  </si>
  <si>
    <t>Allodynic Therapeutics, Inc</t>
  </si>
  <si>
    <t>NCT06747273</t>
  </si>
  <si>
    <t>Study to Evaluate the Safety, Tolerability, and Efficacy of SRP-9004 Administered by Systemic Infusion in Limb Girdle Muscular Dystrophy Type 2D/R3 Participants in the United States</t>
  </si>
  <si>
    <t>NCT06711523</t>
  </si>
  <si>
    <t>Study Evaluating PEG-G-CSF Injectionin Preventing Neutropenia After Chemotherapy</t>
  </si>
  <si>
    <t>NCT06545617</t>
  </si>
  <si>
    <t>A Clinical Study to Observe How Well That BAT8006 Works on Patients With Platinum Resistance Ovarian Cancer</t>
  </si>
  <si>
    <t>NCT06745518</t>
  </si>
  <si>
    <t>A Phase 2 Study of TS-172 in Hyperphosphatemia Patients on Hemodialysis With Phosphate Binders</t>
  </si>
  <si>
    <t>NCT06747923</t>
  </si>
  <si>
    <t>SB17170 Phase 2 Trial in IPF Patients</t>
  </si>
  <si>
    <t>SPARK Biopharma</t>
  </si>
  <si>
    <t>NCT06908356</t>
  </si>
  <si>
    <t>An Open Label Trial to Evaluate the Efficacy and Safety of PRAX-628 in Adults With Focal Onset or Tonic-Clonic Seizures</t>
  </si>
  <si>
    <t>NCT06789172</t>
  </si>
  <si>
    <t>A Phase 1, First-in-human Study of OKN4395 and Pembrolizumab in Patients With Solid Tumors</t>
  </si>
  <si>
    <t>Epkin</t>
  </si>
  <si>
    <t>NCT06745297</t>
  </si>
  <si>
    <t>A Study in Healthy Men to Test How Well Different Doses of BI 3776528 Are Tolerated</t>
  </si>
  <si>
    <t>NCT04220190</t>
  </si>
  <si>
    <t>RAPA-501 Therapy for ALS</t>
  </si>
  <si>
    <t>Rapa Therapeutics LLC</t>
  </si>
  <si>
    <t>NCT06719479</t>
  </si>
  <si>
    <t>A Clinical Trial to Evaluate Effect of IAE0972 Combined with Chemotherapy for R/M HNSCC or NPC(Note: It is Currently Phase II.).</t>
  </si>
  <si>
    <t>NCT06775483</t>
  </si>
  <si>
    <t>Evaluation of JSKN016 in the Treatment of Advanced Non-small Cell Lung Cance： a Phase II Clinical Study</t>
  </si>
  <si>
    <t>NCT07179653</t>
  </si>
  <si>
    <t>A Multicenter, Randomized, Double-Blind, Placebo-Controlled Phase II Clinical Trial to Evaluate the Efficacy and Safety of TVAX-008 Injection in Chronic Hepatitis B Patients</t>
  </si>
  <si>
    <t>NCT06820268</t>
  </si>
  <si>
    <t>A Study of XS-04 in Patients with Relapsed or Refractory Hematologic Malignancies</t>
  </si>
  <si>
    <t>NCT06646055</t>
  </si>
  <si>
    <t>AK112 and Cadonilimab Combined With Chemotherapy for 1L Treatment of Metastatic Pancreatic Cancer</t>
  </si>
  <si>
    <t>NCT06578507</t>
  </si>
  <si>
    <t>Pharmacokinetics, Efficacy and Safety of Twice Daily Dosing Regimen of Hydroxycarbamide Dispersible Tablets in Children With Sickle Cell Disease</t>
  </si>
  <si>
    <t>Theravia</t>
  </si>
  <si>
    <t>NCT06791187</t>
  </si>
  <si>
    <t>A Study in Healthy People to Test Whether BI 1291583 Influences the Amount of Dabigatran in the Body</t>
  </si>
  <si>
    <t>NCT06473974</t>
  </si>
  <si>
    <t>Open-label, Single-arm, Proof of Concept Study in Subjects with Mild-to-moderate Facial Hyperpigmentation</t>
  </si>
  <si>
    <t>Kayuraeffect, LLP</t>
  </si>
  <si>
    <t>NCT06227910</t>
  </si>
  <si>
    <t>A Study of Vedolizumab With and Without Upadacitinib in Adults With Crohn's Disease</t>
  </si>
  <si>
    <t>NCT06929052</t>
  </si>
  <si>
    <t>A Comparative Pharmacokinetic Study of ADL-018 Autoinjector Compared to A Pre-filled Syringe in Healthy Subjects.</t>
  </si>
  <si>
    <t>NCT06795906</t>
  </si>
  <si>
    <t>A Safety, Pharmacokinetic, and Pharmacodynamic Study of Once Daily Inhaled AZD8630 in Adults With Asthma</t>
  </si>
  <si>
    <t>NCT06744439</t>
  </si>
  <si>
    <t>A Study to Evaluate the Pharmacokinetics and the Safety After Administration of BR1015 and Co-administration of BR1015-3 and BR1015-2 Under Fed Conditions</t>
  </si>
  <si>
    <t>NCT06851611</t>
  </si>
  <si>
    <t>The Safety and Antibody Response of the Nasal COV2 Vaccine Against the SARS-CoV-2 Virus</t>
  </si>
  <si>
    <t>Rokote Laboratories Finland Oy</t>
  </si>
  <si>
    <t>NCT06782425</t>
  </si>
  <si>
    <t>Treating Claudin18.2-positive Advanced Solid Tumors with XKDCT225(Targeting Claudin18.2-CAR-T)</t>
  </si>
  <si>
    <t>NCT06562543</t>
  </si>
  <si>
    <t>A Trial to Evaluate the Safety and Activity of Fruquintinib in Minority Populations With Advanced, Previously Treated Colorectal Cancer</t>
  </si>
  <si>
    <t>NCT06769048</t>
  </si>
  <si>
    <t>A Study to Test Different Doses of BI 1584862 in People With a Distinct Form of Age-related Macular Degeneration (AMD) Called Geographic Atrophy</t>
  </si>
  <si>
    <t>NCT06684847</t>
  </si>
  <si>
    <t>A Study of the Efficacy and Safety of Efgartigimod in Patients With Primary Sjögren's Syndrome</t>
  </si>
  <si>
    <t>NCT06867718</t>
  </si>
  <si>
    <t>Study of Once-Daily Oral RGT001-075 Compared With Placebo in Adults With Obesity or Are Overweight With Weight-Related Health Conditions</t>
  </si>
  <si>
    <t>NCT06585410</t>
  </si>
  <si>
    <t>Study of Intralesional Cemiplimab in Adult Patients With Early Stage Cutaneous Squamous Cell Carcinoma</t>
  </si>
  <si>
    <t>NCT06754735</t>
  </si>
  <si>
    <t>Trial to Evaluate Cyclical Topical Wound Oxygen Therapy in the Treatment of Chronic Venous Leg Ulcers</t>
  </si>
  <si>
    <t>AOTI Ltd.</t>
  </si>
  <si>
    <t>NCT06786286</t>
  </si>
  <si>
    <t>A Mass Balance Study Following Subcutaneous Administration of [14C]-ITI-1284 to Healthy Male Subjects</t>
  </si>
  <si>
    <t>NCT06738277</t>
  </si>
  <si>
    <t>This is Comparative Study in Normal Healthy Subjects to Evaluate Pharmacokinetics, Safety, Tolerability of Bmab 1200 -Autoinjector (AI) After Single Subcutaneous Injection (45 mg) in Comparison With Bmab 1200 -Prefilled Syringe (PFS).</t>
  </si>
  <si>
    <t>NCT06792253</t>
  </si>
  <si>
    <t>Study Comparing BEBT-908 Combined With R to SOC for the Treatment of Relapsed/Refractory Diffuse Large B-Cell Lymphoma</t>
  </si>
  <si>
    <t>NCT06745531</t>
  </si>
  <si>
    <t>A Phase 3 Study of TS-172 in Hyperphosphatemia Patients on Hemodialysis</t>
  </si>
  <si>
    <t>NCT06723756</t>
  </si>
  <si>
    <t>A Study to Investigate the Exposure of Budesonide, Glycopyrronium, and Formoterol (BGF) Delivered by Hydrofluoroolefin (HFO) Propellant Metered Dose Inhaler (MDI) Compared to a Hydrofluoroalkane (HFA) Propellant MDI in Healthy Adults</t>
  </si>
  <si>
    <t>NCT06722157</t>
  </si>
  <si>
    <t>A Study to Test Whether BI 771716 Helps People With an Advanced Form of Age-related Macular Degeneration (AMD) Called Geographic Atrophy</t>
  </si>
  <si>
    <t>NCT06705088</t>
  </si>
  <si>
    <t>Safety, Tolerability, Pharmacokinetics And Pharmacodynamics of SUVN-I6107 In Healthy Participants</t>
  </si>
  <si>
    <t>NCT06418061</t>
  </si>
  <si>
    <t>Study of IBI3005 in Subjects With Unresectable, Locally Advanced or Metastatic Solid Tumors</t>
  </si>
  <si>
    <t>NCT06713590</t>
  </si>
  <si>
    <t>A Study to Evaluate a Single-Dose Subcutaneous Axatilimab Compared With Intravenous Axatilimab in Healthy Participants</t>
  </si>
  <si>
    <t>NCT07017725</t>
  </si>
  <si>
    <t>A Dose-escalation Study Followed by a Dose Optimal Study to Evaluate the Safety and Efficacy of CID-103 in Adults With Chronic Immune Thrombocytopenia</t>
  </si>
  <si>
    <t>CASI Pharmaceuticals, Inc.</t>
  </si>
  <si>
    <t>NCT06739980</t>
  </si>
  <si>
    <t>The ENABLE Study: Safety and Efficacy Study of INZ-701 in Patients With ENPP1 Deficiency</t>
  </si>
  <si>
    <t>NCT06786533</t>
  </si>
  <si>
    <t>Clinical Study of Anti-FLT3 CAR-T Cells for the Treatment of Relapsed/Refractory AML</t>
  </si>
  <si>
    <t>Hemogenyx Pharmaceuticals LLC</t>
  </si>
  <si>
    <t>NCT06754644</t>
  </si>
  <si>
    <t>A Study to Evaluate Efficacy, and Safety of QL2107 Plus Chemo and Compare With Keytruda in Participants With IV nqNSCLC</t>
  </si>
  <si>
    <t>NCT06757335</t>
  </si>
  <si>
    <t>A Phase I/II Trial to Evaluate Oral HP568 Tablets in Patients with ER+/HER2 Advanced Breast Cancer</t>
  </si>
  <si>
    <t>Hinova Pharmaceuticals Inc.</t>
  </si>
  <si>
    <t>NCT06615284</t>
  </si>
  <si>
    <t>A Study of Atorvo+™ in Healthy Adult Participants</t>
  </si>
  <si>
    <t>Indication Bioscience LLC</t>
  </si>
  <si>
    <t>NCT06697223</t>
  </si>
  <si>
    <t>A Study to Assess Recovery and Survival of Radiolabeled Apheresis Platelet Components Treated With the INTERCEPT Blood System for Platelets With LED Illuminator.</t>
  </si>
  <si>
    <t>Cerus Corporation</t>
  </si>
  <si>
    <t>NCT06741657</t>
  </si>
  <si>
    <t>A Study to Find Out How Litifilimab is Processed in the Body in Healthy Participants When Given Under the Skin in 3 Different Ways</t>
  </si>
  <si>
    <t>NCT06740201</t>
  </si>
  <si>
    <t>A Study to Evaluate the Accuracy of aTCI Model of Cipepofol in Patients With General Anesthesia During Elective Surgery</t>
  </si>
  <si>
    <t>NCT06771479</t>
  </si>
  <si>
    <t>A Study Evaluating the Safety and Immunogenicity of MVA Strain Monkeypox Attenuated Live Vaccine</t>
  </si>
  <si>
    <t>NCT06712316</t>
  </si>
  <si>
    <t>Safety, Efficacy, and Pharmacokinetics of BNT327 in Combination With Chemotherapy and Other Investigational Agents for Lung Cancer</t>
  </si>
  <si>
    <t>NCT06824064</t>
  </si>
  <si>
    <t>Evaluation of RBS2418 in Patients With Advanced, Metastatic, and Progressive Colorectal Cancer</t>
  </si>
  <si>
    <t>Riboscience, LLC.</t>
  </si>
  <si>
    <t>NCT06743126</t>
  </si>
  <si>
    <t>SUPRAME-ACTengine® IMA203 vs. Investigator's Choice of Treatment in Previously Treated, Unresectable or Metastatic Cutaneous Melanoma</t>
  </si>
  <si>
    <t>Immatics US, Inc.</t>
  </si>
  <si>
    <t>NCT06766929</t>
  </si>
  <si>
    <t>A Phase I Clinical Study of VSA012 in Healthy Volunteers</t>
  </si>
  <si>
    <t>NCT06792136</t>
  </si>
  <si>
    <t>A Study of ONO-1110 in Patients With Major Depressive Disorder</t>
  </si>
  <si>
    <t>NCT06568861</t>
  </si>
  <si>
    <t>A Study to Evaluate the Pharmacokinetics, Safety and Tolerability of ALG-097558 in Subjects With Hepatic Impairment and in Healthy Subjects With Normal Hepatic Function</t>
  </si>
  <si>
    <t>NCT06802185</t>
  </si>
  <si>
    <t>A Bioequivalence Study of Advil Dual Action Liquid Filled Capsules (125 mg/250 mg) Versus Advil Dual Action Caplets (125 mg/250 mg) and Bioavailability Assessment of Advil Dual Action Liquid Filled Capsules (125 mg/250 mg) and Advil Liqui-Gels (200 mg) in Healthy Adult Subjects</t>
  </si>
  <si>
    <t>NCT06634420</t>
  </si>
  <si>
    <t>HAELO: A Phase 3 Study to Evaluate NTLA-2002 in Participants With Hereditary Angioedema (HAE)</t>
  </si>
  <si>
    <t>NCT06669169</t>
  </si>
  <si>
    <t>Efficacy and Safety of Jia Shen Tablets in Chronic Heart Failure</t>
  </si>
  <si>
    <t>NCT06716424</t>
  </si>
  <si>
    <t>A Study to Investigate Safety and Efficacy of iGlarLixi in Adult Patients With Type 2 Diabetes Mellitus</t>
  </si>
  <si>
    <t>NCT06613360</t>
  </si>
  <si>
    <t>A Study of CLN-978, a Subcutaneously Administered CD19-directed T Cell Engager, in Subjects With Systemic Lupus Erythematosus</t>
  </si>
  <si>
    <t>NCT06771063</t>
  </si>
  <si>
    <t>A Study of the Efficacy and Safety of WXSH0102 in Treating VCC Patients</t>
  </si>
  <si>
    <t>Cisen Pharmaceutical CO., LTD.</t>
  </si>
  <si>
    <t>NCT06579287</t>
  </si>
  <si>
    <t>A Study of SHJ002 Sterile Ophthalmic Solution for Myopia Control</t>
  </si>
  <si>
    <t>NCT06786520</t>
  </si>
  <si>
    <t>A Study to Evaluate the Pharmacokinetics, Safety, and Tolerability of Cabotegravir Ultra Long-acting (CAB ULA) Following Switch From Cabotegravir Long-acting (CAB LA) in Healthy Adults</t>
  </si>
  <si>
    <t>NCT06797349</t>
  </si>
  <si>
    <t>Glin4: Assessment of the Glycemic Responses to Nutritional Products</t>
  </si>
  <si>
    <t>Nutricia Research</t>
  </si>
  <si>
    <t>NCT06771245</t>
  </si>
  <si>
    <t>A Phase III Clinical Trial Evaluating the Efficacy and Safety of Valsartan/Levamlodipine (SYH9056) Tablets In Hypertensive Patients</t>
  </si>
  <si>
    <t>NCT06545929</t>
  </si>
  <si>
    <t>Study of Sunobinop on Craving in Alcohol Use Disorder</t>
  </si>
  <si>
    <t>NCT06737146</t>
  </si>
  <si>
    <t>Study of MT027 in Patients with Recurrent or Progressive High-grade Glioma</t>
  </si>
  <si>
    <t>NCT05082584</t>
  </si>
  <si>
    <t>Study to Evaluate the Safety and Efficacy of Oral Vadadustat in Pediatric Participants With Anemia of Chronic Kidney Disease Naive to Erythropoiesis-Stimulating Agents</t>
  </si>
  <si>
    <t>Akebia Therapeutics</t>
  </si>
  <si>
    <t>NCT06659549</t>
  </si>
  <si>
    <t>A Phase 2 Efficacy and Safety Study of GAL-101, 2% Ophthalmic Solution in Non-foveal Geographic Atrophy Secondary to Non-neovascular AMD</t>
  </si>
  <si>
    <t>Galimedix Therapeutics Inc</t>
  </si>
  <si>
    <t>NCT06719544</t>
  </si>
  <si>
    <t>A Study of Lithium and Enlicitide in Healthy Adult Participants (MK-0616-034)</t>
  </si>
  <si>
    <t>NCT06751485</t>
  </si>
  <si>
    <t>JSKN003 in Platinum-Resistant, Relapsed Epithelial Ovarian Cancer</t>
  </si>
  <si>
    <t>NCT06555328</t>
  </si>
  <si>
    <t>Evaluate Safety and Pharmacokinetics of INF904 in Subjects With Moderate to Severe Chronic Spontaneous Urticaria or Hidradenitis Suppurativa</t>
  </si>
  <si>
    <t>InflaRx GmbH</t>
  </si>
  <si>
    <t>NCT06709612</t>
  </si>
  <si>
    <t>Postsurgical Analgesia After Hernia Repair</t>
  </si>
  <si>
    <t>AmacaThera Inc.</t>
  </si>
  <si>
    <t>NCT07005336</t>
  </si>
  <si>
    <t>A Study to Compare Uliledlimab Combined With Sintilimab and Chemotherapy Versus Sintilimab Combined With Chemotherapy in Patients With Previously Untreated Locally Advanced Unresectable or Metastatic Non-small Cell Lung Cancer</t>
  </si>
  <si>
    <t>NCT06772428</t>
  </si>
  <si>
    <t>Nano-crystalline Megestrol Acetate for Adjuvant Treatment in High-risk Head and Neck Squamous Cell Carcinoma After Surgery.</t>
  </si>
  <si>
    <t>NCT06797869</t>
  </si>
  <si>
    <t>A Research Study to Investigate the Effects of CagriSema Compared to Placebo in People With Type 2 Diabetes and Painful Diabetic Peripheral Neuropathy</t>
  </si>
  <si>
    <t>NCT06642792</t>
  </si>
  <si>
    <t>A Study of AK129 With or Without AK117 in PD(L)1-refractory Classic Hodgkin Lymphoma</t>
  </si>
  <si>
    <t>NCT06769113</t>
  </si>
  <si>
    <t>A Phase II Clinical Study to Evaluate HLX43 in Patients With Recurrent/Metastatic ESCC Failed or Intolerance to Standard Therapy</t>
  </si>
  <si>
    <t>NCT06807359</t>
  </si>
  <si>
    <t>Photodynamic Therapy of Primary Localized Prostate Cancer With the SpectraCure P18 System</t>
  </si>
  <si>
    <t>SpectraCure AB</t>
  </si>
  <si>
    <t>NCT06717347</t>
  </si>
  <si>
    <t>A Study to Evaluate Zilovertamab Vedotin (MK-2140) Combination With Rituximab Plus Cyclophosphamide, Doxorubicin, and Prednisone (R-CHP) Versus Rituximab Plus Cyclophosphamide, Doxorubicin, Vincristine, and Prednisone (R-CHOP) in Participants With Previously Untreated DLBCL (MK-2140-010)</t>
  </si>
  <si>
    <t>NCT06724549</t>
  </si>
  <si>
    <t>The Effect of Food on the Pharmacokinetics of BN104 Tablets</t>
  </si>
  <si>
    <t>BioNova Pharmaceuticals (Shanghai) LTD.</t>
  </si>
  <si>
    <t>NCT06771921</t>
  </si>
  <si>
    <t>A First-in-Human Trial of Safety and Efficacy of GEN1078 in Participants With Solid Tumors</t>
  </si>
  <si>
    <t>NCT06851871</t>
  </si>
  <si>
    <t>A Study to Evaluate the Bioequivalence Between Immediate Release Tablets and Minitablets of Deucravacitinib (BMS-986165), and the Effect of Food and pH on the Drug Levels of the Minitablets in Healthy Adults</t>
  </si>
  <si>
    <t>NCT06440239</t>
  </si>
  <si>
    <t>A Study to Evaluate the Safety, Tolerability and Efficacy in Patients With Burn(s)</t>
  </si>
  <si>
    <t>Primoris Therapeutics</t>
  </si>
  <si>
    <t>NCT06767540</t>
  </si>
  <si>
    <t>A Clinical Study of AK120 in Adolescents With Moderate-to-severe Atopic Dermatitis</t>
  </si>
  <si>
    <t>NCT06731868</t>
  </si>
  <si>
    <t>Safety and Efficacy of LPM3770164 Sustained-release Tablets in Patients With Tardive Dyskinesia</t>
  </si>
  <si>
    <t>NCT06707090</t>
  </si>
  <si>
    <t>Tissue Repair Gel in Venous Leg Ulcers (US)</t>
  </si>
  <si>
    <t>TR Therapeutics</t>
  </si>
  <si>
    <t>NCT06100289</t>
  </si>
  <si>
    <t>A Study of Vedolizumab in Children and Teenagers With Ulcerative Colitis or Crohn's Disease</t>
  </si>
  <si>
    <t>NCT06755242</t>
  </si>
  <si>
    <t>A Study of GNC-077 in Patients With Locally Advanced or Metastatic Gastrointestinal Tumors and Other Solid Tumors</t>
  </si>
  <si>
    <t>NCT06471959</t>
  </si>
  <si>
    <t>Psychedelic-assisted Group Program for First Responders</t>
  </si>
  <si>
    <t>Empower Research Inc</t>
  </si>
  <si>
    <t>NCT06843044</t>
  </si>
  <si>
    <t>Efficacy and Safety of Ranquilon in Patients With Anxiety Disorders Due to Neurasthenia and Adjustment Disorders</t>
  </si>
  <si>
    <t>NCT06759649</t>
  </si>
  <si>
    <t>A Clinical Trial to Assess COM503 in Participants With Advanced Solid Malignancies</t>
  </si>
  <si>
    <t>Compugen Ltd</t>
  </si>
  <si>
    <t>NCT07075484</t>
  </si>
  <si>
    <t>A Study of YTS109 Cell in Subjects With Relapsed/Refractory Autoimmune Hemolytic Anemia</t>
  </si>
  <si>
    <t>China Immunotech (Beijing) Biotechnology Co., Ltd.</t>
  </si>
  <si>
    <t>NCT06602453</t>
  </si>
  <si>
    <t>A Study to Evaluate the Efficacy and Safety of GDC-8264 in Preventing Cardiac Surgery-Associated Acute Kidney Injury (AKI) and Major Adverse Kidney Events (MAKE)</t>
  </si>
  <si>
    <t>NCT06764186</t>
  </si>
  <si>
    <t>A Phase IIIB Study to Evaluate the Use of Capivasertib in Combination With Fulvestrant in Patients With Advanced Breast Cancer Who Have Relapsed/Progressed on ET and CDK4/6 Inhibitor Reflecting Real World Clinical Practice in Spain</t>
  </si>
  <si>
    <t>NCT06797401</t>
  </si>
  <si>
    <t>Phase 2 Trial Evaluating the Efficacy and Safety of RBD5044 in Patients With Mixed Dyslipidemia</t>
  </si>
  <si>
    <t>NCT06680830</t>
  </si>
  <si>
    <t>A Phase 2 Study and Open-Label Extension of NEU-411 in Companion Diagnostic-Positive Participants With Early Parkinson's Disease</t>
  </si>
  <si>
    <t>NCT06805565</t>
  </si>
  <si>
    <t>A Study of ONO-1110 in Patients With Social Anxiety Disorder</t>
  </si>
  <si>
    <t>NCT06799416</t>
  </si>
  <si>
    <t>A Study to Assess the Safety of ARGX-109 in Healthy Volunteers</t>
  </si>
  <si>
    <t>NCT06786455</t>
  </si>
  <si>
    <t>Pharmacokinetics, Pharmacodynamics, Safety, and Preliminary Efficacy of Subcutaneous Injection of SHR-1905 in Adolescent Asthmatic Subjects - an Open-label, Single-dose Phase II Clinical Study</t>
  </si>
  <si>
    <t>NCT06677255</t>
  </si>
  <si>
    <t>A Phase I/II Trial of VUM02 Injection for Steroid-refractory Acute Graft-versus-host Disease (SR-aGvHD) Treatment</t>
  </si>
  <si>
    <t>NCT06649006</t>
  </si>
  <si>
    <t>Study to Investigate Intravenous Blinatumomab in Japanese Adult Participants With Newly Diagnosed Philadelphia-negative B-precursor Acute Lymphoblastic Leukemia (B-ALL)</t>
  </si>
  <si>
    <t>NCT06746064</t>
  </si>
  <si>
    <t>A Study to Investigate the Safety, Tolerability and Pharmacokinetics of Inhaled CHF10073 After Single and Multiple Doses in Healthy Volunteers and the Effect of Itraconazole on CHF10073 Exposure</t>
  </si>
  <si>
    <t>NCT06842121</t>
  </si>
  <si>
    <t>A Bioequivalence Study Comparing Organic Phosphate (Sodium Glycerophosphate Injection) to Inorganic Phosphate (Sodium Phosphates Injection, USP)</t>
  </si>
  <si>
    <t>Baxter Healthcare Corporation</t>
  </si>
  <si>
    <t>NCT07081256</t>
  </si>
  <si>
    <t>To Evaluate the Efficacy and Safety of QLM2010 for Prevention of Chemotherapy-induced Nausea and Vomiting After Highly Emetogenic Chemotherapy.</t>
  </si>
  <si>
    <t>NCT06724809</t>
  </si>
  <si>
    <t>Efficacy, Safety, PK, PD, and ADA of Eculizumab in Chinese Adults With NMOSD</t>
  </si>
  <si>
    <t>NCT06070532</t>
  </si>
  <si>
    <t>A Study of Human Allogeneic Bone-marrow-derived Mesenchymal Stromal Cell Product (StromaForte) in Patients With Aging Frailty</t>
  </si>
  <si>
    <t>Cellcolabs Clinical LTD.</t>
  </si>
  <si>
    <t>NCT06766500</t>
  </si>
  <si>
    <t>Pharmacokinetics and Bioequivalence Study of Empagliflozin+Metformin Hydrochloride 5 mg/850 mg Film-coated Tablets (Gedeon Richter Plc., Hungary) Versus Synjardy® 5 mg/850 mg Film-coated Tablets (Boehringer Ingelheim International GmbH, Germany)</t>
  </si>
  <si>
    <t>Gedeon Richter Plc.</t>
  </si>
  <si>
    <t>NCT06782477</t>
  </si>
  <si>
    <t>A Study of STAR-0310 in Healthy Adult Participants</t>
  </si>
  <si>
    <t>Astria Therapeutics, Inc.</t>
  </si>
  <si>
    <t>NCT06774313</t>
  </si>
  <si>
    <t>A Study to Assess the Adverse Events and How Subcutaneous (SC) Injections and Intravenous (IV) Infusions of ABBV-142 Move Through the Body of Healthy Adult Participants</t>
  </si>
  <si>
    <t>NCT06783686</t>
  </si>
  <si>
    <t>Evaluation of NV701 (Pilocarpine 1.25%) Compared With Vuity (Pilocarpine 1.25%) on Pupil Size in Subjects With Presbyopia</t>
  </si>
  <si>
    <t>Novus Vision LLC</t>
  </si>
  <si>
    <t>NCT06730061</t>
  </si>
  <si>
    <t>A Study of Elafibranor in Adult Japanese Participants With Primary Biliary Cholangitis (PBC)</t>
  </si>
  <si>
    <t>NCT06836232</t>
  </si>
  <si>
    <t>An Open-Label Pilot Study of VTX2735 in Recurrent Pericarditis</t>
  </si>
  <si>
    <t>NCT06809595</t>
  </si>
  <si>
    <t>A Phase 3 Trial of MM120 for Generalized Anxiety Disorder (Panorama)</t>
  </si>
  <si>
    <t>NCT06743997</t>
  </si>
  <si>
    <t>A Study to Compare Eutropin Formulations in Healthy Volunteers for Bioavailability, Safety, and Tolerability</t>
  </si>
  <si>
    <t>NCT06648668</t>
  </si>
  <si>
    <t>A Study to Investigate the Interaction Between TMP-301 and Cocaine.</t>
  </si>
  <si>
    <t>NCT06775340</t>
  </si>
  <si>
    <t>Study of RSS0343 Tablets in Patients With Non-cystic Fibrosis Bronchiectasis</t>
  </si>
  <si>
    <t>NCT06967272</t>
  </si>
  <si>
    <t>PhaseⅡClinical Trial of Oral Hexavalent Reassortant Rotavirus Attenuated Live Vaccine (Vero Cells)</t>
  </si>
  <si>
    <t>NCT07093073</t>
  </si>
  <si>
    <t>Clinical Study of U01（ssCART-19） in Patients With B-Cell Lymphoma</t>
  </si>
  <si>
    <t>NCT06429761</t>
  </si>
  <si>
    <t>Phase 4 Study to Assess the Safety of Trastuzumab Deruxtecan, in Indian Patients</t>
  </si>
  <si>
    <t>NCT06762600</t>
  </si>
  <si>
    <t>A Study to Evaluate the Safety, Tolerability, Pharmacokinetics and Pharmacodynamics of HRS-4729 Injection in Healthy Subjects</t>
  </si>
  <si>
    <t>NCT06780332</t>
  </si>
  <si>
    <t>Rapid Drug Desensitization Study in Adults Experiencing Hypersensitivity Reactions to Palynziq</t>
  </si>
  <si>
    <t>NCT06742138</t>
  </si>
  <si>
    <t>To Evaluate the Efficacy and Safety of QL2109 and DARZALEX FASPRO® in Multiple Myeloma</t>
  </si>
  <si>
    <t>NCT07477990</t>
  </si>
  <si>
    <t>Clinical Trial to Evaluate the Efficacy and Safety of the Aurora® Digital Medical Device in Adult Patients With Moderate to Severe Generalized Anxiety Disorder</t>
  </si>
  <si>
    <t>Psicofarma, S.A. De C.V.</t>
  </si>
  <si>
    <t>NCT06703710</t>
  </si>
  <si>
    <t>To Evaluate the Safety/Tolerability and Pharmacokinetic Characteristics in Healthy Volunteers</t>
  </si>
  <si>
    <t>NCT06799000</t>
  </si>
  <si>
    <t>A Phase 3 Study to Assess Efficacy Safety and Tolerability of Remibrutinib in Adult and Adolescent Patients With Moderate to Severe Hidradenitis Suppurativa (RECHARGE 1)</t>
  </si>
  <si>
    <t>NCT06842134</t>
  </si>
  <si>
    <t>A Study Comparing Organic Phosphate (Sodium Glycerophosphate Injection) to Numeta G16%E</t>
  </si>
  <si>
    <t>NCT06757504</t>
  </si>
  <si>
    <t>Evaluate the Efficacy and Safety of TTYP01 Tablets in Adolescents and Children With ASD</t>
  </si>
  <si>
    <t>Shanghai Auzone Biological Technology Co., Ltd.</t>
  </si>
  <si>
    <t>NCT06761898</t>
  </si>
  <si>
    <t>A Study of Different Forms of BGB-43395 and Food Effect in Healthy Participants</t>
  </si>
  <si>
    <t>NCT06756269</t>
  </si>
  <si>
    <t>To Evaluate the Safety and Immunogenicity of 15-valent HPV Recombinant Vaccine in Chinese People Aged 9-45 Years</t>
  </si>
  <si>
    <t>NCT05463679</t>
  </si>
  <si>
    <t>Investigate Efficacy, Safety, and Pharmacokinetics of Enzastaurin for the Prevention of Arterial Events in Patients With Vascular Ehlers-Danlos Syndrome.</t>
  </si>
  <si>
    <t>Aytu BioPharma, Inc.</t>
  </si>
  <si>
    <t>NCT06596291</t>
  </si>
  <si>
    <t>Dose Escalation Study of EG110A, Administered by Intradetrusor Injections to Adults With Neurogenic Detrusor Overactivity-related Incontinence Following Spinal Cord Injury Who Regularly Perform Clean Intermittent Catheterization</t>
  </si>
  <si>
    <t>EG 427</t>
  </si>
  <si>
    <t>NCT06754943</t>
  </si>
  <si>
    <t>To Evaluate the Safety and PK Characteristics After Co-administration of JW0104 and C2402 and Administration of JW0105</t>
  </si>
  <si>
    <t>NCT06783829</t>
  </si>
  <si>
    <t>A Study of SHR-4394 Injection in Subjects With Prostate Cancer</t>
  </si>
  <si>
    <t>NCT06775912</t>
  </si>
  <si>
    <t>Clinical Study on Targeted CD19/BCMA CAR-T Therapy for Autoimmune Diseases</t>
  </si>
  <si>
    <t>NCT06738719</t>
  </si>
  <si>
    <t>A Phase 3 Study to Evaluate Efficacy &amp; Safety of Subcutaneous CT-P13 in Patients With Moderate to Severe Active Rheumatoid Arthritis</t>
  </si>
  <si>
    <t>NCT06750185</t>
  </si>
  <si>
    <t>Safety and Preliminary Effectiveness of BNT317, an Investigational Therapy for Advanced Solid Tumors</t>
  </si>
  <si>
    <t>NCT06787144</t>
  </si>
  <si>
    <t>ELVN-001 for the Treatment of Chronic Myeloid Leukemia With and Without T315I Mutation in Japanese Participants</t>
  </si>
  <si>
    <t>NCT06675929</t>
  </si>
  <si>
    <t>A Study to Test How Well BI 770371 is Tolerated by People With Cirrhosis Caused by a Liver Disease Called MASH</t>
  </si>
  <si>
    <t>NCT07036601</t>
  </si>
  <si>
    <t>Phase II Study of THDBH120 Injection in Overweight or Obese Subjects</t>
  </si>
  <si>
    <t>NCT06767683</t>
  </si>
  <si>
    <t>A Long-Term Study of ALKS 2680 in Subjects With Narcolepsy and Idiopathic Hypersomnia</t>
  </si>
  <si>
    <t>NCT05960929</t>
  </si>
  <si>
    <t>InfasurfAero™ Versus Sham Treatment in Preterm Newborns With RDS</t>
  </si>
  <si>
    <t>ONY</t>
  </si>
  <si>
    <t>NCT06737731</t>
  </si>
  <si>
    <t>A Phase I/II Clinical Study of SHR-1681 for Injection in Patients With Advanced Solid Tumors</t>
  </si>
  <si>
    <t>NCT06739122</t>
  </si>
  <si>
    <t>A Study of Dulaglutide (LY2189265) 3.0 mg and 4.5 mg in Pediatric Participants With Type 2 Diabetes Mellitus (AWARD-PEDS PLUS)</t>
  </si>
  <si>
    <t>NCT06652529</t>
  </si>
  <si>
    <t>Phase 1 Dose Escalation and Expansion to Evaluate AROG4-01 in Patients With Advanced Solid Tumors</t>
  </si>
  <si>
    <t>Aromics Therapeutics</t>
  </si>
  <si>
    <t>NCT06939595</t>
  </si>
  <si>
    <t>A Study to Compare Effects and Safety of CT-P51 and Keytruda in Patients With Previously Untreated Metastatic Lung Cancer</t>
  </si>
  <si>
    <t>NCT06891716</t>
  </si>
  <si>
    <t>[18F]ACI-19626 PET in TDP-43 Proteinopathies</t>
  </si>
  <si>
    <t>AC Immune SA</t>
  </si>
  <si>
    <t>NCT06548360</t>
  </si>
  <si>
    <t>A Study to Evaluate the Safety and Efficacy of Ruxolitinib Cream in Pediatric Participants With Nonsegmental Vitiligo</t>
  </si>
  <si>
    <t>NCT06963320</t>
  </si>
  <si>
    <t>Phase II Clinical Study of H001 Capsule in the Prevention of Venous Thromboembolism After Total Knee Arthroplasty</t>
  </si>
  <si>
    <t>NCT06233903</t>
  </si>
  <si>
    <t>18F-mFBG Expression in Neural Crest Tumors and Organs Innervated by the Sympathetic Nervous System</t>
  </si>
  <si>
    <t>Innervate Radiopharmaceuticals LLC (Formerly: Illumina Radiopharmaceuticals LLC)</t>
  </si>
  <si>
    <t>NCT06823427</t>
  </si>
  <si>
    <t>9MW2821 + Toripalimab vs 9MW2821 for 1st Line Locally Advanced or Metastatic Urothelial Carcinoma</t>
  </si>
  <si>
    <t>NCT06737380</t>
  </si>
  <si>
    <t>UC-MSC Cell Therapy Study for Systemic Lupus Erythematosus (SLE) Patients</t>
  </si>
  <si>
    <t>LiveKidney.Bio</t>
  </si>
  <si>
    <t>NCT06715085</t>
  </si>
  <si>
    <t>PRGF-ENDORET® Infiltrations in the Treatment of Low Back Pain.</t>
  </si>
  <si>
    <t>Biotechnology Institute IMASD</t>
  </si>
  <si>
    <t>NCT07342803</t>
  </si>
  <si>
    <t>Efficacy, Safety, and Pharmacokinetics of LP-003 Injection in Allergic Asthma Patients</t>
  </si>
  <si>
    <t>NCT06581159</t>
  </si>
  <si>
    <t>Study of HS135 in Obese Patients With Pulmonary Hypertension and Heart Failure With Preserved Ejection Fraction</t>
  </si>
  <si>
    <t>NCT05824065</t>
  </si>
  <si>
    <t>Efficacy and Safety of OMA102 in the Treatment of Female Pattern Hair Loss</t>
  </si>
  <si>
    <t>NCT07444164</t>
  </si>
  <si>
    <t>Comparative Bioavailability Study Between Ticagrelor and ASA Administered Individually or in Combination.</t>
  </si>
  <si>
    <t>NCT06634875</t>
  </si>
  <si>
    <t>Isunakinra Alone and in Combination With Pembrolizumab in Patients With Colorectal Cancer (MSS)</t>
  </si>
  <si>
    <t>Buzzard Pharmaceuticals</t>
  </si>
  <si>
    <t>NCT06829563</t>
  </si>
  <si>
    <t>Evaluate the Safety, Tolerability, Pharmacokinetics and Pharmacodynamics of RZ-629 in Healthy Subjects and T2D</t>
  </si>
  <si>
    <t>Rezubio Pharmaceuticals Co., Ltd.</t>
  </si>
  <si>
    <t>NCT06764862</t>
  </si>
  <si>
    <t>Evaluating the Efficacy and Safety of of HSK44459 in People With Idiopathic Pulmonary Fibrosis</t>
  </si>
  <si>
    <t>NCT06739213</t>
  </si>
  <si>
    <t>A Phase II Study of SYHA1813 for Recurrent or Progressive High-Grade Meningioma</t>
  </si>
  <si>
    <t>NCT06671769</t>
  </si>
  <si>
    <t>Natural Heart Health Supplement Trial</t>
  </si>
  <si>
    <t>Efforia, Inc</t>
  </si>
  <si>
    <t>NCT05809687</t>
  </si>
  <si>
    <t>Phase 3 Trial to Evaluate the Efficacy and Safety of DKP21102_B Added on to DKP21102_A Compared With DKP21102_A</t>
  </si>
  <si>
    <t>Dongkwang Pharm. Co., Ltd.</t>
  </si>
  <si>
    <t>NCT06715943</t>
  </si>
  <si>
    <t>Efficacy and Safety of HRS-5965 in Patients With PNH Who Are Still Anemia After Anti-C5 Antibody Treatment</t>
  </si>
  <si>
    <t>NCT06349408</t>
  </si>
  <si>
    <t>IBI3001 in Participants With Unresectable, Locally Advanced or Metastatic Solid Tumors</t>
  </si>
  <si>
    <t>NCT06738485</t>
  </si>
  <si>
    <t>Recombinant Single-chain Factor VIII (rVIII-SingleChain) in Chinese Participants With Hemophilia A Previously Treated With FVIII Products</t>
  </si>
  <si>
    <t>NCT06742593</t>
  </si>
  <si>
    <t>Study of MT027 in Patients with Brain, Meninges, and Spinal Cord Metastatic Solid Tumors</t>
  </si>
  <si>
    <t>NCT06779461</t>
  </si>
  <si>
    <t>A Clinical Trial Assessing the Safety and Efficacy of Biodegradable Magnesium Embolic Microspheres for Primary Hepatocellular Carcinoma</t>
  </si>
  <si>
    <t>InnoBM Pharmaceuticals Co., Ltd.</t>
  </si>
  <si>
    <t>NCT06754761</t>
  </si>
  <si>
    <t>Human ADME Study of [14C]-Ceralasertib (AZD6738) and Absolute Bioavailability of Ceralasertib</t>
  </si>
  <si>
    <t>NCT06365840</t>
  </si>
  <si>
    <t>A Study of IMC-001 In Patients With Metastatic Or Locally Advanced TMB-H Solid Tumor</t>
  </si>
  <si>
    <t>ImmuneOncia Therapeutics Inc.</t>
  </si>
  <si>
    <t>NCT06899217</t>
  </si>
  <si>
    <t>A Study to Evaluate the Efficacy and Safety of CIN-102 (Deudomperidone) in Adult Subjects With Idiopathic Gastroparesis.</t>
  </si>
  <si>
    <t>CinDome Pharma, Inc.</t>
  </si>
  <si>
    <t>NCT06395090</t>
  </si>
  <si>
    <t>A Study of Pembrolizumab in Combination With Investigational Agents in Pediatric and Young Adult Participants With Hematologic Malignancies or Solid Tumors (MK-9999-01B/LIGHTBEAM-U01)</t>
  </si>
  <si>
    <t>NCT06847464</t>
  </si>
  <si>
    <t>A Drug-Drug Interaction Study to Evaluate the Effects of Itraconazole, Carbamazepine, Quinidine and Fluconazole on the Pharmacokinetics and Safety of EDP-323.</t>
  </si>
  <si>
    <t>NCT06660654</t>
  </si>
  <si>
    <t>A Study of Raludotatug Deruxtecan in Participants With Advanced/Metastatic Solid Tumors (REJOICE-PanTumor01)</t>
  </si>
  <si>
    <t>NCT06679036</t>
  </si>
  <si>
    <t>A Trial of HRS-2189 in Combination With Fluvastatin±HRS-6209, or HRS-8080±HRS-6209, or HRS-6209+HRS-1358 in Breast Cancer Patients</t>
  </si>
  <si>
    <t>NCT05082571</t>
  </si>
  <si>
    <t>Study to Evaluate the Safety and Efficacy of Oral Vadadustat in Pediatric Participants With Anemia of Chronic Kidney Disease</t>
  </si>
  <si>
    <t>NCT06708663</t>
  </si>
  <si>
    <t>HX009+ IN10018 with or Without Standard Chemotherapy for Advanced Solid Tumours</t>
  </si>
  <si>
    <t>Hangzhou Hanx Biopharmaceuticals, Ltd.</t>
  </si>
  <si>
    <t>NCT06688435</t>
  </si>
  <si>
    <t>A Study to Evaluate the Safety and Preliminary Efficacy of SYS6020 CAR T-cells in Patients With Refractory Generalized Myasthenia Gravis</t>
  </si>
  <si>
    <t>NCT06841640</t>
  </si>
  <si>
    <t>Phase 1/Phase 2a Study of AERO-007 Inhalation Solution, a Nebulized LABA/LAMA Combination for Maintenance Treatment of COPD</t>
  </si>
  <si>
    <t>AeroRx Therapeutics Inc.</t>
  </si>
  <si>
    <t>NCT06859333</t>
  </si>
  <si>
    <t>Study of the Safety, Tolerability, and Pharmacokinetic Profile of Ascending Doses of Ingavirin Forte, Capsules, Folliwing Single and Subsequent Multiple Oral Administration in Healthy Volunteers</t>
  </si>
  <si>
    <t>NCT05046106</t>
  </si>
  <si>
    <t>MLC1501 Study Assessing Efficacy in STROke Recovery</t>
  </si>
  <si>
    <t>Moleac Pte Ltd.</t>
  </si>
  <si>
    <t>NCT06708611</t>
  </si>
  <si>
    <t>A Crossover Study of Patients with HF to Compare Natriuretic Effects of IR Torsemide Vs. ER Torsemide Over 12 Hrs</t>
  </si>
  <si>
    <t>NCT06787664</t>
  </si>
  <si>
    <t>A Study of BL-B01D1 in Patients With Locally Advanced or Metastatic Chordoma</t>
  </si>
  <si>
    <t>NCT06799741</t>
  </si>
  <si>
    <t>A Study to Evaluate the Safety and Efficacy of AV-1 Against Dengue Virus 3 (DENV-3) Infection</t>
  </si>
  <si>
    <t>AbViro LLC</t>
  </si>
  <si>
    <t>NCT06660290</t>
  </si>
  <si>
    <t>A Study to Evaluate 0.003% AR-15512 Safety and Drop Attributes</t>
  </si>
  <si>
    <t>NCT06703255</t>
  </si>
  <si>
    <t>A Phase 2 Study of HX301 in Patients with High-grade Giloma</t>
  </si>
  <si>
    <t>NCT07229898</t>
  </si>
  <si>
    <t>A Phase Ⅰ Clinical Study of GEN-725 Tablets in Patients With Advanced Solid Tumors</t>
  </si>
  <si>
    <t>NCT06706076</t>
  </si>
  <si>
    <t>A Study of BH-30643 in Subjects With Locally Advanced or Metastatic NSCLC Harboring EGFR and/or HER2 Mutations</t>
  </si>
  <si>
    <t>NCT06755450</t>
  </si>
  <si>
    <t>Study Evaluating Safety Pharmacokinetics and Pharmacodynamics of AUR112 in Patients With Relapsed Advanced Lymphoma</t>
  </si>
  <si>
    <t>NCT06772415</t>
  </si>
  <si>
    <t>A Study to Investigate Safety, Tolerability, Pharmacokinetics and Preliminary Efficacy With GenSci122 in Participants With Advanced Solid Tumors</t>
  </si>
  <si>
    <t>NCT06782659</t>
  </si>
  <si>
    <t>Study to Compare the Effects of Viagra® Vs Hezkue® in Healthy Fasted Male Participants.</t>
  </si>
  <si>
    <t>Aspargo Labs, Inc</t>
  </si>
  <si>
    <t>NCT06609226</t>
  </si>
  <si>
    <t>A Research Study Looking at Long-term Treatment With Etavopivat in People With Sickle Cell Disease or Thalassaemia</t>
  </si>
  <si>
    <t>NCT06481475</t>
  </si>
  <si>
    <t>A Study to Investigate the Safety and Efficacy of YY003 in Adults with Moderate to Severe Glabellar Lines</t>
  </si>
  <si>
    <t>NCT06332807</t>
  </si>
  <si>
    <t>AAV Gene Therapy Clinical Study in Adult Classic PKU (PHEdom)</t>
  </si>
  <si>
    <t>NGGT INC.</t>
  </si>
  <si>
    <t>NCT06739707</t>
  </si>
  <si>
    <t>Subcutaneously Administered MD-18 for the Treatment of Obesity and Diabetes</t>
  </si>
  <si>
    <t>NCT06641414</t>
  </si>
  <si>
    <t>Lisaftoclax (APG-2575) Combined With Azacytidine (AZA) in the Treatment of Patients With Higher-risk Myelodysplastic Syndrome (GLORA-4).</t>
  </si>
  <si>
    <t>NCT06793943</t>
  </si>
  <si>
    <t>A Study of Interaction of Zasocitinib (TAK-279) With Other Medicines in Healthy Adults</t>
  </si>
  <si>
    <t>NCT06777316</t>
  </si>
  <si>
    <t>A Study of an FGFR2/3 Inhibitor (CGT4859) in Patients With Cholangiocarcinoma and Other Advanced Solid Tumors</t>
  </si>
  <si>
    <t>Cogent Biosciences, Inc.</t>
  </si>
  <si>
    <t>NCT06754462</t>
  </si>
  <si>
    <t>A Study to Evaluate the Efficacy, Safety, and Tolerability of IMVT-1402 in Adult Participants With Active, Difficult to Treat Rheumatoid Arthritis</t>
  </si>
  <si>
    <t>NCT06744127</t>
  </si>
  <si>
    <t>A Study to Evaluate the Pharmacokinetics and the Safety After Administration of BR1015 and Co-administration of BR1015-1 and BR1015-2 Under Fasting Conditions</t>
  </si>
  <si>
    <t>NCT06776679</t>
  </si>
  <si>
    <t>A Study of How [14C]-BGB-16673 is Absorbed, Broken Down, and Removed From the Body After a Single Oral Dose in Healthy Participants</t>
  </si>
  <si>
    <t>NCT06744205</t>
  </si>
  <si>
    <t>A Study on the Safety and Immunogenicity of Hexavalent Influenza mRNA Vaccine in Adult Participants 50 Years of Age and Older</t>
  </si>
  <si>
    <t>NCT06744062</t>
  </si>
  <si>
    <t>A Study to Evaluate the Pharmacokinetics and the Safety After Administration of BR1015 and Co-administration of BR1015-1 and BR1015-2 in Healthy Volunteers Fed Conditions</t>
  </si>
  <si>
    <t>NCT06787586</t>
  </si>
  <si>
    <t>Safety, Tolerability and PK of ATTO-1310 in Healthy Volunteers and Patients With Atopic Dermatitis and Patients With Chronic Pruritus</t>
  </si>
  <si>
    <t>Attovia Therapeutics Inc</t>
  </si>
  <si>
    <t>NCT06863467</t>
  </si>
  <si>
    <t>Evaluation of the Safety and Tolerability of Gemini in Subjects With Stage 3-4 Chronic Kidney Disease.</t>
  </si>
  <si>
    <t>Revelation Biosciences, Inc</t>
  </si>
  <si>
    <t>NCT06877624</t>
  </si>
  <si>
    <t>A Study Evaluating the Pharmacokinetics of Three QRL-101 Formulations in Healthy Participants</t>
  </si>
  <si>
    <t>NCT06842186</t>
  </si>
  <si>
    <t>A Phase 1 Study of WVE-007 in Adults Living With Overweight or Obesity</t>
  </si>
  <si>
    <t>NCT06799546</t>
  </si>
  <si>
    <t>A Phase III Study to Evaluate the Efficacy and Safety of HSK39297 in Patients With Paroxysmal Nocturnal Hemoglobinuria Who Are Naive to Complement Inhibitor Therapy</t>
  </si>
  <si>
    <t>NCT06289881</t>
  </si>
  <si>
    <t>Sildenafil 100 mg Tablets Relative to Viagra 100 mg Tablets</t>
  </si>
  <si>
    <t>NCT06835465</t>
  </si>
  <si>
    <t>A Study to Evaluate the Effect of Rifampin on the Pharmacokinetics of Divarasib in Healthy Participants</t>
  </si>
  <si>
    <t>NCT06767046</t>
  </si>
  <si>
    <t>KRAS-Specific Autologous TCR-T Cell Therapy for KRAS Mutation in Advanced Solid Tumors</t>
  </si>
  <si>
    <t>NCT06237231</t>
  </si>
  <si>
    <t>Efficacy and Safety of DIT112 in the Treatment of Moderate to Severe Pain After Dental Surgery for the Extraction of Impacted Third Molars</t>
  </si>
  <si>
    <t>NCT06797427</t>
  </si>
  <si>
    <t>A Study to Assess the Pharmacokinetics of Sorafenib in Mesoporous Magnesium Carbonate (DPH001) Compared to Nexavar® (sorafenib) in Healthy Volunteers</t>
  </si>
  <si>
    <t>Disruptive Pharma</t>
  </si>
  <si>
    <t>NCT06797505</t>
  </si>
  <si>
    <t>A Bioequivalence Study of Two Different PEG-rhGH Preparations</t>
  </si>
  <si>
    <t>NCT06846398</t>
  </si>
  <si>
    <t>A Phase 2 in Adult Subjects With Hereditary Angioedema</t>
  </si>
  <si>
    <t>NCT06779097</t>
  </si>
  <si>
    <t>Phase IV Study: Vunakizumab Efficacy and Safety in Moderate-to-severe Plaque Psoriasis</t>
  </si>
  <si>
    <t>NCT06730386</t>
  </si>
  <si>
    <t>A Phase I Study of AK138D1 in the Treatment of Advanced Solid Tumors</t>
  </si>
  <si>
    <t>NCT06533098</t>
  </si>
  <si>
    <t>A Study of Nipocalimab or Intravenous Immunoglobulin (IVIG) in Pregnancies At Risk of Fetal and Neonatal Alloimmune Thrombocytopenia (FNAIT)</t>
  </si>
  <si>
    <t>NCT06752122</t>
  </si>
  <si>
    <t>Safety, Tolerability, and Pharmacokinetics of RCS-21 in Healthy Volunteers.</t>
  </si>
  <si>
    <t>RNATICS GmbH</t>
  </si>
  <si>
    <t>NCT06826612</t>
  </si>
  <si>
    <t>A Randomized Study of SPK-10001 Gene Therapy in Participants With Huntington's Disease</t>
  </si>
  <si>
    <t>NCT06884865</t>
  </si>
  <si>
    <t>A Study to Assess Safety and Tolerability of PCRX-201 in Subjects With Painful Osteoarthritis of the Knee</t>
  </si>
  <si>
    <t>NCT06660719</t>
  </si>
  <si>
    <t>Efficacy and Safety of SP-8203 (Otaplimastat) in Patients With Acute Ischemic Stroke Receiving Thrombolytic Standard of Care</t>
  </si>
  <si>
    <t>NCT06785636</t>
  </si>
  <si>
    <t>Open-Label Study of Pocenbrodib Alone and in Combination With Abiraterone Acetate, Olaparib, or 177Lu-PSMA-617</t>
  </si>
  <si>
    <t>Pathos AI, Inc.</t>
  </si>
  <si>
    <t>NCT06834347</t>
  </si>
  <si>
    <t>A Phase 3 Study to Assess the Efficacy, Safety, and Tolerability of Itepekimab (Anti-IL-33 mAb) in Participants With Inadequately-controlled Chronic Rhinosinusitis With Nasal Polyps</t>
  </si>
  <si>
    <t>NCT06617793</t>
  </si>
  <si>
    <t>An Open-label Study to Assess the Safety, Efficacy, and Cellular Kinetics of YTB323 in Relapsing Multiple Sclerosis</t>
  </si>
  <si>
    <t>NCT06823258</t>
  </si>
  <si>
    <t>Pharmacokinetic Study of HS-10365 Capsule in Subjects with Hepatic Impairment and Normal Hepatic Function</t>
  </si>
  <si>
    <t>NCT06717126</t>
  </si>
  <si>
    <t>A Randomised Phase II Study of Roginolisib in Patients With Advanced/Metastatic Uveal Melanoma</t>
  </si>
  <si>
    <t>iOnctura</t>
  </si>
  <si>
    <t>NCT06646276</t>
  </si>
  <si>
    <t>A Study to Compare the Efficacy and Safety of BMS-986489 (BMS-986012+ Nivolumab Fixed Dose Combination) in Combination With Carboplatin Plus Etoposide to That of Atezolizumab With Carboplatin Plus Etoposide as First-Line Therapy in Participants With Extensive-Stage Small Cell Lung Cancer (TIGOS).</t>
  </si>
  <si>
    <t>NCT06732804</t>
  </si>
  <si>
    <t>Study to Investigate Comparative Pharmacokinetics, Safety, Immunogenicity and Tolerability Between AVT80 and Entyvio</t>
  </si>
  <si>
    <t>NCT06838000</t>
  </si>
  <si>
    <t>Study of the Safety and Immunogenicity of Catch-up Vaccination With a 21-valent Pneumococcal Conjugate Vaccine (PCV21) in Healthy Infants, Toddlers, Children, and Adolescents</t>
  </si>
  <si>
    <t>NCT06827457</t>
  </si>
  <si>
    <t>A Study of Safety, Tolerability, PK, and PD of Subcutaneous GenSci120 in Healthy Adults.</t>
  </si>
  <si>
    <t>NCT07339514</t>
  </si>
  <si>
    <t>A Phase I Clinical Study of ER2001 Injection for the Treatment of Early Manifest Huntington's Disease.</t>
  </si>
  <si>
    <t>NCT06828848</t>
  </si>
  <si>
    <t>A Study to Assess How Vaborem® is Taking up in the Body and Tolerated in Paediatric Patients With Gram Negative Infections, Including But Not Restricted to Complicated Urinary Tract Infections</t>
  </si>
  <si>
    <t>Menarini Group</t>
  </si>
  <si>
    <t>NCT06732648</t>
  </si>
  <si>
    <t>The Efficacy and Safety of HRS8179 in Severe Cerebral Edema Following Large Hemispheric Infarction</t>
  </si>
  <si>
    <t>NCT06710990</t>
  </si>
  <si>
    <t>Investigation of Drug-drug Interaction of Ritonavir and Itraconazole on the Pharmacokinetics of SHR-A1811 in Subjects With HER2-expressing Advanced Breast Cancer</t>
  </si>
  <si>
    <t>NCT06878976</t>
  </si>
  <si>
    <t>Open-Label Safety Study of Solriamfetol in Subjects With Binge Eating Disorder</t>
  </si>
  <si>
    <t>NCT06502561</t>
  </si>
  <si>
    <t>Comparing The PK Of Aramchol Meglumine Granules To Aramchol Free Acid Tablets</t>
  </si>
  <si>
    <t>Galmed Pharmaceuticals Ltd</t>
  </si>
  <si>
    <t>NCT06971198</t>
  </si>
  <si>
    <t>Phase I Clinical Trial to Evaluate the Safety, Tolerability and Pharmacokinetic Characteristics of HSK39004 Dry Powder Inhalation</t>
  </si>
  <si>
    <t>NCT06618287</t>
  </si>
  <si>
    <t>A Study to Evaluate the Safety, Tolerability, Drug Levels, and Preliminary Efficacy of BMS-986507 Combinations in Adult Participants With Advanced Solid Tumors</t>
  </si>
  <si>
    <t>NCT06750341</t>
  </si>
  <si>
    <t>Study of QLC7401 in the Treatment of Primary Hypercholesterolemia or Mixed Hyperlipidemia With Elevated LDL Cholesterol</t>
  </si>
  <si>
    <t>NCT06854042</t>
  </si>
  <si>
    <t>A Study of Oral E1018 in Healthy Adult Participants</t>
  </si>
  <si>
    <t>NCT06633562</t>
  </si>
  <si>
    <t>A Study to Test the Effects of Nezavist at Different Doses in Healthy Adults</t>
  </si>
  <si>
    <t>NCT06797518</t>
  </si>
  <si>
    <t>Study to Evaluate the Impact of Iptacopan on Top of SOC on Biopsy Changes in Kidneys of Adult Patients With IgAN</t>
  </si>
  <si>
    <t>NCT06765668</t>
  </si>
  <si>
    <t>A Study of CREXONT (Carbidopa and Levodopa) Extended-Release Capsules in Participants With Parkinson's Disease</t>
  </si>
  <si>
    <t>Impax Laboratories, LLC</t>
  </si>
  <si>
    <t>NCT06712082</t>
  </si>
  <si>
    <t>A Study to Learn More About the Study Medicine PF-07264660 in Healthy Chinese Adult Participants</t>
  </si>
  <si>
    <t>NCT06717750</t>
  </si>
  <si>
    <t>A Study of CSCJC3456 in Patients With Advanced Malignant Tumors</t>
  </si>
  <si>
    <t>Changshan ConjuChem BioPharmaceutical Research and Development (Hebei) Co., Ltd.</t>
  </si>
  <si>
    <t>NCT06780670</t>
  </si>
  <si>
    <t>Open-label Study Comparing AAA817 Versus Standard of Care in the Treatment of Previously Treated PSMA-positive mCRPC Adults Who Have Disease Progressed on or After [177Lu]Lu-PSMA Targeted Therapy</t>
  </si>
  <si>
    <t>NCT06790862</t>
  </si>
  <si>
    <t>A Trial of SHR0302Base in Patients With Vitiligo</t>
  </si>
  <si>
    <t>NCT06767761</t>
  </si>
  <si>
    <t>A Phase III Clinical Study to Assess the Efficacy and Safety of GZR4 in Type 2 Diabetes Mellitus Subjects (T2DM) Treated With Basal + Prandial Insulin</t>
  </si>
  <si>
    <t>NCT06816251</t>
  </si>
  <si>
    <t>A Phase II Clinical Study of HRS-1893 in Non-obstructive Hypertrophic Cardiomyopathy</t>
  </si>
  <si>
    <t>NCT06373653</t>
  </si>
  <si>
    <t>Study of Non-inferiority Between Manzanilla Sophia® and Meticel Ofteno® 0.5% for Providing a Soothing Sensation to the Eyes.</t>
  </si>
  <si>
    <t>NCT06792955</t>
  </si>
  <si>
    <t>The Evaluation of Bioequivalence Between a Single-dose Pen and a Multi-dose Pen of HRS9531 Injection Solution</t>
  </si>
  <si>
    <t>NCT06769984</t>
  </si>
  <si>
    <t>A Study of SCTT11 in Healthy Participants and Participants with Thyroid Eye Disease.</t>
  </si>
  <si>
    <t>NCT06708416</t>
  </si>
  <si>
    <t>A Study of ONO-1110 in Patients With Postherpetic Neuralgia</t>
  </si>
  <si>
    <t>NCT06861101</t>
  </si>
  <si>
    <t>Phase II Study of JT002 in the Treatment of Seasonal Allergic Rhinitis in Adults</t>
  </si>
  <si>
    <t>Shanghai JunTop Biosciences Co., LTD</t>
  </si>
  <si>
    <t>NCT06799845</t>
  </si>
  <si>
    <t>Study Assessing Pain Relief After Replacement of the Knee</t>
  </si>
  <si>
    <t>Allay Therapeutics, Inc.</t>
  </si>
  <si>
    <t>NCT06870422</t>
  </si>
  <si>
    <t>To Assess the Effect of the Special Condition on the Pharmacokinetics and Tolerability of the Esflurbiprofen Topical System (EFTS) in Healthy Volunteers.</t>
  </si>
  <si>
    <t>NCT06823245</t>
  </si>
  <si>
    <t>Pharmacokinetic Study of HS-10241 Tablets in Subjects with Hepatic Impairment and Normal Hepatic Function</t>
  </si>
  <si>
    <t>NCT06824155</t>
  </si>
  <si>
    <t>HEAT Trial (HER2 Antibody Therapy With Lutetium-177)</t>
  </si>
  <si>
    <t>NCT06805825</t>
  </si>
  <si>
    <t>A Study of the c-Kit Specific Antibody-Drug Conjugate NN3201 for Advanced and/or Metastatic Solid Tumors Known to Express c-Kit</t>
  </si>
  <si>
    <t>Novelty Nobility, Inc.</t>
  </si>
  <si>
    <t>NCT06793995</t>
  </si>
  <si>
    <t>Effect of Food and Age on the Pharmacokinetics of LY03017</t>
  </si>
  <si>
    <t>NCT06712602</t>
  </si>
  <si>
    <t>PT150 Drug for Use in Alcohol Use Disorder</t>
  </si>
  <si>
    <t>Pop Test Oncology LLC</t>
  </si>
  <si>
    <t>NCT06760819</t>
  </si>
  <si>
    <t>A Study to Learn More About How Well Treatment With Sevabertinib (BAY 2927088) Tablets Works and How Safe it is in Participants Who Have a Solid Tumor With Mutations of the Human Epidermal Growth Factor Receptor 2 (HER2)</t>
  </si>
  <si>
    <t>NCT06731218</t>
  </si>
  <si>
    <t>Phase I Clinical Study to Evaluate the Safety and Efficacy of RGB-5088 in Patients With Type 1 Diabetes Mellitus</t>
  </si>
  <si>
    <t>Hangzhou Reprogenix Bioscience, Inc</t>
  </si>
  <si>
    <t>NCT06815991</t>
  </si>
  <si>
    <t>Phase 1a Single Ascending Dose Study of MIB-725 in Healthy Adults</t>
  </si>
  <si>
    <t>Metro International Biotech, LLC</t>
  </si>
  <si>
    <t>NCT06863987</t>
  </si>
  <si>
    <t>A Phase III Clinical Study of Valsartan Oral Solution for the Treatment of Hypertension in Children and Adolescents</t>
  </si>
  <si>
    <t>NCT06909825</t>
  </si>
  <si>
    <t>FPI-2265 (225Ac-PSMA-I&amp;T) and Olaparib for Patients With Metastatic Castration-Resistant Prostate Cancer (mCRPC)</t>
  </si>
  <si>
    <t>NCT06792552</t>
  </si>
  <si>
    <t>A Phase I Study of SIM0505 in Participants With Advanced Solid Tumors</t>
  </si>
  <si>
    <t>NCT06812325</t>
  </si>
  <si>
    <t>A Safety and Tolerability Study of VRDN-003 in Participants With Thyroid Eye Disease (TED)</t>
  </si>
  <si>
    <t>NCT06897358</t>
  </si>
  <si>
    <t>Leniolisib for Immune Dysregulation in CVID</t>
  </si>
  <si>
    <t>NCT06731478</t>
  </si>
  <si>
    <t>Study of TDXd, Chemotherapy, Pembrolizumab, and Trastuzumab in First-Line Metastatic HER2-Positive Gastric or Gastroesophageal Junction Cancer</t>
  </si>
  <si>
    <t>NCT06806293</t>
  </si>
  <si>
    <t>Study of Oral Atogepant to Assess Adverse Events and Change in Disease Activity in Adult Participants With Menstrual Migraine</t>
  </si>
  <si>
    <t>NCT06738017</t>
  </si>
  <si>
    <t>Study of BMN 349 Single Dose in PiZZ and PiMZ/MASH Adult Participants</t>
  </si>
  <si>
    <t>NCT06672068</t>
  </si>
  <si>
    <t>A Study of TY-9591 With Chemotherapy as 1st Line Treatment in Patients With Mutated Epidermal Growth Factor Receptor NSCLC</t>
  </si>
  <si>
    <t>NCT06672185</t>
  </si>
  <si>
    <t>ARC101 in Advanced Solid Tumors</t>
  </si>
  <si>
    <t>Third Arc Bio</t>
  </si>
  <si>
    <t>NCT06818968</t>
  </si>
  <si>
    <t>A Study of the Effect of Multiple Doses of Diltiazem on the Plasma Levels of MK-6916 in Healthy Participants (MK-6916-005)</t>
  </si>
  <si>
    <t>NCT06845852</t>
  </si>
  <si>
    <t>A Phase 1 Mass Balance Study of Varegacestat</t>
  </si>
  <si>
    <t>NCT06655194</t>
  </si>
  <si>
    <t>A Study to Learn if There is a Difference in the Blood Levels of Acetylsalicylic Acid When Taken as Different Chewable Tablets on an Empty Stomach by Healthy Participants</t>
  </si>
  <si>
    <t>NCT06696261</t>
  </si>
  <si>
    <t>A Study of Lianxiaxiaopi Granules in the Treatment of Postprandial Distress Syndrome</t>
  </si>
  <si>
    <t>NCT06855264</t>
  </si>
  <si>
    <t>A Cardiac Liability Study of Varegacestat in Healthy Participants</t>
  </si>
  <si>
    <t>NCT07132957</t>
  </si>
  <si>
    <t>A Study of AL8326 in Healthy Subjects</t>
  </si>
  <si>
    <t>Advenchen Laboratories Nanjing Ltd.</t>
  </si>
  <si>
    <t>NCT06523400</t>
  </si>
  <si>
    <t>The Efficacy and Safety of Once Daily Mexiletine PR in Patients With Myotonic Dystrophy Type 1 and Type 2</t>
  </si>
  <si>
    <t>Lupin Ltd.</t>
  </si>
  <si>
    <t>NCT06820307</t>
  </si>
  <si>
    <t>Evaluation of the Effect of Suzetrigine (SUZ) on the Pharmacokinetics of Oral Contraceptives in Healthy Female Participants</t>
  </si>
  <si>
    <t>NCT06741644</t>
  </si>
  <si>
    <t>A Phase I/II Study of CS2009 in Participants With Advanced Solid Tumors</t>
  </si>
  <si>
    <t>CStone Pharmaceuticals</t>
  </si>
  <si>
    <t>NCT06809608</t>
  </si>
  <si>
    <t>A Study Investigating the Effect of Different Approved Medications on How the Body Processes the Study Compound RO7795081</t>
  </si>
  <si>
    <t>NCT07181538</t>
  </si>
  <si>
    <t>Phase 1 Study of JLP-2302 and JP-1366: PK and Safety in Healthy Volunteers</t>
  </si>
  <si>
    <t>NCT06736704</t>
  </si>
  <si>
    <t>SNV4818 in Participants With Advanced Solid Tumors</t>
  </si>
  <si>
    <t>Pikavation Therapeutics, Inc.</t>
  </si>
  <si>
    <t>NCT07413549</t>
  </si>
  <si>
    <t>Clinical Study of Human Umbilical Cord Mesenchymal Stem Cells Injection in Patients With Decompensated Hepatitis B Cirrhosis</t>
  </si>
  <si>
    <t>Beijing Tuohua Weiye Biotechnology Co., Ltd.</t>
  </si>
  <si>
    <t>NCT06886126</t>
  </si>
  <si>
    <t>Phase II Clinical Study of HDM1005 Injection in Obese Adults Without Diabetes Mellitus</t>
  </si>
  <si>
    <t>NCT06783257</t>
  </si>
  <si>
    <t>Phase II Clinical Study of Vonorasan Fumarate Injection in the Treatment of Peptic Ulcer Bleeding</t>
  </si>
  <si>
    <t>NCT06827431</t>
  </si>
  <si>
    <t>The Research of Ammoxetine Hydrochloride Enteric-coated Tablets in Subjects With Depression</t>
  </si>
  <si>
    <t>NCT06914869</t>
  </si>
  <si>
    <t>Drug-Drug Interaction Potential of Mavorixafor</t>
  </si>
  <si>
    <t>NCT06892379</t>
  </si>
  <si>
    <t>A Study of HS-20110 in Participants With Advanced Solid Tumors</t>
  </si>
  <si>
    <t>NCT06709014</t>
  </si>
  <si>
    <t>A Double-blind Dual Study Assessing Safety and Efficacy of Buntanetap in Participants With Early AD</t>
  </si>
  <si>
    <t>Annovis Bio Inc.</t>
  </si>
  <si>
    <t>NCT06712823</t>
  </si>
  <si>
    <t>An Extension Study to Evaluate Safety and Efficacy in Participants Treated With CRN04894</t>
  </si>
  <si>
    <t>Crinetics Pharmaceuticals Inc.</t>
  </si>
  <si>
    <t>NCT06828120</t>
  </si>
  <si>
    <t>A Randomized, Safety and Efficacy Study of Taneasy 600mg Granules and Fluimucil 600mg Granules in COPD Subjects</t>
  </si>
  <si>
    <t>NCT06678074</t>
  </si>
  <si>
    <t>Pilot Study of IC14 (Atibuclimab), an Anti-CD14 Monoclonal Antibody, to Treat STEMI</t>
  </si>
  <si>
    <t>NCT06801418</t>
  </si>
  <si>
    <t>Bioequivalence Study Between Adagrasib Reference Tablets and High Drug Load Tablets</t>
  </si>
  <si>
    <t>NCT06767527</t>
  </si>
  <si>
    <t>AK112 or Placebo Plus Nab-Paclitaxel as First-line Treatment in Inoperable Locally Advanced/ Metastatic Triple-negative Breast Cancer</t>
  </si>
  <si>
    <t>NCT06830629</t>
  </si>
  <si>
    <t>A Phase 2 Study of MZE829 in Adults With APOL1 Kidney Disease</t>
  </si>
  <si>
    <t>Maze Therapeutics</t>
  </si>
  <si>
    <t>NCT06745323</t>
  </si>
  <si>
    <t>A Phase 2, Open-label, Randomized, Multicenter Study of Tarlatamab Dosing Regimens in Subjects With SCLC</t>
  </si>
  <si>
    <t>NCT07080931</t>
  </si>
  <si>
    <t>Efficacy and Safety of 5% Minoxidil Foam in Female Androgenetic Alopecia</t>
  </si>
  <si>
    <t>NCT06272409</t>
  </si>
  <si>
    <t>Efficacy and Safety of DEP114 in the Treatment of Moderate to Severe Persistent Allergic Rhinitis in Children.</t>
  </si>
  <si>
    <t>NCT06813924</t>
  </si>
  <si>
    <t>A Research Study of the Effect of Etavopivat on Other Drugs in Healthy Participants</t>
  </si>
  <si>
    <t>NCT06977880</t>
  </si>
  <si>
    <t>A Phase 1, First-in-human Study of MORF-440 (LY4292009) in Healthy Participants</t>
  </si>
  <si>
    <t>NCT06832540</t>
  </si>
  <si>
    <t>Mass Balance Study of [14C] TJ0113 in Healthy Chinese Subjects</t>
  </si>
  <si>
    <t>Hangzhou PhecdaMed Co., Ltd.</t>
  </si>
  <si>
    <t>NCT06878404</t>
  </si>
  <si>
    <t>A Study to Evaluate the Efficacy and Safety of JNJ-77242113 (Icotrokinra) in Biologic-naïve Participants With Active Psoriatic Arthritis</t>
  </si>
  <si>
    <t>NCT06712355</t>
  </si>
  <si>
    <t>Safety and Efficacy of BNT327, an Investigational Therapy in Combination With Chemotherapy for Patients With Untreated Small-cell Lung Cancer</t>
  </si>
  <si>
    <t>NCT06860789</t>
  </si>
  <si>
    <t>AK135 in Patients With Chemotherapy-Induced Peripheral Neuropathy (CIPN)</t>
  </si>
  <si>
    <t>NCT06531018</t>
  </si>
  <si>
    <t>Role of Eltrombopag as First Line Therapy in Primary Immune Thrombocytopenia.</t>
  </si>
  <si>
    <t>Renata PLC</t>
  </si>
  <si>
    <t>NCT07326995</t>
  </si>
  <si>
    <t>Safety and Efficacy of PA9159 Inhalation Aerosol for the Treatment of Adult Bronchial Asthma</t>
  </si>
  <si>
    <t>NCT06980805</t>
  </si>
  <si>
    <t>A Study to Assess the Safety, Tolerability, and Efficacy of IMVT-1402 in Participants With Cutaneous Lupus Erythematosus (CLE)</t>
  </si>
  <si>
    <t>NCT06752811</t>
  </si>
  <si>
    <t>Polymeric Micellar Paclitaxel for Metastatic Pancreatic Cancer</t>
  </si>
  <si>
    <t>Shanghai Yizhong Pharmaceutical Co., Ltd.</t>
  </si>
  <si>
    <t>NCT06767514</t>
  </si>
  <si>
    <t>Clinical Study of Ivonescimab for First-line Treatment of Metastatic NSCLC Patients With High PD-L1</t>
  </si>
  <si>
    <t>Summit Therapeutics</t>
  </si>
  <si>
    <t>NCT06748053</t>
  </si>
  <si>
    <t>A Dose Finding Study With an Anti-TSLP Antibody (GSK5784283) in Adults Aged 18 to 75 Years of Age With Uncontrolled Asthma</t>
  </si>
  <si>
    <t>NCT06727565</t>
  </si>
  <si>
    <t>Study of Novel Treatment Combination Therapies in Participants With Head and Neck Squamous Cell Carcinoma Regardless of PD-L1 Expression Status; Substudy-01</t>
  </si>
  <si>
    <t>NCT07253272</t>
  </si>
  <si>
    <t>A PET Study of ENX-104 in Healthy Volunteers</t>
  </si>
  <si>
    <t>NCT06793371</t>
  </si>
  <si>
    <t>AMBER-HFpEF: Assessment of CK-4021586 in a Multi-Center, Blinded Evaluation of Safety and Tolerability Results in HFpEF</t>
  </si>
  <si>
    <t>NCT06746402</t>
  </si>
  <si>
    <t>A Study to Investigate the Safety, Tolerability, and Pharmacokinetics of BMS-986278 and the Effects of BMS-986278 on Cardiac Repolarization in Healthy Participants</t>
  </si>
  <si>
    <t>NCT06798831</t>
  </si>
  <si>
    <t>Study Evaluating the Safety of a Recombinant Acellular Pertussis Vaccine in Adults</t>
  </si>
  <si>
    <t>BioNet-Asia Co., Ltd.</t>
  </si>
  <si>
    <t>NCT06846866</t>
  </si>
  <si>
    <t>A Study to Investigate the Safety, Tolerability, and Drug Levels of BMS-986419 (Part 1) and the Effects Multiple Doses of BMS-986419 on Cardiac Repolarization (Part 2) in Healthy Participants</t>
  </si>
  <si>
    <t>NCT06711991</t>
  </si>
  <si>
    <t>A Clinical Trial of TQC3927 Powder for Inhalation in Chronic Obstructive Pulmonary Disease</t>
  </si>
  <si>
    <t>NCT06954597</t>
  </si>
  <si>
    <t>Safety and Tolerability of TOP-N53 Applied on Digital Ulcers in Patients With Systemic Sclerosis</t>
  </si>
  <si>
    <t>Topadur Pharma AG</t>
  </si>
  <si>
    <t>NCT06567782</t>
  </si>
  <si>
    <t>A Study of Neoadjuvant Dostarlimab Plus Capecitabine Plus Oxaliplatin (CAPEOX) Vs CAPEOX With Previously Untreated T4N0 or Stage III Mismatch Repair Proficient (MMRp)/Microsatellite Stable (MSS) Colon Cancer</t>
  </si>
  <si>
    <t>NCT06834360</t>
  </si>
  <si>
    <t>NCT06908226</t>
  </si>
  <si>
    <t>A Study to Investigate LP352 in Children and Adults With Developmental and Epileptic Encephalopathy (DEE)</t>
  </si>
  <si>
    <t>NCT06881251</t>
  </si>
  <si>
    <t>A Study of JNJ-95475939 in the Treatment of Participants With Moderate to Severe Atopic Dermatitis (AD)</t>
  </si>
  <si>
    <t>NCT06773312</t>
  </si>
  <si>
    <t>BC001 in Combination with Sintilimab and XELOX in the Treatment of HER-2 Negative Advanced or Metastatic Gastric Cancer or Gastroesophageal Junction Adenocarcinoma.</t>
  </si>
  <si>
    <t>Sichuan Luzhou Buchang Biopharmaceutical Co., Ltd.</t>
  </si>
  <si>
    <t>NCT06830642</t>
  </si>
  <si>
    <t>Study of the Oral Treatment MTR-601 in Cervical Dystonia</t>
  </si>
  <si>
    <t>Motric Bio</t>
  </si>
  <si>
    <t>NCT06843239</t>
  </si>
  <si>
    <t>Tibulizumab Systemic Sclerosis Understanding and Response Evaluation (TibuSURE)</t>
  </si>
  <si>
    <t>Zura Bio Inc</t>
  </si>
  <si>
    <t>NCT06813339</t>
  </si>
  <si>
    <t>Placebo-controlled Study of Single and Multiple Ascending Doses of UDP-003 in Healthy Human Participants and Patients</t>
  </si>
  <si>
    <t>Cyclarity Therapeutics, Inc.</t>
  </si>
  <si>
    <t>NCT06570291</t>
  </si>
  <si>
    <t>Allogenic Adipose-Derived Mesenchymal Stem Cells for the Treatment of Knee Osteoarthritis</t>
  </si>
  <si>
    <t>Wuxi Cellular Biopharmaceutical Group Ltd.</t>
  </si>
  <si>
    <t>NCT06834100</t>
  </si>
  <si>
    <t>Assessment of Immunogenicity, Reactogenicity and Safety of the Drug GNG-DE in Comparison With the Reference Drug</t>
  </si>
  <si>
    <t>NPO Petrovax</t>
  </si>
  <si>
    <t>NCT06780137</t>
  </si>
  <si>
    <t>A Study to Evaluate the Safety and Efficacy of Gocatamig (MK-6070) and Ifinatamab Deruxtecan (I-DXd) in Participants With Relapsed/Refractory Extensive-Stage Small Cell Lung Cancer (MK-6070-002)</t>
  </si>
  <si>
    <t>NCT06730750</t>
  </si>
  <si>
    <t>A Study of BMS-986490 With or Without Bevacizumab in Advanced Solid Tumors</t>
  </si>
  <si>
    <t>NCT06826040</t>
  </si>
  <si>
    <t>SKB445 for Injection in Solid Tumors</t>
  </si>
  <si>
    <t>NCT06732882</t>
  </si>
  <si>
    <t>Study to Evaluate the Pharmacokinetics and Pharmacodynamics of AZD4604 Given Via the Turbuhaler® Device in Adults With Mild Asthma.</t>
  </si>
  <si>
    <t>NCT06787950</t>
  </si>
  <si>
    <t>Clinical Study of ASN-3186 in Patients with Advanced Solid Tumors</t>
  </si>
  <si>
    <t>Jiangsu Yahong Meditech Co., Ltd aka Asieris</t>
  </si>
  <si>
    <t>NCT06864884</t>
  </si>
  <si>
    <t>A Phase 1 Study of ARC-001 in Participants Undergoing Third Molar Extraction</t>
  </si>
  <si>
    <t>Arcato Laboratories, Inc.</t>
  </si>
  <si>
    <t>NCT06744920</t>
  </si>
  <si>
    <t>A Study to Investigate the Efficacy, Safety and Tolerability of Remibrutinib Versus Placebo in Adult Patients With Generalized Myasthenia Gravis</t>
  </si>
  <si>
    <t>NCT06590961</t>
  </si>
  <si>
    <t>UBX-303061 in Subjects With Relapsed/Refractory B-Cell Malignancies</t>
  </si>
  <si>
    <t>Ubix Therapeutics, Inc.</t>
  </si>
  <si>
    <t>NCT06773091</t>
  </si>
  <si>
    <t>A Phase I Study of NK042 Cell Injection in Advanced Solid Tumors</t>
  </si>
  <si>
    <t>Shanghai NK Cell Technology Co., LTD</t>
  </si>
  <si>
    <t>NCT06541847</t>
  </si>
  <si>
    <t>A Phase 2, Open-Label Study to Evaluate the Safety and Effects of HLX-1502 in Patients With Neurofibromatosis Type 1</t>
  </si>
  <si>
    <t>Healx Limited</t>
  </si>
  <si>
    <t>NCT06778863</t>
  </si>
  <si>
    <t>A Study of CLSP-1025 in Adult Patients With Solid Tumors That Harbor the p53 R175H Mutation</t>
  </si>
  <si>
    <t>Clasp Therapeutics, Inc.</t>
  </si>
  <si>
    <t>NCT06722235</t>
  </si>
  <si>
    <t>A Study of Mezagitamab in Adults With Chronic Primary Immune Thrombocytopenia</t>
  </si>
  <si>
    <t>NCT06717815</t>
  </si>
  <si>
    <t>Phase IIa Study for IPG11406 in Patients With Lupus Nephritis</t>
  </si>
  <si>
    <t>NCT06501443</t>
  </si>
  <si>
    <t>LATAM LOWERS LDL-C</t>
  </si>
  <si>
    <t>NCT05661682</t>
  </si>
  <si>
    <t>Tralement Versus a Fixed-dose Trace Element Combination Product to Evaluate Manganese Safety</t>
  </si>
  <si>
    <t>NCT06686394</t>
  </si>
  <si>
    <t>Study of Patritumab Deruxtecan With Other Anticancer Agents in Participants With HER2 Positive Breast Cancer That Has Spread and Cannot Be Surgically Removed (MK-1022-009)</t>
  </si>
  <si>
    <t>NCT07147257</t>
  </si>
  <si>
    <t>A Trial to Assess the Pharmacokinetic Similarity Between CHS-1420 40 mg/0.4 mL and HUMIRA® (Adalimumab) 40 mg/0.4 mL in Healthy Chinese Adult Participants Under Fasting Conditions</t>
  </si>
  <si>
    <t>Nanjing King-Friend Biochemical Pharmaceutical Co., Ltd.</t>
  </si>
  <si>
    <t>NCT06651970</t>
  </si>
  <si>
    <t>Acalabrutinib Monotherapy vs Investigator's Choice of Treatment in Patients With CL Leukaemia and Heart Failure</t>
  </si>
  <si>
    <t>NCT06824194</t>
  </si>
  <si>
    <t>Study of the Safety of a 21-valent Pneumococcal Conjugate Vaccine in Healthy Infants From Approximately 2 Months of Age</t>
  </si>
  <si>
    <t>NCT06867497</t>
  </si>
  <si>
    <t>A Study to Compare and Evaluate the Pharmacokinetic Characteristics and the Safety Between Administration of BR2021 and BR2021-1</t>
  </si>
  <si>
    <t>NCT06534060</t>
  </si>
  <si>
    <t>MB-105 in Patients With CD5 Positive T-cell Lymphoma</t>
  </si>
  <si>
    <t>March Biosciences Inc</t>
  </si>
  <si>
    <t>NCT06873659</t>
  </si>
  <si>
    <t>SON-DP in Participants With Relapsed/Refractory Intolerant to Standard of Care Therapies for Advanced/Metastatic Solid Tumors</t>
  </si>
  <si>
    <t>Qurgen Inc.</t>
  </si>
  <si>
    <t>NCT06858696</t>
  </si>
  <si>
    <t>A Study to Investigate Pharmacokinetics (PK) and Safety of a Single Dose of Mavorixafor in Participants With Hepatic Impairment (HI) Compared to Matched Healthy Volunteers With Normal Hepatic Function</t>
  </si>
  <si>
    <t>NCT06794996</t>
  </si>
  <si>
    <t>Inaxaplin in Participants With Proteinuric APOL1 Mediated Kidney Disease With or Without Comorbidities</t>
  </si>
  <si>
    <t>NCT06921395</t>
  </si>
  <si>
    <t>Phase IV Study to Evaluate the Efficacy and Safety of Fang Le Shu Compared to Guo Na Fen for Controlled Ovarian Stimulation in Infertile Women Undergoing in Vitro Fertilization-embryo Transfer (IVF-ET).</t>
  </si>
  <si>
    <t>NCT06810505</t>
  </si>
  <si>
    <t>A Study of Oral Atogepant Tablets to Assess Adverse Events and Change in Disease Activity To Prevent Migraine in Participants Aged 12 to 17 Years</t>
  </si>
  <si>
    <t>NCT06812780</t>
  </si>
  <si>
    <t>A Study to Investigate the Effect of Hepatic Impairment on the Pharmacokinetics, Safety, and Tolerability of AZD2389</t>
  </si>
  <si>
    <t>NCT06686030</t>
  </si>
  <si>
    <t>Combination Therapy of AK112 With Chemotherapy and/or Olaparib in Platinum-sensitive Ovarian Cancer</t>
  </si>
  <si>
    <t>NCT06779045</t>
  </si>
  <si>
    <t>A Study of AK-1286 in Patients With Advanced Solid Tumors</t>
  </si>
  <si>
    <t>NCT06942572</t>
  </si>
  <si>
    <t>A Phase 1/2, First-in-Human Dose Escalation/Expansion Study to Evaluate the Safety, Tolerability and Preliminary Efficacy of a Subretinal Injection of SB-007 in Subjects With Stargardt Disease (STGD1)</t>
  </si>
  <si>
    <t>Splice Bio</t>
  </si>
  <si>
    <t>NCT06723405</t>
  </si>
  <si>
    <t>Efficacy Study of EVO301 in Moderate to Severe Atopic Dermatitis</t>
  </si>
  <si>
    <t>NCT06754605</t>
  </si>
  <si>
    <t>A Study to Evaluate the Safety, Tolerability, and Immunogenicity of a Recombinant Respiratory Syncytial Virus Vaccine</t>
  </si>
  <si>
    <t>NCT06806982</t>
  </si>
  <si>
    <t>A Study of VRN101099 in Patients With HER2-Positive Solid Tumors</t>
  </si>
  <si>
    <t>Voronoi, Inc</t>
  </si>
  <si>
    <t>NCT06926413</t>
  </si>
  <si>
    <t>A Study Evaluating the Effect of Aumolertinib on the Pharmacokinetics of Midazolam in Patients With NSCLC</t>
  </si>
  <si>
    <t>NCT06737042</t>
  </si>
  <si>
    <t>Efficacy and Safety of GZR18 Every 2 Weeks Versus Tirzepatide and Placebo in Obese or Overweight Participants</t>
  </si>
  <si>
    <t>NCT06389526</t>
  </si>
  <si>
    <t>A Study of CHS-1000 in Participants With Advanced or Metastatic Solid Tumors</t>
  </si>
  <si>
    <t>NCT06754930</t>
  </si>
  <si>
    <t>A Study of SHR-1826 for Injection in Combination With Other Antitumor Therapies in Subjects With NSCLC</t>
  </si>
  <si>
    <t>NCT06747936</t>
  </si>
  <si>
    <t>A Study to Evaluate the Efficacy and Safety of Co-administration of AD-2281 and AD-2282</t>
  </si>
  <si>
    <t>NCT06616025</t>
  </si>
  <si>
    <t>This Study Will Evaluate the Effectiveness of NTX-001, a Surgical Nerve Repair Product When Used in People With Upper Extremity Nerve Lacerations.</t>
  </si>
  <si>
    <t>Neuraptive Therapeutics Inc.</t>
  </si>
  <si>
    <t>NCT06679634</t>
  </si>
  <si>
    <t>Retinoblastoma Phase II Expanded Access Clinical Trial</t>
  </si>
  <si>
    <t>Targeted Therapy Technologies, LLC</t>
  </si>
  <si>
    <t>NCT06514534</t>
  </si>
  <si>
    <t>Open-label Study of Asciminib for CML-CP or CML-AP Patients With T315I Mutation Who Are Resistant, Intolerant or Ineligible to Ponatinib.</t>
  </si>
  <si>
    <t>NCT06697197</t>
  </si>
  <si>
    <t>A Study of BMS-986482 Alone or as Combination Therapy in Participants With Advanced Solid Tumors</t>
  </si>
  <si>
    <t>NCT06677918</t>
  </si>
  <si>
    <t>Clinical Trial Investigating the Effects of EP395 Following an Inhaled Endotoxin Challenge in Healthy Adults</t>
  </si>
  <si>
    <t>EpiEndo Pharmaceuticals</t>
  </si>
  <si>
    <t>NCT05973630</t>
  </si>
  <si>
    <t>ATA-200 Gene Therapy Trial in Patients With LGMDR5</t>
  </si>
  <si>
    <t>Atamyo Therapeutics</t>
  </si>
  <si>
    <t>NCT06698549</t>
  </si>
  <si>
    <t>A Study to Evaluate the Pharmacokinetics, Safety and Tolerability of ALG-097558 in Subjects With Renal Impairment and in Healthy Subjects With Normal Renal Function</t>
  </si>
  <si>
    <t>NCT06754852</t>
  </si>
  <si>
    <t>A Study Assessing HMB-002 in Participants With Von Willebrand Disease</t>
  </si>
  <si>
    <t>Hemab ApS</t>
  </si>
  <si>
    <t>NCT06822738</t>
  </si>
  <si>
    <t>A Study to Assess Adverse Events and Effectiveness of Gel Stent (XEN63) Implantation Using Ab Interno and Ab Externo Approaches in Adult Participants With Glaucoma</t>
  </si>
  <si>
    <t>NCT06821464</t>
  </si>
  <si>
    <t>A Trial of HRS-9813 in Healthy Subjects</t>
  </si>
  <si>
    <t>NCT06789432</t>
  </si>
  <si>
    <t>Efficacy and Safety of Atorvastatin and Ezetimibe (10/10mg) Fixed Dose Combination Versus Atorvastatin (20mg) Monotherapy in Bangladeshi Population</t>
  </si>
  <si>
    <t>Dr. Md. Alimur Reza</t>
  </si>
  <si>
    <t>NCT06666283</t>
  </si>
  <si>
    <t>A Study to Evaluate the Safety, Tolerability, PK and PD of AP303 in DKD Patients</t>
  </si>
  <si>
    <t>NCT07446881</t>
  </si>
  <si>
    <t>A Phase 1 Study, to Evaluate the Effect of ADV7103 on Gastric pH Under Fed and Fasting Conditions in Adult Healthy Participants.</t>
  </si>
  <si>
    <t>NCT06800313</t>
  </si>
  <si>
    <t>A Study of HLD-0915 in Patients With Metastatic Castration Resistant Prostate Cancer (mCRPC)</t>
  </si>
  <si>
    <t>Halda Therapeutics OpCo, Inc.</t>
  </si>
  <si>
    <t>NCT06838546</t>
  </si>
  <si>
    <t>A Multicenter, Open Phase IIb Clinical Study to Evaluate the Efficacy and Safety of B1962 Injection in the Treatment of Advanced Colorectal Cancer</t>
  </si>
  <si>
    <t>NCT06264414</t>
  </si>
  <si>
    <t>Efficacy and Safety of the DTT106 in the Treatment of Erectile Dysfunction Associated With Benign Prostatic Hyperplasia</t>
  </si>
  <si>
    <t>NCT06482359</t>
  </si>
  <si>
    <t>Lot Consistency Study of COVID-19 and Influenza Combination Vaccine</t>
  </si>
  <si>
    <t>NCT06702280</t>
  </si>
  <si>
    <t>Assessing the Safety of an IGY Supplement on the Gut Microbiome</t>
  </si>
  <si>
    <t>Nimble Science Ltd.</t>
  </si>
  <si>
    <t>NCT06723652</t>
  </si>
  <si>
    <t>A Multicenter, Randomized, Double-blind, Placebo-controlled Phase III Clinical Study Evaluating the Efficacy and Safety of SHR-1918 in Patients With Homozygous Familial Hypercholesterolemia</t>
  </si>
  <si>
    <t>NCT06775327</t>
  </si>
  <si>
    <t>Study to Assess Safety, Tolerability, Pharmacokinetics, Pharmacodynamics, &amp; Food Effect of Oral INCB000631 to Healthy Adult Participants</t>
  </si>
  <si>
    <t>NCT07098091</t>
  </si>
  <si>
    <t>Evaluate the Safety, Tolerability, Pharmacokinetics, Pharmacodynamics of YD0293 in Healthy Subjects</t>
  </si>
  <si>
    <t>Shanghai Yidian Pharmaceutical Technology Development Co., Ltd.</t>
  </si>
  <si>
    <t>NCT06764316</t>
  </si>
  <si>
    <t>A First-in-human Study to Learn About the Safety of BAY 3547926 and How Well it Works in Participants With Advanced Liver Cancer</t>
  </si>
  <si>
    <t>NCT06855498</t>
  </si>
  <si>
    <t>Rollover Study for Participants Previously Enrolled in Clinical Trials of Povorcitinib</t>
  </si>
  <si>
    <t>NCT06809400</t>
  </si>
  <si>
    <t>A Study of LY4006896 in Healthy Participants and Participants With Parkinson's Disease</t>
  </si>
  <si>
    <t>NCT06772532</t>
  </si>
  <si>
    <t>A Study in Healthy People to Compare How 3 Different Formulations of Survodutide Are Taken up in the Body</t>
  </si>
  <si>
    <t>NCT06741098</t>
  </si>
  <si>
    <t>A Study of NCR100 Injection for the Treatment of Knee Osteoarthritis（ KOA）</t>
  </si>
  <si>
    <t>NCT06831344</t>
  </si>
  <si>
    <t>A Study to Evaluate Two Vonoprazan Orally Disintegrating Tablet Formulations Administered Without Water or Mixed With Water and Administered Via a Syringe Relative to the Vonoprazan Tablet in Healthy Participants</t>
  </si>
  <si>
    <t>NCT06817096</t>
  </si>
  <si>
    <t>Efficacy and Safety of Nitazoxanide 600 Mg in the Outpatient Treatment of COVID-19 and Influenza</t>
  </si>
  <si>
    <t>NCT06824051</t>
  </si>
  <si>
    <t>A Study of Orforglipron (LY3502970) in Adult Participants With Obesity or Overweight</t>
  </si>
  <si>
    <t>NCT06839339</t>
  </si>
  <si>
    <t>Efficacy and Safety of AL-001 Ophthalmic Injection in Subjects with WAMD</t>
  </si>
  <si>
    <t>Beijing Anlong Biopharmaceutical Co., Ltd.</t>
  </si>
  <si>
    <t>NCT06642545</t>
  </si>
  <si>
    <t>Efficacy and Safety Study of Disitamab Vedotin + RC148 vs. Albumin-Paclitaxone ± Toripalimab in HR-/HER2-low Breast Cancer</t>
  </si>
  <si>
    <t>NCT06612268</t>
  </si>
  <si>
    <t>A Study to Evaluate How Well Etavopivat Works in People With Sickle Cell Disease</t>
  </si>
  <si>
    <t>NCT06716619</t>
  </si>
  <si>
    <t>A Phase I Trial of Tumor-Associated Lymph Node T-Cell Injection With Advanced Malignant Solid Tumors</t>
  </si>
  <si>
    <t>Guangzhou FineImmune Biotechnology Co., LTD.</t>
  </si>
  <si>
    <t>NCT06791772</t>
  </si>
  <si>
    <t>Study of CM313(SC) Injection in Systemic Lupus Erythematosus(SLE)</t>
  </si>
  <si>
    <t>NCT07412938</t>
  </si>
  <si>
    <t>JKN2306 in Healthy Subjects: Single Ascending Dose and Food Effect Study</t>
  </si>
  <si>
    <t>NCT06781125</t>
  </si>
  <si>
    <t>One Trial of JCXH-211 Intratumoral Injection Combined With Anti-PD-1 Antibody in Patients With Malignant Solid Tumors</t>
  </si>
  <si>
    <t>NCT06830343</t>
  </si>
  <si>
    <t>The Safety, Tolerability, and Pharmacokinetics of of SYH9017 in Chinese Participants With Overweight and Obesity</t>
  </si>
  <si>
    <t>NCT06828328</t>
  </si>
  <si>
    <t>A Study of GC203 TIL in PDCA (RJ)</t>
  </si>
  <si>
    <t>NCT06720987</t>
  </si>
  <si>
    <t>A Study to Investigate the Safety and Efficacy of KQB365 as Monotherapy and in Combination in Participants With Advanced Solid Malignancies</t>
  </si>
  <si>
    <t>NCT06144749</t>
  </si>
  <si>
    <t>A Safety, Efficacy, and Pharmacokinetic (PK) Study of HBI-002, an Oral Carbon Monoxide (CO) Therapeutic, in Subjects With Sickle Cell Disease (SCD)</t>
  </si>
  <si>
    <t>Hillhurst Biopharmaceuticals, Inc.</t>
  </si>
  <si>
    <t>NCT07117799</t>
  </si>
  <si>
    <t>A Study to Learn About How Different Forms of Study Medicine PF-07248144 Are Taken Up Into the Blood in Healthy Adults</t>
  </si>
  <si>
    <t>NCT06816043</t>
  </si>
  <si>
    <t>A Study of Emtricitabine/Tenofovir Disoproxil Fumarate (FTC/TDF) and MK-8527 in Healthy Participants</t>
  </si>
  <si>
    <t>NCT06845241</t>
  </si>
  <si>
    <t>Evaluate the Safety, Tolerability, and Efficacy of ICP-490 in Patients with Relapsed or Refractory Non-Hodgkin Lymphoma</t>
  </si>
  <si>
    <t>NCT06789796</t>
  </si>
  <si>
    <t>a Study of QL1706 or QL1604 in Patients With Limited-stage Small Cell Lung Cancer After Chemoradiotherapy.</t>
  </si>
  <si>
    <t>NCT06812988</t>
  </si>
  <si>
    <t>Treatment of Type 1 Diabetes With Anti-OX40L Bispecific With Anti-TNF Activity In a Single Nanobody® Molecule</t>
  </si>
  <si>
    <t>NCT06867393</t>
  </si>
  <si>
    <t>Safety, Tolerability, and Pharmacokinetics of HL-003 in Healthy Subjects</t>
  </si>
  <si>
    <t>Shanghai Kechow Pharma, Inc.</t>
  </si>
  <si>
    <t>NCT06833307</t>
  </si>
  <si>
    <t>The Efficacy and Safety of SHR-1314 in the Treatment of Pediatric Patients of Age 6 to &lt;18 Years With Moderate to Severe Plaque Psoriasis</t>
  </si>
  <si>
    <t>NCT06780449</t>
  </si>
  <si>
    <t>A Research Study to Look Into the Long-term Effect on Weight Loss of CagriSema in People With Obesity</t>
  </si>
  <si>
    <t>NCT06785454</t>
  </si>
  <si>
    <t>A Study to Assess the Efficacy and Safety of Lorundrostat in Participants With Obstructive Sleep Apnea and Hypertension</t>
  </si>
  <si>
    <t>Mineralys Therapeutics Inc.</t>
  </si>
  <si>
    <t>NCT05670951</t>
  </si>
  <si>
    <t>Efficacy and Safety of ELGN-2112 on Intestinal Malabsorption in Preterm Infants</t>
  </si>
  <si>
    <t>Elgan Pharma Ltd.</t>
  </si>
  <si>
    <t>NCT06769152</t>
  </si>
  <si>
    <t>A Phase II Clinical Study to Evaluate the Efficacy and Safety of HLX43 (Anti-PD-L1 ADC) in Patients With Advanced Gynecological Malignant Tumors</t>
  </si>
  <si>
    <t>NCT06128447</t>
  </si>
  <si>
    <t>Phase 3, Multi-center, Prospective, Randomized, Double-blind, Placebo- Controlled Study to Evaluate the Effectiveness and Safety of ZP5-9676 for the Treatment of Soil Transmitted Helminthiasis (STH)</t>
  </si>
  <si>
    <t>Zero Point Five Therapeutics</t>
  </si>
  <si>
    <t>NCT06775834</t>
  </si>
  <si>
    <t>Safety and Pharmacokinetics Study of HRS-1893 Tablets in Healthy Subjects and Those With Impaired Kidney Function</t>
  </si>
  <si>
    <t>NCT06563804</t>
  </si>
  <si>
    <t>A Study to Evaluate S227928 as a Single Agent and in Combination With Venetoclax in Patients With R/R AML, MDS/AML, or CMML</t>
  </si>
  <si>
    <t>NCT06797674</t>
  </si>
  <si>
    <t>A Study of the Effect Efavirenz on the Plasma Levels of MK-7602 in Healthy Participants (MK-7602-005)</t>
  </si>
  <si>
    <t>NCT06821698</t>
  </si>
  <si>
    <t>To Determine the Effect of KP-001 on Rosuvastatin, Caffeine PK and the Effect of Fluvoxamine on KP-001 PK in Volunteers</t>
  </si>
  <si>
    <t>NCT06624670</t>
  </si>
  <si>
    <t>A Study to Test Whether Spesolimab Helps People With a Skin Condition Called Pyoderma Gangrenosum</t>
  </si>
  <si>
    <t>NCT06824181</t>
  </si>
  <si>
    <t>Study of Mixed Vaccination Schedules With a 21-valent Pneumococcal Conjugate Vaccine and a 20-valent Pneumococcal Conjugate Vaccine in Healthy Infants From Approximately 2 Months of Age</t>
  </si>
  <si>
    <t>NCT06579144</t>
  </si>
  <si>
    <t>Pharmacokinetic Comparison of Efanesoctocog Alfa vs Other EHL-rFVIII Products in Participants With Severe Haemophilia A</t>
  </si>
  <si>
    <t>NCT06897839</t>
  </si>
  <si>
    <t>Efficacy and Safety of Zelpultide Alfa in Preterm Neonates at High Risk of Developing Bronchopulmonary Dysplasia (BPD)</t>
  </si>
  <si>
    <t>Airway Therapeutics, Inc.</t>
  </si>
  <si>
    <t>NCT06845813</t>
  </si>
  <si>
    <t>Study to Investigate the Effect of Renal Impairment on the Pharmacokinetics, Safety, and Tolerability of AZD6234</t>
  </si>
  <si>
    <t>NCT06644924</t>
  </si>
  <si>
    <t>A Study Evaluating the Effect of Inhaled PT007(AS MDI) Versus Placebo MDI and Ventolin Evohaler on Lung Function in Adult Participants With Asthma</t>
  </si>
  <si>
    <t>NCT06804096</t>
  </si>
  <si>
    <t>Efficacy and Safety of Faropenem in Bangladeshi Adult Patients With Community-Acquired Bacterial Pneumonia (CABP)</t>
  </si>
  <si>
    <t>NCT07253324</t>
  </si>
  <si>
    <t>ENX-104 MAD Study for Participants With Major Depressive Disorder With Anhedonia (aMDD)</t>
  </si>
  <si>
    <t>NCT06852573</t>
  </si>
  <si>
    <t>Clinical Study of ZM001 Injection in the Treatment of Refractory Systemic Lupus Erythematosus</t>
  </si>
  <si>
    <t>NCT06795165</t>
  </si>
  <si>
    <t>Study of the Safety and Efficacy of Moxidectin Tablets for the Reduction of Demodex Eyelash Infestation</t>
  </si>
  <si>
    <t>Eye Research Foundation, Inc.</t>
  </si>
  <si>
    <t>NCT06673368</t>
  </si>
  <si>
    <t>A Phase 2 Randomized Double-Blind, Parallel, Adaptive-Design, Clinical Trial to Evaluate the Safety and Efficacy of NRCT-101SR With NRCT-202XR Compared to NRCT-202XR Alone in Subjects With Attention-Deficit/Hyperactivity Disorder</t>
  </si>
  <si>
    <t>NCT06619236</t>
  </si>
  <si>
    <t>Study to Assess the Efficacy of Rina-S Compared to Treatment of Investigator's Choice in Participants With Platinum Resistant Ovarian Cancer</t>
  </si>
  <si>
    <t>NCT06778967</t>
  </si>
  <si>
    <t>A Phase III Clinical Study to Evaluate the Efficacy and Safety of GZR18 Injection in Adult Type 2 Diabetes Mellitus</t>
  </si>
  <si>
    <t>NCT06838273</t>
  </si>
  <si>
    <t>A Study of BL-B01D1 in Combination With Osimertinib Versus Osimertinib as First-Line Treatment in Patients With EGFR-Mutated Locally Advanced or Metastatic Non-Small Cell Lung Cancer</t>
  </si>
  <si>
    <t>NCT06821061</t>
  </si>
  <si>
    <t>A Study to Learn About How the Flu and COVID-19 Vaccines Act in Healthy People</t>
  </si>
  <si>
    <t>NCT06268054</t>
  </si>
  <si>
    <t>Efficacy and Safety of DEH113 in the Treatment of Menstrual Cramp Pain Associated With Primary Dysmenorrhea</t>
  </si>
  <si>
    <t>NCT06938867</t>
  </si>
  <si>
    <t>Phase 1b/2a Randomized Double-blind Study to Investigate Safety Tolerability PK PD Preliminary Efficacy of Oral Administration of SNIPR001 in Patients With Hematologic Malignancy Scheduled for Allogeneic Hematopoietic Stem-Cell Transplant Receiving FQ Prophylaxis &amp; Harboring FQR Ecoli Pre-Transplant</t>
  </si>
  <si>
    <t>SNIPR Biome Aps.</t>
  </si>
  <si>
    <t>NCT06517875</t>
  </si>
  <si>
    <t>Study of Momelotinib in Combination With Luspatercept in Participants With Transfusion Dependent Myelofibrosis</t>
  </si>
  <si>
    <t>NCT06846437</t>
  </si>
  <si>
    <t>JSKN003 Versus Trastuzumab Emtansine (T-DM1) for HER2-Positive, Advanced Breast Cancer</t>
  </si>
  <si>
    <t>NCT06801509</t>
  </si>
  <si>
    <t>A Study to Evaluate the Safety, Tolerability, and Immunogenicity of a Recombinant Herpes Zoster Vaccine</t>
  </si>
  <si>
    <t>NCT06849791</t>
  </si>
  <si>
    <t>A Study to Assess the Relative Bioavailability of Oral ABBV-932 in Healthy Adult Participants</t>
  </si>
  <si>
    <t>NCT06832982</t>
  </si>
  <si>
    <t>Evaluating the Safety, Tolerability, Pharmacokinetics, Pharmacokinetics, and Preliminary Efficacy of FS-8002</t>
  </si>
  <si>
    <t>Shanghai Pushi Medical Science Co. Ltd</t>
  </si>
  <si>
    <t>NCT06894212</t>
  </si>
  <si>
    <t>A Trial of the Efficacy and Safety of SEP-363856 in Acutely Psychotic Participants With Schizophrenia</t>
  </si>
  <si>
    <t>NCT06680128</t>
  </si>
  <si>
    <t>A Study to Assess the Safety, Reactogenicity, and Immunogenicity of SK Japanese Encephalitis Messenger Ribonucleic Acid (mRNA) Vaccines (GBP560) in Healthy Adults</t>
  </si>
  <si>
    <t>SK Bioscience Co., Ltd.</t>
  </si>
  <si>
    <t>NCT06495307</t>
  </si>
  <si>
    <t>RHPRG4 FOR THE TREATMENT OF OCULAR GRAFT-VERSUS-HOST DISEASE (OGVHD)</t>
  </si>
  <si>
    <t>NCT06792734</t>
  </si>
  <si>
    <t>Phase 1 Trial of BTM-3566 in Relapsed/Refractory Mature B Cell Lymphomas</t>
  </si>
  <si>
    <t>Bantam Pharmaceuticals</t>
  </si>
  <si>
    <t>NCT06862791</t>
  </si>
  <si>
    <t>A Weight Loss Study Evaluating Subcutaneous Treatment With AZD9550 and AZD6234 in Combination Against Placebo or Each of the Drugs Alone</t>
  </si>
  <si>
    <t>NCT06703177</t>
  </si>
  <si>
    <t>A Study of SHR-1826 for Injection in Combination With Other Antitumor Therapies in Subjects With Solid Tumors</t>
  </si>
  <si>
    <t>NCT06846528</t>
  </si>
  <si>
    <t>A Study to Investigate the Pharmacokinetics of AZD2389 When Administered Alone and in Combination With Itraconazole in Healthy Participants</t>
  </si>
  <si>
    <t>NCT06804824</t>
  </si>
  <si>
    <t>A First-in-Human (FIH) Study to Evaluate the Safety and Tolerability of VVD-159642 in Participants With Advanced Solid Tumors</t>
  </si>
  <si>
    <t>NCT06821750</t>
  </si>
  <si>
    <t>A Study to Learn How Different Amounts of the Study Medicine Called PF-07314470 Are Tolerated and Act in the Body in Healthy Adults</t>
  </si>
  <si>
    <t>NCT06767735</t>
  </si>
  <si>
    <t>A Phase III Clinical Study to Assess the Efficacy and Safety of GZR4 in Insulin-naive Subjects With Type 2 Diabetes Mellitus (T2DM)</t>
  </si>
  <si>
    <t>NCT06751329</t>
  </si>
  <si>
    <t>A Study of DM002 in Patients With Advanced Solid Tumors</t>
  </si>
  <si>
    <t>NCT06728553</t>
  </si>
  <si>
    <t>Safety and Efficacy Trial of MTX101 2mg for the Acute Treatment of Migraine in Adults</t>
  </si>
  <si>
    <t>Manistee Therapeutics</t>
  </si>
  <si>
    <t>NCT06556563</t>
  </si>
  <si>
    <t>EF-41/KEYNOTE D58: Phase 3 Study of Optune Concomitant With Temozolomide Plus Pembrolizumab in Newly Diagnosed Glioblastoma</t>
  </si>
  <si>
    <t>NCT06444763</t>
  </si>
  <si>
    <t>Effect of Maolactin™ FMR on Exercise Recovery, Inflammation and Muscle Comfort in an Otherwise Healthy Population</t>
  </si>
  <si>
    <t>NCT06671392</t>
  </si>
  <si>
    <t>A Phase III Study to Efficacy and Safety of DWC202405/DWC202313 and DWC202314 in Patients With Hypertension</t>
  </si>
  <si>
    <t>NCT06778031</t>
  </si>
  <si>
    <t>A Clinical Study of SHR-A1811 in the Treatment of HER2-positive Locally Advanced or Metastatic Biliary Tract Cancer</t>
  </si>
  <si>
    <t>NCT06732180</t>
  </si>
  <si>
    <t>Safety, Tolerability, Pharmacokinetics, and Pharmacodynamics of GT-02287 in Parkinson's Disease</t>
  </si>
  <si>
    <t>Gain Therapeutics, Inc.</t>
  </si>
  <si>
    <t>NCT07126990</t>
  </si>
  <si>
    <t>Clinical Study of a Novel Oncolytic Virus Ad-TD-nsIL12 in the Treatment of Primary High-grade Glioma</t>
  </si>
  <si>
    <t>Xiaorong Wu</t>
  </si>
  <si>
    <t>NCT06858579</t>
  </si>
  <si>
    <t>A Study to Evaluate the Efficacy and Safety of DNTH103 in Adults With Chronic Inflammatory Demyelinating Polyneuropathy (CAPTIVATE)</t>
  </si>
  <si>
    <t>NCT06841042</t>
  </si>
  <si>
    <t>A Study of SCTB35 in Patients with Systemic Lupus Erythematosus</t>
  </si>
  <si>
    <t>NCT06547489</t>
  </si>
  <si>
    <t>GATE-251 or Placebo for the Reduction of Symptoms of Major Depressive Disorder</t>
  </si>
  <si>
    <t>Syndeio Biosciences, Inc</t>
  </si>
  <si>
    <t>NCT06837896</t>
  </si>
  <si>
    <t>Efficacy and Safety Study of QLG1080 in Patients With Hormone-sensitive Advanced Prostate Cancer</t>
  </si>
  <si>
    <t>NCT06797297</t>
  </si>
  <si>
    <t>A Study to Evaluate the Efficacy and Safety of IBI363 Monotherapy Compared to Pembrolizumab in Patients With Unresectable Locally Advanced or Metastatic Mucosal or Acral Melanoma Who Had Not Previously Received Systemic Therapy</t>
  </si>
  <si>
    <t>NCT06756932</t>
  </si>
  <si>
    <t>BGB-21447 (Bcl-2 Inhibitor) Combinations for Adults With Hormone-Receptor Positive (HR+)/Human Epidermal Growth Factor Receptor 2 Negative (HER2-) Metastatic Breast Cancer</t>
  </si>
  <si>
    <t>NCT06816992</t>
  </si>
  <si>
    <t>ORIC-114 in Combination with Subcutaneous Amivantamab in Patients with EGFR Exon20 Insertion Mutant NSCLC</t>
  </si>
  <si>
    <t>ORIC Pharmaceuticals</t>
  </si>
  <si>
    <t>NCT06808477</t>
  </si>
  <si>
    <t>A Study of BBT001 in Healthy Volunteers (HVs) and in Adult Patients With Atopic Dermatitis (AD)</t>
  </si>
  <si>
    <t>Bambusa Therapeutics</t>
  </si>
  <si>
    <t>NCT06738251</t>
  </si>
  <si>
    <t>A Phase III Study of SHR-A2102 Versus Investigator-selected Therapy in Advanced Urothelial Carcinoma</t>
  </si>
  <si>
    <t>NCT06812078</t>
  </si>
  <si>
    <t>A Study of TAK-360 in Adults With Idiopathic Hypersomnia</t>
  </si>
  <si>
    <t>NCT06841926</t>
  </si>
  <si>
    <t>Study to Evaluate the Pharmacokinetics and Relative Bioavailability of Metabolites in Healthy Chinese Adult Males</t>
  </si>
  <si>
    <t>NCT06707610</t>
  </si>
  <si>
    <t>A Study to Evaluate the Safety, Tolerability, Pharmacokinetics (PK), and Antitumor Activity of ALK202 in Participants with Advanced Solid Tumors</t>
  </si>
  <si>
    <t>NCT06804603</t>
  </si>
  <si>
    <t>A Study to Measure the Effects of Using Tradipitant on Nausea and Vomiting After GLP-1R Agonist Use</t>
  </si>
  <si>
    <t>NCT06700824</t>
  </si>
  <si>
    <t>A Trial to Assess the Efficacy and Safety of OTR4132-MD in Patients with Acute Ischemic Stroke</t>
  </si>
  <si>
    <t>Organ, Tissue, Regeneration, Repair and Replacement</t>
  </si>
  <si>
    <t>NCT06770491</t>
  </si>
  <si>
    <t>A Phase 1 Study of Y-3 in US Healthy Volunteers.</t>
  </si>
  <si>
    <t>Neurodawn Pharmaceutical Co., Ltd.</t>
  </si>
  <si>
    <t>NCT06848348</t>
  </si>
  <si>
    <t>Efficacy and Safety Study of Halneuron in the Treatment of Chemotherapy-Induced Neuropathic Pain</t>
  </si>
  <si>
    <t>Dogwood Therapeutics Inc.</t>
  </si>
  <si>
    <t>NCT06772870</t>
  </si>
  <si>
    <t>A Single Ascending Dose Study of DT-216P2 in Normal Healthy Participants</t>
  </si>
  <si>
    <t>Design Therapeutics, Inc.</t>
  </si>
  <si>
    <t>NCT06830954</t>
  </si>
  <si>
    <t>Bioequivalence Study of Fluvastatin Sodium Extended Release Tablets in Healthy Participants</t>
  </si>
  <si>
    <t>NCT07031973</t>
  </si>
  <si>
    <t>The Effect of Micronutrient Supplementation on Nutrition Status and Well-being</t>
  </si>
  <si>
    <t>InnoNext Sarl</t>
  </si>
  <si>
    <t>NCT06520878</t>
  </si>
  <si>
    <t>Impact of NANO-PSO on Cognition in Older Adults with Mild to Moderate Cognitive Impairment</t>
  </si>
  <si>
    <t>Distribuidora Biolife SA de CV</t>
  </si>
  <si>
    <t>NCT06704152</t>
  </si>
  <si>
    <t>BSB-1001 in Patients Undergoing HLA-Matched Allogenic Hematopoietic Stem Cell Transplant for AML, ALL or MDS</t>
  </si>
  <si>
    <t>BlueSphere Bio, Inc</t>
  </si>
  <si>
    <t>NCT06847321</t>
  </si>
  <si>
    <t>Study of LHP588 in Subjects With P. Gingivalis-Positive Alzheimer's Disease</t>
  </si>
  <si>
    <t>Lighthouse Pharmaceuticals, Inc.</t>
  </si>
  <si>
    <t>NCT06834789</t>
  </si>
  <si>
    <t>A Study to Assess the Adverse Events of Intramuscular Injections of AGN-151586 and OnabotulinumtoxinA in Adult Participants for the Change of Glabellar Lines (GL)</t>
  </si>
  <si>
    <t>NCT06718621</t>
  </si>
  <si>
    <t>A Study of BL-M08D1 in Patients With Locally Advanced or Metastatic Solid Tumors</t>
  </si>
  <si>
    <t>NCT06819826</t>
  </si>
  <si>
    <t>A Study of SC0062 Capsule for the Treatment of IgA Nephropathy with Proteinuria</t>
  </si>
  <si>
    <t>NCT06767748</t>
  </si>
  <si>
    <t>A Phase III Clinical Study to Assess the Efficacy and Safety of GZR4 in Subjects With Type 2 Diabetes Mellitus Treated With Basal Insulin</t>
  </si>
  <si>
    <t>NCT06856577</t>
  </si>
  <si>
    <t>Efficacy and Safety Study of Ixoberogene Soroparvovec (Ixo-vec) in Participants With Neovascular Age-Related Macular Degeneration</t>
  </si>
  <si>
    <t>Adverum Biotechnologies, Inc.</t>
  </si>
  <si>
    <t>NCT06816264</t>
  </si>
  <si>
    <t>A Study of HRS-5346 in Adult Participants With Elevated Lipoprotein(a) at High Risk for Cardiovascular Events</t>
  </si>
  <si>
    <t>NCT06255028</t>
  </si>
  <si>
    <t>A Study of CNTY-101 in Participants With Refractory B Cell-mediated Autoimmune Diseases</t>
  </si>
  <si>
    <t>Century Therapeutics, Inc.</t>
  </si>
  <si>
    <t>NCT06823167</t>
  </si>
  <si>
    <t>A Phase 1 Study of IM-1021 in Participants With Advanced Cancer</t>
  </si>
  <si>
    <t>NCT06810245</t>
  </si>
  <si>
    <t>Study of PIPE-791 for Subjects With Chronic Osteoarthritis Pain or Chronic Low Back Pain</t>
  </si>
  <si>
    <t>NCT06770933</t>
  </si>
  <si>
    <t>A Study to Evaluate the Efficacy and Safety of Orally Administered VX-01</t>
  </si>
  <si>
    <t>Vantage Biosciences Ltd</t>
  </si>
  <si>
    <t>NCT06747949</t>
  </si>
  <si>
    <t>A Long-term Extension Study of Dazodalibep in Participants With Sjögren's Syndrome (SS)</t>
  </si>
  <si>
    <t>NCT06820476</t>
  </si>
  <si>
    <t>A Research Study on How NNC0487-0111, a New Medicine, Works in Chinese Participants After 10 Days of Oral Dosing</t>
  </si>
  <si>
    <t>NCT06693648</t>
  </si>
  <si>
    <t>A Study to Evaluate Efficacy and Safety of AMZ001 for the Treatment of Knee Osteoarthritis Symptoms</t>
  </si>
  <si>
    <t>NCT06723236</t>
  </si>
  <si>
    <t>A Study of MGC028 in Participants With Advanced Solid Tumors</t>
  </si>
  <si>
    <t>NCT06848699</t>
  </si>
  <si>
    <t>A Phase Ib/II Clinical Study to Evaluate HLX43 in Combination With Serplulimab in Patients With Advanced/Metastatic Solid Tumors</t>
  </si>
  <si>
    <t>NCT06597006</t>
  </si>
  <si>
    <t>Study to Evaluate Safety, Tolerability and Efficacy of Inclisiran in Children With Homozygous Familial Hypercholesterolemia</t>
  </si>
  <si>
    <t>NCT06819488</t>
  </si>
  <si>
    <t>A Clinical Study of Mass Balance of [14C]HRS-7535</t>
  </si>
  <si>
    <t>NCT06817356</t>
  </si>
  <si>
    <t>A Study to Evaluate Mazdutide Compared With Placebo in Participants With Alcohol Use Disorder</t>
  </si>
  <si>
    <t>NCT06808802</t>
  </si>
  <si>
    <t>To Investigate the Effect of Retatrutide (LY3437943) on Metoprolol Pharmacokinetics in Healthy Participants</t>
  </si>
  <si>
    <t>NCT06679881</t>
  </si>
  <si>
    <t>Long-Term, Open-label Study of Oral Deucrictibant Extended-Release Tablet for Prophylaxis Against Angioedema Attacks in Adolescents and Adults With HAE</t>
  </si>
  <si>
    <t>NCT06832657</t>
  </si>
  <si>
    <t>Study of JMKX003948 Ophthalmic Suspension in Healthy Participants</t>
  </si>
  <si>
    <t>NCT04056741</t>
  </si>
  <si>
    <t>Administration of Surfactant Through an Instillation Device Infasurf® (Calfactant) in Neonates- A Pilot Study</t>
  </si>
  <si>
    <t>NCT06871046</t>
  </si>
  <si>
    <t>Phase III Trial to Assess the Safety and Efficacy of TK-254RX in Patients With Contusions</t>
  </si>
  <si>
    <t>NCT06959888</t>
  </si>
  <si>
    <t>A Phase 1 Study in Healthy Volunteers to Evaluate the Relative Bioavailability of ALG-055009 Formulations</t>
  </si>
  <si>
    <t>NCT06897683</t>
  </si>
  <si>
    <t>A Study to Learn if the Study Medicine Called Carbamazepine Changes How the Body Processes PF-07220060</t>
  </si>
  <si>
    <t>NCT06805305</t>
  </si>
  <si>
    <t>DOC1021 Dendritic Cell Immunotherapy for Treatment of Newly Diagnosed Adult Glioblastoma (GBM)</t>
  </si>
  <si>
    <t>Diakonos Oncology Corporation</t>
  </si>
  <si>
    <t>NCT06688331</t>
  </si>
  <si>
    <t>Treatment of Presymptomatic (Stage 1) Type 1 Diabetes Pediatric Patients With Treg Cell Preparations and Anti-CD20 Antibody</t>
  </si>
  <si>
    <t>PolTREG S.A.</t>
  </si>
  <si>
    <t>NCT06869785</t>
  </si>
  <si>
    <t>Pharmacokinetics, Pharmacodynamics, Safety and Tolerability of a New Maintenance Dosing Regimen of Ofatumumab</t>
  </si>
  <si>
    <t>NCT06898450</t>
  </si>
  <si>
    <t>A Study to Assess the Safety, Tolerability, and Efficacy of NDI-219216 in Patients With Advanced Solid Tumors.</t>
  </si>
  <si>
    <t>Nimbus Wadjet, Inc.</t>
  </si>
  <si>
    <t>NCT06924320</t>
  </si>
  <si>
    <t>A Study of MET233 in Combination With MET097 in Individuals With Obesity or Overweight With or Without Diabetes</t>
  </si>
  <si>
    <t>NCT06769659</t>
  </si>
  <si>
    <t>A Study Evaluating NPT 2042 Versus Placebo in Subjects Aged 16-75 Years With Genetic Generalized Epilepsy (GGE) and Absence Seizures</t>
  </si>
  <si>
    <t>NCT06615479</t>
  </si>
  <si>
    <t>A Study to Compare the Efficacy and Safety of BMS-986393 Versus Standard Regimens in Adult Participants With Relapsed or Refractory and Lenalidomide-exposed Multiple Myeloma (QUINTESSENTIAL-2)</t>
  </si>
  <si>
    <t>NCT06840002</t>
  </si>
  <si>
    <t>A Clinical Study of SHR-A1811 Combined With Chemotherapy for Platinum Sensitive Recurrent Ovarian Cancer</t>
  </si>
  <si>
    <t>NCT06692283</t>
  </si>
  <si>
    <t>A Phase 3 Study Evaluating the Safety and Efficacy of Denifanstat in Patients With MASLD and MASH</t>
  </si>
  <si>
    <t>Sagimet Biosciences Inc.</t>
  </si>
  <si>
    <t>NCT06834009</t>
  </si>
  <si>
    <t>A Study of Suzetrigine (SUZ) Spray-dried Dispersion (SSD) in Healthy Adult Panelists</t>
  </si>
  <si>
    <t>NCT07058688</t>
  </si>
  <si>
    <t>A Study of NTRX-07 in Participants With Alzheimer's Disease</t>
  </si>
  <si>
    <t>NeuroTherapia, Inc.</t>
  </si>
  <si>
    <t>NCT06917079</t>
  </si>
  <si>
    <t>BBO-11818 in Adult Subjects With KRAS Mutant Cancer</t>
  </si>
  <si>
    <t>NCT07181694</t>
  </si>
  <si>
    <t>A Study of Pharmacokinetics, Safety, and Immunogenicity of BCD-057 100 mg/mL, BCD-057 50 mg/mL, and Humira 100 mg/mL in Healthy Subjects</t>
  </si>
  <si>
    <t>NCT06882031</t>
  </si>
  <si>
    <t>Evaluate the Pharmacokinetics of Oral Arsenic Trioxide Solution Under Fasting and Fed Conditions, to Compare Intravenous Arsenic Trioxide, in Acute Promyelocytic Leukemia</t>
  </si>
  <si>
    <t>SDK Therapeutics, Inc.</t>
  </si>
  <si>
    <t>NCT06940739</t>
  </si>
  <si>
    <t>A Study to Investigate the Safety and Efficacy of IOV-3001 in Adults With Advanced Melanoma Who Will Receive Lifileucel</t>
  </si>
  <si>
    <t>NCT06972264</t>
  </si>
  <si>
    <t>Safety and Efficacy of VDPHL01 in Males With AGA</t>
  </si>
  <si>
    <t>NCT06844357</t>
  </si>
  <si>
    <t>A Phase II/III Trial Comparing Transarterial Tirapazamine Embolization (TATE) With cTACE for Intermediate-stage Liver Cancer.</t>
  </si>
  <si>
    <t>Zhejiang Raygene Pharmaceuticals Co., Ltd</t>
  </si>
  <si>
    <t>NCT06973577</t>
  </si>
  <si>
    <t>P3b Short-term Study of CTN in Patients With ADHD and Comorbid Anxiety</t>
  </si>
  <si>
    <t>NCT05541159</t>
  </si>
  <si>
    <t>Pharmacokinetics Study of TNO155 in Participants With Mild, Moderate, or Severe Renal Impairment Compared to Matched Healthy Participants</t>
  </si>
  <si>
    <t>NCT06869187</t>
  </si>
  <si>
    <t>Study of ABX-002 for the Adjunctive Treatment of Depressive Episodes Associated With Bipolar Disorder in Adults</t>
  </si>
  <si>
    <t>NCT06829784</t>
  </si>
  <si>
    <t>TQC2731 Clinical Trial for the Treatment of Severe Asthma With Injection</t>
  </si>
  <si>
    <t>NCT06875934</t>
  </si>
  <si>
    <t>A Trial Comparing SHR-1139 Injection With Placebo in Patients With Moderate-to-severe Plaque Psoriasis</t>
  </si>
  <si>
    <t>NCT06731907</t>
  </si>
  <si>
    <t>A Study of Pembrolizumab With or Without Chemotherapy in Combination With Additional Treatments for Advanced Non-Small Cell Lung Cancer (NSCLC) (MK-3475-01G/KEYMAKER U01)</t>
  </si>
  <si>
    <t>NCT06830044</t>
  </si>
  <si>
    <t>Evaluation of Efficacy and Safety of Milsaperidone as Adjunctive Therapy in Patients With Major Depressive Disorder</t>
  </si>
  <si>
    <t>NCT06920693</t>
  </si>
  <si>
    <t>Study to Investigate the Safety, Tolerability, and Pharmacokinetics of GB-7624 in Healthy Adult Participants</t>
  </si>
  <si>
    <t>Generate Biomedicines</t>
  </si>
  <si>
    <t>NCT06635785</t>
  </si>
  <si>
    <t>Safety, Pharmacokinetics, and Efficacy of AI-081, a Bispecific Antibody for PD-1 And VEGF in Advanced Solid Tumors</t>
  </si>
  <si>
    <t>NCT07244003</t>
  </si>
  <si>
    <t>Efficacy and Safety of the Met+SGLT-2i+GLP-1RA in Patients With Type 2 Diabetes With Poor Glycemic Control</t>
  </si>
  <si>
    <t>NCT06955988</t>
  </si>
  <si>
    <t>A Study to Evaluate the Safety, Tolerability, Pharmacokinetics, and Efficacy of AST2303 Tablets (ABK3376 Tablets) in Patients With Advanced or Metastatic Non-Small Cell Lung Cancer</t>
  </si>
  <si>
    <t>NCT07163624</t>
  </si>
  <si>
    <t>UBT251 Injection Phase II (Type 2 Diabetes Mellitus) Study</t>
  </si>
  <si>
    <t>The United Bio-Technology (Hengqin) Co., Ltd.</t>
  </si>
  <si>
    <t>NCT06911333</t>
  </si>
  <si>
    <t>AD1208 in Subjects With Any Progressive, Locally Advanced or Metastatic Solid Tumors</t>
  </si>
  <si>
    <t>Avelos Therapeutics Inc.</t>
  </si>
  <si>
    <t>NCT06775236</t>
  </si>
  <si>
    <t>Clinical Trial of SYS6010±SYH2051 Versus Chemotherapy in Advanced Breast Cancer and Other Solid Tumors</t>
  </si>
  <si>
    <t>NCT06773962</t>
  </si>
  <si>
    <t>A Phase 2a Multicenter Clinical Trial of TB006 in Participants With Parkinson's Disease</t>
  </si>
  <si>
    <t>TrueBinding, Inc.</t>
  </si>
  <si>
    <t>NCT06841055</t>
  </si>
  <si>
    <t>Safety and Preliminary Efficacy of Pumitamig (BNT327), an Investigational Therapy for Patients With Non-small Cell Lung Cancer in Combination With Chemotherapy as First-line or Second-line Treatment</t>
  </si>
  <si>
    <t>NCT06842823</t>
  </si>
  <si>
    <t>A Study of Navenibart in Participants With Hereditary Angioedema</t>
  </si>
  <si>
    <t>NCT06892756</t>
  </si>
  <si>
    <t>Effect of Cyclosporine Drug Interaction on the Absorption, Metabolism and Elimination of CHF6001 in Healthy Volunteers. Drug-Drug Interaction 2 (DDI2) Study</t>
  </si>
  <si>
    <t>NCT06788756</t>
  </si>
  <si>
    <t>L-Annamycin for Injection in Combination With Cytarabine Injection as Second Line Therapy for Remission Induction in Adult Subjects With Refractory/Relapsed AML</t>
  </si>
  <si>
    <t>Moleculin Biotech, Inc.</t>
  </si>
  <si>
    <t>NCT06840925</t>
  </si>
  <si>
    <t>A Clinical Trial to Evaluate the Relative Bioavailability of PRAX-628</t>
  </si>
  <si>
    <t>NCT06850051</t>
  </si>
  <si>
    <t>A Study on the Safety and Immunogenicity of Influenza, Respiratory Syncytial Virus, Human Metapneumovirus and Parainfluenza Vaccines in Adults 18 to 49 Years of Age.</t>
  </si>
  <si>
    <t>NCT06911424</t>
  </si>
  <si>
    <t>Efficacy of Fusidic Acid 1% in the Treatment of Bacterial Conjunctivitis</t>
  </si>
  <si>
    <t>Baxis Pharmaceuticals, Inc.</t>
  </si>
  <si>
    <t>NCT07429045</t>
  </si>
  <si>
    <t>A Trial to Assess the Effect of Kidney Impairment on How AMG 133 is Absorbed, Broken Down, and Eliminated by the Body</t>
  </si>
  <si>
    <t>NCT06714253</t>
  </si>
  <si>
    <t>Study of Circular RNA Treatment in Patients With Radiation Induced Xerostomia-1</t>
  </si>
  <si>
    <t>RiboX Therapeutics Ltd.</t>
  </si>
  <si>
    <t>NCT06902818</t>
  </si>
  <si>
    <t>The Study Compare and Evaluate the Safety and PK Data of a Single Dose Administration of 'AD-115A' or 'AD-1151'</t>
  </si>
  <si>
    <t>NCT06837233</t>
  </si>
  <si>
    <t>A Study to Assess the Efficacy and Safety of PG-011 Nasal Spray in Adults With Moderate to Severe Seasonal Allergic Rhinitis</t>
  </si>
  <si>
    <t>NCT06826989</t>
  </si>
  <si>
    <t>A Study of MK-8527 in Healthy Adult Participants (MK-8527-013)</t>
  </si>
  <si>
    <t>NCT06866600</t>
  </si>
  <si>
    <t>IPSC-CMs Combined with LVAD or CABG for the Treatment of Heart Failure</t>
  </si>
  <si>
    <t>Help Therapeutics</t>
  </si>
  <si>
    <t>NCT06902428</t>
  </si>
  <si>
    <t>Evaluating the Efficacy and Safety of of HSK44459 in Patients With Behçet's Disease</t>
  </si>
  <si>
    <t>NCT06890598</t>
  </si>
  <si>
    <t>Study of Olomorasib (LY3537982) in Combination With Standard of Care in Participants With Resected or Unresectable KRAS G12C-mutant Non-Small Cell Lung Cancer</t>
  </si>
  <si>
    <t>NCT07428525</t>
  </si>
  <si>
    <t>A Study to Evaluate AMG 133 in Participants With Varying Degrees of Hepatic Impairment or Normal Hepatic Function</t>
  </si>
  <si>
    <t>NCT06669234</t>
  </si>
  <si>
    <t>Phase 1 Safety and Tolerability Study of ALN-F1202 in Healthy Adults</t>
  </si>
  <si>
    <t>NCT06766864</t>
  </si>
  <si>
    <t>A Study of Subcutaneous DR-01 in Healthy Volunteers</t>
  </si>
  <si>
    <t>NCT06943833</t>
  </si>
  <si>
    <t>A Study of Volrustomig in Women With High Risk Locally Advanced Cervical Cancer (IVOLGA)</t>
  </si>
  <si>
    <t>NCT06764771</t>
  </si>
  <si>
    <t>A Study of BMS-986488 as Monotherapy and Combination Therapy in Participants With Advanced Malignant Tumors</t>
  </si>
  <si>
    <t>NCT06528301</t>
  </si>
  <si>
    <t>A Phase 1 Study of UB-VV111 With and Without Rapamycin in Relapsed/Refractory CD19+ B-cell Malignancies</t>
  </si>
  <si>
    <t>Umoja Biopharma</t>
  </si>
  <si>
    <t>NCT06738901</t>
  </si>
  <si>
    <t>An Open-label Study Evaluating the Efficacy, Safety, Pharmacokinetics, and Immunogenicity of SKP-0141 for the Treatment and Prophylaxis in Severe Hemophilia a Patients</t>
  </si>
  <si>
    <t>SK Plasma Co., Ltd.</t>
  </si>
  <si>
    <t>NCT05251636</t>
  </si>
  <si>
    <t>Adjunct Episcleral Brachytherapy for PCV</t>
  </si>
  <si>
    <t>Salutaris Medical Devices, Inc.</t>
  </si>
  <si>
    <t>NCT06937593</t>
  </si>
  <si>
    <t>A Study to Evaluate Safety, Pharmacokinetics (PK), and Pharmacodynamics (PD) of Multiple Doses of VIS954</t>
  </si>
  <si>
    <t>Visterra, Inc.</t>
  </si>
  <si>
    <t>NCT06837155</t>
  </si>
  <si>
    <t>A QT/QTc Evaluation Study of TS-172 in Healthy Adult Subjects</t>
  </si>
  <si>
    <t>NCT06514001</t>
  </si>
  <si>
    <t>A Study of AMDX-2011P in Participants With Alzheimer's Disease</t>
  </si>
  <si>
    <t>NCT06985615</t>
  </si>
  <si>
    <t>A Study of HDM1002 in Subjects With And Without Varying Degrees Of Hepatic Impairement</t>
  </si>
  <si>
    <t>NCT06855576</t>
  </si>
  <si>
    <t>Bioequivalence Study of Paracetamol With Oral Single Dose Administration in Healthy Adult Subjects Under Fasting Conditions</t>
  </si>
  <si>
    <t>NCT06852976</t>
  </si>
  <si>
    <t>A Phase 2a Proof of Concept Open-Label, Randomized, Controlled Study to Evaluate the Safety and Efficacy of MDI-1228-mesylate Gel Compared With Standard of Care Alone in Patients With Diabetic Foot Ulcers</t>
  </si>
  <si>
    <t>Zhuhai Rui-Inno Pharmaceutical Technology Co., Ltd.</t>
  </si>
  <si>
    <t>NCT06825416</t>
  </si>
  <si>
    <t>A Clinical Study of SHR-2004 Injection in Preventing Venous Thromboembolism in Patients Undergoing Total Knee Arthroplasty</t>
  </si>
  <si>
    <t>NCT07136389</t>
  </si>
  <si>
    <t>Safety, Pharmacokinetics, Immunogenicity BCD-256-1 and Divozilimab in Subjects With Systemic Lupus Erythematosus</t>
  </si>
  <si>
    <t>NCT06880549</t>
  </si>
  <si>
    <t>A Study of mRNA-4106 Administered Alone and in Combination With Immune Checkpoint Blockade in Participants With Solid Tumors</t>
  </si>
  <si>
    <t>NCT06700070</t>
  </si>
  <si>
    <t>A Phase 0 Multicenter Study of the Pharmacodynamic Effects of Intratumoral Microdose Administration of PBA-0111 in Patients With Solid Tumors</t>
  </si>
  <si>
    <t>NCT06885021</t>
  </si>
  <si>
    <t>Evaluate the Safety and Efficacy of HDM1002 Tablets in Chinese Overweight and Obese Adults</t>
  </si>
  <si>
    <t>NCT06789445</t>
  </si>
  <si>
    <t>A Study to Investigate the Safety of OpCT-001 in Adults Who Have Primary Photoreceptor Disease (CLARICO)</t>
  </si>
  <si>
    <t>BlueRock Therapeutics</t>
  </si>
  <si>
    <t>NCT06839131</t>
  </si>
  <si>
    <t>A Clinical Study of SPH9788 Tablets in Healthy Chinese Subjects.</t>
  </si>
  <si>
    <t>NCT06864507</t>
  </si>
  <si>
    <t>A Study to Evaluate the Safety, Tolerability, Pharmacokinetics and Preliminary Efficacy of HS-10561 Capsule in Healthy Chinese Adults and Patients With Chronic Spontaneous Urticaria.</t>
  </si>
  <si>
    <t>NCT06716814</t>
  </si>
  <si>
    <t>Study to Provide Continued Access to Treatment for Patients Completing a Previous Trial With Efanesoctocog Alfa</t>
  </si>
  <si>
    <t>NCT06744647</t>
  </si>
  <si>
    <t>Phase 2 Study of ALXN2030 in Patients With Antibody-Mediated Rejection After Kidney Transplantation</t>
  </si>
  <si>
    <t>NCT06886269</t>
  </si>
  <si>
    <t>A Study to Evaluate How the Body Processes 14C-VX-993 After a Single Oral Dose</t>
  </si>
  <si>
    <t>NCT07345442</t>
  </si>
  <si>
    <t>Study on the Safety, Tolerability, and Pharmacokinetics of PA9159 Nasal Spray in Healthy Adult Subjects</t>
  </si>
  <si>
    <t>NCT06880081</t>
  </si>
  <si>
    <t>Study of PN20 in Adult Patients With Primary Immune Thrombocytopenia (ITP)</t>
  </si>
  <si>
    <t>NCT06883630</t>
  </si>
  <si>
    <t>A Phase Ib Study of RC148 as Monotherapy or Combination for Locally Advanced or Metastatic NSCLC</t>
  </si>
  <si>
    <t>NCT06800651</t>
  </si>
  <si>
    <t>Trial of JMKX003142 in Participants With Rapidly Progressive Autosomal Dominant Polycystic Kidney Disease (ADPKD)</t>
  </si>
  <si>
    <t>NCT07177469</t>
  </si>
  <si>
    <t>UBT251 Injection Phase II Study (Overweight or Obesity)</t>
  </si>
  <si>
    <t>NCT06899802</t>
  </si>
  <si>
    <t>A Phase 2 Trial in Healthy Adult Participants of the Recombinant MVA-BN-WEV Vaccine</t>
  </si>
  <si>
    <t>NCT06883305</t>
  </si>
  <si>
    <t>A Study to Investigate the Efficacy and Safety of Tezepelumab in Adult Participants With Moderate to Very Severe COPD (D5241C00006)</t>
  </si>
  <si>
    <t>NCT06854653</t>
  </si>
  <si>
    <t>A Phase 2 Study of PTX 100 in Patients With Relapsed/Refractory CTCL</t>
  </si>
  <si>
    <t>Prescient Therapeutics, Ltd.</t>
  </si>
  <si>
    <t>NCT06911112</t>
  </si>
  <si>
    <t>NBI-1065845-MDD3025: Study to Assess the Efficacy and Safety of NBI-1065845 as an Adjunctive Treatment in Participants With Major Depressive Disorder (MDD)</t>
  </si>
  <si>
    <t>NCT06864988</t>
  </si>
  <si>
    <t>4D-150 in Patients With Macular Neovascularization Secondary to Age-Related Macular Degeneration</t>
  </si>
  <si>
    <t>4D Molecular Therapeutics</t>
  </si>
  <si>
    <t>NCT07040059</t>
  </si>
  <si>
    <t>A Phase 1b/2 Clinical Trial Evaluating the Efficacy, Safety, Pharmacokinetics, and Pharmacodynamics of AUR103 Calcium in Patients With HER2-positive Advanced Gastric/Gastroesophageal Junction Adenocarcinoma</t>
  </si>
  <si>
    <t>NCT06732518</t>
  </si>
  <si>
    <t>Evaluation of the Anti-cavity Efficacy of Three Dentifrices Using an Intra-oral Enamel Demineralization - Remineralization In-Situ Model</t>
  </si>
  <si>
    <t>NCT06884098</t>
  </si>
  <si>
    <t>A Study to Compare PK Characteristics and Safety Profiles Between AD-228B and AD-2284</t>
  </si>
  <si>
    <t>NCT06693908</t>
  </si>
  <si>
    <t>A Study to Evaluate the Activity, and Safety of Vixarelimab in Participants With Moderate to Severe Active Ulcerative Colitis</t>
  </si>
  <si>
    <t>NCT06843317</t>
  </si>
  <si>
    <t>Safety and Immunogenicity Study of Revaccination With SCB-1019T in Healthy Adults</t>
  </si>
  <si>
    <t>Clover Biopharmaceuticals USA, LLC</t>
  </si>
  <si>
    <t>NCT06857955</t>
  </si>
  <si>
    <t>A Study to Identify an Optimal Dose of QCZ484 in Mild to Moderate Hypertensive Patients</t>
  </si>
  <si>
    <t>NCT06826313</t>
  </si>
  <si>
    <t>A Study of Intravenous VRT106 for Locally Advanced or Metastatic Solid Tumors</t>
  </si>
  <si>
    <t>NCT06946641</t>
  </si>
  <si>
    <t>A Phase I Study of QLS12010 Capsules: Safety, Tolerability, PK, PD, and Food Effects in Healthy Adults and Moderate to Severe Atopic Dermatitis Patients</t>
  </si>
  <si>
    <t>Shanghai Qilu Pharmaceutical Research and Development Center LTD</t>
  </si>
  <si>
    <t>NCT06932146</t>
  </si>
  <si>
    <t>A Phase 2a Study of LLX-424 in Patients With a History of Kidney Stones</t>
  </si>
  <si>
    <t>Lilac Therapeutics, Inc.</t>
  </si>
  <si>
    <t>NCT06780033</t>
  </si>
  <si>
    <t>A Study to Evaluate ART101 in Adult Participants With Hypertension</t>
  </si>
  <si>
    <t>Arnatar Therapeutics, Inc.</t>
  </si>
  <si>
    <t>NCT06807762</t>
  </si>
  <si>
    <t>Safety and Pharmacokinetics of Extrato de Cannabis Sativa GreenCare</t>
  </si>
  <si>
    <t>GreenCare Pharma</t>
  </si>
  <si>
    <t>NCT07473973</t>
  </si>
  <si>
    <t>ENERGY 2: Evaluation of the Efficacy and Safety of INZ-701 in Infants With ENPP1 Deficiency</t>
  </si>
  <si>
    <t>NCT06873724</t>
  </si>
  <si>
    <t>SPY003-207 in Healthy Volunteers</t>
  </si>
  <si>
    <t>NCT06889350</t>
  </si>
  <si>
    <t>Pharmacokinetics and Safety of HD-P023 and Co-administration of Teneligliptin and Empagliflozin High in Healthy Volunteers</t>
  </si>
  <si>
    <t>NCT06750289</t>
  </si>
  <si>
    <t>Randomised Clinical Trial to Investigate Efficacy and Safety of Benralizumab 30 mg SC as an add-on Therapy in Uncontrolled Eosinophilic Asthma Patients Treated With Medium-dose ICS-LABA Compared to Conventional Escalation to High-dose ICS-LABA Treatment</t>
  </si>
  <si>
    <t>NCT06920901</t>
  </si>
  <si>
    <t>A Study to Evaluate the Safety, Tolerability, Pharmacokinetics (PK), and Immunogenicity of APG777 in Adults With Asthma</t>
  </si>
  <si>
    <t>NCT06578624</t>
  </si>
  <si>
    <t>Safety and Preliminary Efficacy of SA53-OS in Patients With Locally Advanced or Metastatic Solid Tumors</t>
  </si>
  <si>
    <t>Lamassu Bio Inc</t>
  </si>
  <si>
    <t>NCT06903338</t>
  </si>
  <si>
    <t>A Study to Evaluate Tobevibart + Elebsiran in Chronic HDV Infection</t>
  </si>
  <si>
    <t>Vir Biotechnology, Inc.</t>
  </si>
  <si>
    <t>NCT07016464</t>
  </si>
  <si>
    <t>A Study to Investigate Safety, Tolerability and Pharmacokinetics of REM0045392 Compared With Placebo in Healthy Participants.</t>
  </si>
  <si>
    <t>reMYND</t>
  </si>
  <si>
    <t>NCT06791824</t>
  </si>
  <si>
    <t>Study of CM313(SC) Injection in Subjects With Relapsed/Refractory Aplastic Anemia</t>
  </si>
  <si>
    <t>NCT06797986</t>
  </si>
  <si>
    <t>A Phase I/IIa Clinical Trial to Investigate BVAC-E6E7 in Subjects with HPV Positive HNSCC.</t>
  </si>
  <si>
    <t>Cellid Co., Ltd.</t>
  </si>
  <si>
    <t>NCT06922045</t>
  </si>
  <si>
    <t>Phase III Clinical Trial of STSP-0601 for Injection in Hemophilia Patients</t>
  </si>
  <si>
    <t>Jiangsu BioJeTay Biotechnology Co., Ltd.</t>
  </si>
  <si>
    <t>NCT06857175</t>
  </si>
  <si>
    <t>A Study Comparing BL-B01D1 With Chemotherapy of Physician's Choice in Patients With Recurrent or Metastatic Urothelial Carcinoma</t>
  </si>
  <si>
    <t>NCT06848075</t>
  </si>
  <si>
    <t>A Phase IIb, Randomized, Double-Blind, Placebo-Controlled Study of Elismetrep (K-304) in the Treatment of Migraine</t>
  </si>
  <si>
    <t>Kallyope Inc.</t>
  </si>
  <si>
    <t>NCT07021157</t>
  </si>
  <si>
    <t>A Study to Evaluate the Safety, Tolerability and PK of SK-08</t>
  </si>
  <si>
    <t>Consun Pharmaceutical Group</t>
  </si>
  <si>
    <t>NCT06826430</t>
  </si>
  <si>
    <t>Inaticabtagene Autoleucel Injection in the Treatment of Refractory Systemic Lupus Erythematosus-related Immune Thrombocytopenia</t>
  </si>
  <si>
    <t>Juventas Cell Therapy Ltd.</t>
  </si>
  <si>
    <t>NCT06948357</t>
  </si>
  <si>
    <t>Efficacy and Safety of BRIMOCHOL PF and CARBACHOL PF in Chinese Presbyopia Patients</t>
  </si>
  <si>
    <t>Zhaoke (Guangzhou) Ophthalmology Pharmaceutical Ltd.</t>
  </si>
  <si>
    <t>NCT06819007</t>
  </si>
  <si>
    <t>Study of Trastuzumab Deruxtecan With Bevacizumab Versus Bevacizumab Monotherapy for First-line Maintenance in HER2-Expressing Ovarian Cancer (DESTINY-Ovarian01)</t>
  </si>
  <si>
    <t>NCT07150767</t>
  </si>
  <si>
    <t>A Clinical Study to Explore the Safety, Tolerability, and Efficacy of Recombinant Human nsIL12 Oncolytic Adenovirus Injection (BioTTT001) Combined With Neoadjuvant Treatment for Locally Advanced Breast Cancer</t>
  </si>
  <si>
    <t>NCT06732245</t>
  </si>
  <si>
    <t>Safety and Efficacy of NA-931 and Tirzepatide in Adults Who Are Overweight or Obese</t>
  </si>
  <si>
    <t>NCT06772623</t>
  </si>
  <si>
    <t>Study to Evaluate Adverse Events and Efficacy of Intravenous (IV) Telisotuzumab Adizutecan in Combination With a PD-1 Immune Checkpoint Inhibitor in Adult Participants With Advanced or Metastatic Non-Squamous NSCLC With No Prior Treatment for Advanced Disease, and No Actionable Genomic Alterations</t>
  </si>
  <si>
    <t>NCT06641466</t>
  </si>
  <si>
    <t>A Study to Learn About the Study Medicine Called Rimegepant in Women When Used for Intermittent Prevention of Menstrual Migraine</t>
  </si>
  <si>
    <t>NCT06857370</t>
  </si>
  <si>
    <t>Inter-lot Consistency Clinical Trial of Adsorbed Cell-free DTP (Three-component) Combined Vaccine</t>
  </si>
  <si>
    <t>NCT07024888</t>
  </si>
  <si>
    <t>A Study Evaluating the Food Effect on the Pharmacokinetics of SSS17 Capsules in Chinese Healthy Subjects</t>
  </si>
  <si>
    <t>NCT06840080</t>
  </si>
  <si>
    <t>OEA and LipiSperse Metabolic Study</t>
  </si>
  <si>
    <t>NCT06792968</t>
  </si>
  <si>
    <t>Pharmacokinetics and Bioequivalence Study of Empagliflozin+Metformin Hydrochloride 5 mg/1000 mg Film-coated Tablets (Gedeon Richter Plc., Hungary) Versus Synjardy 5 mg/1000 mg Film-coated Tablets (Boehringer Ingelheim International GmbH, Germany)</t>
  </si>
  <si>
    <t>NCT06915246</t>
  </si>
  <si>
    <t>A Study of Carmustine With and Without Ethanol in Subjects With Lymphoma</t>
  </si>
  <si>
    <t>VIVUS LLC</t>
  </si>
  <si>
    <t>NCT06868290</t>
  </si>
  <si>
    <t>Phase 2 Study Evaluating Rapcabtagene Autoleucel in Participants With Severe Active GPA or MPA</t>
  </si>
  <si>
    <t>NCT06879041</t>
  </si>
  <si>
    <t>A Phase I Study of [225Ac]-AZD2284 in Patients With Metastatic Castration-Resistant Prostate Cancer</t>
  </si>
  <si>
    <t>NCT06658353</t>
  </si>
  <si>
    <t>Phase III Clinical Study of VC004 in Patients With Localized Advanced/ Metastatic Solid Tumors</t>
  </si>
  <si>
    <t>NCT06687941</t>
  </si>
  <si>
    <t>A Study to Evaluate the Tolerability, Safety, and PK of AST-201 in Patients With GPC3-positive Advanced Solid Tumors</t>
  </si>
  <si>
    <t>Aptamer Sciences, Inc.</t>
  </si>
  <si>
    <t>NCT06702462</t>
  </si>
  <si>
    <t>A Study to Assess the Potential for Airway Sensitivity Reactions With Propellants HFA-152a (Test) and HFA-134a (Reference) Administered Via Pressurized Inhalers in Adults With Mild Asthma</t>
  </si>
  <si>
    <t>NCT06732466</t>
  </si>
  <si>
    <t>Evaluation of the Effect of a Toothpaste Containing 0.3% Chlorhexidine in Subjects With Established Dental Plaque and Gingivitis</t>
  </si>
  <si>
    <t>NCT06822517</t>
  </si>
  <si>
    <t>A Phase 1b Study of the NLRP3 Inhibitor VENT-02 in Patients With Mild to Moderate Parkinson's Disease</t>
  </si>
  <si>
    <t>Ventus Therapeutics U.S., Inc.</t>
  </si>
  <si>
    <t>NCT06475781</t>
  </si>
  <si>
    <t>Study to Evaluate Safety and Efficacy of Mirivadelgat in PH-ILD</t>
  </si>
  <si>
    <t>NCT06788912</t>
  </si>
  <si>
    <t>Pembrolizumab (MK-3475) Plus Investigational Agents in Resectable Non-small Cell Lung Cancer (NSCLC) (MK-3475-01E/KEYMAKER-U01)</t>
  </si>
  <si>
    <t>NCT06742892</t>
  </si>
  <si>
    <t>A Phase II Clinical Study to Evaluate HLX43 in Patients With Locally Advanced or Metastatic HCC Failed or Intolerance to Standard Therapy</t>
  </si>
  <si>
    <t>NCT06837142</t>
  </si>
  <si>
    <t>A Drug-drug Interaction Study With TS-172 in Healthy Adult Male Subjects</t>
  </si>
  <si>
    <t>NCT06867094</t>
  </si>
  <si>
    <t>A Study to Investigate Efficacy and Safety of SAR441566 in Patients With Ulcerative Colitis</t>
  </si>
  <si>
    <t>NCT06855745</t>
  </si>
  <si>
    <t>Phase 2 Randomized Double-blind Study to Assess Topical Zabalafin Hydrogel Vs Vehicle in Mild to Moderate AD.</t>
  </si>
  <si>
    <t>Alphyn Biologics</t>
  </si>
  <si>
    <t>NCT06800196</t>
  </si>
  <si>
    <t>A Study of KNT-0916 in Treatment of Unresectable or Metastatic Solid Tumors with FGFR2 Alterations</t>
  </si>
  <si>
    <t>KinoTeck Therapeutics Co., Ltd</t>
  </si>
  <si>
    <t>NCT06798207</t>
  </si>
  <si>
    <t>A Clinical Trial of TQB2102 for Injection in Gynecological Tumors With Recurrent/Metastatic Advanced</t>
  </si>
  <si>
    <t>NCT06644781</t>
  </si>
  <si>
    <t>A Study of Ifinatamab Deruxtecan in Subjects With Pretreated Advanced or Metastatic Esophageal Squamous Cell Carcinoma (ESCC) (IDeate-Esophageal01)</t>
  </si>
  <si>
    <t>NCT06834672</t>
  </si>
  <si>
    <t>Study of IBI354 Versus Investigator's Choice of Chemotherapy in Patients With Platinum-resistant Ovarian, Primary Peritoneal, or Fallopian Tube Cancer</t>
  </si>
  <si>
    <t>NCT06989112</t>
  </si>
  <si>
    <t>DESTINY-Endometrial01: A Phase III Study of Trastuzumab Deruxtecan Plus Rilvegostomig or Pembrolizumab as First-Line Treatment of HER2-Expressing (IHC 3+/2+), Mismatch Repair Proficient (pMMR) Endometrial Cancer</t>
  </si>
  <si>
    <t>NCT06910839</t>
  </si>
  <si>
    <t>Study to Learn About How the Study Medicines Called PF-07976016 and PF-06882961 Are Taken Up by the Body, and if Either of Them Change How the Body Processes the Other Medicine in Otherwise Healthy Adults With Overweight or Obesity</t>
  </si>
  <si>
    <t>NCT06914128</t>
  </si>
  <si>
    <t>A First-in-human Study to Learn How Safe BAY 3713372 is and How it Works in Participants With MTAP-deleted Solid Tumors</t>
  </si>
  <si>
    <t>NCT07119372</t>
  </si>
  <si>
    <t>Study of the Efficacy and Safety of BCD-131 and Mircera® in the Treatment of Anemia in Patients With Chronic Kidney Disease on Dialysis</t>
  </si>
  <si>
    <t>NCT06833008</t>
  </si>
  <si>
    <t>A Study to Assess a New Medicine Called IPN01195 When Administered Alone in Adults With Advanced Solid Tumours</t>
  </si>
  <si>
    <t>NCT06854276</t>
  </si>
  <si>
    <t>Study of SSS06 for Chemotherapy-Induced Anemia in Non-Myeloid Malignancies</t>
  </si>
  <si>
    <t>NCT07253246</t>
  </si>
  <si>
    <t>ENX-205 SAD/PET Study in Healthy Adults</t>
  </si>
  <si>
    <t>NCT06833983</t>
  </si>
  <si>
    <t>To Evaluate the Clinical Study of GS1191-0445 Injection in the Treatment of Hemophilia A</t>
  </si>
  <si>
    <t>Gritgen Therapeutics Co., Ltd.</t>
  </si>
  <si>
    <t>NCT06779253</t>
  </si>
  <si>
    <t>A Study to Investigate The Effect of Pimicotinib on The Pharmacokinetics of Metformin, Fexofenadine and Rosuvastatin In Healthy Subjects</t>
  </si>
  <si>
    <t>NCT06647069</t>
  </si>
  <si>
    <t>DR-0201 in Subjects With Autoimmune Diseases</t>
  </si>
  <si>
    <t>NCT06841315</t>
  </si>
  <si>
    <t>A Varegacestat Hepatic Impairment Study</t>
  </si>
  <si>
    <t>NCT06837259</t>
  </si>
  <si>
    <t>A Study to Learn if Study Medicines Called Cyclosporine and Clarithromycin Affect How the Body Processes the Other Study Medicine Called PF-07328948 in Healthy Adults</t>
  </si>
  <si>
    <t>NCT06877702</t>
  </si>
  <si>
    <t>A Single-dose Study to Evaluate the Safety, Tolerability, Drug Levels, and Relative Biological Availability of Alternate Formulations of BMS-986460 in Healthy Adult Male Participants</t>
  </si>
  <si>
    <t>NCT06859853</t>
  </si>
  <si>
    <t>A Study to Evaluate MWN109 Injection in Healthy Subjects</t>
  </si>
  <si>
    <t>Shanghai Minwei Biotechnology Co., Ltd</t>
  </si>
  <si>
    <t>NCT06854640</t>
  </si>
  <si>
    <t>A Study to Learn About How Safe BAY 3389934 is, Its Suitable Dose, and How it Affects the Participants With Sepsis Induced Coagulopathy</t>
  </si>
  <si>
    <t>NCT06304103</t>
  </si>
  <si>
    <t>A Study of Efficacy and Safety of AND017 in Patients With Myelodysplastic Syndrome</t>
  </si>
  <si>
    <t>NCT06677060</t>
  </si>
  <si>
    <t>Phase III Study Investigating Heart Failure and Cardiovascular Death With Baxdrostat in Combination With Dapagliflozin</t>
  </si>
  <si>
    <t>NCT05118672</t>
  </si>
  <si>
    <t>Phase 3 Clinical Trial to Evaluate Paracetamol /Fexofenadine /Phenylephrine in Flu and Cold Treatment</t>
  </si>
  <si>
    <t>NCT05913752</t>
  </si>
  <si>
    <t>A First in Human Study of CMND-100 in Healthy and Alcohol Use Disorder (AUD) Subjects</t>
  </si>
  <si>
    <t>Clearmind Medicine Inc.</t>
  </si>
  <si>
    <t>NCT06874621</t>
  </si>
  <si>
    <t>VY7523-102: Randomized, Placebo-Controlled, Double-Blind, Multiple Ascending Dose Study in Participants With Early Alzheimer's Disease</t>
  </si>
  <si>
    <t>Voyager Therapeutics</t>
  </si>
  <si>
    <t>NCT06845943</t>
  </si>
  <si>
    <t>A First-in-human Study of HCR-188 in Overweight or Obese Otherwise Healthy Volunteers Without Type 2 Diabetes</t>
  </si>
  <si>
    <t>Helicore Biopharma, Inc.</t>
  </si>
  <si>
    <t>NCT06819514</t>
  </si>
  <si>
    <t>The Safety and Efficacy of Intravenous EXG110 in Patients With Fabry Disease</t>
  </si>
  <si>
    <t>Guangzhou Jiayin Biotech Ltd</t>
  </si>
  <si>
    <t>NCT06873516</t>
  </si>
  <si>
    <t>Phase 2b Study of EVO756 in Adults With Moderate to Severe Chronic Spontaneous Urticaria (CSU)</t>
  </si>
  <si>
    <t>NCT06842355</t>
  </si>
  <si>
    <t>A Study of TYRA-300 in Children With Achondroplasia: BEACH301</t>
  </si>
  <si>
    <t>Tyra Biosciences, Inc</t>
  </si>
  <si>
    <t>NCT06903715</t>
  </si>
  <si>
    <t>A Clinical Study of Belzutifan (MK-6482) Alone or With Phenytoin in Healthy Participants (CA46602/MK-6482-035)</t>
  </si>
  <si>
    <t>NCT06858878</t>
  </si>
  <si>
    <t>Efficacy and Safety of Maridebart Cafraglutide in Adult Participants With Type 2 Diabetes Mellitus Who Have Obesity or Are Overweight</t>
  </si>
  <si>
    <t>NCT06980116</t>
  </si>
  <si>
    <t>Dose Determining Study of EXS73565 in Participants With Relapsed or Refractory B-Cell Malignancies</t>
  </si>
  <si>
    <t>Exscientia AI Ltd., a wholly owned subsidiary of Recursion Pharmaceuticals, Inc.</t>
  </si>
  <si>
    <t>NCT06857253</t>
  </si>
  <si>
    <t>A Study to Assess the Safety, Tolerability, Pharmacokinetics and Pharmacodynamics of HRS-1301 in Healthy Subjects</t>
  </si>
  <si>
    <t>NCT06840392</t>
  </si>
  <si>
    <t>A Phase 3 Study to Assess Efficacy Safety and Tolerability of Remibrutinib in Adult and Adolescent Patients With Moderate to Severe Hidradenitis Suppurativa</t>
  </si>
  <si>
    <t>NCT05387278</t>
  </si>
  <si>
    <t>Safety and Effectiveness of Placental Derived Exosomes and Umbilical Cord Mesenchymal Stem Cells in Moderate to Severe Acute Respiratory Distress Syndrome (ARDS) Associated With the Novel Corona Virus Infection (COVID-19)</t>
  </si>
  <si>
    <t>Vitti Labs, LLC</t>
  </si>
  <si>
    <t>NCT06753955</t>
  </si>
  <si>
    <t>Phase 1 Study of ART5803 Safety and PK After IVIG in Healthy Participants</t>
  </si>
  <si>
    <t>NCT06748625</t>
  </si>
  <si>
    <t>Efficacy of a Multidomain Intervention on Lifestyle Risk Factors for Dementia Prevention</t>
  </si>
  <si>
    <t>LuciLab</t>
  </si>
  <si>
    <t>NCT06866613</t>
  </si>
  <si>
    <t>Phase III Trial to Evaluate the Efficacy and Safety in Patients With Ankle Sprains.</t>
  </si>
  <si>
    <t>NCT06161974</t>
  </si>
  <si>
    <t>Study of Olutasidenib and Temozolomide in HGG</t>
  </si>
  <si>
    <t>Rigel Pharmaceuticals</t>
  </si>
  <si>
    <t>NCT06825169</t>
  </si>
  <si>
    <t>A Trial to Evaluate the Safety, Tolerability and Preliminary Efficacy of NCR101 in the Treatment of Subjects With Interstitial Lung Disease</t>
  </si>
  <si>
    <t>NCT06835569</t>
  </si>
  <si>
    <t>A Study to Learn About Study Medicine ALTA3263 in Adults With Advanced Solid Tumors With KRAS Mutations</t>
  </si>
  <si>
    <t>NCT04069286</t>
  </si>
  <si>
    <t>EFFICACY OF ORAL AROEIRA (Schinus Terebinthifolia Raddi) COMPARED TO OMEPRAZOLE IN DYSPEPPSIA</t>
  </si>
  <si>
    <t>Infan Industria Quimica Farmaceutica Nacional</t>
  </si>
  <si>
    <t>NCT06594523</t>
  </si>
  <si>
    <t>A Phase 3 Study Evaluating the Safety and Efficacy of Denifanstat in Patients With MASH and F2/F3 Fibrosis</t>
  </si>
  <si>
    <t>NCT06749054</t>
  </si>
  <si>
    <t>Evaluation of Long-Acting Lenacapavir for the Treatment of HIV-1 in Treatment-experienced Adolescents and Children</t>
  </si>
  <si>
    <t>NCT06982729</t>
  </si>
  <si>
    <t>Study of YK012 in Primary Membranous Nephropathy</t>
  </si>
  <si>
    <t>NCT07264205</t>
  </si>
  <si>
    <t>RT-310 Safety and Feasibility BPH Study</t>
  </si>
  <si>
    <t>NCT06854952</t>
  </si>
  <si>
    <t>A Clinical Study to Evaluate the Efficacy, Safety, and Tolerability of TERN-601 in Adults With Overweight or Obesity</t>
  </si>
  <si>
    <t>NCT06932328</t>
  </si>
  <si>
    <t>Qinqiao Yan Shu Granules for the Treatment of Acute Pharyngitis (Exterior Wind-Heat Syndrome) Phase II Clinical Trial</t>
  </si>
  <si>
    <t>Jianmin Pharmaceutical Group Co., LTD.</t>
  </si>
  <si>
    <t>NCT06690515</t>
  </si>
  <si>
    <t>Phase I/II, Open Label, Randomized, Safety and Immunogenicity Following DTwP-Hepatitis B-Hib-IPV Vaccine (Bio Farma) in Indonesian Infants</t>
  </si>
  <si>
    <t>PT Bio Farma</t>
  </si>
  <si>
    <t>NCT06901336</t>
  </si>
  <si>
    <t>A Study of LY4064809 [14C]-STX-478 in Healthy Male Participants</t>
  </si>
  <si>
    <t>Scorpion Therapeutics, a wholly owned subsidiary of Eli Lilly and Company</t>
  </si>
  <si>
    <t>NCT06907290</t>
  </si>
  <si>
    <t>A Trial Evaluating BJT-778 vs Delayed Treatment for the Treatment of Chronic Hepatitis Delta Infection</t>
  </si>
  <si>
    <t>NCT06815627</t>
  </si>
  <si>
    <t>Safety and Efficacy Evaluation of NH002 as a Contrast Agent in Subjects Undergoing Cardiac Echocardiography</t>
  </si>
  <si>
    <t>Trust Bio-sonics, Inc.</t>
  </si>
  <si>
    <t>NCT06157151</t>
  </si>
  <si>
    <t>PRGN-2009 in Combination With Pembrolizumab Versus Pembrolizumab in Patients With Recurrent or Metastatic Cervical Cancer</t>
  </si>
  <si>
    <t>NCT06834295</t>
  </si>
  <si>
    <t>A Study to Evaluate Metabolism, Excretion, and Mass Balance of [14C]Vapendavir</t>
  </si>
  <si>
    <t>Altesa Biosciences, Inc.</t>
  </si>
  <si>
    <t>NCT06878261</t>
  </si>
  <si>
    <t>A Study to Investigate the Efficacy and Safety of Tezepelumab in Adult Participants With Moderate to Very Severe COPD (D5241C00007)</t>
  </si>
  <si>
    <t>NCT06925594</t>
  </si>
  <si>
    <t>Phase 3 Study of Human TH-SC01 Cell Injection for Treating Perianal Fistulas in Patients With Crohn's Disease</t>
  </si>
  <si>
    <t>NCT06858839</t>
  </si>
  <si>
    <t>Evaluation of Maridebart Cafraglutide in Adult Participants Without Type 2 Diabetes Mellitus Who Have Obesity or Are Overweight</t>
  </si>
  <si>
    <t>NCT06799065</t>
  </si>
  <si>
    <t>First-in-Human Study of ATX-295, an Oral Inhibitor of KIF18A, in Patients With Advanced or Metastatic Solid Tumors, Including Ovarian Cancer</t>
  </si>
  <si>
    <t>NCT06687928</t>
  </si>
  <si>
    <t>To Compare the Pharmacokinetics, Safety, and Immunogenicity of Subcutaneous CT-P6 and Herceptin in Healthy Male Subjects (Trastuzumab)</t>
  </si>
  <si>
    <t>NCT06756451</t>
  </si>
  <si>
    <t>This Study is a FIH Study Which is Required to Understand the PK Characteristics, MTD, RP2D and Safety Profile.</t>
  </si>
  <si>
    <t>NCT06841354</t>
  </si>
  <si>
    <t>A Study of Sacituzumab Tirumotecan (Sac-TMT, MK-2870) as Monotherapy and in Combination With Pembrolizumab (MK-3475) in Participants With Triple-Negative Breast Cancer (MK-2870-011/TroFuse-011)</t>
  </si>
  <si>
    <t>NCT05195294</t>
  </si>
  <si>
    <t>Study of HBV-TCR T Cells (LioCyx-M) as Monotherapy or as Combination With Lenvatinib for HBV-related HCC</t>
  </si>
  <si>
    <t>NCT07071610</t>
  </si>
  <si>
    <t>A Study to Evaluate the Efficacy and Safety of LNK01004 Ointment in Adults With Atopic Dermatitis</t>
  </si>
  <si>
    <t>NCT06752590</t>
  </si>
  <si>
    <t>A Clinical Study of ONO-1110 in Patients With Fibromyalgia</t>
  </si>
  <si>
    <t>NCT06927960</t>
  </si>
  <si>
    <t>Evaluation of the Safety, Tolerability and Pharmacokinetics of AH-001 Following Topical Single and Multiple Ascending Dose Administration</t>
  </si>
  <si>
    <t>AnHorn Medicines Co. Ltd.</t>
  </si>
  <si>
    <t>NCT06745284</t>
  </si>
  <si>
    <t>A Study to Test Whether Survodutide Improves How the Body Uses Energy and Breaks Down Fat in People With Obesity</t>
  </si>
  <si>
    <t>NCT06842199</t>
  </si>
  <si>
    <t>Efficacy, Safety, Pharmacokinetics of ICP-488 in Patients With Moderate to Severe Plaque Psoriasis</t>
  </si>
  <si>
    <t>NCT06389110</t>
  </si>
  <si>
    <t>Study to Evaluate the Efficacy of Alleance® (Atropine Sulfate 0.01%) as a Treatment to Delay Myopia and Axial Ocular Elongation in Children.</t>
  </si>
  <si>
    <t>NCT06909474</t>
  </si>
  <si>
    <t>Clinical Trial of CD5-targeted CAR-NK Therapy for Relapse/Refractory T-Cell Hematologic Malignancies</t>
  </si>
  <si>
    <t>NCT06835296</t>
  </si>
  <si>
    <t>A Study of Oral YUQ-A1007 in Healthy Volunteers</t>
  </si>
  <si>
    <t>Allianthera (Suzhou) Biopharmaceuticals Co., Ltd.</t>
  </si>
  <si>
    <t>NCT06402565</t>
  </si>
  <si>
    <t>NOX1416 in Treatment of Chronic Non-Healing Diabetic Foot Ulcers</t>
  </si>
  <si>
    <t>NOxy Health Products, LLC</t>
  </si>
  <si>
    <t>NCT06828393</t>
  </si>
  <si>
    <t>A Phase 1 Study of S-1117</t>
  </si>
  <si>
    <t>Seismic Therapeutic AU Pty Ltd</t>
  </si>
  <si>
    <t>NCT06797635</t>
  </si>
  <si>
    <t>Study of Patritumab Deruxtecan Plus Pembrolizumab With Other Anticancer Agents in Participants With High-Risk Early-Stage Triple-Negative or Hormone Receptor-Low Positive/HER-2 Negative Breast Cancer (MK-1022-010, HERTHENA-Breast-03)</t>
  </si>
  <si>
    <t>NCT07039890</t>
  </si>
  <si>
    <t>To Compare and Evaluate the Oral Bioavailability of Empagliflozin + Linagliptin 10 mg/5 mg Filmcoated Tablets With That of Glyxambi 10 mg/ 5 mg Film-coated Tablets in Healthy, Adult, Human Subjects Under Fasting Conditions.</t>
  </si>
  <si>
    <t>NCT06716138</t>
  </si>
  <si>
    <t>A Study to Investigate ANS03 in Participants With Locally Advanced or Metastatic Solid Tumors</t>
  </si>
  <si>
    <t>NCT06890611</t>
  </si>
  <si>
    <t>A Study of Bimagrumab Alone (LY3985863) and Bimagrumab With Tirzepatide (LY900042) in Healthy Participants</t>
  </si>
  <si>
    <t>NCT06920056</t>
  </si>
  <si>
    <t>A Study of BGM0504 in Overweight or Obese Participants</t>
  </si>
  <si>
    <t>NCT06564883</t>
  </si>
  <si>
    <t>Hydration and Acceptability of the Genital and Skin Mucosa of a Vaginal Moisturizer in Menopausal Women</t>
  </si>
  <si>
    <t>Biolab Sanus Farmaceutica</t>
  </si>
  <si>
    <t>NCT06829199</t>
  </si>
  <si>
    <t>A Clinical Study of Boserolimab (MK-5890) With Pembrolizumab and Chemotherapy in People With Early Triple-Negative Breast Cancer (MK-5890-003)</t>
  </si>
  <si>
    <t>NCT06824987</t>
  </si>
  <si>
    <t>Dose-Ranging Safety, Tolerability, and Efficacy Study of AZD2373 in Participants With APOL1-Mediated Kidney Disease</t>
  </si>
  <si>
    <t>NCT06922110</t>
  </si>
  <si>
    <t>An Open-Label Study of Azetukalner in Major Depressive Disorder</t>
  </si>
  <si>
    <t>NCT06927986</t>
  </si>
  <si>
    <t>Phase III Trial of SYS6010 Versus Platinum-based Chemotherapy for EGFR-mutated NSCLC（SYNSTAR01）</t>
  </si>
  <si>
    <t>NCT06699771</t>
  </si>
  <si>
    <t>Phase 1 to Investigate the Safety, Tolerability, and Efficacy of GCC2005 in Patients With R/R NK and T-cell Malignancies</t>
  </si>
  <si>
    <t>NCT06807463</t>
  </si>
  <si>
    <t>A Trial to Assess the Efficacy and Safety of TEV-53408 in Adults With Celiac Disease</t>
  </si>
  <si>
    <t>NCT06944717</t>
  </si>
  <si>
    <t>A Trial of a Norovirus G1.1 and G2.4 Vaccine Administered Orally to Healthy Participants Aged ≥ 18 Years and ≤ 80 Years Old</t>
  </si>
  <si>
    <t>NCT07045454</t>
  </si>
  <si>
    <t>A Study of MHB118C Injection in Patients With Advanced Solid Tumors</t>
  </si>
  <si>
    <t>NCT07029399</t>
  </si>
  <si>
    <t>A Study With NKT5097 for Adults With Advanced/Metastatic Solid Tumors</t>
  </si>
  <si>
    <t>NCT06997367</t>
  </si>
  <si>
    <t>Safety and Immunogenicity of a Mycobacterium Tuberculosis Vaccine MTBVAC in Healthy Indian Adults and Adolescents (BBV169/2024)</t>
  </si>
  <si>
    <t>NCT06764485</t>
  </si>
  <si>
    <t>A Study to Compare the Efficacy and Safety of BMS-986365 Versus the Investigator's Choice of Therapy in Participants With Metastatic Castration-resistant Prostate Cancer</t>
  </si>
  <si>
    <t>NCT06895967</t>
  </si>
  <si>
    <t>A Study of TAK-881 and HyQvia in Healthy Adults</t>
  </si>
  <si>
    <t>NCT06892639</t>
  </si>
  <si>
    <t>Evaluation of D-Fi for the Treatment of Wounds Due to DEB</t>
  </si>
  <si>
    <t>Castle Creek Biosciences, LLC.</t>
  </si>
  <si>
    <t>NCT06912295</t>
  </si>
  <si>
    <t>Assess the Safety, Tolerability, and Pharmacokinetics of HL-1186 in Healthy Participants</t>
  </si>
  <si>
    <t>NCT06796907</t>
  </si>
  <si>
    <t>A Study of GSK5733584 in Combination With Anti-cancer Therapies for Advanced Solid Tumors</t>
  </si>
  <si>
    <t>NCT06668181</t>
  </si>
  <si>
    <t>An Open-label Study to Evaluate the Pharmacokinetics and Safety of Bimekizumab in Pediatric Study Participants With Active Juvenile Idiopathic Arthritis Subtypes Enthesitis-related Arthritis (Including Juvenile-onset Ankylosing Spondylitis) and Juvenile Psoriatic Arthritis</t>
  </si>
  <si>
    <t>NCT06806033</t>
  </si>
  <si>
    <t>A Study to Evaluate the Optimization of the Cytokine Release Syndrome Profile for Glofitamab in Combination With Gemcitabine Plus Oxaliplatin in Participants With Relapsed/Refractory Aggressive B-Cell Non-Hodgkin's Lymphoma</t>
  </si>
  <si>
    <t>NCT06397131</t>
  </si>
  <si>
    <t>A Study to Determine the Safety and Efficacy of NT-501 With MHFM</t>
  </si>
  <si>
    <t>Neurotech Pharmaceuticals</t>
  </si>
  <si>
    <t>NCT06895031</t>
  </si>
  <si>
    <t>Study of JYP0015 in Patients With Advanced Solid Tumors Harboring Specific Mutations in RAS</t>
  </si>
  <si>
    <t>Guangzhou JOYO Pharma Co., Ltd</t>
  </si>
  <si>
    <t>NCT06870058</t>
  </si>
  <si>
    <t>A Study of NH280105 in Healthy Adult Participants</t>
  </si>
  <si>
    <t>NCT06846684</t>
  </si>
  <si>
    <t>A Open-label, Drug-Drug Interaction With SB_MDZ in Healty Adult Subjects</t>
  </si>
  <si>
    <t>NCT06874335</t>
  </si>
  <si>
    <t>A Phase 1 Study of BHV-1530 in Advanced Solid Tumors</t>
  </si>
  <si>
    <t>NCT06795048</t>
  </si>
  <si>
    <t>A Study to Determine the Efficacy, Safety, and Durability of Faricimab in Participants With Neovascular Age-Related Macular Degeneration</t>
  </si>
  <si>
    <t>NCT06689085</t>
  </si>
  <si>
    <t>52 Week Study + 24-Month Long-Term Extension of Safety, PK, &amp; Efficacy of XYOSTED® for Testosterone Replacement in Male Adolescents With Hypogonadism</t>
  </si>
  <si>
    <t>Halozyme Therapeutics</t>
  </si>
  <si>
    <t>NCT06891365</t>
  </si>
  <si>
    <t>Multiple Dose Study for a New Medication to Potentially Treat Liver Diseases</t>
  </si>
  <si>
    <t>NCT06818812</t>
  </si>
  <si>
    <t>A Study to Evaluate INCB186748 in Participants With Advanced or Metastatic Solid Tumors With KRAS G12D Mutation</t>
  </si>
  <si>
    <t>NCT06903117</t>
  </si>
  <si>
    <t>Anti-CEA CAR-T for Advanced CEA-Positive Lung Carcinoma</t>
  </si>
  <si>
    <t>NCT07274059</t>
  </si>
  <si>
    <t>Allogeneic UCB-derived CAR-T for SLE</t>
  </si>
  <si>
    <t>Chengdu Ucello Biotechnology Co., Ltd.</t>
  </si>
  <si>
    <t>NCT06908954</t>
  </si>
  <si>
    <t>A Study of the Blood Levels of Palovarotene in Participants With Abnormal Liver Function Compared to Healthy Adult Participants After Intake of a Single Dose</t>
  </si>
  <si>
    <t>NCT06771622</t>
  </si>
  <si>
    <t>Safety and Efficacy of HCB101 in Combination With Multiple Agents in Patients With Advanced Solid Tumors</t>
  </si>
  <si>
    <t>FBD Biologics Limited</t>
  </si>
  <si>
    <t>NCT06886919</t>
  </si>
  <si>
    <t>Clinical Study Evaluating the Safety and Efficacy of IC19 CAR-T Cell Therapy for Refractory Systemic Lupus Erythematosus</t>
  </si>
  <si>
    <t>NCT06873854</t>
  </si>
  <si>
    <t>A Study of LM-108 in Combination With Toripalimab in Subjects With Advanced Solid Tumours</t>
  </si>
  <si>
    <t>NCT06840483</t>
  </si>
  <si>
    <t>Study of Zelenectide Pevedotin in Participants With Advanced Breast Cancer</t>
  </si>
  <si>
    <t>NCT06911567</t>
  </si>
  <si>
    <t>A Study to Assess New Formulations of TEV-56286</t>
  </si>
  <si>
    <t>NCT06738979</t>
  </si>
  <si>
    <t>A Clinical Study Comparing Semaglutide Injection and Wegovy® for Weight Management in Obese Subjects</t>
  </si>
  <si>
    <t>NCT06887127</t>
  </si>
  <si>
    <t>A Long-term Extension Clinical Study of TLL-018 in Patients With Rheumatoid Arthritis</t>
  </si>
  <si>
    <t>NCT06888661</t>
  </si>
  <si>
    <t>Clinical Trial to Assess the Safety and Efficacy of EXG001-307 in Patients With Spinal Muscular Atrophy</t>
  </si>
  <si>
    <t>NCT07305779</t>
  </si>
  <si>
    <t>A Trial to Test the Effects of Other Drugs on SEP-380135 in Healthy Men and Women</t>
  </si>
  <si>
    <t>NCT06652737</t>
  </si>
  <si>
    <t>Age De-escalation Safety Trial of PfSPZ-LARC2 Vaccine in Burkina Faso</t>
  </si>
  <si>
    <t>Sanaria Inc.</t>
  </si>
  <si>
    <t>NCT06848231</t>
  </si>
  <si>
    <t>A Phase 2 Study of YA-101 in Patients With Multiple System Atrophy</t>
  </si>
  <si>
    <t>Yoda Therapeutics Inc.</t>
  </si>
  <si>
    <t>NCT06673056</t>
  </si>
  <si>
    <t>A Pivotal Study of N-Acetyl-L-Leucine on Ataxia-Telangiectasia (A-T)</t>
  </si>
  <si>
    <t>IntraBio Inc</t>
  </si>
  <si>
    <t>NCT06864026</t>
  </si>
  <si>
    <t>A Study to Investigate Effectiveness of Tirzepatide Following Initiation of Ixekizumab in Participants With Active Psoriatic Arthritis and Overweight or Obesity in Clinical Practice (TOGETHER AMPLIFY-PsA)</t>
  </si>
  <si>
    <t>NCT06911216</t>
  </si>
  <si>
    <t>A Pharmacokinetics (PK) Study in Healthy Adults</t>
  </si>
  <si>
    <t>NCT06861829</t>
  </si>
  <si>
    <t>A Study in Healthy Men to Test Whether Food Influences the Amount of BI 3731579 in the Blood</t>
  </si>
  <si>
    <t>NCT06892834</t>
  </si>
  <si>
    <t>Assessing Gingivitis of 3 Different Dentifrices Compared to a Negative Control.</t>
  </si>
  <si>
    <t>Procter and Gamble</t>
  </si>
  <si>
    <t>NCT06932263</t>
  </si>
  <si>
    <t>Dose Range Finding Study to Assess Efficacy and Safety of Tozorakimab in Adults With Uncontrolled Asthma on Medium-to-High Dose Inhaled Corticosteroids</t>
  </si>
  <si>
    <t>NCT07180511</t>
  </si>
  <si>
    <t>A Phase III Clinical Study of QY201 Tablet in Subjects With Moderate to Severe Atopic Dermatitis.</t>
  </si>
  <si>
    <t>E-nitiate Biopharmaceuticals (Hangzhou) Co., Ltd.</t>
  </si>
  <si>
    <t>NCT06783881</t>
  </si>
  <si>
    <t>Single-ascending Dose Study of Kylo-12 in Healthy Subjects</t>
  </si>
  <si>
    <t>NCT06832410</t>
  </si>
  <si>
    <t>An Efficacy, Safety, and Tolerability Study of VX-880 in Participants With Type 1 Diabetes With a Kidney Transplant</t>
  </si>
  <si>
    <t>NCT06778265</t>
  </si>
  <si>
    <t>An Exploratory Clinical Study of UX-DA001 in Subjects With Idiopathic Parkinson's Disease</t>
  </si>
  <si>
    <t>Shanghai UniXell Biotechnology Co., Ltd</t>
  </si>
  <si>
    <t>NCT06895928</t>
  </si>
  <si>
    <t>A Trial of SHR-A2102 With Other Antitumor Therapies in Advanced Solid Tumors</t>
  </si>
  <si>
    <t>NCT06799520</t>
  </si>
  <si>
    <t>A Phase 1 Trial to Evaluate the Safety, Tolerability, Pharmacodynamics, Pharmacokinetics, and Immunogenicity of VIS171 in Participants With Autoimmune Disease(s)</t>
  </si>
  <si>
    <t>NCT06665425</t>
  </si>
  <si>
    <t>PK,PD and DDI of Epaminurad and C2406 in Healthy Volunteers</t>
  </si>
  <si>
    <t>NCT06893796</t>
  </si>
  <si>
    <t>Safety, Tolerability, and PK/PD of Telpegfilgrastim in Premenopausal Non-pregnant Females</t>
  </si>
  <si>
    <t>NCT06894862</t>
  </si>
  <si>
    <t>A Study of the Safety, Tolerability, and Pharmacokinetics of NYR-BI03 in Healthy Participants</t>
  </si>
  <si>
    <t>Nyrada Pty Ltd</t>
  </si>
  <si>
    <t>NCT06592638</t>
  </si>
  <si>
    <t>A Phase 1 Dose Escalation Study of ZG006 in Patients With Small Cell Lung Cancer</t>
  </si>
  <si>
    <t>NCT06897202</t>
  </si>
  <si>
    <t>A Study to Evaluate the Efficacy and Safety of Once-Weekly MET097 in Adults With Obesity or Overweight and T2DM</t>
  </si>
  <si>
    <t>NCT07275736</t>
  </si>
  <si>
    <t>A Study of CNCT19 in the Treatment of Relapsed or Refractory Neurological Autoimmune Diseases</t>
  </si>
  <si>
    <t>NCT06854445</t>
  </si>
  <si>
    <t>Clinical Trial of TQB2825 Injection Combined With Chemotherapy in Subjects With Diffuse Large B-cell Lymphoma</t>
  </si>
  <si>
    <t>NCT06560138</t>
  </si>
  <si>
    <t>A Trial of SHR-4602 Infusion in Patients With SHR-4602 in Subjects With HER2-expressing or HER2-mutated Locally Advanced or Metastatic Solid Tumors</t>
  </si>
  <si>
    <t>NCT06175767</t>
  </si>
  <si>
    <t>A Study to Evaluate the Safety, Tolerability and Efficacy of MT101-5 in Subjects with Early Parkinson's Disease</t>
  </si>
  <si>
    <t>Mthera Pharma Co., Ltd.</t>
  </si>
  <si>
    <t>NCT06658535</t>
  </si>
  <si>
    <t>A Dose Escalation Study of NanO2 in Patients With Mild Respiratory Distress</t>
  </si>
  <si>
    <t>NuvOx LLC</t>
  </si>
  <si>
    <t>NCT05517980</t>
  </si>
  <si>
    <t>Efficacy, Safety, Pharmacokinetics, and Pharmacodynamics of KP104 to Treat Glomerulonephritis</t>
  </si>
  <si>
    <t>Kira Pharmacenticals (US), LLC.</t>
  </si>
  <si>
    <t>NCT06757010</t>
  </si>
  <si>
    <t>A Study of NE3107 in Early Parkinson's</t>
  </si>
  <si>
    <t>BioVie Inc.</t>
  </si>
  <si>
    <t>NCT06665828</t>
  </si>
  <si>
    <t>Phase 1 Safety and Tolerability Study of REGN9533 in Healthy Adults</t>
  </si>
  <si>
    <t>NCT06521567</t>
  </si>
  <si>
    <t>A Study of Cobolimab Plus Dostarlimab in Pediatric and Young Adult Participants With Cancer</t>
  </si>
  <si>
    <t>NCT06857227</t>
  </si>
  <si>
    <t>A Study of GNC-038 Tetra-specific Antibody Injection in Patients With Rheumatoid Arthritis</t>
  </si>
  <si>
    <t>NCT07453446</t>
  </si>
  <si>
    <t>Clinical Study of U29 Injection (CD30-CART) in Patients With CD30-Positive Relapsed/Refractory Lymphoma</t>
  </si>
  <si>
    <t>NCT06874842</t>
  </si>
  <si>
    <t>Safety and Immunogenicity of the Recombinant Zoster Vaccine, LYB004 in Adults Aged 40 Years and Older</t>
  </si>
  <si>
    <t>NCT06868732</t>
  </si>
  <si>
    <t>Evaluation of JSKN016 Combination Therapy in Subjects with NSCLC</t>
  </si>
  <si>
    <t>NCT06846515</t>
  </si>
  <si>
    <t>Phase 3 Evaluation of Efficacy and Safety of AR882 in Gout Patients (AR882-301)</t>
  </si>
  <si>
    <t>NCT06801002</t>
  </si>
  <si>
    <t>Trial to Evaluate the Safety &amp; Tolerability of JBZ-001 in Pts With Advanced Solid and Hematological Malignancies</t>
  </si>
  <si>
    <t>Jabez Bioscience, Inc</t>
  </si>
  <si>
    <t>NCT06819878</t>
  </si>
  <si>
    <t>A Study to Assess the Efficacy and Safety of Induction and Maintenance Therapy With Afimkibart (RO7790121) in Participants With Moderately to Severely Active Crohn's Disease</t>
  </si>
  <si>
    <t>NCT06960148</t>
  </si>
  <si>
    <t>Dentinal Hypersensitivity Reduction Efficacy Study</t>
  </si>
  <si>
    <t>NCT06613217</t>
  </si>
  <si>
    <t>Study of Oral PCLX-001 in R/R Acute Myeloid Leukemia</t>
  </si>
  <si>
    <t>Pacylex Pharmaceuticals</t>
  </si>
  <si>
    <t>NCT06917508</t>
  </si>
  <si>
    <t>A Study to Evaluate the Drug-Drug Interaction of EDP-323 With Midazolam, Caffeine, and Rosuvastatin in Healthy Participants</t>
  </si>
  <si>
    <t>NCT06655246</t>
  </si>
  <si>
    <t>A Study of Ziftomenib in Combination With Imatinib in Patients With Advanced Gastrointestinal Stromal Tumors (GIST)</t>
  </si>
  <si>
    <t>NCT06803680</t>
  </si>
  <si>
    <t>A Study of BGB-B455 in Adults With Advanced or Metastatic Solid Tumors</t>
  </si>
  <si>
    <t>NCT06851858</t>
  </si>
  <si>
    <t>Efficacy, Safety and Tolerability of AZD6234 in Participants Living With Overweight or Obesity With Type 2 Diabetes Who Are on a Stable Dose of GLP-1 Receptor Agonist</t>
  </si>
  <si>
    <t>NCT06823609</t>
  </si>
  <si>
    <t>Phase I Clinical Study of QLS-1304 in the Treatment of Patients With Advanced Malignant Tumors</t>
  </si>
  <si>
    <t>NCT06704009</t>
  </si>
  <si>
    <t>NT-101 Topical Ophthalmic Solution in Patients With Wet AMD</t>
  </si>
  <si>
    <t>NexThera Co., Ltd.</t>
  </si>
  <si>
    <t>NCT06900816</t>
  </si>
  <si>
    <t>A Comparison Study Between Adolescents With Asthma and Adults With Asthma on How They Absorb, Metabolise and Eliminate CHF 6001</t>
  </si>
  <si>
    <t>NCT06716905</t>
  </si>
  <si>
    <t>Safety, Tolerability, and Pharmacokinetics of ACT500 in Healthy Adult Participants</t>
  </si>
  <si>
    <t>NCT06887972</t>
  </si>
  <si>
    <t>A Single-Arm Study Evaluating the Effectiveness and Safety of Suzetrigine (SUZ) for Acute Pain After Aesthetic or Reconstructive Surgeries</t>
  </si>
  <si>
    <t>NCT06888492</t>
  </si>
  <si>
    <t>To Evaluate the Safety and Preliminary Efficacy of Intravitreal EXG202 Injection in Patients with Wet (neovascular) Age-related Macular Degeneration (wAMD)</t>
  </si>
  <si>
    <t>NCT06671483</t>
  </si>
  <si>
    <t>A Study of Zasocitinib in Adults With Psoriatic Arthritis Who Have Not Taken Biologic Medicines</t>
  </si>
  <si>
    <t>NCT07131254</t>
  </si>
  <si>
    <t>A Clinical Study Evaluating the Safety and Efficacy of GT719 Universal Cell Injection in Adult Participants With Relapsed/Refractory CD19-positive B-cell Malignant Hematological Tumors</t>
  </si>
  <si>
    <t>NCT06828354</t>
  </si>
  <si>
    <t>A Study of SHR-A1811 in Subjects With Ovarian Cancer</t>
  </si>
  <si>
    <t>NCT06852456</t>
  </si>
  <si>
    <t>QL1706 in Combination With Neoadjuvant Chemotherapy Versus Neoadjuvant Chemotherapy for Locally Advanced, Resectable Esophageal Squamous Cell Carcinoma</t>
  </si>
  <si>
    <t>NCT06859931</t>
  </si>
  <si>
    <t>Clinical Trial of TQB3702 Tablets in Subjects With Systemic Lupus Erythematosus (SLE)</t>
  </si>
  <si>
    <t>NCT06837077</t>
  </si>
  <si>
    <t>Study of SHR-1209 Administered by Single-site or Multiple-site Subcutaneous Injections in Healthy Volunteers</t>
  </si>
  <si>
    <t>NCT07056777</t>
  </si>
  <si>
    <t>Evaluation of the Preliminary Efficacy and Safety of DR30206 in Combination With Standard Therapy in Patients With Gastrointestinal Cancer</t>
  </si>
  <si>
    <t>NCT06772597</t>
  </si>
  <si>
    <t>A Study of Setmelanotide in Patients With Prader-Willi Syndrome</t>
  </si>
  <si>
    <t>NCT06760182</t>
  </si>
  <si>
    <t>Clinical Trial of TQH2722 Injection in Patients With Seasonal Allergic Rhinitis</t>
  </si>
  <si>
    <t>NCT06857942</t>
  </si>
  <si>
    <t>A Study to Investigate the Effectiveness of Tirzepatide (LY3298176) Following Initiation of Ixekizumab (LY2439821) in Participants With Moderate-to-Severe Plaque PsO and Obesity or Overweight in Clinical Practice (TOGETHER AMPLIFY-PsO)</t>
  </si>
  <si>
    <t>NCT06671496</t>
  </si>
  <si>
    <t>A Study of Zasocitinib in Adults With Psoriatic Arthritis Who Have or Have Not Been Treated With Biologic Medicines</t>
  </si>
  <si>
    <t>NCT06882746</t>
  </si>
  <si>
    <t>A Study to Test Different Doses of BI 765049 in People With Advanced Cancer of the Colon, Rectum, Stomach, or Pancreas</t>
  </si>
  <si>
    <t>NCT06925542</t>
  </si>
  <si>
    <t>A Safety and Efficacy Study Evaluating CTX112 in Adult Subjects With Refractory Autoimmune Disease</t>
  </si>
  <si>
    <t>NCT06869551</t>
  </si>
  <si>
    <t>A Study to Evaluate the Drug Levels, Efficacy, and Safety of Deucravacitinib (BMS-986165) in Pediatric Participants With Juvenile Psoriatic Arthritis</t>
  </si>
  <si>
    <t>NCT06931327</t>
  </si>
  <si>
    <t>To Evaluate the Safety and Pharmacokinetic Characteristics of AJU-C711 in Healthy Adults</t>
  </si>
  <si>
    <t>AJU Pharm Co., Ltd.</t>
  </si>
  <si>
    <t>NCT06891703</t>
  </si>
  <si>
    <t>[18F]ACI-15916 PET in α-synucleinopathies</t>
  </si>
  <si>
    <t>NCT06819761</t>
  </si>
  <si>
    <t>Determining the Viability a Lozenge Dosage for Probiotics</t>
  </si>
  <si>
    <t>Ostia Sciences</t>
  </si>
  <si>
    <t>NCT06859294</t>
  </si>
  <si>
    <t>A Study of LY3541860 in Adult Participants With Moderately to Severely Active Rheumatoid Arthritis</t>
  </si>
  <si>
    <t>NCT06977737</t>
  </si>
  <si>
    <t>A Study of ATTR-01 in Participants With Select Epithelial Solid Tumours</t>
  </si>
  <si>
    <t>Accession Therapeutics Limited</t>
  </si>
  <si>
    <t>NCT06885840</t>
  </si>
  <si>
    <t>Study of MCLA-129 in the Treatment of Advanced Non-small Cell Lung Cancer with AGA and MET Amplification.</t>
  </si>
  <si>
    <t>NCT07146711</t>
  </si>
  <si>
    <t>A Comparative Bioavalability Study of Tamsulosin 0.4 mg Prolonged-release Tablets Versus the Reference Drug Omnic Ocas®, Tabsulosine 0.4 mg Tablets in Healthy Adult Male Subjects, at Steady State</t>
  </si>
  <si>
    <t>Berlin-Chemie AG Menarini Group</t>
  </si>
  <si>
    <t>NCT06844474</t>
  </si>
  <si>
    <t>A Phase II Clinical Study of SHR-1826 for Injection in Patients With NSCLC</t>
  </si>
  <si>
    <t>NCT06899061</t>
  </si>
  <si>
    <t>Modular Clinical Pharmacology Study to Evaluate the Drug-drug Interaction Potential and Relative Bioavailability of Saruparib</t>
  </si>
  <si>
    <t>NCT06867406</t>
  </si>
  <si>
    <t>A Trial to Evaluate KPC000154 Tablets in Healthy Subjects</t>
  </si>
  <si>
    <t>Kunming Pharmaceuticals, Inc.</t>
  </si>
  <si>
    <t>NCT06975514</t>
  </si>
  <si>
    <t>Safety and Efficacy Study of YZJ-1139 Tablets in Insomnia Disorder</t>
  </si>
  <si>
    <t>NCT06756035</t>
  </si>
  <si>
    <t>CT-95 in Advanced Cancers Associated With Mesothelin Expression</t>
  </si>
  <si>
    <t>NCT06887010</t>
  </si>
  <si>
    <t>A Study to Assess How Food Affects the Movement of Oral ABBV-101 Through the Body of Healthy Adult Participants</t>
  </si>
  <si>
    <t>NCT06911242</t>
  </si>
  <si>
    <t>A Comparison of the Pharmacokinetic Properties of ARN-75039 Tablets With Excipients to Neat ARN-75039 in Hydroxypropyl Methylcellulose (HPMC) Capsules in Healthy Adult Participants Under Fed Conditions</t>
  </si>
  <si>
    <t>Arisan Therapeutics, Inc.</t>
  </si>
  <si>
    <t>NCT06886360</t>
  </si>
  <si>
    <t>Study with Norucholic Acid Tablets in Patients with Primary Sclerosing Cholangitis (PSC)</t>
  </si>
  <si>
    <t>NCT06826196</t>
  </si>
  <si>
    <t>A Clinical Study to Evaluate the Safety, Tolerability, Pharmacokinetics and Preliminary Efficacy of ALD-102 Solution in Subjects With Alopecia Areata</t>
  </si>
  <si>
    <t>Aldena Therapeutics</t>
  </si>
  <si>
    <t>NCT06897475</t>
  </si>
  <si>
    <t>A Study of LY3457263 Compared With Placebo in Participants With Type 2 Diabetes on a Stable Dose of Semaglutide or Tirzepatide</t>
  </si>
  <si>
    <t>NCT06560762</t>
  </si>
  <si>
    <t>Study in Participants With Heart Failure With Preserved Ejection Fraction (HFpEF)</t>
  </si>
  <si>
    <t>Secretome Therapeutics</t>
  </si>
  <si>
    <t>NCT05504187</t>
  </si>
  <si>
    <t>Study to Evaluate Safety, Tolerability and Pharmacodynamics of KP104 in Participants With Thrombotic Microangiopathy Secondary to Systemic Lupus Erythematosus</t>
  </si>
  <si>
    <t>NCT05490030</t>
  </si>
  <si>
    <t>Pharmacokinetics of TNO155 in Participants With Mild, Moderate, or Severe Hepatic Impairment Compared to Matched Healthy Participants</t>
  </si>
  <si>
    <t>NCT06726265</t>
  </si>
  <si>
    <t>Study of Eftilagimod Alfa (Efti) in Combination With Pembrolizumab and Chemotherapy Versus Placebo in Combination With Pembrolizumab and Chemotherapy in Participants With Metastatic Non-Small Cell Lung Cancer (NSCLC) (TACTI-004)</t>
  </si>
  <si>
    <t>NCT06780267</t>
  </si>
  <si>
    <t>Clinical Study of HRS-2129 for Postoperative Analgesia in Orthopaedics</t>
  </si>
  <si>
    <t>NCT06857695</t>
  </si>
  <si>
    <t>A Study to Assess the Mass Balance and ADME of [14C]AZD5004 and the Absolute Bioavailability of AZD5004</t>
  </si>
  <si>
    <t>NCT06742996</t>
  </si>
  <si>
    <t>A Study to Investigate the Efficacy and Safety of Sonrotoclax Plus Zanubrutinib Compared With Placebo Plus Zanubrutinib in Adults With Relapsed/Refractory Mantle Cell Lymphoma (CELESTIAL-RRMCL)</t>
  </si>
  <si>
    <t>NCT06810544</t>
  </si>
  <si>
    <t>Safety and Tolerability of TNG456 Alone and in Combination With Abemaciclib in Patients With Solid Tumors With MTAP Loss</t>
  </si>
  <si>
    <t>Tango Therapeutics, Inc.</t>
  </si>
  <si>
    <t>NCT06887959</t>
  </si>
  <si>
    <t>A Single-arm Study Evaluating the Effectiveness and Safety of Suzetrigine (SUZ) for Acute Pain After Selected Surgeries</t>
  </si>
  <si>
    <t>NCT06792019</t>
  </si>
  <si>
    <t>Study of CM313(SC) Injection in Subjects With Platelet Transfusion Refractoriness</t>
  </si>
  <si>
    <t>NCT06859268</t>
  </si>
  <si>
    <t>A Study of Retatrutide (LY3437943) in the Maintenance of Weight Reduction in Individuals With Obesity</t>
  </si>
  <si>
    <t>NCT06845878</t>
  </si>
  <si>
    <t>A Chatbot to Support Substance Use Recovery</t>
  </si>
  <si>
    <t>Dimagi Inc.</t>
  </si>
  <si>
    <t>NCT06891417</t>
  </si>
  <si>
    <t>Phase 1/2 Study of Chlamydia Trachomatis mRNA Vaccine in Adults Aged 18 to 29 Years</t>
  </si>
  <si>
    <t>NCT06822946</t>
  </si>
  <si>
    <t>Zhibitai Capsules for the Treatment of Primary Hyperlipidemia</t>
  </si>
  <si>
    <t>Chengdu Diao Jiuhong Pharmaceutical Factory</t>
  </si>
  <si>
    <t>NCT06736418</t>
  </si>
  <si>
    <t>Study of 225Ac-ABD147 to Establish Optimal Dose in Patients With SCLC and LCNEC of the Lung That Previously Received Platinum-based Chemotherapy</t>
  </si>
  <si>
    <t>Abdera Therapeutics Inc.</t>
  </si>
  <si>
    <t>NCT06845202</t>
  </si>
  <si>
    <t>A Study to Evaluate ALN-4324 in Overweight to Obese Healthy Volunteers and in Overweight to Obese Patients With T2DM</t>
  </si>
  <si>
    <t>NCT06764875</t>
  </si>
  <si>
    <t>A Phase Ⅲ Study of Rilvegostomig in Combination With Fluoropyrimidine and Trastuzumab Deruxtecan as the First-line Treatment for HER2-positive Gastric Cancer</t>
  </si>
  <si>
    <t>NCT06792695</t>
  </si>
  <si>
    <t>A Study of Novel Study Interventions and Combinations in Participants With Colorectal Cancer</t>
  </si>
  <si>
    <t>NCT06895499</t>
  </si>
  <si>
    <t>Efficacy, Safety, and Tolerability of HB0043 in Hidradenitis Suppurativa Patients.</t>
  </si>
  <si>
    <t>NCT06611163</t>
  </si>
  <si>
    <t>A Study to Evaluate the Efficacy and Safety of Subcutaneous Tildrakizumab in Subjects With Moderate to Severe Genital Psoriasis.</t>
  </si>
  <si>
    <t>NCT05582590</t>
  </si>
  <si>
    <t>Autologous T Cells Targeting HPV16 HPV18 &amp; Survivin in Patients With R/R HPV-related Oropharyngeal Cancers</t>
  </si>
  <si>
    <t>NexImmune Inc.</t>
  </si>
  <si>
    <t>NCT06493552</t>
  </si>
  <si>
    <t>Modular Trial of sEphB4-HSA in EphrinB2-High Solid Tumors</t>
  </si>
  <si>
    <t>Vasgene Therapeutics, Inc</t>
  </si>
  <si>
    <t>NCT06818643</t>
  </si>
  <si>
    <t>A Study to Evaluate the Safety and Efficacy of MK-3120 in Participants With Advanced Solid Tumors (MK-3120-002)</t>
  </si>
  <si>
    <t>NCT06827613</t>
  </si>
  <si>
    <t>A Study of Invikafusp Alfa (STAR0602), a Selective T Cell Receptor (TCR)-Targeting, Bifunctional Antibody-fusion Molecule, in Combination With Sacituzumab Govitecan in Participants With Advanced Solid Tumors</t>
  </si>
  <si>
    <t>Marengo Therapeutics, Inc.</t>
  </si>
  <si>
    <t>NCT06849778</t>
  </si>
  <si>
    <t>An Open-label Pharmacokinetic Study of TS-172 in Patients on Hemodialysis</t>
  </si>
  <si>
    <t>NCT07032662</t>
  </si>
  <si>
    <t>IMVT-1402 in Adult Participants With Chronic Inflammatory Demyelinating Polyneuropathy (CIDP)</t>
  </si>
  <si>
    <t>NCT06581328</t>
  </si>
  <si>
    <t>A Study of Vedolizumab in Adults With Ulcerative Colitis or Crohn's Disease in the Community Setting</t>
  </si>
  <si>
    <t>NCT06356571</t>
  </si>
  <si>
    <t>A Study to Investigate Subcutaneous Isatuximab in Combination With Weekly Carfilzomib and Dexamethasone in Adult Participants With Relapsed and/or Refractory Multiple Myeloma</t>
  </si>
  <si>
    <t>NCT06806657</t>
  </si>
  <si>
    <t>Safety Study in Subjects ≥ 12 Years of Age With Hereditary Angioedema Switching to Garadacimab</t>
  </si>
  <si>
    <t>NCT06833281</t>
  </si>
  <si>
    <t>Extension Study of Participants From SPG302-ALZ-101</t>
  </si>
  <si>
    <t>NCT06281119</t>
  </si>
  <si>
    <t>Clinical Study to Evaluate SIIPL QHPV Vaccine (CERVAVAC®) in Women Living with HIV Aged 15-25 Years</t>
  </si>
  <si>
    <t>NCT06950034</t>
  </si>
  <si>
    <t>A Phase 1 Study of STX-0712 in Patients With Advanced Hematological Malignancies (CMML and AML)</t>
  </si>
  <si>
    <t>Solu Therapeutics, Inc</t>
  </si>
  <si>
    <t>NCT06864143</t>
  </si>
  <si>
    <t>A Study to Investigate the Immunogenicity, Reactogenicity, and Safety of mRNA-1083 (Influenza and COVID-19) Vaccine in Adults ≥18 to &lt;65 Years of Age</t>
  </si>
  <si>
    <t>NCT06672523</t>
  </si>
  <si>
    <t>A Study to Evaluate the Mass Balance, Metabolism, Elimination, and Drug Levels of [14C]-BMS-986504 (MRTX1719) in Participants With Advanced Solid Tumors With Homozygous Methylthioadenosine Phosphorylase Deletion</t>
  </si>
  <si>
    <t>NCT06749795</t>
  </si>
  <si>
    <t>LIV001 in Patients with Mild-to-Moderate Active Ulcerative Colitis (UC)</t>
  </si>
  <si>
    <t>Liveome Inc.</t>
  </si>
  <si>
    <t>NCT06784973</t>
  </si>
  <si>
    <t>Study of Obeldesivir to Treat Children With Respiratory Syncytial Virus (RSV) Infection</t>
  </si>
  <si>
    <t>NCT06651229</t>
  </si>
  <si>
    <t>A Study of JNJ-90189892 for Relapsed or Refractory Acute Myeloid Leukemia or Myelodysplastic Neoplasms</t>
  </si>
  <si>
    <t>NCT06855069</t>
  </si>
  <si>
    <t>HS-20089 for Injection in Patients With Platinum-Resistant Recurrent Epithelial Ovarian Cancer</t>
  </si>
  <si>
    <t>NCT06905873</t>
  </si>
  <si>
    <t>A Study to Evaluate the Safety and Efficacy of FB102 in Patients With Non-segmental Vitiligo</t>
  </si>
  <si>
    <t>Forte Biosciences, Inc.</t>
  </si>
  <si>
    <t>NCT06833073</t>
  </si>
  <si>
    <t>A Clinical Study of Intismeran Autogene (V940) and BCG in People With Bladder Cancer (V940-011/INTerpath-011)</t>
  </si>
  <si>
    <t>NCT06842537</t>
  </si>
  <si>
    <t>Study of SYH2062 Injection in Healthy Chinese Volunteers</t>
  </si>
  <si>
    <t>NCT06795022</t>
  </si>
  <si>
    <t>First in Human Study to Evaluate AZD9793 in Participants With Advanced or Metastatic Solid Tumours</t>
  </si>
  <si>
    <t>NCT06830031</t>
  </si>
  <si>
    <t>Clinical Study of C402-CD19-CAR Treatment in Subjects With Relapsed or Refractory B-cell Lymphoma</t>
  </si>
  <si>
    <t>Shanghai Exuma Biotechnology Ltd.</t>
  </si>
  <si>
    <t>NCT06827327</t>
  </si>
  <si>
    <t>LC-Plasma for Preventing URTIs and Reducing Symptoms</t>
  </si>
  <si>
    <t>NCT06738966</t>
  </si>
  <si>
    <t>A Study of BL0175 Injection in Postmenopausal Female Adults With HR-positive, Locally Advanced or Metastatic Cancer</t>
  </si>
  <si>
    <t>NCT06895356</t>
  </si>
  <si>
    <t>A Study to Assess the Relative Bioavailability of Oral Tavapadon in Healthy Adult Participants</t>
  </si>
  <si>
    <t>NCT06742723</t>
  </si>
  <si>
    <t>A Phase III Renal Outcomes and Cardiovascular Mortality Study to Investigate the Efficacy and Safety of Baxdrostat in Combination With Dapagliflozin in Participants With Chronic Kidney Disease and High Blood Pressure</t>
  </si>
  <si>
    <t>NCT06890923</t>
  </si>
  <si>
    <t>Nasal Foralumab in Patients With Non-Active Secondary Progressive Multiple Sclerosis</t>
  </si>
  <si>
    <t>Tiziana Life Sciences LTD</t>
  </si>
  <si>
    <t>NCT06840886</t>
  </si>
  <si>
    <t>A Study of PHST001 in Advanced Solid Tumors</t>
  </si>
  <si>
    <t>Pheast Therapeutics</t>
  </si>
  <si>
    <t>NCT06812754</t>
  </si>
  <si>
    <t>A Study to Confirm if Fezolinetant Helps Reduce Hot Flashes in Chinese Women Going Through Menopause</t>
  </si>
  <si>
    <t>NCT06885645</t>
  </si>
  <si>
    <t>First-In-Human Study in Participants With Advanced Solid Tumors</t>
  </si>
  <si>
    <t>Chengdu Kanghong Biotech Co., Ltd.</t>
  </si>
  <si>
    <t>NCT05969392</t>
  </si>
  <si>
    <t>Evaluation of Efficacy and Safety of Intradiscal Gelified Ethanol in Refractory Cervical Discogenic Pain</t>
  </si>
  <si>
    <t>Gelscom SAS</t>
  </si>
  <si>
    <t>NCT06839066</t>
  </si>
  <si>
    <t>A Phase II Study to Evaluate HLX43 in Subjects With Recurrent/Metastatic Nasopharyngeal Carcinoma Failed or Intolerance to Second-line Therapy</t>
  </si>
  <si>
    <t>NCT07024212</t>
  </si>
  <si>
    <t>Phase II Study Evaluating the Efficacy and Safety of DR10624 Injection in MASLD and MetALD Subjects</t>
  </si>
  <si>
    <t>NCT06965569</t>
  </si>
  <si>
    <t>Multiple Ascending Dose Phase 1 Study of ALA-3000</t>
  </si>
  <si>
    <t>Alar Pharmaceuticals Inc.</t>
  </si>
  <si>
    <t>NCT06863961</t>
  </si>
  <si>
    <t>A Study to Assess the Efficacy and Safety of Afimkibart (RO7790121) in Participants With Moderate to Severe Atopic Dermatitis</t>
  </si>
  <si>
    <t>NCT07007988</t>
  </si>
  <si>
    <t>A Phase I Study of SIM0388 in Participants With Malignant Ascites.</t>
  </si>
  <si>
    <t>NCT06943521</t>
  </si>
  <si>
    <t>A Study of MT-4561 in Patients With Various Advanced Solid Tumors</t>
  </si>
  <si>
    <t>Tanabe Pharma America, Inc.</t>
  </si>
  <si>
    <t>NCT06747455</t>
  </si>
  <si>
    <t>BCG for Therapeutic Use Phase Ⅲ Clinical Trial</t>
  </si>
  <si>
    <t>NCT06941350</t>
  </si>
  <si>
    <t>A Trial to Evaluate the Safety and Efficacy of NCR102 in Subjects With aGVHD</t>
  </si>
  <si>
    <t>NCT06911203</t>
  </si>
  <si>
    <t>A Study of BGM0504 in Participants With Obesity</t>
  </si>
  <si>
    <t>NCT06687382</t>
  </si>
  <si>
    <t>Clinical Trial With MBK-01, Intestinal Microbiota Capsules, for the Treatment of Patients With Recurrent Diverticulitis</t>
  </si>
  <si>
    <t>Mikrobiomik Healthcare Company S.L.</t>
  </si>
  <si>
    <t>NCT06951854</t>
  </si>
  <si>
    <t>Phase II Clinical Trial to Evaluate the Efficacy and Safety of NV01-A02 in Children With Autism Spectrum Disorder</t>
  </si>
  <si>
    <t>Neuroventi Inc.</t>
  </si>
  <si>
    <t>NCT06841445</t>
  </si>
  <si>
    <t>Efficacy and Safety of HRS9531 Tablet in Obese Subjects</t>
  </si>
  <si>
    <t>NCT06665165</t>
  </si>
  <si>
    <t>AMX0114 in Adult Participants With Amyotrophic Lateral Sclerosis</t>
  </si>
  <si>
    <t>Amylyx Pharmaceuticals Inc.</t>
  </si>
  <si>
    <t>NCT06814145</t>
  </si>
  <si>
    <t>Extension Study of Sotatercept in People With Pulmonary Hypertension (MK-7962-023)</t>
  </si>
  <si>
    <t>NCT06944444</t>
  </si>
  <si>
    <t>A Phase I Clinical Study of SSS59 Monotherapy in Patients With Advanced Malignant Tumors</t>
  </si>
  <si>
    <t>NCT06923228</t>
  </si>
  <si>
    <t>A Study to Assess Efficacy and Safety of CGB-500, 1% Tofacitinib Versus an Active Comparator for Atopic Dermatitis</t>
  </si>
  <si>
    <t>NCT06937957</t>
  </si>
  <si>
    <t>A Study of BR111 in Patients With Advanced Malignancies</t>
  </si>
  <si>
    <t>NCT06603987</t>
  </si>
  <si>
    <t>Using CICS-1 and SPM-011 and ［18F］FBPA Commissioned by CICS and Sumitomo Heavy Industries and STELLA PHARMA</t>
  </si>
  <si>
    <t>Stella Pharma Corporation</t>
  </si>
  <si>
    <t>NCT07076030</t>
  </si>
  <si>
    <t>Pharmacokinetics of Petrelintide Following Administration to Participants With Impaired Renal Function</t>
  </si>
  <si>
    <t>NCT06895993</t>
  </si>
  <si>
    <t>Bioequivalence Study of Ferric Carboxymaltose Injection in Healthy Chinese Participants</t>
  </si>
  <si>
    <t>NCT06859099</t>
  </si>
  <si>
    <t>Long-term Safety and Efficacy Study of Riliprubart in Participants With CIDP</t>
  </si>
  <si>
    <t>NCT06414460</t>
  </si>
  <si>
    <t>Study of ISM3412 in Participants With Locally Advanced/Metastatic Solid Tumors</t>
  </si>
  <si>
    <t>NCT06897748</t>
  </si>
  <si>
    <t>A Study to Investigate Efficacy and Safety of Tozorakimab Injections Compared With Placebo in Adult Participants With Symptomatic Chronic Obstructive Pulmonary Disease (COPD) With a History of COPD Exacerbations and Elevated Eosinophils</t>
  </si>
  <si>
    <t>NCT06988423</t>
  </si>
  <si>
    <t>Evaluation of the Potential Impact of a High-fat Meal on the Pharmacokinetics of CRS3123 in Healthy Adult Participants</t>
  </si>
  <si>
    <t>Crestone, Inc</t>
  </si>
  <si>
    <t>NCT06916793</t>
  </si>
  <si>
    <t>A Phase 3 Study to Evaluate the Safety and Efficacy of CKD-843 in Male Patients With Androgenetic Alopecia</t>
  </si>
  <si>
    <t>NCT06907511</t>
  </si>
  <si>
    <t>Study to Evaluate the Safety and the Immunogenicity of a Second Generation Structurally Designed mRNA Vaccine Candidate Against Pandemic Influenza H5 HA Strain in Healthy Adult Participants Aged 18 Years and Older</t>
  </si>
  <si>
    <t>NCT06890416</t>
  </si>
  <si>
    <t>A Study to Evaluate the Safety and Immunogenicity of RSVpreF Coadministered With Herpes Zoster Vaccine in Adults</t>
  </si>
  <si>
    <t>NCT06929325</t>
  </si>
  <si>
    <t>Sirolimus for Injection (Albumin-bound) Combined With Fulvestrant for HR+/HER2- Advanced/Metastatic Breast Cancer Patients Previously Treated With CDK4/6 Inhibitors</t>
  </si>
  <si>
    <t>NCT06884891</t>
  </si>
  <si>
    <t>A Phase Ⅲ Comparative Study of QL2108 to Dupixent®</t>
  </si>
  <si>
    <t>NCT07089186</t>
  </si>
  <si>
    <t>Study to Assess the Efficacy and Safety of Meropenem and Pralurbactam in Carbapenem-Resistant Enterobacteriaceae Infections</t>
  </si>
  <si>
    <t>NCT06664775</t>
  </si>
  <si>
    <t>A Study to Compare the Efficacy and Safety of TachoSil and Surgicel Original as an Adjunct to Control Mild to Moderate Soft Tissue Bleeding During Surgery</t>
  </si>
  <si>
    <t>Corza Medical GmbH</t>
  </si>
  <si>
    <t>NCT06624085</t>
  </si>
  <si>
    <t>A Study Evaluating the Safety and Efficacy of Glofitamab + Gemcitabine + Oxaliplatin in U.S. Patients With Relapsed or Refractory Diffuse Large B-Cell Lymphoma</t>
  </si>
  <si>
    <t>NCT06968338</t>
  </si>
  <si>
    <t>A Study to Assess the Safety of ARGX-213 in Healthy Volunteers</t>
  </si>
  <si>
    <t>NCT07061925</t>
  </si>
  <si>
    <t>To Evaluate the Efficacy and Safety of ALC-2203 in Patients With Acute Bronchitis</t>
  </si>
  <si>
    <t>Korea Arlico Pharm. Co., Ltd</t>
  </si>
  <si>
    <t>NCT06911788</t>
  </si>
  <si>
    <t>A Study to Learn How a Tablet Compared With an IV Infusion of the Study Medicine Called Vepdegestrant is Taken up Into the Blood in Healthy Adults</t>
  </si>
  <si>
    <t>NCT06512883</t>
  </si>
  <si>
    <t>A Trial to Investigate Benralizumab in Children With Eosinophilic Diseases</t>
  </si>
  <si>
    <t>NCT06945445</t>
  </si>
  <si>
    <t>Study of SLN12140 in Healthy Adult Participants</t>
  </si>
  <si>
    <t>Linno Pharmaceuticals, Inc.</t>
  </si>
  <si>
    <t>NCT06841731</t>
  </si>
  <si>
    <t>A Trial of HRS-8427 in the Treatment of Adults With Bacterial Pneumonia</t>
  </si>
  <si>
    <t>NCT06908876</t>
  </si>
  <si>
    <t>A Study to Evaluate the Efficacy and Safety of IBI302 inSubjects With Diabetic Macular Edema（DME）</t>
  </si>
  <si>
    <t>Innovent Biologics Technology Limited (Shanghai R&amp;D Center)</t>
  </si>
  <si>
    <t>NCT06855147</t>
  </si>
  <si>
    <t>Mass Balance Study of [14C]HRS9531 in Healthy Male Subjects</t>
  </si>
  <si>
    <t>NCT06890533</t>
  </si>
  <si>
    <t>A Study of YZJ-4729 Tartrate Injection for the Treatment of Pain After Abdominal Surgery</t>
  </si>
  <si>
    <t>NCT06897930</t>
  </si>
  <si>
    <t>A Study to Investigate the Safety, Tolerability, and Efficacy of AZD0120 in Adults With Refractory SLE</t>
  </si>
  <si>
    <t>NCT06907628</t>
  </si>
  <si>
    <t>A Trial of SHR-3792 Injection in Patients With Advanced Solid Tumors</t>
  </si>
  <si>
    <t>NCT05066217</t>
  </si>
  <si>
    <t>An Efficacy and Safety Study of Clemizole HCl in Patients With Lennox-Gastaut Syndrome</t>
  </si>
  <si>
    <t>Epygenix</t>
  </si>
  <si>
    <t>NCT06831825</t>
  </si>
  <si>
    <t>Study Assessing Left Ventricular Administration of a Genetic Medicine Directing Organ Regeneration in Heart Failure</t>
  </si>
  <si>
    <t>YAP Therapeutics, Inc.</t>
  </si>
  <si>
    <t>NCT06907043</t>
  </si>
  <si>
    <t>A Study of PARP1 Selective Inhibitor, EIK1004 (IMP1707) in Participants With Advanced Solid Tumors.</t>
  </si>
  <si>
    <t>NCT06867705</t>
  </si>
  <si>
    <t>Randomized Controlled Trial of Remote Symptoms Monitoring With Resilience PRO Compared to Care As Usual Only</t>
  </si>
  <si>
    <t>Resilience</t>
  </si>
  <si>
    <t>NCT06825494</t>
  </si>
  <si>
    <t>Clinical Studies for the Treatment of Advanced Solid Tumors</t>
  </si>
  <si>
    <t>NCT06901297</t>
  </si>
  <si>
    <t>The Efficacy and Safety of Raphamin in the Treatment of Acute Rhinosinusitis in Adult Patients</t>
  </si>
  <si>
    <t>NCT06877650</t>
  </si>
  <si>
    <t>First-in-Human Investigation of JMT108 Injection in Participants With Advanced Malignant Tumors</t>
  </si>
  <si>
    <t>NCT06966401</t>
  </si>
  <si>
    <t>Long-Term Study to Assess the Safety and Tolerability of NBI-1065845 as an Adjunctive Treatment in Participants With Major Depressive Disorder (MDD)</t>
  </si>
  <si>
    <t>NCT03149211</t>
  </si>
  <si>
    <t>To Investigate the Efficacy and Safety of UB-421 Monotherapy in HIV-1 Infected Adults</t>
  </si>
  <si>
    <t>United BioPharma</t>
  </si>
  <si>
    <t>NCT06847191</t>
  </si>
  <si>
    <t>NE3107 in Adults With Neurological Symptoms of Long COVID</t>
  </si>
  <si>
    <t>NCT06891040</t>
  </si>
  <si>
    <t>Phase II Clinical Study to Evaluate the Efficacy and Safety of VC005 in Adult Subjects With Mild to Moderate Atopic Dermatitis</t>
  </si>
  <si>
    <t>NCT06936735</t>
  </si>
  <si>
    <t>Phase I Study of HS-20108 in Participants With Advanced Solid Tumors</t>
  </si>
  <si>
    <t>NCT06983925</t>
  </si>
  <si>
    <t>A Bioavailability Study of GS1-144 Tablets in Healthy Postmenopausal Women</t>
  </si>
  <si>
    <t>NCT06879717</t>
  </si>
  <si>
    <t>A Study of Roginolisib (IOA-244) in Combination With Dostarlimab With or Without Docetaxel in Metastatic Non Small-cell Lung Cancer (NSCLC) Patients</t>
  </si>
  <si>
    <t>NCT06968572</t>
  </si>
  <si>
    <t>Phase I Study of HSK41959 in Solid Tumors With MTAP Deletion</t>
  </si>
  <si>
    <t>NCT06873945</t>
  </si>
  <si>
    <t>A Study of 2 Doses of Ritlecitinib in People 12 Years of Age and Older With Alopecia Areata</t>
  </si>
  <si>
    <t>NCT06872866</t>
  </si>
  <si>
    <t>The Objective of This Phase 1 Study is to Evaluate the Food Effect of 100 mg Hezkue Turbo® (ASP-001.1, Sildenafil) Under Fed Versus 100 mg of Hezkue Turbo® (ASP-001.1, Sildenafil) Under Fasted Conditions in Healthy Adult Male Subjects</t>
  </si>
  <si>
    <t>NCT06990529</t>
  </si>
  <si>
    <t>Long-term Safety and Efficacy of Leniolisib in PIDs With Immune Dysregulation</t>
  </si>
  <si>
    <t>NCT06864793</t>
  </si>
  <si>
    <t>Study on the Pharmacokinetics and Safety of QL1012D and Gonal-F® in Healthy Female Volunteers</t>
  </si>
  <si>
    <t>NCT06959563</t>
  </si>
  <si>
    <t>Early Phase Clinical Trial About Therapeutic Biological Product Mix for Treating HPV</t>
  </si>
  <si>
    <t>Han Xu, M.D., Ph.D., FAPCR, Sponsor-Investigator, IRB Chair</t>
  </si>
  <si>
    <t>NCT06924385</t>
  </si>
  <si>
    <t>Safety, Tolerability, and PK/PD of Telpegfilgrastim Injection in Non-pregnant Females of Childbearing</t>
  </si>
  <si>
    <t>NCT06922357</t>
  </si>
  <si>
    <t>A Phase I/II of HRS-6719 in Patients With Advanced/Metastatic Solid Tumors</t>
  </si>
  <si>
    <t>NCT06916702</t>
  </si>
  <si>
    <t>A Study to Test How Well Different Doses of BI 3031185 Are Tolerated by Healthy Men</t>
  </si>
  <si>
    <t>NCT06939777</t>
  </si>
  <si>
    <t>Safety, Tolerability, Pharmacokinetics and Pharmacodynamics of SNA02-48 Injection in Chinese Adult Participants</t>
  </si>
  <si>
    <t>NCT06970795</t>
  </si>
  <si>
    <t>A Study of SYS6040 for Injection in Patients With Advanced Solid Tumors</t>
  </si>
  <si>
    <t>NCT06925100</t>
  </si>
  <si>
    <t>A Study to Investigate the Effectiveness and Safety of Bempedoic Acid in Patients With Primary Hypercholesterolemia or Mixed Dyslipidemia in Taiwan</t>
  </si>
  <si>
    <t>NCT06673017</t>
  </si>
  <si>
    <t>PTM-101 in Pancreatic Ductal Adenocarcinoma (PDAC)</t>
  </si>
  <si>
    <t>PanTher Therapeutics</t>
  </si>
  <si>
    <t>NCT06707103</t>
  </si>
  <si>
    <t>Tissue Repair Gel in Venous Leg Ulcers in AU/US</t>
  </si>
  <si>
    <t>NCT06836609</t>
  </si>
  <si>
    <t>A Study to Evaluate ALN-CIDEB in Adult Participants With Metabolic Dysfunction-Associated Steatotic Liver Disease or With Metabolic Dysfunction-Associated Steatohepatitis (MASLD/MASH)</t>
  </si>
  <si>
    <t>NCT06958692</t>
  </si>
  <si>
    <t>A Trial of Dextromethorphan and Bupropion Sustained-Release Tablets in Patients With Major Depressive Disorder</t>
  </si>
  <si>
    <t>NCT07429032</t>
  </si>
  <si>
    <t>The Effect of AMG 133 on Gastric Emptying</t>
  </si>
  <si>
    <t>NCT06916130</t>
  </si>
  <si>
    <t>A Study to Compare PK/PD Characteristics and Safety Profiles Between AD-120 and AD-120A</t>
  </si>
  <si>
    <t>NCT06925607</t>
  </si>
  <si>
    <t>Evaluate the Distribution and Dynamic Behavior of Nuclide Labeled TH-SC01 Cells in Vivo in Patients With Radiation Proctitis</t>
  </si>
  <si>
    <t>NCT06829459</t>
  </si>
  <si>
    <t>A Study to Evaluate the Efficacy and Safety of Glumetinib Combined With Osimertinib Mesylate Versus Platinum-based Doublet Chemotherapy in Non-Small Cell Lung Cancer Patients After Resistance to EGFR-TKIs</t>
  </si>
  <si>
    <t>NCT06867042</t>
  </si>
  <si>
    <t>Tacrolimus Lipid Suspension for Enema in Adult Subjects with Mild to Moderately Active Left-sided/Distal Ulcerative Colitis Who Had an Inadequate Response to the Treatment</t>
  </si>
  <si>
    <t>NCT06646354</t>
  </si>
  <si>
    <t>To Evaluate the Efficacy and Safety of Co-administrated HODO-2224-1 and HODO-2224-2 in Patients With Essential Hypertension and Primary Hypercholesterolemia</t>
  </si>
  <si>
    <t>NCT06847334</t>
  </si>
  <si>
    <t>A Study to Compare the Efficacy, Safety, Immunogenicity, and Pharmacokinetic Profile of HLX17 Vs. Keytruda® in the First-Line Treatment of Advanced Non-squamous Non-small Cell Lung Cancer</t>
  </si>
  <si>
    <t>NCT06925919</t>
  </si>
  <si>
    <t>Study to Evaluate Safety, Tolerability and Pharmacokinetics of IDB-011</t>
  </si>
  <si>
    <t>IDBiologics, Inc.</t>
  </si>
  <si>
    <t>NCT06915753</t>
  </si>
  <si>
    <t>Safety and Preliminary Anti-Tumor Activity of TYRA-430 in Advanced Hepatocellular Carcinoma and Other Solid Tumors With Activating FGF/FGFR Pathway Aberrations</t>
  </si>
  <si>
    <t>NCT06987500</t>
  </si>
  <si>
    <t>A Study of PARG Inhibitor XNW29016 in Patients With Advanced Solid Tumors Who Failed Standard Treatment</t>
  </si>
  <si>
    <t>NCT07123402</t>
  </si>
  <si>
    <t>To Evaluate the Efficacy and Safety of TRD205 Tablets in the Treatment of Chronic Postoperative Neuralgia</t>
  </si>
  <si>
    <t>NCT06867562</t>
  </si>
  <si>
    <t>Paclitaxel Lipid Suspension for Patients with Platinum-Resistant /Refractory Ovarian Cancer</t>
  </si>
  <si>
    <t>NCT06726096</t>
  </si>
  <si>
    <t>Phase III Trial of VDJ001 In Patients With Moderate-to-severe Active Rheumatoid Arthritis</t>
  </si>
  <si>
    <t>Beijing VDJBio Co., LTD.</t>
  </si>
  <si>
    <t>NCT06941844</t>
  </si>
  <si>
    <t>A Phase 3 Trial of MM120 for Major Depressive Disorder (Emerge)</t>
  </si>
  <si>
    <t>NCT06957249</t>
  </si>
  <si>
    <t>Clinical Study to Evaluate the Tooth Whitening Efficacy</t>
  </si>
  <si>
    <t>NCT06766357</t>
  </si>
  <si>
    <t>A Study of the Efficacy and Safety of Cyclosporin Ophthalmic Gel in Subjects With Moderate to Severe Dry Eye Disease</t>
  </si>
  <si>
    <t>NCT06934226</t>
  </si>
  <si>
    <t>A Study to Assess Efficacy and Safety of JNJ-77242113 Compared to Placebo and Ustekinumab in Participants With Moderate to Severe Plaque Psoriasis</t>
  </si>
  <si>
    <t>NCT06918925</t>
  </si>
  <si>
    <t>First-In-Human Study to Evaluate Single and Multiple Ascending Doses of JUV-161 in Healthy Adult Volunteers</t>
  </si>
  <si>
    <t>Juvena Therapeutics</t>
  </si>
  <si>
    <t>NCT07053904</t>
  </si>
  <si>
    <t>Phase I Open-Label Study of P1101 Followed by P1801 in Advanced Solid Tumors</t>
  </si>
  <si>
    <t>NCT07057674</t>
  </si>
  <si>
    <t>A Study of HS-20094 in Overweight or Obese Participants</t>
  </si>
  <si>
    <t>NCT06858813</t>
  </si>
  <si>
    <t>A Study to Assess Adverse Events and Change in Disease Activity of Intravenously (IV) Infused ABBV-324 in Adult Participants With Hepatocellular Cancer (HCC) or Squamous-Cell Non-Small Cell Lung Cancer (LUSC)</t>
  </si>
  <si>
    <t>NCT06834282</t>
  </si>
  <si>
    <t>CER-1236 in Patients With Acute Myeloid Leukemia (AML)</t>
  </si>
  <si>
    <t>CERo Therapeutics Holdings, Inc.</t>
  </si>
  <si>
    <t>NCT06872580</t>
  </si>
  <si>
    <t>A Study of QLS1209 in theTreatment of Patients With Advanced Solid Tumors</t>
  </si>
  <si>
    <t>NCT06906341</t>
  </si>
  <si>
    <t>Relacorilant in Combination With Different Treatment Regimens in Patients With Gynecological Cancers</t>
  </si>
  <si>
    <t>NCT06693609</t>
  </si>
  <si>
    <t>Exploratory Safety and Efficacy of EMP-01 in Social Anxiety Disorder</t>
  </si>
  <si>
    <t>NCT06957080</t>
  </si>
  <si>
    <t>A Study of 2 Doses of EYE103 Compared With Ranibizumab (0.5 mg) in Participants With DME</t>
  </si>
  <si>
    <t>NCT06855160</t>
  </si>
  <si>
    <t>A Study on the Immune Response and Safety of an Investigational Chickenpox Vaccine and a Marketed Measles, Mumps and Rubella Vaccine When Administered as Intramuscular Injection to Healthy Children 12 to 15 Months of Age</t>
  </si>
  <si>
    <t>NCT06887933</t>
  </si>
  <si>
    <t>A Trial to Evaluate the Safety of Niraparib Tablets in Adult Female Participants With Advanced or Relapsed Epithelial Ovarian Cancer</t>
  </si>
  <si>
    <t>NCT06621251</t>
  </si>
  <si>
    <t>Study to Evaluate the Efficacy and Safety of TRL1068 for the Treatment of Prosthetic Joint Infection</t>
  </si>
  <si>
    <t>NCT06921941</t>
  </si>
  <si>
    <t>Drug-drug Interaction Study of Bemnifosbuvir/Ruzasvir (BEM/RZR) and Digoxin and Rosuvastatin</t>
  </si>
  <si>
    <t>NCT06873035</t>
  </si>
  <si>
    <t>An Interventional Study of Infigratinib in Children With Hypochondroplasia</t>
  </si>
  <si>
    <t>QED Therapeutics, a BridgeBio company</t>
  </si>
  <si>
    <t>NCT06429930</t>
  </si>
  <si>
    <t>Safety, Tolerability and Pharmacokinetics Study of L608 in Healthy Adults</t>
  </si>
  <si>
    <t>Pharmosa Biopharm Inc.</t>
  </si>
  <si>
    <t>NCT06951217</t>
  </si>
  <si>
    <t>An Extension Study of Subjects Who Received an Avalyn Inhaled Antifibrotic Agent (SAIL)</t>
  </si>
  <si>
    <t>NCT06623136</t>
  </si>
  <si>
    <t>A Study of ES102 in Combination With Toripalimab in Subjects With Advanced Non-small Cell Lung Cancer</t>
  </si>
  <si>
    <t>Elpiscience (Suzhou) Biopharma, Ltd.</t>
  </si>
  <si>
    <t>NCT06813911</t>
  </si>
  <si>
    <t>Lp(a) Lowering Study of Pelacarsen (TQJ230) With Background Inclisiran in Participants With Elevated Lp(a) and Established ASCVD</t>
  </si>
  <si>
    <t>NCT06926998</t>
  </si>
  <si>
    <t>9MW2821 Combined With Other Antitumor Drugs in Patients With Advanced Gynecological Tumors</t>
  </si>
  <si>
    <t>NCT07444762</t>
  </si>
  <si>
    <t>Clinical Trial to Evaluate the Efficacy and Safety of Combination Therapy of DW5421A/DW5421B Compared to Monotherapy of DW5421A</t>
  </si>
  <si>
    <t>NCT06892431</t>
  </si>
  <si>
    <t>JMT101 Combined With Mitoxantrone Liposome for Nasopharyngeal Cancer</t>
  </si>
  <si>
    <t>NCT06921928</t>
  </si>
  <si>
    <t>Study for AZD4360 in Participants With Advanced Solid Tumours</t>
  </si>
  <si>
    <t>NCT06713369</t>
  </si>
  <si>
    <t>AZD5305 hADME in Patients With Advanced Solid Malignancies</t>
  </si>
  <si>
    <t>NCT07042828</t>
  </si>
  <si>
    <t>To Compare and Evaluate the Oral Bioavailability of Bilastine 20 mg Orally Dispersible Tablet With That of Bilaxten (Bilastine) 20 mg Orally Dispersible Tablet in Healthy, Adult, Human Subjects Under Fasting Conditions</t>
  </si>
  <si>
    <t>NCT06937177</t>
  </si>
  <si>
    <t>Safely Optimizing Body Weight With TCMCB07 in Patients With Newly Diagnosed Metastatic Colorectal Cancer Undergoing Chemotherapy</t>
  </si>
  <si>
    <t>Endevica Bio</t>
  </si>
  <si>
    <t>NCT06795412</t>
  </si>
  <si>
    <t>Phase 1/2 Study of PYX-201 in Combination With Pembrolizumab in Advanced Solid Tumors</t>
  </si>
  <si>
    <t>Pyxis Oncology, Inc</t>
  </si>
  <si>
    <t>NCT06883695</t>
  </si>
  <si>
    <t>A Phase Ⅰ Clinical Trial to Evaluate the Safety, Tolerance, Pharmacokinetics and Pharmacodynamics of SHR-3045 in Healthy Subjects</t>
  </si>
  <si>
    <t>NCT05766839</t>
  </si>
  <si>
    <t>Patiromer for Treatment of Hyperkalaemia in Children Under 12 Years of Age</t>
  </si>
  <si>
    <t>Vifor Pharma, Inc.</t>
  </si>
  <si>
    <t>NCT06894693</t>
  </si>
  <si>
    <t>A Phase I Clinical Trial of RS001 in Patients with Relapsed/Refractory B-Cell Malignancies</t>
  </si>
  <si>
    <t>NCT06906809</t>
  </si>
  <si>
    <t>Effect of Phenytoin or Itraconazole on How BGB-16673 is Absorbed and Removed From the Body in Healthy Participants</t>
  </si>
  <si>
    <t>NCT06160492</t>
  </si>
  <si>
    <t>Phase III Clinical Trial Evaluating the Resection Efficacy of 5-Aminolevulinic Acid Hydrochloride (5-ALA HCl) Fluorescence-Guided Microsurgery Versus Conventional White Light Microsurgery in Patients With Malignant Glioma (WHO Grade 3/4)</t>
  </si>
  <si>
    <t>NCT06868277</t>
  </si>
  <si>
    <t>A Global Phase III Study of Rilvegostomig or Pembrolizumab Monotherapy for First-Line Treatment of PD-L1-high Metastatic Non-small Cell Lung Cancer</t>
  </si>
  <si>
    <t>NCT06926842</t>
  </si>
  <si>
    <t>Efficacy and Safety of Petrelintide in Participants With Overweight or Obesity and Type 2 Diabetes (ZUPREME 2)</t>
  </si>
  <si>
    <t>NCT05659953</t>
  </si>
  <si>
    <t>LMT503 First-in-human SAD, MAD, and FE Study</t>
  </si>
  <si>
    <t>Lmito Therapeutics Inc.</t>
  </si>
  <si>
    <t>NCT06857279</t>
  </si>
  <si>
    <t>A Phase II Clinical Study to Evaluate HLX43 in Subjects With Recurrent or Metastatic Head and Neck Squamous Cell Carcinoma</t>
  </si>
  <si>
    <t>NCT06832202</t>
  </si>
  <si>
    <t>A Phase II Study of HLX22 in Combination With Trastuzumab Deruxtecan in HER2-low, Hormone Receptor Positive Locally Advanced or Metastatic Breast Cancer Patients</t>
  </si>
  <si>
    <t>NCT06931990</t>
  </si>
  <si>
    <t>A Study to Explore the Safety, Tolerability, Efficacy, and Pharmacokinetics of LT-002-158 Tablets in Chinese Adult Subjects With Atopic Dermatitis</t>
  </si>
  <si>
    <t>NCT06916091</t>
  </si>
  <si>
    <t>A Study of Eloralintide (LY3841136) in Chinese Participants With Obesity or Overweight</t>
  </si>
  <si>
    <t>NCT06973720</t>
  </si>
  <si>
    <t>A Phase 2b Study to Evaluate the Efficacy and Safety of Once-Monthly MET097 in Adults With Obesity or Overweight</t>
  </si>
  <si>
    <t>NCT06795776</t>
  </si>
  <si>
    <t>Eschscholzia Study</t>
  </si>
  <si>
    <t>A. Vogel AG</t>
  </si>
  <si>
    <t>NCT06487624</t>
  </si>
  <si>
    <t>An Engineered Sirpα Fused to Anti-Pd-L1 And Tgf-β Fusion Protein (HCB301) in Subjects With Selected Advanced Tumors</t>
  </si>
  <si>
    <t>NCT06875310</t>
  </si>
  <si>
    <t>A Study of Adagrasib Plus Pembrolizumab Plus Chemotherapy vs. Placebo Plus Pembrolizumab Plus Chemotherapy in Participants With Previously Untreated Non-squamous Non-small Cell Lung Cancer With KRAS G12C Mutation (KRYSTAL-4)</t>
  </si>
  <si>
    <t>NCT06620029</t>
  </si>
  <si>
    <t>BMX-001 + Paclitaxel in Adult Patients With Advanced, Recurrent, Metastatic Ovarian or Endometrial Cancer</t>
  </si>
  <si>
    <t>BioMimetix JV, LLC</t>
  </si>
  <si>
    <t>NCT06926582</t>
  </si>
  <si>
    <t>A Study to Evaluate Efficacy and Safety of HS-10374 for Mild-to-moderate Plaque Psoriasis</t>
  </si>
  <si>
    <t>NCT06661694</t>
  </si>
  <si>
    <t>A Study to Learn How Different Tablets of the Study Medicine Mevrometostat Are Taken up Into the Blood in Healthy Adults</t>
  </si>
  <si>
    <t>NCT06893081</t>
  </si>
  <si>
    <t>A Study of Carbamazepine (CBZ) and MK-8527 in Healthy Adult Participants (MK-8527-012)</t>
  </si>
  <si>
    <t>NCT06945419</t>
  </si>
  <si>
    <t>A Study of LY4086940 in Healthy Participants and Participants With Overweight or Obesity, With or Without Type 2 Diabetes</t>
  </si>
  <si>
    <t>NCT06859775</t>
  </si>
  <si>
    <t>SHR-A1811 Combination Regimen for the Treatment of Recurrent or Metastatic Cervical Cancer</t>
  </si>
  <si>
    <t>NCT06817265</t>
  </si>
  <si>
    <t>Clinical Study on the Efficacy and Safety of TNTL in the Treatment of Non-proliferative Diabetic Retinopathy</t>
  </si>
  <si>
    <t>Beletalent (Zhuhai) Pharmaceutical Co., Ltd</t>
  </si>
  <si>
    <t>NCT06885775</t>
  </si>
  <si>
    <t>Purpose of This Study is the Demonstration of Safety and Efficacy of the Dermal Fillers DXP01 Temporary Improvement of Moderate to Severe Nasolabial Folds</t>
  </si>
  <si>
    <t>DEXLEVO</t>
  </si>
  <si>
    <t>NCT06926387</t>
  </si>
  <si>
    <t>Bioequivalence Study betweenYHP2407 and YHR2502 in Healthy Subjects</t>
  </si>
  <si>
    <t>NCT06904222</t>
  </si>
  <si>
    <t>Safety and Immunogenicity of the Recombinant Respiratory Syncytial Virus (RSV) Vaccine in Adults Aged 18 Years and Older</t>
  </si>
  <si>
    <t>NCT06917690</t>
  </si>
  <si>
    <t>A Study to Learn About the Safety and Efficacy of the Drug Oleogel-S10 in Japanese Patients With Epidermolysis Bullosa</t>
  </si>
  <si>
    <t>NCT06678399</t>
  </si>
  <si>
    <t>Phase 1B/2 Clinical Trial Assessing the Safety, Tolerability and Preliminary Efficacy of the Intravenous Administration of Allogeneic Placental Mesenchymal Cells for the Preemptive Treatment of Patients At Risk for Acute Kidney Injury Following Cardiac Surgery</t>
  </si>
  <si>
    <t>Kelifarma</t>
  </si>
  <si>
    <t>NCT06825858</t>
  </si>
  <si>
    <t>A Phase I, Open-label, Multicenter, Dose-Escalating Study to Evaluate the Safety and Tolerability of KH658 Gene Therapy in Participants With Neovascular Age-related Macular Degeneration</t>
  </si>
  <si>
    <t>NCT07191847</t>
  </si>
  <si>
    <t>Assessment of CataClear, Tear Film Stability, Tear Volume, and Dry Eye Symptoms Using Stem Cells Fortified Eye Drops</t>
  </si>
  <si>
    <t>NCT06789289</t>
  </si>
  <si>
    <t>A Clinical Study to Evaluate the Efficacy and Safety of TQC2938 in Patients With Moderate to Severe Chronic Obstructive Pulmonary Disease</t>
  </si>
  <si>
    <t>NCT06340750</t>
  </si>
  <si>
    <t>BAFF CAR-T Cells (LMY-920) for Systemic Lupus Erythematosus</t>
  </si>
  <si>
    <t>NCT06945523</t>
  </si>
  <si>
    <t>Clinical Study on Chimeric Antigen Receptor T Lymphocyte (CAR-T) Targeting CEA for the Treatment of CEA - Positive Advanced Lung Cancer</t>
  </si>
  <si>
    <t>NCT06861413</t>
  </si>
  <si>
    <t>A Phase 1 Study to Evaluate the Relative Bioavailability of a VX-828 Tablet Formulation</t>
  </si>
  <si>
    <t>NCT06895512</t>
  </si>
  <si>
    <t>A Study to Evaluate the Efficacy and Safety of HLX15-IV Versus DARZALEX® in Combination with Lenalidomide-Dexamethasone (Rd) in Transplant-ineligible Patients with Newly Diagnosed Multiple Myeloma</t>
  </si>
  <si>
    <t>NCT06948422</t>
  </si>
  <si>
    <t>A Master Protocol for Orforglipron (LY3502970) in Participants With Hypertension and Obesity or Overweight: (ATTAIN-Hypertension Screening)</t>
  </si>
  <si>
    <t>NCT06908707</t>
  </si>
  <si>
    <t>A Study to Investigate Safety, Tolerability and Pharmacokinetics of LAE102 in Postmenopausal Women</t>
  </si>
  <si>
    <t>NCT06846320</t>
  </si>
  <si>
    <t>Study to Assess Adverse Events and Change in Disease Activity When Oral ABBV-932 is Added to Antidepressant Therapies in Adult Participants With Generalized Anxiety Disorder</t>
  </si>
  <si>
    <t>NCT06942923</t>
  </si>
  <si>
    <t>A Study to Investigate the Safety, Tolerability and Pharmacodynamics of AZD4144 in Participants With Obesity</t>
  </si>
  <si>
    <t>NCT07172646</t>
  </si>
  <si>
    <t>A Study of SRSD216 in Patients With Elevated Lipoprotein (a)</t>
  </si>
  <si>
    <t>NCT06722820</t>
  </si>
  <si>
    <t>Study to Evaluate LPH-5 in Healthy Subjects</t>
  </si>
  <si>
    <t>Lophora</t>
  </si>
  <si>
    <t>NCT06814132</t>
  </si>
  <si>
    <t>A Study to Evaluate the Effect of MK-5684 in Male Participants With Severe Renal Impairment (RI) and With End-stage Renal Disease (ESRD) (MK-5684-010)</t>
  </si>
  <si>
    <t>NCT06580587</t>
  </si>
  <si>
    <t>A Study of MK-8527 in Healthy Lactating Female Participants (MK-8527-009)</t>
  </si>
  <si>
    <t>NCT06918743</t>
  </si>
  <si>
    <t>To Evaluate the Efficacy and Safety of RSS0393 Ointment in Patients With Plaque Psoriasis Phase II Study</t>
  </si>
  <si>
    <t>NCT06955104</t>
  </si>
  <si>
    <t>Clinical Trial to Evaluate the Efficacy and Safety of Co-administration of JW0108+C2407 in Patients With Dyslipidemia</t>
  </si>
  <si>
    <t>NCT06916078</t>
  </si>
  <si>
    <t>A Study of Lepodisiran (LY3819469) in Participants With Normal, Mild, Moderate, or Severe Liver Function</t>
  </si>
  <si>
    <t>NCT06947226</t>
  </si>
  <si>
    <t>A Clinical Study of 9MW2821 Monotherapy or Combined With Other Anticancer Therapy in Advanced Solid Tumors</t>
  </si>
  <si>
    <t>NCT06922448</t>
  </si>
  <si>
    <t>Study of BLU-808 in Allergic Rhinoconjunctivitis</t>
  </si>
  <si>
    <t>NCT06714617</t>
  </si>
  <si>
    <t>Evaluate BL-M17D1 in Patients w/HER2-Expressing/Mutant Advanced or Metastatic Solid Tumors</t>
  </si>
  <si>
    <t>NCT06921850</t>
  </si>
  <si>
    <t>A Study to Assess the Pharmacokinetics and Safety of Bimekizumab in Children and Adolescents With Moderate to Severe Hidradenitis Suppurativa</t>
  </si>
  <si>
    <t>NCT07080242</t>
  </si>
  <si>
    <t>Evaluating BL-M14D1 in Subjects With Locally Advanced or Metastatic Small Cell Lung Cancer and Neuroendocrine Tumors</t>
  </si>
  <si>
    <t>NCT06474442</t>
  </si>
  <si>
    <t>A Phase Ⅱa Study of the Safety, Tolerability and Efficacy of BD111 in Herpes Simplex Virus Type I Stromal Keratitis</t>
  </si>
  <si>
    <t>NCT07020156</t>
  </si>
  <si>
    <t>A First-in-Human Phase I Trial of OX118 in Healthy Volunteers</t>
  </si>
  <si>
    <t>Oxion Biologics AB</t>
  </si>
  <si>
    <t>NCT06590324</t>
  </si>
  <si>
    <t>A Study of Apabetalone in Subjects With Long -COVID</t>
  </si>
  <si>
    <t>NCT06908772</t>
  </si>
  <si>
    <t>Glumetinib Combined With Osimertinib Treatment for Non-Small Cell Lung Cancer Patients</t>
  </si>
  <si>
    <t>NCT06905314</t>
  </si>
  <si>
    <t>A Single Ascending Dose of HRS-4029 in Healthy Subjects</t>
  </si>
  <si>
    <t>NCT06971900</t>
  </si>
  <si>
    <t>GATEWAY: A Phase 2a Study of PORT-77 in Adults With Erythropoietic Protoporphyria</t>
  </si>
  <si>
    <t>NCT07027111</t>
  </si>
  <si>
    <t>Safety, Tolerability, and Efficacy of NVG-2089 in Participants With CIDP</t>
  </si>
  <si>
    <t>Nuvig Therapeutics, Inc.</t>
  </si>
  <si>
    <t>NCT06864104</t>
  </si>
  <si>
    <t>A Study to Investigate Tonlamarsen for the Treatment of Adults With Uncontrolled Hypertension (KARDINAL)</t>
  </si>
  <si>
    <t>Kardigan, Inc.</t>
  </si>
  <si>
    <t>NCT06932315</t>
  </si>
  <si>
    <t>A Study to Evaluate the Safety, Tolerability and Dose-Response Relationship of HRS-9190 in Healthy Subjects</t>
  </si>
  <si>
    <t>NCT06651515</t>
  </si>
  <si>
    <t>A Study of the Safety and Efficacy of Pancreatic Endocrine Cell Clusters Implanted Into the Omentum of Type 1 Diabetes Patients With Severe Hypoglycemia</t>
  </si>
  <si>
    <t>Seraxis</t>
  </si>
  <si>
    <t>NCT06931080</t>
  </si>
  <si>
    <t>Evaluation of the Efficacy and Safety of EB-1020 in Adult ADHD Patients</t>
  </si>
  <si>
    <t>Otsuka Pharmaceutical Co., Ltd.</t>
  </si>
  <si>
    <t>NCT05161637</t>
  </si>
  <si>
    <t>Phase 2/3 Study of TLC590 for Postsurgical Pain Management</t>
  </si>
  <si>
    <t>Taiwan Liposome Company</t>
  </si>
  <si>
    <t>NCT06932393</t>
  </si>
  <si>
    <t>Exosomes for Hairloss Treatment</t>
  </si>
  <si>
    <t>NCT06862739</t>
  </si>
  <si>
    <t>Glycemic Control with Triple Pathway Approach Through Empagliflozin, Linagliptin and Metformin Combination</t>
  </si>
  <si>
    <t>Nabiqasim Industries (Pvt) Ltd</t>
  </si>
  <si>
    <t>NCT06879145</t>
  </si>
  <si>
    <t>Clinical Study on the Treatment of MIBC Patients With SHR-A2102 Injection Combined With Adebrelimab (SHR-1316)</t>
  </si>
  <si>
    <t>NCT06690177</t>
  </si>
  <si>
    <t>Clinical Study to Evaluate the Safety and the Efficacy of EscharEx Drug Product (EX-03 Formulation) and Its Placebo Compared to Collagenase, Non-surgical Standard of Care, in Patients With Venous Leg Ulcers</t>
  </si>
  <si>
    <t>MediWound Ltd</t>
  </si>
  <si>
    <t>NCT07109700</t>
  </si>
  <si>
    <t>A Study of HDM1005 in Participants With T2DM Not Controlled With Diet/Exercise or Metformin</t>
  </si>
  <si>
    <t>NCT06710756</t>
  </si>
  <si>
    <t>Lead-212 PSV359 Therapy for Patients With Solid Tumors</t>
  </si>
  <si>
    <t>Perspective Therapeutics</t>
  </si>
  <si>
    <t>NCT06908577</t>
  </si>
  <si>
    <t>An Accessorised Prefilled Syringe to an Autoinjector Pharmacokinetic Bridging Study of Tozorakimab</t>
  </si>
  <si>
    <t>NCT06948539</t>
  </si>
  <si>
    <t>To Evaluate the Tolerability and Pharmacokinetics of TQB2101 for Injection in Patients With Advanced Malignant Tumors</t>
  </si>
  <si>
    <t>NCT06896760</t>
  </si>
  <si>
    <t>A Mass Balance Study of [14C]ABSK011</t>
  </si>
  <si>
    <t>NCT06921759</t>
  </si>
  <si>
    <t>A Study to Investigate the Efficacy and Safety of Lebrikizumab in Participants With Moderate-to-Severe Atopic Hand and Foot Dermatitis</t>
  </si>
  <si>
    <t>NCT06926920</t>
  </si>
  <si>
    <t>A Study of Sacituzumab Govitecan Given at an Alternative Dose and Schedule in Participants With Advanced Triple-Negative Breast Cancer</t>
  </si>
  <si>
    <t>NCT06962774</t>
  </si>
  <si>
    <t>An Investigational Study of ESK-001 in Participants With Normal Renal Function and Participants With Mild, Moderate, and Severe Impaired Renal Function</t>
  </si>
  <si>
    <t>NCT06408259</t>
  </si>
  <si>
    <t>Study to Evaluate the Effectiveness and Safety of Ozanimod Compared to Fingolimod in Children and Adolescents With Relapsing Remitting Multiple Sclerosis</t>
  </si>
  <si>
    <t>NCT06860750</t>
  </si>
  <si>
    <t>A Trial of SHR-1314 Injection in Adult Patients With Active Non-radiographic Axial Spondyloarthritis</t>
  </si>
  <si>
    <t>NCT06752603</t>
  </si>
  <si>
    <t>A Clinical Study of ONO-1110 in Patients With Hunner Type Interstitial Cystitis</t>
  </si>
  <si>
    <t>NCT06823947</t>
  </si>
  <si>
    <t>Study of KK3910 in Healthy Volunteers and Patients With Essential Hypertension</t>
  </si>
  <si>
    <t>NCT06949124</t>
  </si>
  <si>
    <t>A Phase 1 Clinical Study to Evaluate the Effects of SHR7280 on the Pharmacokinetics of Midazolam, S-warfarin, Omeprazole, Digoxin, and Rosuvastatin in Healthy Subjects</t>
  </si>
  <si>
    <t>NCT06858111</t>
  </si>
  <si>
    <t>Fertilo In Vitro Research Study and Trial</t>
  </si>
  <si>
    <t>Gameto, Inc.</t>
  </si>
  <si>
    <t>NCT06910358</t>
  </si>
  <si>
    <t>Study of Bitopertin in Participants With EPP or XLP (APOLLO)</t>
  </si>
  <si>
    <t>Disc Medicine, Inc</t>
  </si>
  <si>
    <t>NCT06868264</t>
  </si>
  <si>
    <t>C-BEYOND: Efficacy and Safety of BEM/RZR vs. SOF/VEL in Subjects With Chronic HCV</t>
  </si>
  <si>
    <t>NCT06708299</t>
  </si>
  <si>
    <t>CardiolRx in Recurrent Pericarditis (MAVERIC Phase-3)</t>
  </si>
  <si>
    <t>Cardiol Therapeutics Inc.</t>
  </si>
  <si>
    <t>NCT06884072</t>
  </si>
  <si>
    <t>A Study to Evaluate the Effect of a High-fat Meal on the Exposure of Pimicotinib Capsule in Healthy Subjects</t>
  </si>
  <si>
    <t>NCT06914895</t>
  </si>
  <si>
    <t>A Study of Tirzepatide (LY3298176) Compared With Placebo in Adults With Type 1 Diabetes and Obesity or Overweight</t>
  </si>
  <si>
    <t>NCT06820463</t>
  </si>
  <si>
    <t>A Study to Evaluate the Adverse Events, and Efficacy of Intravenous (IV) of Telisotuzumab Adizutecan in Combination With IV Oxaliplatin, Fluorouracil, Folinic Acid/Leucovorin, Bevacizumab, Panitumumab in Adult Participants With Metastatic Colorectal Cancer</t>
  </si>
  <si>
    <t>NCT06941142</t>
  </si>
  <si>
    <t>A Study of Sirolimus (Albumin-Bound) in Combination With Palbociclib and Fulvestrant for the Treatment of Advanced Breast Cancer</t>
  </si>
  <si>
    <t>NCT06840535</t>
  </si>
  <si>
    <t>A Study to Evaluate the Safety and Dosimetry of 68Ga-OncoACP3 in Patients With Prostate Cancer</t>
  </si>
  <si>
    <t>NCT06459869</t>
  </si>
  <si>
    <t>NG-350A Plus Chemoradiotherapy for Locally Advanced Rectal Cancer</t>
  </si>
  <si>
    <t>Akamis Bio</t>
  </si>
  <si>
    <t>NCT06751433</t>
  </si>
  <si>
    <t>Evaluation of Clinical, Perceived and Instrumental Efficacy of a Scar Gel in Preventing Hypertrophic Scars</t>
  </si>
  <si>
    <t>NCT06776952</t>
  </si>
  <si>
    <t>A Randomized, Double-blind, Multicenter Phase III Study of XNW5004 Tablets in Patients With Relapsed or Refractory Peripheral T-cell Lymphoma</t>
  </si>
  <si>
    <t>NCT06657144</t>
  </si>
  <si>
    <t>A Study of CHS-114 in Combination With Toripalimab and/or Other Treatments in Participants With Advanced Solid Tumors</t>
  </si>
  <si>
    <t>NCT07172802</t>
  </si>
  <si>
    <t>A Study of GI-108, an Anti-CD73-IgG4 Fc-IL-2v Bispecific Fusion Protein, as Monotherapy in Patients With Advanced or Metastatic Solid Tumors</t>
  </si>
  <si>
    <t>GI Innovation, Inc.</t>
  </si>
  <si>
    <t>NCT06810726</t>
  </si>
  <si>
    <t>Evaluate Use of Tropocells(R) Autologous Platelet-rich Fibrin (PRF) for Wagner Grade 1 and Grade 2, Mild to Mod Neuroischemic Plantar Diabetic Foot Ulcer Wound Care.</t>
  </si>
  <si>
    <t>Estar Medical dba Medical Technologies, LTD</t>
  </si>
  <si>
    <t>NCT06961708</t>
  </si>
  <si>
    <t>A Study of Fosmanogepix in Healthy Adult Chinese Subjects</t>
  </si>
  <si>
    <t>NCT06932523</t>
  </si>
  <si>
    <t>A Study to Evaluate the Safety of Recombinant Herpes Zoster Vaccine for Healthy Individuals</t>
  </si>
  <si>
    <t>NCT06894771</t>
  </si>
  <si>
    <t>A Study of MK-4700 Alone or With Pembrolizumab in Participants With Advanced or Metastatic Solid Tumors (MK-4700-001)</t>
  </si>
  <si>
    <t>NCT06786052</t>
  </si>
  <si>
    <t>EXploratory Study on Postprandial Energy Metabolism</t>
  </si>
  <si>
    <t>NCT06790693</t>
  </si>
  <si>
    <t>A Study Evaluating the Efficacy and Safety of Inavolisib Plus CDK4/6 Inhibitor and Letrozole vs Placebo + CDK4/6i and Letrozole in Participants With Endocrine-Sensitive PIK3CA-Mutated, Hormone Receptor-Positive, HER2-Negative Advanced Breast Cancer</t>
  </si>
  <si>
    <t>NCT06862908</t>
  </si>
  <si>
    <t>A Study of IBI362 in Subjects With HFpEF or HFmrEF Combined With Obesity</t>
  </si>
  <si>
    <t>NCT06841185</t>
  </si>
  <si>
    <t>A Study to Compare the Efficacy, Safety, Immunogenicity, and Pharmacokinetic Profile of HLX13 with YERVOY As a First-Line Treatment for Patients with Unresectable Hepatocellular Carcinoma</t>
  </si>
  <si>
    <t>NCT06958679</t>
  </si>
  <si>
    <t>Evaluation of SYS6005 in Patients With Advanced Malignant Tumor</t>
  </si>
  <si>
    <t>NCT06890884</t>
  </si>
  <si>
    <t>A Clinical Study of Zilovertamab Vedotin (MK-2140) Plus Rituximab Plus Cyclophosphamide, Doxorubicin, and Prednisone (R-CHP) Versus Polatuzumab Vedotin Plus R-CHP in People With Diffuse Large B-cell Lymphoma (DLBCL) (MK-2140-011/waveLINE-011)</t>
  </si>
  <si>
    <t>NCT06935409</t>
  </si>
  <si>
    <t>Study of HS-20093 Versus Gemcitabine in Combination With Docetaxel in Treatment of Osteosarcoma After Previous Second-line Treatment Failure</t>
  </si>
  <si>
    <t>NCT06945614</t>
  </si>
  <si>
    <t>Exploratory Clinical Study to Assess Safety and Efficacy of Xenon Gas Inhalation to Control Neuroinflammation</t>
  </si>
  <si>
    <t>General Biophysics LLC</t>
  </si>
  <si>
    <t>NCT06801834</t>
  </si>
  <si>
    <t>Study of Sacituzumab Govitecan Versus Standard of Care in Participants With Previously Treated Extensive Stage Small Cell Lung Cancer</t>
  </si>
  <si>
    <t>NCT07416955</t>
  </si>
  <si>
    <t>Pharmacokinetic, Immunogenicity, and Safety Evaluation of Pegfilgrastim TPI-120 in Healthy Adults</t>
  </si>
  <si>
    <t>NCT06833190</t>
  </si>
  <si>
    <t>REGN5381 in Adult Participants With Uncontrolled Hypertension</t>
  </si>
  <si>
    <t>NCT06533761</t>
  </si>
  <si>
    <t>Eganelisib as Monotherapy and in Combination With Cytarabine in Relapsed/Refractory AML</t>
  </si>
  <si>
    <t>Stelexis BioSciences</t>
  </si>
  <si>
    <t>NCT07413978</t>
  </si>
  <si>
    <t>A Clinical Trial of Human Umbilical Cord Mesenchymal Stem Cell Injection for the Treatment of Severe Acute Respiratory Distress Syndrome</t>
  </si>
  <si>
    <t>Changchun Tuohua Pharmaceutical Co., Ltd.</t>
  </si>
  <si>
    <t>NCT06970301</t>
  </si>
  <si>
    <t>A Study to Assess the Safety and Tolerability, and Pharmacokinetics of UCB0022 in Healthy Caucasian, Japanese, and Chinese Participants</t>
  </si>
  <si>
    <t>NCT06873581</t>
  </si>
  <si>
    <t>Pivotal Study of Voro Urologic Scaffold</t>
  </si>
  <si>
    <t>Levee Medical, Inc.</t>
  </si>
  <si>
    <t>NCT06450639</t>
  </si>
  <si>
    <t>A Study to Assess the Efficacy and Safety of Satralizumab in Duchenne Muscular Dystrophy (DMD)</t>
  </si>
  <si>
    <t>NCT06797375</t>
  </si>
  <si>
    <t>Safety, Tolerability, Pharmacokinetics and Pharmacodynamics Study of RLYB116 in Healthy Participants</t>
  </si>
  <si>
    <t>NCT06846671</t>
  </si>
  <si>
    <t>A Study of BGB-16673 Compared to Investigator's Choice in Participants With Chronic Lymphocytic Leukemia or Small Lymphocytic Lymphoma Previously Exposed to Both Bruton Tyrosine Kinase (BTK) and B-cell Leukemia/Lymphoma 2 Protein (BCL2) Inhibitors</t>
  </si>
  <si>
    <t>NCT06827236</t>
  </si>
  <si>
    <t>A Clinical Study to Find the Optimal Dose of an Investigational Treatment Called BNT323 When Used in Combination With Another Investigational Treatment, BNT327, and to Test if That Combination Treatment is Safe and Beneficial for Patients With Advanced Breast Cancer</t>
  </si>
  <si>
    <t>NCT06429800</t>
  </si>
  <si>
    <t>A Study to Evaluate the Safety and Preliminary Efficacy of ATA3219 in Participants With Systemic Lupus Erythematosus</t>
  </si>
  <si>
    <t>NCT07362030</t>
  </si>
  <si>
    <t>Drug-durg Interaction of RAY1225 With Warfarin, Atorvastatin, Metformin and Digoxin</t>
  </si>
  <si>
    <t>NCT06814119</t>
  </si>
  <si>
    <t>A Clinical Study of Calderasib (MK-1084) in Participants With Renal Impairment (MK-1084-010)</t>
  </si>
  <si>
    <t>NCT06927570</t>
  </si>
  <si>
    <t>A Study of HS-20122 in Patients With Advanced Solid Tumors</t>
  </si>
  <si>
    <t>NCT06815575</t>
  </si>
  <si>
    <t>A Safety and Pharmacokinetics Study of RC220 Combined With Doxorubicin in Adult Participants With Solid Tumours.</t>
  </si>
  <si>
    <t>Race Oncology Ltd</t>
  </si>
  <si>
    <t>NCT06932003</t>
  </si>
  <si>
    <t>A Study to Explore the Safety, Tolerability, Efficacy, and Pharmacokinetics of LT-002-158 Tablets in Chinese Adult Patients With Hidradenitis Suppurativa</t>
  </si>
  <si>
    <t>NCT06911320</t>
  </si>
  <si>
    <t>Study of Bemnifosbuvir/Ruzasvir as a Fixed-dose Combination in Subjects With Normal or Severely Impaired Renal or Hepatic Function</t>
  </si>
  <si>
    <t>NCT06843447</t>
  </si>
  <si>
    <t>A Clinical Study of Raludotatug Deruxtecan in People With Ovarian Cancer (MK-5909-003)</t>
  </si>
  <si>
    <t>NCT06910709</t>
  </si>
  <si>
    <t>Single and Multiple Ascending Dose Study of AMG 378 in Healthy Participants</t>
  </si>
  <si>
    <t>NCT06824467</t>
  </si>
  <si>
    <t>A Study to Evaluate the Efficacy and Safety of Sacituzumab Tirumotecan (MK-2870) Maintenance Treatment Versus Standard of Care in Participants With Platinum-sensitive Recurrent Ovarian Cancer (MK-2870-022/TroFuse-022/ENGOT-ov84/GOG-3103)</t>
  </si>
  <si>
    <t>NCT06884618</t>
  </si>
  <si>
    <t>A Study to Evaluate the Safety, Tolerability, Pharmacokinetics (PK) and Preliminary Clinical Activity of RO7673396 in Participants With Advanced Solid Tumors Harboring Rat Sarcoma Viral Oncogene Homolog (RAS) Mutation(s)</t>
  </si>
  <si>
    <t>NCT06928142</t>
  </si>
  <si>
    <t>A Trial to Evaluate the Efficacy and Safety of Sibeprenlimab Administered Subcutaneously in Participants With Sjögren's</t>
  </si>
  <si>
    <t>NCT06878833</t>
  </si>
  <si>
    <t>A Study to Evaluate the Safety and Tolerability of Long-Acting Oral Risperidone (LYN-005) in Participants With Schizophrenia or Schizoaffective Disorder</t>
  </si>
  <si>
    <t>Lyndra Inc.</t>
  </si>
  <si>
    <t>NCT06867796</t>
  </si>
  <si>
    <t>A Safety and Pharmacokinetics Study of TL-001 in Healthy Adults</t>
  </si>
  <si>
    <t>TrueLab Biopharmaceutical Co., Ltd</t>
  </si>
  <si>
    <t>NCT06773481</t>
  </si>
  <si>
    <t>BC008-1A Injection for Recurrent CNS WHO G4 Glioma</t>
  </si>
  <si>
    <t>NCT06846554</t>
  </si>
  <si>
    <t>A Trial of "APL-9796'' in Adults With Pulmonary Hypertension</t>
  </si>
  <si>
    <t>NCT06932705</t>
  </si>
  <si>
    <t>A Study to Compare to PK Characteristics and Safety Profiles Between PA-111 and PA-111A</t>
  </si>
  <si>
    <t>NCT06864169</t>
  </si>
  <si>
    <t>A Study of Raludotatug Deruxtecan (R-DXd) in People With Gastrointestinal Cancers (MK-5909-005)</t>
  </si>
  <si>
    <t>NCT06974812</t>
  </si>
  <si>
    <t>IBI3014 in Participants With Unresectable Locally Advanced or Metastatic Solid Tumors</t>
  </si>
  <si>
    <t>NCT06889701</t>
  </si>
  <si>
    <t>A Phase 1/2 Study to Evaluate the Safety, PK and Efficacy of TNP-2092 Administered Via IA Injection in PJI Participants</t>
  </si>
  <si>
    <t>NCT06726148</t>
  </si>
  <si>
    <t>Study of ECI830 Single Agent or in Combination in Patients With Advanced HR+/HER2- Breast Cancer and Other Advanced Solid Tumors</t>
  </si>
  <si>
    <t>NCT06840548</t>
  </si>
  <si>
    <t>A Study to Evaluate the Safety and Dosimetry of 68Ga-OncoCAIX in Patients With CAIX-positive Cancer</t>
  </si>
  <si>
    <t>NCT06615050</t>
  </si>
  <si>
    <t>A Study of Tacrolimus/Methotrexate/Ruxolitinib Versus Post-Transplant Cyclophosphamide/Tacrolimus/Mycophenolate Mofetil in Non-Myeloablative/Reduced Intensity Conditioning Allogeneic Peripheral Blood Stem Cell Transplantation (BMT CTN 2203)</t>
  </si>
  <si>
    <t>NCT06934616</t>
  </si>
  <si>
    <t>A Phase I, First-in-Human Study of GB268 (PD-1/CTLA-4/VEGF Trispecific Antibody) in Advanced Solid Tumors</t>
  </si>
  <si>
    <t>Genor Biopharma Co., Ltd.</t>
  </si>
  <si>
    <t>NCT06952530</t>
  </si>
  <si>
    <t>A Master Protocol Study of Orforglipron (LY3502970) in Participants With Hypertension and Obesity or Overweight (ATTAIN-Hypertension) GZL2</t>
  </si>
  <si>
    <t>NCT06866405</t>
  </si>
  <si>
    <t>A Phase 3 Study of Revaccination in Subsequent Pregnancies With Bivalent RSV Vaccine and Duration of Protection of a Single Dose</t>
  </si>
  <si>
    <t>NCT06776432</t>
  </si>
  <si>
    <t>Safety and Efficacy Study of Sivopixant, Acetazolamide and SASS-001 in Sleep Apnea</t>
  </si>
  <si>
    <t>Shionogi Apnimed Sleep Science</t>
  </si>
  <si>
    <t>NCT06626919</t>
  </si>
  <si>
    <t>A Phase 1 Study of Anitocabtagene Autoleucel for the Treatment of Subjects With Non-oncology Plasma Cell-related Diseases</t>
  </si>
  <si>
    <t>Arcellx, Inc.</t>
  </si>
  <si>
    <t>NCT06963281</t>
  </si>
  <si>
    <t>Study of IBI3020 Treatment in Participants With Late-Stage Solid Tumors</t>
  </si>
  <si>
    <t>Innovent Biopharmaceutical Technology (Hangzhou) Co., LTD.</t>
  </si>
  <si>
    <t>NCT07029698</t>
  </si>
  <si>
    <t>A Study to See if a Combination of Vitamins That is Injected Into a Muscle is as Good and Safe as a Vitamin That is Taken by Mouth</t>
  </si>
  <si>
    <t>Medice Arzneimittel Pütter GmbH &amp; Co KG</t>
  </si>
  <si>
    <t>NCT06900920</t>
  </si>
  <si>
    <t>A Study of TQB3473 Tablets Compared to Placebo in the Treatment of Adult Primary Immune Thrombocytopenia</t>
  </si>
  <si>
    <t>NCT06897579</t>
  </si>
  <si>
    <t>Carboplatin/Cisplatin + Etoposide + Benmelstobart Sequential Benmelstobart Combined With Anlotinib Versus Carboplatin/Cisplatin + Etoposide + Tislelizumab Sequential Tislelizumab in the Treatment of Extensive Stage Small Cell Lung Cancer</t>
  </si>
  <si>
    <t>NCT06838195</t>
  </si>
  <si>
    <t>Clinical Trial of the S. Flexneri-S. Sonnei Bivalent Conjugate Vaccine</t>
  </si>
  <si>
    <t>NCT06795399</t>
  </si>
  <si>
    <t>A Proof-of-concept Trial for OPC 131461 in Patients Hospitalized for Worsening Heart Failure</t>
  </si>
  <si>
    <t>NCT07140328</t>
  </si>
  <si>
    <t>Evaluation of the Safety and Efficacy of HSK39004 Dry Powder Inhaler and HSK39004 Inhalation Suspension in Chinese Patients With Chronic Obstructive Pulmonary Disease (COPD)</t>
  </si>
  <si>
    <t>NCT06712654</t>
  </si>
  <si>
    <t>A Study to Evaluate Safety, Tolerability and Efficacy of AP306 At Fixed Doses in Patients with Hyperphosphatemia</t>
  </si>
  <si>
    <t>NCT06925854</t>
  </si>
  <si>
    <t>A Study to Investigate How AZD4144 Affects the Pharmacokinetics of Rosuvastatin in Healthy Participants</t>
  </si>
  <si>
    <t>NCT06938529</t>
  </si>
  <si>
    <t>A Pharmacokinetic Study of VCT220 in Particicants With Hepatic Injury and Normal Hepatic Function</t>
  </si>
  <si>
    <t>NCT06916143</t>
  </si>
  <si>
    <t>Comparing the Extent to Which Three Different Formulations of LY4100511 (DC-853) Are Made Available in the Body, Alone and in the Presence of a Drug That Reduces Stomach Acid</t>
  </si>
  <si>
    <t>NCT06920043</t>
  </si>
  <si>
    <t>A Study of Efimosfermin Alfa in Participants With Biopsy-confirmed Cirrhosis (Compensated) Due to MASH</t>
  </si>
  <si>
    <t>Boston Pharmaceuticals</t>
  </si>
  <si>
    <t>NCT06747468</t>
  </si>
  <si>
    <t>Avexitide for Treatment of Post-Bariatric Hypoglycemia</t>
  </si>
  <si>
    <t>NCT06929624</t>
  </si>
  <si>
    <t>A Phase 3 Clinical Study of SHR-A1912 Combined With R-GemOx Versus R-GemOx in Diffuse Large B-cell Lymphoma</t>
  </si>
  <si>
    <t>NCT06901830</t>
  </si>
  <si>
    <t>A Study of YZJ-4729 Tartrate Injection for the Treatment of Pain After Orthopedic Surgery</t>
  </si>
  <si>
    <t>NCT06523231</t>
  </si>
  <si>
    <t>Study to Expand Safety and Immunogenicity Data With Shigella Bioconjugate Vaccine (Shigella4V2) in 9-month-old Infants.</t>
  </si>
  <si>
    <t>NCT06777901</t>
  </si>
  <si>
    <t>Auryon Atherectomy System With Standard Balloon Angioplasty Versus Standard Balloon Angioplasty Alone</t>
  </si>
  <si>
    <t>Angiodynamics, Inc.</t>
  </si>
  <si>
    <t>NCT06916065</t>
  </si>
  <si>
    <t>A Study of Eloralintide (LY3841136) and Eloralintide With Tirzepatide in Participants With Overweight or Obesity</t>
  </si>
  <si>
    <t>NCT06904807</t>
  </si>
  <si>
    <t>A Phase I Study to Evaluate LIFE-001</t>
  </si>
  <si>
    <t>LifeMine Therapeutics</t>
  </si>
  <si>
    <t>NCT06948435</t>
  </si>
  <si>
    <t>A Master Protocol Study of Orforglipron (LY3502970) in Participants With Hypertension and Obesity or Overweight (ATTAIN-Hypertension) GZL1</t>
  </si>
  <si>
    <t>NCT06952075</t>
  </si>
  <si>
    <t>GR1803 Injection in Patients With RRMM</t>
  </si>
  <si>
    <t>NCT06623279</t>
  </si>
  <si>
    <t>Open-laBel Dose-escalation Study for CRISPR/cas13- Rna TargetInG THerapy for the Treatment of Neovascular Age-related Macular Degeneration in Phase I Trial</t>
  </si>
  <si>
    <t>NCT06909214</t>
  </si>
  <si>
    <t>A Study to Evaluate the Clinical Outcomes of Efgartigimod PH20 SC in Adults With New-onset Generalized Myasthenia Gravis (gMG)</t>
  </si>
  <si>
    <t>NCT06962267</t>
  </si>
  <si>
    <t>A Clinical Study on the First-line Treatment of Metastatic Pancreatic Cancer With TQB2916 Injection Combined With Gemcitabine Hydrochloride for Injection and Paclitaxel for Injection (Albumin-bound Type)</t>
  </si>
  <si>
    <t>NCT06829771</t>
  </si>
  <si>
    <t>Clinical Trial of TQB2825 Injection Combined Immunochemotherapy in Subjects With Diffuse Large B Cell Lymphoma</t>
  </si>
  <si>
    <t>NCT06647745</t>
  </si>
  <si>
    <t>A Randomized, Double-blind, Multi-center, Active-controlled, Phase 3 Clinical Trial to Evaluate the Efficacy and Safety of Combination Therapy of THP-00101, THP-00102, and THP-00103 in Subjects With T2DM and Essential Hypertension</t>
  </si>
  <si>
    <t>THPharm Corp.</t>
  </si>
  <si>
    <t>NCT07199543</t>
  </si>
  <si>
    <t>Palatability Study of Five Formulations of Benzydamine HCl Lozenges</t>
  </si>
  <si>
    <t>NCT06820099</t>
  </si>
  <si>
    <t>Study on the Efficacy and Safety of HRS-7535 in Patients With Mild Decrease in Ejection Fraction/Preserved Ejection Fraction Heart Failure and Obesity</t>
  </si>
  <si>
    <t>NCT06786338</t>
  </si>
  <si>
    <t>A Study of SGB-9768 in Patients with Complement-mediated Kidney Diseases</t>
  </si>
  <si>
    <t>NCT06925581</t>
  </si>
  <si>
    <t>A Trial of HRS-6768 in Patients With Advanced Solid Tumors</t>
  </si>
  <si>
    <t>NCT06943937</t>
  </si>
  <si>
    <t>A Clinical Study of YTS109 Cell in R/R Systemic Lupus Erythematosus</t>
  </si>
  <si>
    <t>NCT06899230</t>
  </si>
  <si>
    <t>Safety, Tolerability, and Pharmacokinetics (PK) of Single and Multiple Ascending Oral Doses of iQ-007</t>
  </si>
  <si>
    <t>iQure Australia Pty Ltd</t>
  </si>
  <si>
    <t>NCT06916156</t>
  </si>
  <si>
    <t>Evaluation of the Concentration of ANT3310 and Meropenem in the Lung in Healthy Adult Participants</t>
  </si>
  <si>
    <t>NCT07348302</t>
  </si>
  <si>
    <t>Efficacy and Safety of SLIT in Patients With Rhinitis/RC With/Without Mild-moderate Asthma, Due to Dpt and/or Df</t>
  </si>
  <si>
    <t>Inmunotek S.L.</t>
  </si>
  <si>
    <t>NCT06922383</t>
  </si>
  <si>
    <t>A Clinical Study of Arfolitixorin in Patients With mCRC</t>
  </si>
  <si>
    <t>Isofol Medical AB</t>
  </si>
  <si>
    <t>NCT06704269</t>
  </si>
  <si>
    <t>Study to Assess Safety, Efficacy, and Cellular Kinetics of YTB323 in Generalized Myasthenia Gravis</t>
  </si>
  <si>
    <t>NCT06821503</t>
  </si>
  <si>
    <t>Clinical Study Evaluating the Safety, Tolerability, and Preliminary Efficacy of LM-108 ± Penpulimab+Chemotherapy in Advanced Solid Tumors - Cohort C</t>
  </si>
  <si>
    <t>NCT06917872</t>
  </si>
  <si>
    <t>A Study in Healthy People to Test Whether Erythromycin Influences the Amount of BI 1291583 in the Blood</t>
  </si>
  <si>
    <t>NCT07141030</t>
  </si>
  <si>
    <t>Study of Pharmacokinetics and Safety of GZR18 Injection in Subjects With Renal Impairment and Normal Renal Function</t>
  </si>
  <si>
    <t>NCT06948006</t>
  </si>
  <si>
    <t>A Study to Investigate the Relative Bioavailability of 2 Different Formulations of AZD4144, the Effect of Food and Omeprazole on the Pharmacokinetics of AZD4144 in Healthy Participants</t>
  </si>
  <si>
    <t>NCT06948981</t>
  </si>
  <si>
    <t>GT719 Injection for the Treatment of Recurrent/Refractory CD19 Positive Adult B-cell Malignancies</t>
  </si>
  <si>
    <t>NCT06669975</t>
  </si>
  <si>
    <t>A Study of AP402 in HER2-Positive Patients With Locally or Advanced Solid Tumors</t>
  </si>
  <si>
    <t>AP Biosciences Inc.</t>
  </si>
  <si>
    <t>NCT06926621</t>
  </si>
  <si>
    <t>A Study of Long-term Safety and Efficacy of VX-670 in Participants With Myotonic Dystrophy Type I</t>
  </si>
  <si>
    <t>NCT06927310</t>
  </si>
  <si>
    <t>The Efficacy and Safety of Inpegsomatropin Injection in Children With Idiopathic Short Stature</t>
  </si>
  <si>
    <t>NCT06917742</t>
  </si>
  <si>
    <t>A Study of CPTX2309 in Healthy Participants</t>
  </si>
  <si>
    <t>Capstan Therapeutics</t>
  </si>
  <si>
    <t>NCT06997484</t>
  </si>
  <si>
    <t>First-in-Human Single and Multiple Dose of HL-400</t>
  </si>
  <si>
    <t>Highlightll Pharmaceutical (USA) LLC</t>
  </si>
  <si>
    <t>NCT06816108</t>
  </si>
  <si>
    <t>A Study of ONO-7428 in Participants With Unresectable Advanced or Recurrent Solid Tumors</t>
  </si>
  <si>
    <t>NCT06860971</t>
  </si>
  <si>
    <t>A Study of AL2846 Capsule Versus Placebo in the Treatment of Advanced Radioiodine-Refractory Differentiated Thyroid Carcinoma</t>
  </si>
  <si>
    <t>NCT06708897</t>
  </si>
  <si>
    <t>A Phase 1 Study of ZE50-0134 in Relapsed and Refractory Chronic Lymphocytic Leukemia, Small Lymphocytic Lymphoma, and Select Low-grad Lymphomas</t>
  </si>
  <si>
    <t>NCT06735248</t>
  </si>
  <si>
    <t>A Study to Investigate Multiple Sclerosis Relapse Prevention With mRNA-1195 Compared With Placebo in Participants Aged 18 to ≤55 Years</t>
  </si>
  <si>
    <t>NCT06880874</t>
  </si>
  <si>
    <t>A Clinical Study to Evaluate Enlicitide (MK-0616) Formulations in Healthy Adult Participants (MK-0616-035)</t>
  </si>
  <si>
    <t>NCT06970223</t>
  </si>
  <si>
    <t>A Study to Investigate if Long Acting Cabotegravir (CAB) and Lenacapavir (LEN) Injections Are Tolerable and Acceptable When Administered to Healthy Adults Without HIV</t>
  </si>
  <si>
    <t>NCT06953869</t>
  </si>
  <si>
    <t>Evaluating the Effects of Tasimelteon vs. Placebo in Treating Pediatric Insomnia</t>
  </si>
  <si>
    <t>NCT06938321</t>
  </si>
  <si>
    <t>A Study of AK130 in Combination With AK112 for the Treatment of Advanced Biliary Tract Cancer</t>
  </si>
  <si>
    <t>NCT06513546</t>
  </si>
  <si>
    <t>A Study to Evaluate the Safety, Efficacy, and Pharmacodynamics of PLL001 in ALS Patients</t>
  </si>
  <si>
    <t>PLL TX AUSTRALIA PTY LTD</t>
  </si>
  <si>
    <t>NCT06915142</t>
  </si>
  <si>
    <t>A Phase II Clinical Study of HRS-7058 in Combination With Antitumor Drugs in Patients With Advanced Malignant Tumour</t>
  </si>
  <si>
    <t>NCT06737354</t>
  </si>
  <si>
    <t>Safety and Efficacy Study of IVB103 Injection in Subjects With Neovascular (Wet) Agerelated Macular Degeneration (nAMD).</t>
  </si>
  <si>
    <t>NCT06822790</t>
  </si>
  <si>
    <t>Long-Term Safety and Efficacy of Plozasiran in Adults With Hypertriglyceridemia</t>
  </si>
  <si>
    <t>NCT07025681</t>
  </si>
  <si>
    <t>PK, PD, Safety and Immunogenicity Study of Erythropoietin of Incepta Pharmaceuticals Ltd With Eprex (Janssen-Cilag).</t>
  </si>
  <si>
    <t>NCT06853171</t>
  </si>
  <si>
    <t>Safety, Tolerability, and Pharmacokinetics of KarXT and Dual-burst Release of Xanomeline With Immediate-release Trospium Chloride in Adolescents With Psychiatric Disorders</t>
  </si>
  <si>
    <t>NCT06544330</t>
  </si>
  <si>
    <t>A Phase 1 Study of SYNCAR-001 + STK-009 Without Conditioning Chemotherapy (Lymphodepletion) in Subjects With Severe, Refractory Systemic Autoimmune Rheumatic Disease</t>
  </si>
  <si>
    <t>Synthekine</t>
  </si>
  <si>
    <t>NCT06900543</t>
  </si>
  <si>
    <t>Chinese HCC Efficacy Evaluation, Response and Safety Study of TareSphere</t>
  </si>
  <si>
    <t>NCT06828887</t>
  </si>
  <si>
    <t>Dose-Finding Clinical Trial to Evaluate the Efficacy and Safety of LV232 Capsules in the Treatment of MDD</t>
  </si>
  <si>
    <t>NCT03994874</t>
  </si>
  <si>
    <t>Peritoneal Ultrafiltration in Cardio Renal Syndrome.</t>
  </si>
  <si>
    <t>Iperboreal Pharma Srl</t>
  </si>
  <si>
    <t>NCT06978725</t>
  </si>
  <si>
    <t>A Phase 2 Study of the Safety and Efficacy of Brepocitinib in Adults With Cutaneous Sarcoidosis (BEACON)</t>
  </si>
  <si>
    <t>NCT06881836</t>
  </si>
  <si>
    <t>A Study of ONO-2020 in Participants With Mild to Moderate Alzheimer's Disease</t>
  </si>
  <si>
    <t>NCT06810804</t>
  </si>
  <si>
    <t>A Phase IIa Study to Evaluate NBQ72S</t>
  </si>
  <si>
    <t>Nantong Bencao Quadriga Medical Technology Co. Ltd.</t>
  </si>
  <si>
    <t>NCT06972992</t>
  </si>
  <si>
    <t>A Study to Evaluate Safety, Tolerability, Pharmacokinetics and Pharmacodynamics of ASC47 in Combination With Semaglutide</t>
  </si>
  <si>
    <t>NCT06940401</t>
  </si>
  <si>
    <t>JS111 in Patients With Advanced NSCLC Harboring EGFR Mutations</t>
  </si>
  <si>
    <t>Suzhou Junjing BioSciences Co., Ltd.</t>
  </si>
  <si>
    <t>NCT06940700</t>
  </si>
  <si>
    <t>Clinical Study on the Efficacy and Safety of SHR-4597 Inhalant in Adult Patients With Asthma</t>
  </si>
  <si>
    <t>NCT06925971</t>
  </si>
  <si>
    <t>A Randomized Trial of the Rapamycin Target Eluting Stent for the Treatment of Symptomatic Cerebral Artery Atherosclerotic Disease（TARGET-DREAM）</t>
  </si>
  <si>
    <t>MicroPort NeuroTech Co., Ltd.</t>
  </si>
  <si>
    <t>NCT06978699</t>
  </si>
  <si>
    <t>A Phase II Study Evaluating the Efficacy and Safety of XH-S003 Capsules in Patients With Paroxysmal Nocturnal Hemoglobinuria (PNH)</t>
  </si>
  <si>
    <t>NCT06632600</t>
  </si>
  <si>
    <t>A Study of Efficacy, Safety, Tolerability of LXE408 in Participants With Chronic Chagas Disease.</t>
  </si>
  <si>
    <t>NCT06877533</t>
  </si>
  <si>
    <t>A First-in-Human Open-label, Phase I/Ib Dose Escalation and Expansion Cohort Study of EOS006215 as Monotherapy and in Combination With Pembrolizumab or Other Anticancer Treatments in Participants With Advanced Solid Tumors</t>
  </si>
  <si>
    <t>iTeos Belgium SA</t>
  </si>
  <si>
    <t>NCT06714006</t>
  </si>
  <si>
    <t>Phase 1 Study to Evaluate the Safety and Tolerability of Intravenously Administered PYC-003</t>
  </si>
  <si>
    <t>NCT06898255</t>
  </si>
  <si>
    <t>A Phase I Study to Evaluate GFS202A in Advanced Solid Tumor Patients With Pre-cachexia or Cachexia</t>
  </si>
  <si>
    <t>NCT06743503</t>
  </si>
  <si>
    <t>UB-VV400 in Combination With Rapamycin in Relapsed or Refractory B-cell Malignancies</t>
  </si>
  <si>
    <t>NCT06877611</t>
  </si>
  <si>
    <t>A Phase 1 Study of S-4321</t>
  </si>
  <si>
    <t>NCT06882096</t>
  </si>
  <si>
    <t>Tracing the Metabolic Flux of Orally Administered NAD+ Precursors</t>
  </si>
  <si>
    <t>NCT06903065</t>
  </si>
  <si>
    <t>A Study to Assess the Safety, Pharmacokinetics, and Activity of RO7790121 in Participants With Advanced MASH Liver Fibrosis</t>
  </si>
  <si>
    <t>NCT06937619</t>
  </si>
  <si>
    <t>A Study to Assess the Relative Bioavailability of Risankizumab Following Subcutaneous Administration With On-Body Injector in Healthy Adult Participants</t>
  </si>
  <si>
    <t>NCT06932536</t>
  </si>
  <si>
    <t>The Pharmacokinetics (PK), Safety, Tolerability of SR750 (Formulation F1) in Healthy Volunteers</t>
  </si>
  <si>
    <t>NCT06952634</t>
  </si>
  <si>
    <t>An Investigational Study of ESK-001 in Participants With Normal Liver Function and Participants With Mild, Moderate, and Severe Liver Damage</t>
  </si>
  <si>
    <t>NCT06945458</t>
  </si>
  <si>
    <t>Safety, PK, PD, and Clinical Activity of Orally Administered KT-621 in Adult Patients With Atopic Dermatitis (AD)</t>
  </si>
  <si>
    <t>NCT06895343</t>
  </si>
  <si>
    <t>A Study to Evaluate the Safety, Tolerability, Pharmacokinetics, and Immunogenicity of Single Ascending Subcutaneous or Intravenous Doses of ABBV-701 in Healthy Adult Western and Asian Participants</t>
  </si>
  <si>
    <t>NCT07007559</t>
  </si>
  <si>
    <t>ASPEN-09: A Study of Evorpacept in Combination With Anti-cancer Therapies in Advanced / Metastatic Malignancies</t>
  </si>
  <si>
    <t>ALX Oncology Inc.</t>
  </si>
  <si>
    <t>NCT06891066</t>
  </si>
  <si>
    <t>A Study of Islatravir (ISL) and Ulonivirine (ULO) Once Weekly (QW) in Virologically Suppressed Adults With Human Immunodeficiency Virus Type 1 (HIV-1) (MK-8591B-060)</t>
  </si>
  <si>
    <t>NCT06962956</t>
  </si>
  <si>
    <t>Evaluating Gingivitis and Systemic Biomarkers</t>
  </si>
  <si>
    <t>NCT06865105</t>
  </si>
  <si>
    <t>Study of Targeted Therapies for the Treatment of Adult Participants With Active Psoriatic Arthritis</t>
  </si>
  <si>
    <t>NCT06906731</t>
  </si>
  <si>
    <t>A Study of SHR-9803 for Injection in Patients With Advanced Solid Tumors</t>
  </si>
  <si>
    <t>NCT06904105</t>
  </si>
  <si>
    <t>A Trial of HRS-7535 Tablets in Subjects With Overweight or Obesity</t>
  </si>
  <si>
    <t>NCT06935266</t>
  </si>
  <si>
    <t>A Study of TAK-881 With and Without Ramp-Up Dosing in Healthy Adults</t>
  </si>
  <si>
    <t>NCT06848088</t>
  </si>
  <si>
    <t>A Study to Learn About the Long-Term Health of Adult Participants From a Previous Study of a New Melanoma Treatment</t>
  </si>
  <si>
    <t>NCT05994157</t>
  </si>
  <si>
    <t>Phase 1, Open-label, Dose-escalation Trial With CD38-SADA:177 Lu-DOTA Drug Complex in Subjects With Relapsed or Refractory Non-Hodgkin Lymphoma</t>
  </si>
  <si>
    <t>Y-mAbs Therapeutics</t>
  </si>
  <si>
    <t>NCT06837961</t>
  </si>
  <si>
    <t>LC-Plasma on Immune Response and Reducing Symptoms of Upper Respiratory Infectious Diseases</t>
  </si>
  <si>
    <t>NCT06880770</t>
  </si>
  <si>
    <t>Study of Plozasiran in Adults With Severe Hypertriglyceridemia at Risk of Acute Pancreatitis</t>
  </si>
  <si>
    <t>NCT06799559</t>
  </si>
  <si>
    <t>Study on the Efficacy and Safety of QLM1016 in Schizophrenia</t>
  </si>
  <si>
    <t>NCT06929156</t>
  </si>
  <si>
    <t>A Study of BGM0504 in Healthy Participants and Participants With Impaired Renal Function</t>
  </si>
  <si>
    <t>NCT06821529</t>
  </si>
  <si>
    <t>Stereotactic Intracerebral Injection of IPSC-DAPs in Patients with Parkinson's Disease</t>
  </si>
  <si>
    <t>iCamuno Biotherapeutics Ltd.</t>
  </si>
  <si>
    <t>NCT06934590</t>
  </si>
  <si>
    <t>Evaluate Safety and Tolerability of RX001 in Patients With KRAS Mutant Advanced NSCLC</t>
  </si>
  <si>
    <t>GeneCraft Inc.</t>
  </si>
  <si>
    <t>NCT06938880</t>
  </si>
  <si>
    <t>Study of ZGGS18 in Combination With ZG005 in Patients With Advanced Solid Tumors</t>
  </si>
  <si>
    <t>NCT06967259</t>
  </si>
  <si>
    <t>ENA-001 for Opioid Induced Respiratory Depression</t>
  </si>
  <si>
    <t>Enalare Therapeutics Inc.</t>
  </si>
  <si>
    <t>NCT06991179</t>
  </si>
  <si>
    <t>A Study of Food Effect and Esomeprazole on LY4064809 in Healthy Adult Participants</t>
  </si>
  <si>
    <t>NCT06941077</t>
  </si>
  <si>
    <t>A Study to Evaluate the Relative Bioavailability of New Formulations of INCB057643 Tablets Administered Orally in Healthy Participants</t>
  </si>
  <si>
    <t>NCT06822426</t>
  </si>
  <si>
    <t>Comparing The Safety And Efficacy Of DEFENCATH® In Reducing Central-Line Bloodstream Infections (CLABSIs) In Adults Receiving Total Parenteral Nutrition Through A Central Venous Catheter (CVC)</t>
  </si>
  <si>
    <t>CorMedix</t>
  </si>
  <si>
    <t>NCT01899833</t>
  </si>
  <si>
    <t>Efficacy and Saftey Study of 99mTc-ECDG in the Evaluation of Coronary Artery Disease (CAD)</t>
  </si>
  <si>
    <t>Cell&gt;Point LLC</t>
  </si>
  <si>
    <t>NCT07030790</t>
  </si>
  <si>
    <t>A Phase I Clinical Study of a Single Dose of KLA480</t>
  </si>
  <si>
    <t>NCT06800261</t>
  </si>
  <si>
    <t>Clinical Trial of PCV24 in Infants Aged 2-23 Months</t>
  </si>
  <si>
    <t>NCT06929806</t>
  </si>
  <si>
    <t>Multi-center Trial of Ferric Derisomaltose Versus no Intravenous Iron in Iron-deficient Subjects With Symptomatic Chronic Heart Failure</t>
  </si>
  <si>
    <t>NCT06824519</t>
  </si>
  <si>
    <t>Clinical Trials of Quadrivalent Influenza Vaccine</t>
  </si>
  <si>
    <t>NCT06990867</t>
  </si>
  <si>
    <t>Optimizing Reperfusion to Improve Outcomes and Neurologic Function</t>
  </si>
  <si>
    <t>NCT06798519</t>
  </si>
  <si>
    <t>Relative Bioavailability Study of HNC364 Injectable Suspension</t>
  </si>
  <si>
    <t>Guangzhou Henovcom Bioscience Co. Ltd.</t>
  </si>
  <si>
    <t>NCT06954077</t>
  </si>
  <si>
    <t>A Study of BL-M09D1 in Patients With Locally Advanced or Metastatic Gastrointestinal Tumors and Other Solid Tumors</t>
  </si>
  <si>
    <t>NCT06911827</t>
  </si>
  <si>
    <t>A Study of QLP2117 in Combination With QL2107 in Advanced Solid Tumor Patients</t>
  </si>
  <si>
    <t>NCT06967805</t>
  </si>
  <si>
    <t>WISPer: Evaluation of MTX-463 in Participants With Idiopathic Pulmonary Fibrosis (IPF)</t>
  </si>
  <si>
    <t>NCT06860243</t>
  </si>
  <si>
    <t>A Study to Evaluate Opevesostat (MK-5684) in Male Participants With Moderate Hepatic Impairment (MK-5684-009)</t>
  </si>
  <si>
    <t>NCT06952699</t>
  </si>
  <si>
    <t>A Study of TAK-360 in Adults With Narcolepsy Without Cataplexy (NT2)</t>
  </si>
  <si>
    <t>NCT06680752</t>
  </si>
  <si>
    <t>Clinical Study of ARD103 CAR-T Therapy for Patients With R/R AML or MDS</t>
  </si>
  <si>
    <t>ARCE Therapeutics, Inc.</t>
  </si>
  <si>
    <t>NCT06939504</t>
  </si>
  <si>
    <t>A Trial of HRS-9813 Capsule and Tablet in Healthy Subjects</t>
  </si>
  <si>
    <t>NCT06487000</t>
  </si>
  <si>
    <t>Determine the Dose-dependent Efficacy and Safety of EC-18 in Patients With Moderate to Severe Atopic Dermatitis</t>
  </si>
  <si>
    <t>Enzychem Lifesciences Corporation</t>
  </si>
  <si>
    <t>NCT06882135</t>
  </si>
  <si>
    <t>HW071021 Monotherapy in Patients With Advanced Solid Tumors</t>
  </si>
  <si>
    <t>Wuhan Humanwell Innovative Drug Research and Development Center Limited Company</t>
  </si>
  <si>
    <t>NCT07051252</t>
  </si>
  <si>
    <t>A Study of HBS-201 (Pitolisant Delayed-release)</t>
  </si>
  <si>
    <t>NCT06779188</t>
  </si>
  <si>
    <t>Examining the Effects of Theta Burst TMS on Brain Connectivity and Balance Ability in Older Adults With Balance Problems</t>
  </si>
  <si>
    <t>Weinberg Medical Physics LLC</t>
  </si>
  <si>
    <t>NCT06800963</t>
  </si>
  <si>
    <t>ResQ133A-NMIBC: Intravesical Recombinant Mycobacterium (rMBCG) in Participants With NMIBC Eligible to Receive Intravesical Tice BCG</t>
  </si>
  <si>
    <t>NCT06948799</t>
  </si>
  <si>
    <t>A Study to Evaluate the Safety and Tolerability of Multiple Dose of STSP-0902 in Healthy Subjects</t>
  </si>
  <si>
    <t>NCT07035093</t>
  </si>
  <si>
    <t>A Study of Retatrutide (LY3437943) in Participants Who Have Obesity or Overweight and Chronic Low Back Pain</t>
  </si>
  <si>
    <t>NCT06873334</t>
  </si>
  <si>
    <t>Study of SKY-0515 for Safety, Efficacy, and Pharmacodynamics in Participants With Huntington's Disease</t>
  </si>
  <si>
    <t>Skyhawk Therapeutics, Inc.</t>
  </si>
  <si>
    <t>NCT06947993</t>
  </si>
  <si>
    <t>Platform Study to Evaluate the Efficacy and Safety of Investigational Compound(s) in Patients With Moderate to Severe Atopic Dermatitis</t>
  </si>
  <si>
    <t>NCT06892548</t>
  </si>
  <si>
    <t>A Clinical Study to Investigate the Efficacy and Safety of an Investigational Combination Therapy With BNT324 and BNT327 in Patients With Advanced Lung Cancer</t>
  </si>
  <si>
    <t>NCT06736223</t>
  </si>
  <si>
    <t>Pharmacokinetics, Safety and Tolerability of ITF2357 in Participants With Chronic Hepatic Impairment and With Normal Hepatic Function</t>
  </si>
  <si>
    <t>NCT06714513</t>
  </si>
  <si>
    <t>ID93+GLA-SE Vaccine Against Tuberculosis in Older Adults Aged 55-74</t>
  </si>
  <si>
    <t>Quratis Inc.</t>
  </si>
  <si>
    <t>NCT06789861</t>
  </si>
  <si>
    <t>A First in Human Study of TT5 in Single and Multiple Ascending Doses in Healthy Volunteers and Surgical Patients</t>
  </si>
  <si>
    <t>Tafalgie Therapeutics</t>
  </si>
  <si>
    <t>NCT06865079</t>
  </si>
  <si>
    <t>53-Week Study Evaluating the Safety and Efficacy of Intra-articular Injections of TPX-100 With Mild to Severe Tibio-Femoral Osteoarthritis of the Knee</t>
  </si>
  <si>
    <t>OrthoTrophix, Inc</t>
  </si>
  <si>
    <t>NCT06533579</t>
  </si>
  <si>
    <t>Gene Therapy for CD19-Positive Hematologic Malignancies (SENTRY-CD19)</t>
  </si>
  <si>
    <t>Vironexis Biotherapeutics Inc.</t>
  </si>
  <si>
    <t>NCT07032597</t>
  </si>
  <si>
    <t>A Study to Assess Safety and Effectiveness of HArmonyCa Lidocaine Injectable Gel for Restoration and/or Creation of Mid-Face Volume in Adult Participants</t>
  </si>
  <si>
    <t>NCT06963840</t>
  </si>
  <si>
    <t>Effect of Theronomic Ova-All Care on Biomarkers of Ovarian Health in Adult Female With Polycystic Ovarian Syndrome</t>
  </si>
  <si>
    <t>Wellizen Australia</t>
  </si>
  <si>
    <t>NCT06925659</t>
  </si>
  <si>
    <t>A Study of QLM2011 in Subjects With Advanced Solid Tumors</t>
  </si>
  <si>
    <t>NCT06971094</t>
  </si>
  <si>
    <t>Safety and Efficacy Evaluation of GC101 Gene Therapy Via Intrathecal (IT) Injectionin the Treatment of Patients With Type 2 Spinal Muscular Atrophy (SMA) - Phase III</t>
  </si>
  <si>
    <t>NCT06989983</t>
  </si>
  <si>
    <t>A Study Designed to Assess the Mass Balance Recovery, Absorption, Metabolism, Excretion of [14C]AZD5462 and the Absolute Bioavailability of AZD5462</t>
  </si>
  <si>
    <t>NCT06747351</t>
  </si>
  <si>
    <t>A Study to Compare TAK-881 and HYQVIA in Adults With Chronic Inflammatory Demyelinating Polyradiculoneuropathy (CIDP)</t>
  </si>
  <si>
    <t>NCT06410131</t>
  </si>
  <si>
    <t>Study in Patients With Advanced Solid Tumors to Evaluate the Safety of FTL008.16</t>
  </si>
  <si>
    <t>Sound Biopharmaceuticals Ltd.</t>
  </si>
  <si>
    <t>NCT06903377</t>
  </si>
  <si>
    <t>Study of ZG005 Combined With Gecacitinib in Patients With Advanced Non-Small Cell Lung Cancer</t>
  </si>
  <si>
    <t>NCT06922591</t>
  </si>
  <si>
    <t>Study to Evaluate the Safety, Tolerability &amp; Efficacy of TNG462 in Combination in PDAC &amp; NSCLC Patients</t>
  </si>
  <si>
    <t>NCT06947408</t>
  </si>
  <si>
    <t>A Study to Evaluate the Safety and Tolerability of Multiple Dose of IBI3002 in Healthy and Asthmatic Participants</t>
  </si>
  <si>
    <t>NCT06968221</t>
  </si>
  <si>
    <t>Bovine Reinforcement in Stomach, Colorectal and Lung Operation</t>
  </si>
  <si>
    <t>Shanghai Cingularbio Co. Ltd</t>
  </si>
  <si>
    <t>NCT06993792</t>
  </si>
  <si>
    <t>A Master Protocol for Orforglipron (LY3502970) in Participants With Obesity or Overweight With and Without Type 2 Diabetes</t>
  </si>
  <si>
    <t>NCT06834165</t>
  </si>
  <si>
    <t>Study Evaluating the Safety and Efficacy of Neffy or Intramuscular Adrenalin in Patients With Allergic Reactions After Oral Food Challenge or Allergen Immunotherapy</t>
  </si>
  <si>
    <t>ARS Pharmaceuticals, Inc.</t>
  </si>
  <si>
    <t>NCT07006077</t>
  </si>
  <si>
    <t>Recombinant Human IL-21-expressing Oncolytic Vaccinia Virus Injection (hV01) in Advanced Pancreatic Cancer</t>
  </si>
  <si>
    <t>Hangzhou Converd Co., Ltd.</t>
  </si>
  <si>
    <t>NCT06821945</t>
  </si>
  <si>
    <t>A Clinical Trial to Evaluate the Safety and Efficacy of Olanzapine Titration Schedule in Patients With Schizophrenia</t>
  </si>
  <si>
    <t>NCT06942793</t>
  </si>
  <si>
    <t>A Study to Evaluate the Efficacy and Safety of Treatment With CsA-PG Ophthalmic Gel in Dry Eye Patients</t>
  </si>
  <si>
    <t>NCT06994572</t>
  </si>
  <si>
    <t>Study of CT-01 as Monotherapy and Combination Therapy in Subjects With Intermediate or Advanced Hepatocellular Carcinoma</t>
  </si>
  <si>
    <t>Captor Therapeutics S.A.</t>
  </si>
  <si>
    <t>NCT06889012</t>
  </si>
  <si>
    <t>A Study to Evaluate the Pharmacokinetics and the Safety After Administration of BR1018 and Coadministration of BR1018A and BR1018B in Healthy Adult Volunteers</t>
  </si>
  <si>
    <t>NCT06947499</t>
  </si>
  <si>
    <t>A Phase II/III Study to Evaluate the Immunogenicity, Safety and Lot-to-lot Consistency of LBVD, a Fully Liquid Hexavalent Diphtheria-tetanus-whole Cell Pertussis-hepatitis B-poliovirus-Haemophilus Influenzae Type b Conjugate (DTwP-HepB-IPV-Hib) Vaccine, in Healthy Infants as Primary Series</t>
  </si>
  <si>
    <t>NCT07001436</t>
  </si>
  <si>
    <t>A Pharmacokinetics and Safety Study of Azvudine Tablets in Subjects With Mild-To-Moderate GFR Decline in Renal Insufficiency and in Healthy Subjects</t>
  </si>
  <si>
    <t>NCT06962852</t>
  </si>
  <si>
    <t>A Long-term Study to Monitor the Health Status of People With Cystic Fibrosis Who Took Part in a Previous Study With BI 3720931 (Lenticlair™-ON)</t>
  </si>
  <si>
    <t>NCT07069725</t>
  </si>
  <si>
    <t>The Phase 1, Open-label, PET Trial Designed to Investigate the Effect of AZD2389 on FAP Occupancy in the Liver in Participants With Advanced Liver Fibrosis.</t>
  </si>
  <si>
    <t>NCT06962826</t>
  </si>
  <si>
    <t>A Study in Healthy People to Test How Empagliflozin is Taken up in the Body When Taken as a Whole Tablet or Dissolved in Water and Mixed With Food</t>
  </si>
  <si>
    <t>NCT07011706</t>
  </si>
  <si>
    <t>ATI-045 Versus Placebo in Patients With Moderate-to-Severe Atopic Dermatitis</t>
  </si>
  <si>
    <t>NCT06970743</t>
  </si>
  <si>
    <t>A Study of BGB-16673 Compared to Investigator's Choice in Participants With Relapsed/Refractory Chronic Lymphocytic Leukemia or Small Lymphocytic Lymphoma Previously Exposed to Covalent Bruton Tyrosine Kinase (BTK) Inhibitors</t>
  </si>
  <si>
    <t>NCT06764615</t>
  </si>
  <si>
    <t>A Continuation Study of TAK-279 in Adults With Ulcerative Colitis (UC) and Crohn's Disease (CD)</t>
  </si>
  <si>
    <t>NCT06934252</t>
  </si>
  <si>
    <t>Phase 1a/1b Study of TRB-061 in Healthy Participants &amp; Atopic Dermatitis Patients</t>
  </si>
  <si>
    <t>TRex Bio, Inc.</t>
  </si>
  <si>
    <t>NCT07007806</t>
  </si>
  <si>
    <t>Drug-drug Interaction Study of Omeprazole and Bemnifosbuvir/Ruzasvir</t>
  </si>
  <si>
    <t>NCT06976489</t>
  </si>
  <si>
    <t>The Food Effect on PK Characteristics and Safety Profiles of PA-111</t>
  </si>
  <si>
    <t>NCT06806852</t>
  </si>
  <si>
    <t>A Study to Test Whether Treatment With BI 770371 in Combination With Pembrolizumab With or Without Cetuximab Helps People With Head and Neck Cancer Compared With Pembrolizumab Alone</t>
  </si>
  <si>
    <t>NCT06996886</t>
  </si>
  <si>
    <t>A Study in Healthy Participants to Investigate Relative Bioavailability of AZD5004 in Three Solid Oral Formulations</t>
  </si>
  <si>
    <t>NCT06955754</t>
  </si>
  <si>
    <t>A Study in Healthy People to Test How 3 Different Formulations of BI 764198 Are Taken up in the Body and How This is Influenced by Food</t>
  </si>
  <si>
    <t>NCT06995144</t>
  </si>
  <si>
    <t>Comparing Natriuretic Effects of ER Torsemide to IR Torsemide in Patients With Heart Failure</t>
  </si>
  <si>
    <t>NCT06644534</t>
  </si>
  <si>
    <t>A Study to Assess TTI-0102 vs Placebo in MELAS Patients</t>
  </si>
  <si>
    <t>NCT06975293</t>
  </si>
  <si>
    <t>STC-15 as a Part of Combination Therapy With Toripalimab in Selected Advanced Cancers</t>
  </si>
  <si>
    <t>STORM Therapeutics LTD</t>
  </si>
  <si>
    <t>NCT05900908</t>
  </si>
  <si>
    <t>Post-operative Adjuvant Therapy w/wo GammaTile + Systemic Therapy</t>
  </si>
  <si>
    <t>GT Medical Technologies, Inc.</t>
  </si>
  <si>
    <t>NCT06993428</t>
  </si>
  <si>
    <t>A Trial With EMP16 in Preparation for Late Phase Studies</t>
  </si>
  <si>
    <t>Empros Pharma AB</t>
  </si>
  <si>
    <t>NCT06721871</t>
  </si>
  <si>
    <t>Ascending Doses of Crofelemer Powder for Oral Solution in Pediatric Microvillus Inclusion Disease (MVID)</t>
  </si>
  <si>
    <t>Napo Pharmaceuticals, Inc.</t>
  </si>
  <si>
    <t>NCT07001319</t>
  </si>
  <si>
    <t>Study of GS-3242 in Participants With HIV-1; Substudy-05</t>
  </si>
  <si>
    <t>NCT06701136</t>
  </si>
  <si>
    <t>Drug-Drug Interaction and Food Effect of Sudapyridine(WX-081) With Itraconazole and Rifampin in Healthy Chinese Adults</t>
  </si>
  <si>
    <t>NCT06791525</t>
  </si>
  <si>
    <t>Tirbanibulin for Pediatric Warts</t>
  </si>
  <si>
    <t>The Skin Center Dermatology Group</t>
  </si>
  <si>
    <t>NCT07023731</t>
  </si>
  <si>
    <t>A Study to Evaluate ARV-806 in Adults With Advanced Cancer That Has the KRAS G12D Mutation</t>
  </si>
  <si>
    <t>NCT06902519</t>
  </si>
  <si>
    <t>Study of GS-0151 in Participants With Rheumatoid Arthritis</t>
  </si>
  <si>
    <t>NCT07055516</t>
  </si>
  <si>
    <t>Evaluate the Efficacy and Safety of NT-0796 in Participants With Obesity With or Without Type 2 Diabetes Mellitus</t>
  </si>
  <si>
    <t>NodThera Limited</t>
  </si>
  <si>
    <t>NCT06925737</t>
  </si>
  <si>
    <t>A Clinical Study of Ifinatamab Deruxtecan (I-DXd) in People With Metastatic Prostate Cancer (MK-2400-001)</t>
  </si>
  <si>
    <t>NCT07181343</t>
  </si>
  <si>
    <t>A Drug-Drug Interaction Study Between HS-10374 Tablets and Drospirenone and Ethinyl Estradiol Tablets(Yasmin®)</t>
  </si>
  <si>
    <t>NCT07013097</t>
  </si>
  <si>
    <t>A Phase I Clinical Trial to Evaluate the Single Dose Ascending and Food Effects of PG-033 in Healthy Adults</t>
  </si>
  <si>
    <t>NCT06925750</t>
  </si>
  <si>
    <t>A Clinical Study of Sotatercept (MK-7962) in People With Pulmonary Arterial Hypertension (MK-7962-031/LIGHTRAY EXTENSION)</t>
  </si>
  <si>
    <t>NCT06794541</t>
  </si>
  <si>
    <t>A Study to Evaluate the Safety and Tolerability of Eravacycline in Pediatric Patients Aged 8 to 17 With Complicated Intra-abdominal Infections (cIAI)</t>
  </si>
  <si>
    <t>Tetraphase Pharmaceuticals, Inc</t>
  </si>
  <si>
    <t>NCT07004296</t>
  </si>
  <si>
    <t>A Study of HDM2005 in Patients With Advanced Solid Tumor</t>
  </si>
  <si>
    <t>NCT06958861</t>
  </si>
  <si>
    <t>A Clinical Study to Evaluate the Efficacy, Safety, Pharmacokinetics, and Pharmacodynamics of Inhaled H057 in the Treatment of Acute Exacerbations of Bronchiectasis</t>
  </si>
  <si>
    <t>Shanghai Huilun Pharmaceutical Co., Ltd.</t>
  </si>
  <si>
    <t>NCT06830798</t>
  </si>
  <si>
    <t>Double-blind, Randomized, Placebo-controlled, Multicenter Study to Evaluate the Efficacy and Safety of Ravulizumab Administered Intravenously in Adult Participants at High Risk of Delayed Graft Function After Kidney Transplantation</t>
  </si>
  <si>
    <t>NCT06869018</t>
  </si>
  <si>
    <t>A Study of LY3549492 in Japanese Participants With Type 2 Diabetes Mellitus (T2D) and Healthy Japanese Participants</t>
  </si>
  <si>
    <t>NCT06846710</t>
  </si>
  <si>
    <t>Evaluate the Safety and Pharmacokinetics/Pharmacodynamics of HS-20118</t>
  </si>
  <si>
    <t>NCT06987513</t>
  </si>
  <si>
    <t>RECLAIM STUDY: A Phase 2 Evaluating the Efficacy and Safety of Pemvidutide in the Treatment of Alcohol Use Disorder (AUD) in Subjects With Obesity or Overweight</t>
  </si>
  <si>
    <t>Altimmune, Inc.</t>
  </si>
  <si>
    <t>NCT06982040</t>
  </si>
  <si>
    <t>Evaluate the Efficacy and Safety of NTQ5082 Capsules in Patients With Primary IgA Nephropathy</t>
  </si>
  <si>
    <t>NCT06999590</t>
  </si>
  <si>
    <t>Evaluating Several Cellular, Acellular, and Matrix-like Products (CAMPs) and Standard of Care Versus Matched Standard of Care Controls in the Management of Nonhealing Pressure Ulcers</t>
  </si>
  <si>
    <t>NCT06883526</t>
  </si>
  <si>
    <t>Study of ZG005 in Combination With Gecacitinib in Patients With Relapsed or Refractory Lymphoma</t>
  </si>
  <si>
    <t>NCT06976190</t>
  </si>
  <si>
    <t>A Study of MRG003 in Combination With Pucotenlimab Versus Chemotherapy in the Treatment of Patients With Recurrent or Metastatic Nasopharyngeal Carcinoma</t>
  </si>
  <si>
    <t>Shanghai Miracogen Inc.</t>
  </si>
  <si>
    <t>NCT06717438</t>
  </si>
  <si>
    <t>Study of Zatolmilast (BPN14770) in Participants With PPP2R5D Neurodevelopmental Disorder (Jordan's Syndrome [JS])</t>
  </si>
  <si>
    <t>NCT06902350</t>
  </si>
  <si>
    <t>Safety, Pharmacokinetics and Preliminary Efficacy of CS231295 in Advanced Solid Tumors</t>
  </si>
  <si>
    <t>NCT06933043</t>
  </si>
  <si>
    <t>A Study on the Safety, Tolerability, Bioavailability and Mechanism of Action of Intravenous NAV-240 in Adults.</t>
  </si>
  <si>
    <t>Navigator Medicines, Inc.</t>
  </si>
  <si>
    <t>NCT07319559</t>
  </si>
  <si>
    <t>Clinical Trial to Evaluate the Safety, Pharmacokinetic Characteristics of DW5124 and DW5124-R, and the Effect of Food on DW5124 in Healthy Adult Volunteers</t>
  </si>
  <si>
    <t>NCT07047612</t>
  </si>
  <si>
    <t>ICP-332 in Subjects With Non-segmental Vitiligo</t>
  </si>
  <si>
    <t>NCT06868628</t>
  </si>
  <si>
    <t>A Phase 2a Study of Foralumab Nasal in Patients With Multiple System Atrophy (MSA)</t>
  </si>
  <si>
    <t>NCT06563895</t>
  </si>
  <si>
    <t>Acoramidis Transthyretin Amyloidosis Prevention Trial in the Young (ACT-EARLY) Study in Asymptomatic Carriers of a Pathogenic TTR Variant</t>
  </si>
  <si>
    <t>Eidos Therapeutics, a BridgeBio company</t>
  </si>
  <si>
    <t>NCT06917404</t>
  </si>
  <si>
    <t>A Study to Investigate the Treatment Effect of Subcutaneous Injections of Pentosan Polysulfate Sodium Compared With Placebo in Adult Participants With Knee Osteoarthritis Pain.</t>
  </si>
  <si>
    <t>Paradigm Biopharmaceuticals Ltd.</t>
  </si>
  <si>
    <t>NCT06533644</t>
  </si>
  <si>
    <t>A Study of SYNC-T Therapy SV-102 in Participants With Metastatic Castration-Resistant Prostate Cancer</t>
  </si>
  <si>
    <t>Syncromune, Inc.</t>
  </si>
  <si>
    <t>NCT06969664</t>
  </si>
  <si>
    <t>A Trial of SHR7280 in Healthy Subjects</t>
  </si>
  <si>
    <t>NCT06853444</t>
  </si>
  <si>
    <t>A Phase 1/2 Study of ESG206 in Patients With Primary Immune Thrombocytopenia</t>
  </si>
  <si>
    <t>Shanghai Escugen Biotechnology Co., Ltd</t>
  </si>
  <si>
    <t>NCT06935123</t>
  </si>
  <si>
    <t>Impact of Nutritional Supplementation on Sleep Quality</t>
  </si>
  <si>
    <t>Pharmavite LLC</t>
  </si>
  <si>
    <t>NCT06932094</t>
  </si>
  <si>
    <t>Phase 1 Clinical Study of QLS5132 Monotherapy in Advanced Solid Tumors</t>
  </si>
  <si>
    <t>NCT06957886</t>
  </si>
  <si>
    <t>A Study of BL-M07D1 Versus Investigator's Choice of Chemotherapy in Patients With HER2-low Recurrent/Metastatic Breast Cancer</t>
  </si>
  <si>
    <t>NCT06803654</t>
  </si>
  <si>
    <t>A Study Comparing the Efficacy and Safety of Brimonidine Tartrate Ophthalmic Solution 0.025% With Sodium Hyaluronate Relative to Lumify in Adult Subjects With Ocular Redness</t>
  </si>
  <si>
    <t>NCT06935370</t>
  </si>
  <si>
    <t>A Study to Test Whether Vicadrostat (BI 690517) in Combination With Empagliflozin Helps People With Heart Failure and a Weak Pumping Function of the Left Side of the Heart</t>
  </si>
  <si>
    <t>NCT07021703</t>
  </si>
  <si>
    <t>A Clinical Trial of Rabies Vaccine（Human Diploid Cell）for Human Use,Freeze-dried</t>
  </si>
  <si>
    <t>Ningbo Rongan Biological Pharmaceutical Co., Ltd.</t>
  </si>
  <si>
    <t>NCT06840691</t>
  </si>
  <si>
    <t>A Bioequivalence Study of Two Different Processes of PEG-rhGH Preparations</t>
  </si>
  <si>
    <t>NCT07289503</t>
  </si>
  <si>
    <t>Phase I Clinical Trial of Lyophilized Respiratory Syncytial Virus mRNA Vaccine in Adults Aged 18 Years or Above</t>
  </si>
  <si>
    <t>Suzhou Abogen Biosciences Co., Ltd.</t>
  </si>
  <si>
    <t>NCT06970782</t>
  </si>
  <si>
    <t>Vebreltinib Plus PLB1004 Versus Platinum-based Doublet Chemotherapy in Patients With EGFRm, MET+, Locally Advanced or Metastatic NSCLC Following EGFR-TKI Failure</t>
  </si>
  <si>
    <t>NCT06628037</t>
  </si>
  <si>
    <t>SN514-066b Enzyme in Deep Partial Thickness Burns</t>
  </si>
  <si>
    <t>SERDA bv</t>
  </si>
  <si>
    <t>NCT06961201</t>
  </si>
  <si>
    <t>Nano-crystalline Megestrol Acetate Combined With Standard Treatment Versus Standard Treatment for First-line Extensive-stage Small Cell Lung Cancer in the Cachexia Phase</t>
  </si>
  <si>
    <t>NCT06819891</t>
  </si>
  <si>
    <t>A Study to Assess the Efficacy and Safety of Induction Therapy With Afimkibart (RO7790121) in Participants With Moderately to Severely Active Crohn's Disease</t>
  </si>
  <si>
    <t>NCT06905197</t>
  </si>
  <si>
    <t>A Multinational Study Assessing an Oral EGFR Inhibitor, DZD6008 in Patients Who Have Advanced NSCLC With EGFR Mutations (TIAN-SHAN1)</t>
  </si>
  <si>
    <t>NCT07024407</t>
  </si>
  <si>
    <t>A Study of Andecaliximab in People With Spinal Cord Injury at Risk for Bone Growth Outside of the Normal Skeleton.</t>
  </si>
  <si>
    <t>NCT06798012</t>
  </si>
  <si>
    <t>A Study of TAK-411 in Adults With Chronic Inflammatory Demyelinating Polyradiculoneuropathy (CIDP)</t>
  </si>
  <si>
    <t>NCT06977581</t>
  </si>
  <si>
    <t>A Study to Learn About the Study Medicine Called PF-07275315 in People With Moderate-To-Severe Asthma</t>
  </si>
  <si>
    <t>NCT06919796</t>
  </si>
  <si>
    <t>mRNA Covid-19 Vaccine Immune Response Comparisons Using Different Delivery Routes</t>
  </si>
  <si>
    <t>NCT06918808</t>
  </si>
  <si>
    <t>DB-3Q bmMSC-EVs in Patients With Perianal Fistulizing Crohn's Disease</t>
  </si>
  <si>
    <t>NCT07058116</t>
  </si>
  <si>
    <t>Accelerator-based BNCT (Boron Neutron Capture Therapy) for Head and Neck Carcinoma.</t>
  </si>
  <si>
    <t>Neutron Therapeutics, LLC</t>
  </si>
  <si>
    <t>NCT06929299</t>
  </si>
  <si>
    <t>A Phase Ib/II Clinical Trial of Multiple Doses of STSA-1301 Subcutaneous Injection in Healthy Subjects and Patients With Immune Thrombocytopenia (ITP)</t>
  </si>
  <si>
    <t>NCT07021547</t>
  </si>
  <si>
    <t>A Study of LY3867070 in Healthy Participants</t>
  </si>
  <si>
    <t>NCT07390838</t>
  </si>
  <si>
    <t>A Study of SH009 Injection in Patients With Advanced Solid Tumors.</t>
  </si>
  <si>
    <t>Nanjing Sanhome Pharmaceutical, Co., Ltd.</t>
  </si>
  <si>
    <t>NCT06680037</t>
  </si>
  <si>
    <t>A Study to Assess the Safety and Clinical Activity of Azer-cel in Participants With B-cell Mediated Autoimmune Disorders</t>
  </si>
  <si>
    <t>TG Therapeutics, Inc.</t>
  </si>
  <si>
    <t>NCT06921590</t>
  </si>
  <si>
    <t>A Study to Investigate Lithium Brain/Plasma Pharmacokinetics and Safety of an AL001 Oral Capsule Compared to a Marketed Immediate-release Lithium Carbonate Capsule in Healthy Adult Subjects</t>
  </si>
  <si>
    <t>Alzamend Neuro, Inc.</t>
  </si>
  <si>
    <t>NCT06499285</t>
  </si>
  <si>
    <t>A Study of Elritercept to Treat Anemia in Adults With Very Low, Low, or Intermediate Risk Myelodysplastic Syndromes (MDS) Who Need Regular Blood Transfusions</t>
  </si>
  <si>
    <t>NCT06952660</t>
  </si>
  <si>
    <t>Ocular Assessments in Patients Treated With Tivdak® in Recurrent or Metastatic Cervical Cancer</t>
  </si>
  <si>
    <t>NCT06825702</t>
  </si>
  <si>
    <t>Safety, Tolerability and Efficacy of Intravitreal KIO-104 in Patients With Macular Edema</t>
  </si>
  <si>
    <t>Kiora Pharmaceuticals, Inc.</t>
  </si>
  <si>
    <t>NCT06974565</t>
  </si>
  <si>
    <t>A Study to Investigate the Pharmacokinetics of AZD2389 in Healthy Participants When Administered Alone and in Combination With Quinidine</t>
  </si>
  <si>
    <t>NCT06989788</t>
  </si>
  <si>
    <t>A Study to Evaluate the Safety and Immunogenicity of an Investigational Vaccine for Chronic Hepatitis B Virus Infection, in Healthy Adults</t>
  </si>
  <si>
    <t>NCT06870487</t>
  </si>
  <si>
    <t>A Study to Learn About the Study Medicine Called PF-08046032 in People With Advanced Cancers</t>
  </si>
  <si>
    <t>NCT07035041</t>
  </si>
  <si>
    <t>A Phase 2 Study of D-2570 in Subjects With Moderately to Severely Active Ulcerative Colitis</t>
  </si>
  <si>
    <t>NCT07000123</t>
  </si>
  <si>
    <t>A Phase III Study to Assess the Effect of AZD0780 on LDL-C in Patients With Clinical ASCVD or at Risk for a First ASCVD Event</t>
  </si>
  <si>
    <t>NCT07007546</t>
  </si>
  <si>
    <t>A Study to Evaluate the Safety, Tolerability, and Pharmacokinetics of ABSK061 Mini-tablets in Healthy Adult Participants</t>
  </si>
  <si>
    <t>NCT06736379</t>
  </si>
  <si>
    <t>Intratumoral Delivery of Viral Replicon (saRNA) Particles Expressing IL-12 in Head and Neck Cancer</t>
  </si>
  <si>
    <t>VLP Therapeutics</t>
  </si>
  <si>
    <t>NCT07046559</t>
  </si>
  <si>
    <t>A Single- and Multiple-Ascending Dose Study to Evaluate the Safety, Tolerability, and Pharmacokinetics of LY4066708 in Healthy Participants</t>
  </si>
  <si>
    <t>NCT06956196</t>
  </si>
  <si>
    <t>Study of Stapokibatrt in Children Subjects With Atopic Dermatitis</t>
  </si>
  <si>
    <t>NCT04071821</t>
  </si>
  <si>
    <t>Relative Bioavailability Study to Evaluate Cetirizine HCl Gummy 10 mg and Cetirizine HCl Oral Tablets 10 mg</t>
  </si>
  <si>
    <t>Seattle Gummy Company</t>
  </si>
  <si>
    <t>NCT06395285</t>
  </si>
  <si>
    <t>Evaluating the Safety and Tolerability of Orally Administered DF-003 in ROSAH Syndrome Patients</t>
  </si>
  <si>
    <t>Shanghai Yao Yuan Biotechnology Ltd. (also known as Drug Farm)</t>
  </si>
  <si>
    <t>NCT06928363</t>
  </si>
  <si>
    <t>A First-in-human Study of KY-0301 in Patients With Advanced Solid Tumors.</t>
  </si>
  <si>
    <t>NCT06786676</t>
  </si>
  <si>
    <t>A Phase 1 Clinical Trial to Investigate the Safety, Tolerability, and Pharmacokinetics of AS-S603 in Healthy Participants</t>
  </si>
  <si>
    <t>Amyloid Solution Inc</t>
  </si>
  <si>
    <t>NCT06485843</t>
  </si>
  <si>
    <t>An Study to Evaluate Safety and Tolerability of OA-SYS in Subjects With Moderate to Severe Osteoarthritis of the Knee Joint</t>
  </si>
  <si>
    <t>Ageless Biotech, Inc.</t>
  </si>
  <si>
    <t>NCT06942143</t>
  </si>
  <si>
    <t>An Open-label, Phase I Clinical Trial of Super1 TCR-T in NY-ESO-1-positive Patients With Advanced Solid Tumors</t>
  </si>
  <si>
    <t>NCT06994143</t>
  </si>
  <si>
    <t>A Study of CLN-978, a Subcutaneously Administered CD19-directed T Cell Engager, in Subjects With Rheumatoid Arthritis</t>
  </si>
  <si>
    <t>NCT06450106</t>
  </si>
  <si>
    <t>Study of STM-416p Administered to Patients Undergoing Radical Prostatectomy</t>
  </si>
  <si>
    <t>NCT06934408</t>
  </si>
  <si>
    <t>A Phase I Study to Evaluate the Safety, Tolerability, Pharmacokinetics and Pharmacodynamics of HRS-5817 Injection</t>
  </si>
  <si>
    <t>NCT07100171</t>
  </si>
  <si>
    <t>Evaluation of GM101 Injection in Patients With Parkinson's Disease</t>
  </si>
  <si>
    <t>Genemagic Biosciences Co., Ltd</t>
  </si>
  <si>
    <t>NCT06961006</t>
  </si>
  <si>
    <t>A Clinical Study of V940 and Pembrolizumab (MK-3475) in People With Melanoma (V940-012/INTerpath-012)</t>
  </si>
  <si>
    <t>NCT06959706</t>
  </si>
  <si>
    <t>Study Evaluating the Safety, Tolerability, Pharmacokinetics, and Preliminary Efficacy of TGW101 in Participants With Advanced Solid Tumors</t>
  </si>
  <si>
    <t>Tagworks Pharmaceuticals BV</t>
  </si>
  <si>
    <t>NCT06943378</t>
  </si>
  <si>
    <t>Ph1, Randomized, Double-Blind and Controlled, Dose Escalation and Expansion Study to Assess the Safety and Pharmacokinetics of JST-010 in Healthy Adults</t>
  </si>
  <si>
    <t>Just-Evotec Biologics</t>
  </si>
  <si>
    <t>NCT06942182</t>
  </si>
  <si>
    <t>Safety and Efficacy of Isomyosamine in Reducing Inflammation and Treating Muscle Loss in Older Adults After Hip or Thigh Bone Fractures</t>
  </si>
  <si>
    <t>TNF Pharmaceuticals, Inc.</t>
  </si>
  <si>
    <t>NCT06939283</t>
  </si>
  <si>
    <t>A Phase 1b/2 Multisite Dose-finding and Expansion Study of WTX-330 in Adult Patients With Selected Advanced or Metastatic Solid Tumors or Lymphoma</t>
  </si>
  <si>
    <t>Werewolf Therapeutics, Inc.</t>
  </si>
  <si>
    <t>NCT06942741</t>
  </si>
  <si>
    <t>A Study to Evaluate the Effect of Formulation and Food on Calderasib (MK-1084) in Healthy Adult Participants (MK-1084-011)</t>
  </si>
  <si>
    <t>NCT06976931</t>
  </si>
  <si>
    <t>Study on the Safe Dosage and Therapeutic Effect of the Drug YY2201 Tablets on Patients With Advanced Cancer</t>
  </si>
  <si>
    <t>Jiangsu YaYao Biotechnology Co., Ltd.</t>
  </si>
  <si>
    <t>NCT06941272</t>
  </si>
  <si>
    <t>A Study of Patritumab Deruxtecan in Pediatric Participants With Relapsed or Refractory Solid Tumors (MK-9999-01C/LIGHTBEAM-U01)</t>
  </si>
  <si>
    <t>NCT06666413</t>
  </si>
  <si>
    <t>China Post-approval Commitment (PAC) Study of Avalglucosidase Alfa in Participants With IOPD</t>
  </si>
  <si>
    <t>Genzyme, a Sanofi Company</t>
  </si>
  <si>
    <t>NCT06986811</t>
  </si>
  <si>
    <t>CEB-01 in Paediatrics With Locally Resectable Abdominal Tumours</t>
  </si>
  <si>
    <t>NCT06975878</t>
  </si>
  <si>
    <t>Study of a 21-valent Pneumococcal Conjugate Vaccine in Healthy Infants From Approximately 2 Months of Age</t>
  </si>
  <si>
    <t>NCT06502990</t>
  </si>
  <si>
    <t>Open-label Study to Evaluate Metreleptin in Children Under 6 Years of Age With Generalised Lipodystrophy</t>
  </si>
  <si>
    <t>NCT06995729</t>
  </si>
  <si>
    <t>A Study to Learn About the Study Medicine Called Zavegepant (PF-07930207) in Children With a History of Migraine</t>
  </si>
  <si>
    <t>NCT06936527</t>
  </si>
  <si>
    <t>XS-03 in Combination With FOLFOX or FOLFIRI and Bevacizumab for Treatment of Metastatic Colorectal Cancer Patients With RAS Mutation</t>
  </si>
  <si>
    <t>NCT07328022</t>
  </si>
  <si>
    <t>Efficacy and Safety of Etoricoxib/Betamethasone Combination in Acute Bursitis, Tendinitis and Synovitis</t>
  </si>
  <si>
    <t>NCT06963398</t>
  </si>
  <si>
    <t>A Study of HS-10529 in KRAS G12D Patients With Advanced Solid Tumors</t>
  </si>
  <si>
    <t>NCT06907875</t>
  </si>
  <si>
    <t>A First-in-human Study of EPI-321 in Facioscapulohumeral Muscular Dystrophy</t>
  </si>
  <si>
    <t>Epicrispr Biotechnologies, Inc.</t>
  </si>
  <si>
    <t>NCT07012395</t>
  </si>
  <si>
    <t>A Study of Long-acting Antibodies Alone and in Combinations for Moderate to Severe Ulcerative Colitis</t>
  </si>
  <si>
    <t>NCT06973005</t>
  </si>
  <si>
    <t>A Study to Investigate How Multiple Oral Doses of AZD2389 Affect the Pharmacokinetics of Midazolam, Caffeine, and Bupropion in Healthy Participants</t>
  </si>
  <si>
    <t>NCT06993168</t>
  </si>
  <si>
    <t>To Evaluate Effect of Food of DA-5222 in Healthy Adult Subjects</t>
  </si>
  <si>
    <t>NCT06965413</t>
  </si>
  <si>
    <t>A Study to Assess Efficacy, Safety, Tolerability, Pharmacokinetics (PK) and Pharmacodynamics (PD) of RO7204239 in Combination With Tirzepatide in Participants With Obesity or Overweight With At Least One Weight-related Comorbidity</t>
  </si>
  <si>
    <t>NCT06946524</t>
  </si>
  <si>
    <t>A Study to Assess the Bioavailability of Risankizumab Following Subcutaneous Administration With Prefilled Pen Relative to a Prefilled Syringe in Healthy Adult Participants</t>
  </si>
  <si>
    <t>NCT06980428</t>
  </si>
  <si>
    <t>A Study to Investigate Safety, Tolerability, Pharmacokinetics, and Pharmacodynamics of AZD4954 in Healthy Adult Participants With or Without Elevated Lipoprotein (a) (Lp[a]) Levels, and Participants With Dyslipidemia</t>
  </si>
  <si>
    <t>NCT06964776</t>
  </si>
  <si>
    <t>A Study of LY4268989 (MORF-057) in Healthy Participants</t>
  </si>
  <si>
    <t>NCT06961721</t>
  </si>
  <si>
    <t>A Multicenter, Randomized, Double-Blind, Placebo-Controlled Phase IV Clinical Trial to Evaluate the Immunogenicity and Safety of a Live Attenuated Herpes Zoster Vaccine in Adults Aged 40 Years and Older</t>
  </si>
  <si>
    <t>NCT06940830</t>
  </si>
  <si>
    <t>Long-term Study Evaluating Joint Health in People With Haemophilia A Receiving Real-world Prophylactic Treatment With Efanesoctocog Alfa</t>
  </si>
  <si>
    <t>NCT06967181</t>
  </si>
  <si>
    <t>A Phase 1 Trial of Intranasal Mumps Virus Vaccines in Healthy Adults</t>
  </si>
  <si>
    <t>NCT06937203</t>
  </si>
  <si>
    <t>Study of ARO-ALK7 in Adult Volunteers With Obesity With and Without Type 2 Diabetes Mellitus</t>
  </si>
  <si>
    <t>NCT06780098</t>
  </si>
  <si>
    <t>Substudy 01I: A Study of Investigational Agents in Participants With Previously Treated Stage IV Squamous Non-small Cell Lung Cancer (NSCLC) (MK-3475-01I/KEYMAKER-U01I)</t>
  </si>
  <si>
    <t>NCT07285265</t>
  </si>
  <si>
    <t>Phase I Clinical Trial of Lyophilized Herpes Zoster mRNA Vaccine in Adults Aged 40 Years or Above</t>
  </si>
  <si>
    <t>NCT06970756</t>
  </si>
  <si>
    <t>A Phase I Clinical Study to Evaluate the Safety of PCV26 in Individuals ≥60</t>
  </si>
  <si>
    <t>NCT06962280</t>
  </si>
  <si>
    <t>A Long-Term Study of Tirzepatide (LY3298176) in Adults With Type 1 Diabetes and Obesity or Overweight</t>
  </si>
  <si>
    <t>NCT06924970</t>
  </si>
  <si>
    <t>A Dose-Finding Study of Tebapivat to Assess Efficacy, and Safety in Participants With Sickle Cell Disease (SCD)</t>
  </si>
  <si>
    <t>NCT06962332</t>
  </si>
  <si>
    <t>Pharmacokinetics (PK) and Safety of Zanzalintinib in Participants With Moderate Hepatic Impairment (HI)</t>
  </si>
  <si>
    <t>NCT06784752</t>
  </si>
  <si>
    <t>Study to Evaluate the Efficacy and Safety of [177Lu]Lu-DOTA-TATE in Patients With Grade 1 and Grade 2 Advanced GEP-NET</t>
  </si>
  <si>
    <t>NCT06921837</t>
  </si>
  <si>
    <t>A First-in-Human Study Using BDC-4182 as a Single Agent in Advanced Gastric and Gastroesophageal Cancer</t>
  </si>
  <si>
    <t>Bolt Biotherapeutics, Inc.</t>
  </si>
  <si>
    <t>NCT06803823</t>
  </si>
  <si>
    <t>A Study of ONO-2020 in Patients With Agitation Associated With Alzheimer's Disease Dementia</t>
  </si>
  <si>
    <t>NCT07003425</t>
  </si>
  <si>
    <t>A Long-term Safety and Efficacy Study Evaluating APG777 in Atopic Dermatitis</t>
  </si>
  <si>
    <t>NCT06945107</t>
  </si>
  <si>
    <t>A Study of Switching to Picankibart in Chinese Patients With Plaque Psoriasis With an Inadequate Response to Interleukin-17 Monoclonal Antibody Therapy</t>
  </si>
  <si>
    <t>NCT07033234</t>
  </si>
  <si>
    <t>Evaluate the Safety and Pharmacokinetics/Pharmacodynamics and Food Effect of HS-20118</t>
  </si>
  <si>
    <t>NCT07010419</t>
  </si>
  <si>
    <t>A Study to Assess the Efficacy and Safety of Firmonertinib Versus Placebo for Adjuvant Treatment in Participants With Stage IB - IIIB NSCLC With Uncommon Epidermal Growth Factor Receptor (EGFR) Mutations, Following Complete Surgical Resection With or Without Adjuvant Chemotherapy（FIRMOST）</t>
  </si>
  <si>
    <t>NCT06703606</t>
  </si>
  <si>
    <t>A Study to Learn About How Changing Therapy From Emicizumab to Marstacimab Affects People With the Severe Hemophilia A.</t>
  </si>
  <si>
    <t>NCT07126249</t>
  </si>
  <si>
    <t>A Study to Evaluate the the Bioequivalence of Two Different Pimicotinib Capsules in Healthy Subjects</t>
  </si>
  <si>
    <t>NCT06997276</t>
  </si>
  <si>
    <t>Effect of Hepatic Impairment on the Pharmacokinetics of Mirdametinib</t>
  </si>
  <si>
    <t>NCT06943820</t>
  </si>
  <si>
    <t>AK129 Combination Therapy for Advanced Solid Tumors</t>
  </si>
  <si>
    <t>NCT06979388</t>
  </si>
  <si>
    <t>A Study to Investigate the Effect of Food on Balcinrenone/Dapagliflozin Pharmacokinetics in Fed and Fasted State and Pharmacokinetics of Balcinrenone When Dosed With a P-gp Inhibitor in Healthy Participants.</t>
  </si>
  <si>
    <t>NCT06875973</t>
  </si>
  <si>
    <t>Pelacarsen Roll-over Extension Program</t>
  </si>
  <si>
    <t>NCT06799286</t>
  </si>
  <si>
    <t>A Study to Evaluate the Safety, Tolerability, Pharmacokinetics, and Preliminary Efficacy of BMS-986489 in Chinese Participants With Relapsed/Refractory Small Cell Lung Cancer</t>
  </si>
  <si>
    <t>NCT06884254</t>
  </si>
  <si>
    <t>Efficacy and Safety Study of EG1206A (EirGenix' Pertuzumab) Compared With EU-sourced Perjeta® (Pertuzumab) in Patients With HER2-positive Hormone Receptor Negative Early Breast Cancer.</t>
  </si>
  <si>
    <t>EirGenix, Inc.</t>
  </si>
  <si>
    <t>NCT06901531</t>
  </si>
  <si>
    <t>A Study of Zolbetuximab Together With Pembrolizumab and Chemotherapy in Adults With Gastric Cancer</t>
  </si>
  <si>
    <t>NCT06955741</t>
  </si>
  <si>
    <t>A Study to Assess Drug Levels, Tolerability and Absolute Biological Availability of Single-dose of BMS-986446 in Healthy Participants</t>
  </si>
  <si>
    <t>NCT06711887</t>
  </si>
  <si>
    <t>Phase III Extension Study of Efficacy and Safety of Ianalumab With or Without Study Treatment Withdrawal in Participants With Lupus Nephritis (SIRIUS-LN Extension)</t>
  </si>
  <si>
    <t>NCT06884293</t>
  </si>
  <si>
    <t>A Study Comparing IBI362 vs Semaglutide in Chinese Overweight or Obese Adults With Metabolic Dysfunction-associated Fatty Liver Disease （MAFLD）</t>
  </si>
  <si>
    <t>NCT06921785</t>
  </si>
  <si>
    <t>Phase III Study of Rilvegostomig in Combination With Bevacizumab With or Without Tremelimumab as First-line Treatment of Hepatocellular Carcinoma</t>
  </si>
  <si>
    <t>NCT06930612</t>
  </si>
  <si>
    <t>A Study of CM512 in Patients With Chronic Rhinosinusitis With Nasal Polyposis （NEZHA-1）</t>
  </si>
  <si>
    <t>NCT06978647</t>
  </si>
  <si>
    <t>A Clinical Study of YTS109 Cell in R/R Autoimmune Diseases</t>
  </si>
  <si>
    <t>NCT06885281</t>
  </si>
  <si>
    <t>A Study of ZL-1310 in Participants With Selected Solid Tumors</t>
  </si>
  <si>
    <t>NCT02725554</t>
  </si>
  <si>
    <t>Study of Wireless Nerve Stimulation in the Treatment of Chronic Migraine</t>
  </si>
  <si>
    <t>Curonix LLC</t>
  </si>
  <si>
    <t>NCT06970951</t>
  </si>
  <si>
    <t>Early Clinical Study of UTAA91 Injection for the Treatment of Relapsed/Refractory Autoimmune Diseases</t>
  </si>
  <si>
    <t>NCT06771219</t>
  </si>
  <si>
    <t>SLV-154 Treatment of Metastatic Solid Tumors</t>
  </si>
  <si>
    <t>Solve Therapeutics</t>
  </si>
  <si>
    <t>NCT07050459</t>
  </si>
  <si>
    <t>A Phase I Study of SIM0686 in Participants With Locally Advanced/Metastatic Solid Tumors</t>
  </si>
  <si>
    <t>NCT06919991</t>
  </si>
  <si>
    <t>Drug-Drug Interaction Study of Casdatifan in Healthy Adult Participants (ARC-29)</t>
  </si>
  <si>
    <t>NCT06952114</t>
  </si>
  <si>
    <t>A Study of Stem Cells Lenses in the coGVHD Subjects</t>
  </si>
  <si>
    <t>Guangdong ProCapZoom Biosciences Co., Ltd.</t>
  </si>
  <si>
    <t>NCT06964191</t>
  </si>
  <si>
    <t>Evaluate Efficacy and Safety of PA5108 Ocular Implants in Primary Open Angle Glaucoma or Ocular Hypertension</t>
  </si>
  <si>
    <t>PolyActiva Pty Ltd</t>
  </si>
  <si>
    <t>NCT06976268</t>
  </si>
  <si>
    <t>A Study to Determine if BHV-8000 is Effective, Safe and Tolerable as a Treatment for Adults Living With Early Parkinson's Disease</t>
  </si>
  <si>
    <t>NCT06935149</t>
  </si>
  <si>
    <t>Detecting Colorectal Cancer With Liver Metastatic Lesions Using Novel Precise Imaging Tools</t>
  </si>
  <si>
    <t>Primo Biotechnology Co., Ltd</t>
  </si>
  <si>
    <t>NCT07170852</t>
  </si>
  <si>
    <t>Bioequivalence Study of Bempedoic Acid 180 mg Film Coated Tablet and Nilemdo® (Bempedoic Acid) 180 mg Film-coated Tablets</t>
  </si>
  <si>
    <t>NCT06914908</t>
  </si>
  <si>
    <t>Long-term Safety and Efficacy Evaluation of Lunsekimig in Adult Participants With Chronic Rhinosinusitis With Nasal Polyps (CRSwNP) Who Completed a Previous Lunsekimig CRSwNP Study</t>
  </si>
  <si>
    <t>NCT07213895</t>
  </si>
  <si>
    <t>Bioequivalence Study to Compare Empagliflozin/Linagliptin/Metformin HCL 25mg/5mg/1000mg Extended-Release Tablets Versus Trijardy® XR Extended Release Film Coated Tablets</t>
  </si>
  <si>
    <t>NCT07119450</t>
  </si>
  <si>
    <t>The Study of [14C] GZR18</t>
  </si>
  <si>
    <t>NCT07108140</t>
  </si>
  <si>
    <t>Engineered T-cell Therapy for Patients With ALPP-Positive Advanced Solid Tumors</t>
  </si>
  <si>
    <t>TCRCure Biopharma Ltd.</t>
  </si>
  <si>
    <t>NCT06682793</t>
  </si>
  <si>
    <t>A Study to Evaluate the Safety and Efficacy of A2B395, an Allogeneic Logic-gated CAR T, in Participants With Solid Tumors That Express EGFR and Have Lost HLA-A*02 Expression</t>
  </si>
  <si>
    <t>NCT06880276</t>
  </si>
  <si>
    <t>Efficacy and Safety Study of QLM3003 Ointment in Participants With Mild or Moderate Atopic Dermatitis</t>
  </si>
  <si>
    <t>NCT06970847</t>
  </si>
  <si>
    <t>64Cu-SAR-bisPSMA Positron Emission Tomography: A Phase 3 Study of Participants With Biochemical Recurrence of Prostate Cancer</t>
  </si>
  <si>
    <t>Clarity Pharmaceuticals Ltd</t>
  </si>
  <si>
    <t>NCT06859476</t>
  </si>
  <si>
    <t>Evaluation of Manzanilla® and Meticel Ofteno® 0.5% for Providing a Relief Sensation to the Eyes</t>
  </si>
  <si>
    <t>NCT06769425</t>
  </si>
  <si>
    <t>HS-10502 Combination Treatment in Patients With Advanced Solid Tumors</t>
  </si>
  <si>
    <t>NCT06933459</t>
  </si>
  <si>
    <t>To Evaluate the Safety and Pharmacokinetic Characteristics of AJU-C714 and C714R in Healthy Adults</t>
  </si>
  <si>
    <t>NCT06951503</t>
  </si>
  <si>
    <t>AK112 and Chemotherapy in First-line Metastatic Colorectal Cancer</t>
  </si>
  <si>
    <t>NCT06237491</t>
  </si>
  <si>
    <t>The Safety and Dosimetry Study of 177Lu-LNC1003 Injection</t>
  </si>
  <si>
    <t>NCT01394679</t>
  </si>
  <si>
    <t>A Phase 3 Study of 99mTC-EC-DG SPECT/CT Versus PET/CT in Lung Cancer</t>
  </si>
  <si>
    <t>NCT06969430</t>
  </si>
  <si>
    <t>A Study to Assess the Safety, Tolerability, and Antileukemic Activity of Debio 1562M in Participants With Acute Myeloid Leukemia (AML)</t>
  </si>
  <si>
    <t>NCT06945406</t>
  </si>
  <si>
    <t>A Study of LY4057996 in Healthy Participants and Participants With Type 1 and Type 2 Diabetes</t>
  </si>
  <si>
    <t>NCT06846606</t>
  </si>
  <si>
    <t>Phase 1 Study of AUTX-703 in Relapsed/Refractory AML and MDS</t>
  </si>
  <si>
    <t>Auron Therapeutics, Inc.</t>
  </si>
  <si>
    <t>NCT06890832</t>
  </si>
  <si>
    <t>A Study to Investigate Efficacy and Safety of Different Dose Regimen of Oral Cabazitaxel Tablet in Adult Participants with Prostate Cancer</t>
  </si>
  <si>
    <t>NCT06974292</t>
  </si>
  <si>
    <t>The Mass Balance and Biotransformation Study of [14C] VC005 in Chinese Healthy Adult Male Volunteers</t>
  </si>
  <si>
    <t>NCT06721962</t>
  </si>
  <si>
    <t>Treatment of Moderate to Severe Refractory Crohn's Disease</t>
  </si>
  <si>
    <t>NCT06992583</t>
  </si>
  <si>
    <t>Targeted Anti-CEA CAR-T Immunotherapy for Advanced Lung Cancer</t>
  </si>
  <si>
    <t>NCT06823856</t>
  </si>
  <si>
    <t>Pharmacokinetics and Bioequivalence Study of Empagliflozin+Metformin Hydrochloride 12.5 mg/1000 mg Film-coated Tablets (Gedeon Richter Plc., Hungary) Versus Synjardy 12.5 mg/1000 mg Film-coated Tablets (Boehringer Ingelheim International GmbH, Germany)</t>
  </si>
  <si>
    <t>NCT07229599</t>
  </si>
  <si>
    <t>A Study of MHB036C Combined With Anti-tumor Therapies in Patients With Advanced Lung Cancer</t>
  </si>
  <si>
    <t>NCT06773507</t>
  </si>
  <si>
    <t>Phase I Study of BC008-1A Injection in Patients With Advanced Solid Tumors</t>
  </si>
  <si>
    <t>NCT06934044</t>
  </si>
  <si>
    <t>A Study Evaluating the Pharmacokinetics, Safety, and Efficacy of Cevostamab in Chinese Participants With Relapsed or Refractory Multiple Myeloma</t>
  </si>
  <si>
    <t>NCT06973564</t>
  </si>
  <si>
    <t>JAB-23E73 in Adult Participants With Advanced Solid Tumors With KRAS Alteration</t>
  </si>
  <si>
    <t>NCT06799247</t>
  </si>
  <si>
    <t>Investigating an mRNA CAR T-cell Therapy, Known as Descartes-08, as a Potential Approach to Treat Myasthenia Gravis</t>
  </si>
  <si>
    <t>NCT07052838</t>
  </si>
  <si>
    <t>Efficacy and Safety of HSK39297 in Anti-C5 Treated PNH Patients With Anemia</t>
  </si>
  <si>
    <t>NCT06965881</t>
  </si>
  <si>
    <t>Study to Evaluate the Pharmacokinetics and Safety Effects Following Coadministration of Carbamazepine or Itraconazole With Radiprodil in Healthy Adults</t>
  </si>
  <si>
    <t>NCT06963021</t>
  </si>
  <si>
    <t>NBI-1065845-MDD3026: Study to Assess the Efficacy and Safety of NBI-1065845 as an Adjunctive Treatment in Participants With Major Depressive Disorder (MDD)</t>
  </si>
  <si>
    <t>NCT06964087</t>
  </si>
  <si>
    <t>Pharmacokinetic and Early Efficacy of OPT101 in Patients With Type 1 Diabetes Mellitus</t>
  </si>
  <si>
    <t>Op-T LLC</t>
  </si>
  <si>
    <t>NCT06969001</t>
  </si>
  <si>
    <t>Clinical Study for the Evaluation of Safety and Tolerability of SCAI-005 Eye Drops</t>
  </si>
  <si>
    <t>SCAI Therapeutics</t>
  </si>
  <si>
    <t>NCT06782373</t>
  </si>
  <si>
    <t>A Study to Assess the Effectiveness and Safety of Pacritinib in Patients With VEXAS Syndrome (PAXIS)</t>
  </si>
  <si>
    <t>NCT07223632</t>
  </si>
  <si>
    <t>Treatment of Charcot-Marie-Tooth Disease, Axonal, Type 2S (CMT2S) in an Individual Patient</t>
  </si>
  <si>
    <t>NCT06963177</t>
  </si>
  <si>
    <t>A Phase IIa Clinical Study to Assess the Efficacy and Safety of GenSci048 in Patients With Moderate to Severe Endometriosis-Associated Pain</t>
  </si>
  <si>
    <t>NCT07002060</t>
  </si>
  <si>
    <t>Phase 3 Randomized, Modified Double-blind, Active-controlled Safety Study on vYF in Adults</t>
  </si>
  <si>
    <t>NCT06970405</t>
  </si>
  <si>
    <t>Study of Safety and Effects of Garetosmab in Healthy Obese Men and Post-Menopausal Women</t>
  </si>
  <si>
    <t>NCT06935357</t>
  </si>
  <si>
    <t>A Study to Learn About the Effects of Felzartamab Infusions on Adults With Immunoglobulin A Nephropathy (IgAN)</t>
  </si>
  <si>
    <t>NCT06904872</t>
  </si>
  <si>
    <t>Safety and Efficacy of Crofelemer in Adult Patients With Short Bowel Syndrome and Intestinal Failure (SBS-IF) Without Colon-in-continuity (CIC)</t>
  </si>
  <si>
    <t>Napo Therapeutics, S.p.A.</t>
  </si>
  <si>
    <t>NCT06944379</t>
  </si>
  <si>
    <t>ORKA-002-211 A Phase I Study to Evaluate ORKA-002 in Healthy Volunteers Following A Single Dose</t>
  </si>
  <si>
    <t>NCT06979973</t>
  </si>
  <si>
    <t>A Drug-drug Interaction Study to Investigate the Pharmacokinetic Interactions Between CKD-508, Midazolam, and Rosuvastatin in Healthy Adult Male Participants</t>
  </si>
  <si>
    <t>NCT05918783</t>
  </si>
  <si>
    <t>Padeliporfin VTP Using Robotic Assisted Bronchoscopy in Peripheral Lung Cancer</t>
  </si>
  <si>
    <t>NCT06952010</t>
  </si>
  <si>
    <t>A Study of XB628 in Participants With Recurrent Advanced or Metastatic Solid Tumors</t>
  </si>
  <si>
    <t>NCT06588153</t>
  </si>
  <si>
    <t>A Study for the Evaluation of Efficacy and Safety of Prolia® in Participants With Glucocorticoid-induced Osteoporosis in Mainland China</t>
  </si>
  <si>
    <t>NCT06963502</t>
  </si>
  <si>
    <t>A Phase Ib Study of HS-10370 in Addition to Other Anti-cancer Therapies in Patients With Advanced Solid Tumors</t>
  </si>
  <si>
    <t>NCT06976723</t>
  </si>
  <si>
    <t>Nerivio Efficacy by Time of Treatment Onset</t>
  </si>
  <si>
    <t>Theranica</t>
  </si>
  <si>
    <t>NCT06901349</t>
  </si>
  <si>
    <t>A Study of Bimagrumab (LY3985863) and Tirzepatide (LY3298176), Alone or in Combination, in Participants With Obesity or Overweight With Type 2 Diabetes</t>
  </si>
  <si>
    <t>NCT06899815</t>
  </si>
  <si>
    <t>Preliminary Human Trials of F230 Tablets</t>
  </si>
  <si>
    <t>Beijing Continent Pharmaceutical Co, Ltd.</t>
  </si>
  <si>
    <t>NCT06929195</t>
  </si>
  <si>
    <t>Clinical Trial to Evaluate the Tolerance of TQB2210 Injection</t>
  </si>
  <si>
    <t>NCT06806137</t>
  </si>
  <si>
    <t>A Study on the Immune Response and Safety of the Second Dose of an Investigational Chickenpox Vaccine When Given to Healthy Children 3 Months After a First Dose at 12 to 15 Months of Age</t>
  </si>
  <si>
    <t>NCT06979518</t>
  </si>
  <si>
    <t>A Study to Evaluate the Safety, Tolerability, Pharmacokinetics, Pharmacodynamics, and Immunogenicity of GSK3862995B Administered as a Single Dose to Healthy Participants of Chinese, Japanese, and European Ancestry</t>
  </si>
  <si>
    <t>NCT06876662</t>
  </si>
  <si>
    <t>A Study of (LY3527727) Pirtobrutinib in Participants With Previously Treated Chronic Lymphocytic Leukemia/Small Lymphocytic Lymphoma or Non-Hodgkin Lymphoma</t>
  </si>
  <si>
    <t>NCT07065773</t>
  </si>
  <si>
    <t>Safety, Tolerability and Efficacy of Trichostatin A in Patients With Mild to Severe Onychomycosis</t>
  </si>
  <si>
    <t>NCT06682988</t>
  </si>
  <si>
    <t>A Study to Assess Adverse Events and Change in Disease Activity in Participants With Platinum-Resistant Advanced High-Grade Epithelial Ovarian, Primary Peritoneal, or Fallopian Tube Cancers With High Folate Receptor-Alpha Expression Treated With Intravenously (IV) Infused Mirvetuximab Soravtansine</t>
  </si>
  <si>
    <t>NCT06851442</t>
  </si>
  <si>
    <t>Clinical Trial of Evaluating TQB3912 Tablets Combined With Fulvestrant Injection±TQB3616 Capsules for Locally Advanced or Metastatic Hormone Receptor(HR)-Positive and Human Epidermal Growth Factor Receptor 2 (HER2)-Negative Breast Cancer</t>
  </si>
  <si>
    <t>NCT06996184</t>
  </si>
  <si>
    <t>Effect of Food on the Oral Bioavailability of a Prolonged-release Formulation of Vamifeport in Healthy Adults</t>
  </si>
  <si>
    <t>NCT07004322</t>
  </si>
  <si>
    <t>A Research Study of the New Medicine NNC0519-0130 in Male Chinese Participants Living With Excess Body Weight</t>
  </si>
  <si>
    <t>NCT06954766</t>
  </si>
  <si>
    <t>Initial Pilot Study to Evaluate the Safety and Temporary Symptom Improvement Efficacy of CKD-981</t>
  </si>
  <si>
    <t>NCT06975605</t>
  </si>
  <si>
    <t>Phase 1, Open-label, Drug-drug Interaction Study to Assess Effect Between Radiprodil and the Co-administered Drugs.</t>
  </si>
  <si>
    <t>NCT06801236</t>
  </si>
  <si>
    <t>Phase 1 Study of ACE-232 to Treat Patients With Metastatic Castration-Resistant Prostate Cancer</t>
  </si>
  <si>
    <t>Acerand Therapeutics (Hong Kong) Limited</t>
  </si>
  <si>
    <t>NCT06930664</t>
  </si>
  <si>
    <t>A Study of Sotatercept (MK-7962) in Healthy Females Administered as a Liquid Formulation in an Autoinjector Versus the Lyophilized Formulation (MK-7962-027)</t>
  </si>
  <si>
    <t>NCT06799533</t>
  </si>
  <si>
    <t>A Study to Learn About the Study Medicine Called PF-08046031 in Advanced Melanoma and Other Solid Tumors</t>
  </si>
  <si>
    <t>NCT06974929</t>
  </si>
  <si>
    <t>A Clinical Study of HRS-6209 Combined With Other Treatment Regimens in Patients With Breast Cancer</t>
  </si>
  <si>
    <t>NCT06522737</t>
  </si>
  <si>
    <t>A Study of Duvelisib Versus Gemcitabine or Bendamustine in Participants With Relapsed/Refractory Nodal T Cell Lymphoma With T Follicular Helper (TFH) Phenotype</t>
  </si>
  <si>
    <t>SecuraBio</t>
  </si>
  <si>
    <t>NCT06951828</t>
  </si>
  <si>
    <t>A Study to Compare the Auto-injector and Pre-filled Syringe of CT-P43 in Healthy Male Subjects</t>
  </si>
  <si>
    <t>NCT06843590</t>
  </si>
  <si>
    <t>A Study to Evaluate the Safety and Effectiveness of ALKS 2680 in Subjects With Idiopathic Hypersomnia</t>
  </si>
  <si>
    <t>NCT06944496</t>
  </si>
  <si>
    <t>A Study of Disitamab Vedotin Combined With Tislelizumab and Chemotherapy Versus Tislelizumab Combined With Chemotherapy in HER2-Low Advanced Gastric or Gastroesophageal Junction Adenocarcinoma</t>
  </si>
  <si>
    <t>NCT06972459</t>
  </si>
  <si>
    <t>A Study of Orforglipron (LY3502970) in Participants With Obesity or Overweight and at Least One Weight-Related Comorbidity</t>
  </si>
  <si>
    <t>NCT06980207</t>
  </si>
  <si>
    <t>A Phase 1, MAD Study to Evaluate the Safety, Tolerability and Pharmacokinetics of LY03017</t>
  </si>
  <si>
    <t>NCT06783309</t>
  </si>
  <si>
    <t>CNP-103 in Adolescent and Adult Subjects Ages 12-35 With Recently Diagnosed (Within 6 Months) Stage 3 Type 1 Diabetes (T1D)</t>
  </si>
  <si>
    <t>NCT06868199</t>
  </si>
  <si>
    <t>A Study of LM-168 as a Single Agent or in Combination With Toripalimab in Subjects With Advanced Solid Tumours</t>
  </si>
  <si>
    <t>NCT06981091</t>
  </si>
  <si>
    <t>A Multicenter, Randomized, Double-blind, Placebo-controlled Parallel-group Phase 2 Clinical Trial to Evaluate the Efficacy and Safety of XH-S004 Tablets in Patients With Non-cystic Fibrosis Bronchiectasis</t>
  </si>
  <si>
    <t>NCT06790966</t>
  </si>
  <si>
    <t>Phase 3 Study of PDS0101 and Pembrolizumab in HPV16+ Recurrent/Metastatic Head and Neck Squamous Cell Carcinoma</t>
  </si>
  <si>
    <t>PDS Biotechnology Corp.</t>
  </si>
  <si>
    <t>NCT06926283</t>
  </si>
  <si>
    <t>A Study of DXC008 in Patients With Prostate Cancer and Other Solid Tumors</t>
  </si>
  <si>
    <t>NCT06943677</t>
  </si>
  <si>
    <t>A Clinical Trial on the Safety, Tolerability, Pharmacokinetics and Preliminary Efficacy of TQB3019 Capsule in Subjects With Advanced Malignant Tumors</t>
  </si>
  <si>
    <t>NCT07040046</t>
  </si>
  <si>
    <t>HS-10542 Study in Healthy Participants</t>
  </si>
  <si>
    <t>NCT07098585</t>
  </si>
  <si>
    <t>To Compare and Evaluate the Oral Bioavailability of Lisdexamfetamine 70 mg Capsule With That of Elvanse® 70 mg Capsules, Hard Lisdexamfetamine Dimesylate in Healthy, Adult, Human Subjects Under Fasting Conditions.</t>
  </si>
  <si>
    <t>NCT07017179</t>
  </si>
  <si>
    <t>This is a Multi-centre, Multi-drug, Platform Study in Chinese Participants Living With Obesity / Overweight</t>
  </si>
  <si>
    <t>NCT06858397</t>
  </si>
  <si>
    <t>A proof-of Concept Study to Assess Safety and Tolerability of HM15421/GC1134A in Patients With Fabry Disease</t>
  </si>
  <si>
    <t>NCT06675513</t>
  </si>
  <si>
    <t>Autologous CAR-T Cells (WD-01) for Metastatic Colorectal Cancer</t>
  </si>
  <si>
    <t>NCT06996912</t>
  </si>
  <si>
    <t>A Study for HSK44459 in Participants With Atopic Dermatitis</t>
  </si>
  <si>
    <t>NCT06800404</t>
  </si>
  <si>
    <t>"HB-adMSCs for the Treatment of Patients With Multiple Sclerosis"</t>
  </si>
  <si>
    <t>Hope Biosciences Research Foundation</t>
  </si>
  <si>
    <t>NCT06963034</t>
  </si>
  <si>
    <t>NBI-1117568-SCZ3029: Evaluation of NBI-1117568 in Inpatient Adults With Schizophrenia</t>
  </si>
  <si>
    <t>NCT06916806</t>
  </si>
  <si>
    <t>A Study to Investigate Safety, Tolerability, Pharmacokinetics, and Pharmacodynamics of AZD5492 in Adult Participants With Systemic Lupus Erythematosus or Idiopathic Inflammatory Myopathies or Rheumatoid Arthritis.</t>
  </si>
  <si>
    <t>NCT07117435</t>
  </si>
  <si>
    <t>Paclitaxel Cationic Liposome (Hepatic Arterial Infusion) in Combination With Systemic Therapy as First-Line Treatment in Colorectal Liver Metastases</t>
  </si>
  <si>
    <t>NCT06947109</t>
  </si>
  <si>
    <t>A Clinical Study of AK139 in Healthy Subjects</t>
  </si>
  <si>
    <t>NCT06898957</t>
  </si>
  <si>
    <t>Study of Tarlatamab in Combination With YL201 With or Without Anti-programmed Death Ligand 1 (PD-L1) in Participants With Extensive Stage (ES) Small Cell Lung Cancer (SCLC)</t>
  </si>
  <si>
    <t>NCT07260812</t>
  </si>
  <si>
    <t>KSV01 Injection for the Treatment of Relapsed/Refractory B-cell Non-Hodgkin Lymphoma</t>
  </si>
  <si>
    <t>TCRx Therapeutics Co.Ltd</t>
  </si>
  <si>
    <t>NCT06942936</t>
  </si>
  <si>
    <t>A Study to Investigate the Impact of Multiple Doses of Itraconazole on AZD5004 in Healthy Participants and Multiple Doses of AZD5004 on Combined Oral Ethinyl Oestradiol and Levonorgestrel in Healthy Female Participants</t>
  </si>
  <si>
    <t>NCT06765902</t>
  </si>
  <si>
    <t>Immunotherapy Before and After Surgery</t>
  </si>
  <si>
    <t>NCT06891872</t>
  </si>
  <si>
    <t>Study of Live Attenuated Varicella Vaccine Co-administered with MMR Vaccine or DTaP Vaccine</t>
  </si>
  <si>
    <t>NCT07068841</t>
  </si>
  <si>
    <t>Pharmacokinetic Effect of Y-3 on Repaglinide，Warfarin and Omeprazole in Healthy Participants</t>
  </si>
  <si>
    <t>NCT06960577</t>
  </si>
  <si>
    <t>Perioperative Durvalumab With Neoadjuvant ddMVAC or Gemcitabine/Cisplatin in Patients With Muscle-invasive Bladder Cancer (NIAGARA-2)</t>
  </si>
  <si>
    <t>NCT06909162</t>
  </si>
  <si>
    <t>A Study to Evaluate the Effect of Food on the Single-Dose Pharmacokinetics and a Drug-Drug Interaction Evaluation of Itraconazole and Rifampin on INCB123667 When Administered Orally to Healthy Adult Participants</t>
  </si>
  <si>
    <t>NCT07069569</t>
  </si>
  <si>
    <t>A Multicenter Study of AHB-137 Injection Combined With Other Hepatitis B Drugs</t>
  </si>
  <si>
    <t>NCT06944925</t>
  </si>
  <si>
    <t>A Study of BBT002 in Healthy Volunteers (HVs) and in Adult Patients With Chronic Obstructive Pulmonary Disease (COPD)</t>
  </si>
  <si>
    <t>NCT06993610</t>
  </si>
  <si>
    <t>Tibulizumab Skin Healing and Inflammation Evaluation for Lasting Defense</t>
  </si>
  <si>
    <t>NCT07049562</t>
  </si>
  <si>
    <t>Study on the Mass Balance of [14C]HRS-8427 for Injection in Healthy Chinese Subjects</t>
  </si>
  <si>
    <t>NCT07039916</t>
  </si>
  <si>
    <t>Study to Assess the Efficacy and Safety of IMVT-1402 in Participants With Mild to Severe Generalized Myasthenia Gravis</t>
  </si>
  <si>
    <t>NCT07020923</t>
  </si>
  <si>
    <t>Monthly Dosing of Atacicept in IgAN</t>
  </si>
  <si>
    <t>NCT06881784</t>
  </si>
  <si>
    <t>Study of Daraxonrasib (RMC-6236) in Patients With RAS Mutated NSCLC (RASolve 301)</t>
  </si>
  <si>
    <t>NCT07152288</t>
  </si>
  <si>
    <t>Investigation of Pharmacokinetics,Safety,and Pharmacodynamics of HSK39297 in Subjects With Hepatic Impairment</t>
  </si>
  <si>
    <t>NCT07324642</t>
  </si>
  <si>
    <t>A Phase 1 MAD Study of KINE-101 in Healthy Volunteers</t>
  </si>
  <si>
    <t>NCT06962800</t>
  </si>
  <si>
    <t>A Study to Learn More About the Effects and Safety of Felzartamab Infusions in Adults With Primary Membranous Nephropathy (PMN)</t>
  </si>
  <si>
    <t>NCT06948747</t>
  </si>
  <si>
    <t>A Study to Investigate the Effect of AZD5004 on Rosuvastatin, Atorvastatin, Simvastatin, Repaglinide and the Effect of Erythromycin on AZD5004 in Healthy Participants</t>
  </si>
  <si>
    <t>NCT06876649</t>
  </si>
  <si>
    <t>A Master Protocol to Evaluate the Long-Term Safety of (LY3527727) Pirtobrutinib</t>
  </si>
  <si>
    <t>NCT06903286</t>
  </si>
  <si>
    <t>Extension Study of Participants From SPG302-ALS-001</t>
  </si>
  <si>
    <t>NCT07251127</t>
  </si>
  <si>
    <t>Study of Metronidazole Delayed-Release Capsules in Comparison With Immediate-Release Tablets (Flagyl) for Safety and Pharmacokinetics</t>
  </si>
  <si>
    <t>Gateway Pharmaceutical LLC</t>
  </si>
  <si>
    <t>NCT06765980</t>
  </si>
  <si>
    <t>A Study to Evaluate KRIYA-825 (VV-14295) in Adults With Geographic Atrophy Secondary to Age-related Macular Degeneration</t>
  </si>
  <si>
    <t>Kriya Therapeutics, Inc.</t>
  </si>
  <si>
    <t>NCT06981299</t>
  </si>
  <si>
    <t>A Phase 1 Study of PROT-001.</t>
  </si>
  <si>
    <t>Protego Biopharma Pty Ltd</t>
  </si>
  <si>
    <t>NCT06932952</t>
  </si>
  <si>
    <t>A Dose Escalation and Expansion Trial With BYON4228 Alone and in Combination in Patients With Advanced or Metastatic Solid Tumors</t>
  </si>
  <si>
    <t>NCT07030517</t>
  </si>
  <si>
    <t>A Study to Assess Safety of Teclistamab in Indian Participants With Relapsed and Refractory Multiple Myeloma</t>
  </si>
  <si>
    <t>Johnson &amp; Johnson Private Limited</t>
  </si>
  <si>
    <t>NCT06780085</t>
  </si>
  <si>
    <t>A Study of Investigational Agents in Participants With Previously Treated Stage IV Nonsquamous Non-small Cell Lung Cancer (NSCLC) (MK-3475-01H/KEYMAKER-U01)</t>
  </si>
  <si>
    <t>NCT05821478</t>
  </si>
  <si>
    <t>Efficacy of an Adapted Antibiotherapy in Hurley Stage 2 Hidradenitis Suppurativa Patients</t>
  </si>
  <si>
    <t>Institut Pasteur</t>
  </si>
  <si>
    <t>NCT06929260</t>
  </si>
  <si>
    <t>A Study to Evaluate the Effect of Ceralasertib on Drug X, Drug Y and Drug Z</t>
  </si>
  <si>
    <t>NCT07038720</t>
  </si>
  <si>
    <t>A Study of UA026 Tablets in Healthy Adult Subjects and Adult Subjects With Moderate to Severe Plaque Psoriasis</t>
  </si>
  <si>
    <t>Usynova Pharmaceuticals Ltd.</t>
  </si>
  <si>
    <t>NCT04762082</t>
  </si>
  <si>
    <t>A Single Dose Randomized Five-Way Crossover Pharmacokinetics (PK) Study of Tadalafil Semi-Chewable (Gummy) Formulations in Healthy Volunteers</t>
  </si>
  <si>
    <t>NCT06974734</t>
  </si>
  <si>
    <t>A Clinical Trial of PF-08046037 Alone or With Sasanlimab in Patients With Advanced or Metastatic Malignancies</t>
  </si>
  <si>
    <t>NCT06730347</t>
  </si>
  <si>
    <t>A Study of Lorigerlimab in Participants With Advanced Solid Tumors</t>
  </si>
  <si>
    <t>NCT06608901</t>
  </si>
  <si>
    <t>A Study of REGN7544 for the Treatment in Adult Patients With Sepsis-Induced Hypotension</t>
  </si>
  <si>
    <t>NCT07011485</t>
  </si>
  <si>
    <t>A Safety and Efficacy Study of PDFE-2304 Topical Solution for the Treatment of Androgenic Alopecia.</t>
  </si>
  <si>
    <t>PDFE Pharma Innovations FZCO</t>
  </si>
  <si>
    <t>NCT06931405</t>
  </si>
  <si>
    <t>Study of BLU-808 in Chronic Inducible Urticaria (CIndU) and Chronic Spontaneous Urticaria (CSU)</t>
  </si>
  <si>
    <t>NCT03305341</t>
  </si>
  <si>
    <t>Proof-of-Concept Clinical Pharmacology Trial for COVID-19 Antigen Presentation Therapeutic Biologic Mix</t>
  </si>
  <si>
    <t>NCT06953063</t>
  </si>
  <si>
    <t>A Study to Evaluate the Efficacy and Safety of DA-302168S Tablets in Overweight/Obese Subjects</t>
  </si>
  <si>
    <t>NCT06942910</t>
  </si>
  <si>
    <t>A Study to Investigate the Effects of Zibotentan/Dapagliflozin Combination Compared to Dapagliflozin Alone in Adult Participants With Chronic Kidney Disease and High Proteinuria</t>
  </si>
  <si>
    <t>NCT06972472</t>
  </si>
  <si>
    <t>A Study of Orforglipron (LY3502970) in Participants With Obesity or Overweight and Type 2 Diabetes</t>
  </si>
  <si>
    <t>NCT06926218</t>
  </si>
  <si>
    <t>This Study is to Evaluate the Safety, Tolerability, and Pharmacokinetics (PK) of HSK47388 in Healthy Volunteers</t>
  </si>
  <si>
    <t>NCT06954818</t>
  </si>
  <si>
    <t>Safety and Immunogenicity of SYS6017 in Healthy Participants Aged 40 Years or More</t>
  </si>
  <si>
    <t>NCT07193901</t>
  </si>
  <si>
    <t>A Study to Evaluate the Efficacy, Safety, and Pharmacokinetic Characteristics of (R)-Ketamine Hydrochloride Nasal Spray in Patients With Depression and Acute Suicidal Ideation or Behavior</t>
  </si>
  <si>
    <t>Sichuan Purity Pharmaceutical Technology Co., Ltd.</t>
  </si>
  <si>
    <t>NCT06697301</t>
  </si>
  <si>
    <t>Safety and Efficacy of EIK1001 in Combo With Pembro Versus Placebo and Pembro as First-Line Therapy in Patients With Advanced Melanoma.</t>
  </si>
  <si>
    <t>NCT06961565</t>
  </si>
  <si>
    <t>PAS-004 in Adults Who Have Neurofibromatosis Type 1 With Plexiform Neurofibromas</t>
  </si>
  <si>
    <t>NCT06974487</t>
  </si>
  <si>
    <t>A Phase I Study to Evaluate the PK and PD Profiles of GZR102 Injection Versus GZR4 Injection and GZR18 Injection Given Separately in Chinese Adult Overweight Subjects</t>
  </si>
  <si>
    <t>NCT06955416</t>
  </si>
  <si>
    <t>REAMBERIN® 1.5% in Rehydration Therapy of Diabetic Ketoacidosis</t>
  </si>
  <si>
    <t>POLYSAN Scientific &amp; Technological Pharmaceutical Company</t>
  </si>
  <si>
    <t>NCT06952504</t>
  </si>
  <si>
    <t>A Study to Compare Sacituzumab Tirumotecan (MK-2870) in Combination With Pembrolizumab (MK-3475) Versus Pembrolizumab Alone as Treatment in Participants With Mismatch Repair Proficient Endometrial Cancer (MK-2870-033/TroFuse-033/GOG-3119/ENGOT-en29)</t>
  </si>
  <si>
    <t>NCT06961968</t>
  </si>
  <si>
    <t>Randomized Withdrawal Study in Patients With Schizophrenia</t>
  </si>
  <si>
    <t>NCT06966479</t>
  </si>
  <si>
    <t>A Long-Term Safety and Efficacy Study of Verekitug (UPB-101) in Adult Participants With Severe Asthma (VALOUR)</t>
  </si>
  <si>
    <t>NCT06961266</t>
  </si>
  <si>
    <t>A Study to Investigate Efficacy, Safety, Tolerability, and Pharmacokinetics of JZP441 Compared With Placebo in Participants With Narcolepsy Type 1</t>
  </si>
  <si>
    <t>NCT06719973</t>
  </si>
  <si>
    <t>Phase 1 Study of M9466 Combined With Carboplatin and Platinum-based Anticancer Therapy (DDRiver 521)</t>
  </si>
  <si>
    <t>NCT07064473</t>
  </si>
  <si>
    <t>EASi-PROTKT™ - A Study to Test Vicadrostat (BI 690517) Taken Together With Empagliflozin in People With Type 2 Diabetes, High Blood Pressure, and Cardiovascular Disease</t>
  </si>
  <si>
    <t>NCT06787612</t>
  </si>
  <si>
    <t>Investigation of Ubamatamab Combination Therapy in Adult Participants With Platinum-Resistant Ovarian Cancer</t>
  </si>
  <si>
    <t>NCT06865651</t>
  </si>
  <si>
    <t>Study of Remibrutinib (LOU064) Efficacy and Safety and Exploration of Its Mechanism of Action in Participants With Chronic Urticaria</t>
  </si>
  <si>
    <t>NCT06630559</t>
  </si>
  <si>
    <t>A Study to Compare Efficacy and Safety of CT-P55 and Cosentyx in Patients With Moderate to Severe Psoriasis</t>
  </si>
  <si>
    <t>NCT06988670</t>
  </si>
  <si>
    <t>A Phase 2 Trial Investigating the Safety, Tolerability and Efficacy of EXT608 in Adults With Hypoparathyroidism</t>
  </si>
  <si>
    <t>Extend Biosciences Inc.</t>
  </si>
  <si>
    <t>NCT06638502</t>
  </si>
  <si>
    <t>Safety of HRX215 in Patients After Minor and Major Liver Resection</t>
  </si>
  <si>
    <t>HepaRegeniX GmbH</t>
  </si>
  <si>
    <t>NCT06562894</t>
  </si>
  <si>
    <t>Study to Evaluate Safety and Efficacy of SYHX1901 Tablets in Severe Alopecia Areata Patients</t>
  </si>
  <si>
    <t>NCT06643260</t>
  </si>
  <si>
    <t>A Phase 3 Study in Moderate-to-Severe Plaque Psoriasis With Piclidenoson to Study Safety and Efficacy</t>
  </si>
  <si>
    <t>NCT07049159</t>
  </si>
  <si>
    <t>Safety, and Efficacy Study of ShigETEC, a Live, Attenuated, Oral Combination Vaccine to Prevent Shigella and ETEC Disease Delivered to Healthy Adults Ages 18 to 50 Years Old</t>
  </si>
  <si>
    <t>Eveliqure Biotechnologies GmbH</t>
  </si>
  <si>
    <t>NCT06937086</t>
  </si>
  <si>
    <t>Mirikizumab Administered at the Same Time as Tirzepatide in Adult Participants With Moderately to Severely Active Ulcerative Colitis and Obesity or Overweight: Phase 3b Study</t>
  </si>
  <si>
    <t>NCT06961188</t>
  </si>
  <si>
    <t>Clinical Study on Nanocrystalline Megestrol Acetate for Appetite Improvement and Weight Gain in Pre-Cachexia and Cachexia Stages Key Terminology Analysis</t>
  </si>
  <si>
    <t>NCT07015918</t>
  </si>
  <si>
    <t>A Study to Understand How the Study Medicine (PF-07976016) is Processed and Eliminated in Healthy Men</t>
  </si>
  <si>
    <t>NCT06982131</t>
  </si>
  <si>
    <t>A Study Investigating the Safety of RO7795081 and the Effect of RO7795081 on How the Body Processes Pitavastatin and Rosuvastatin in Otherwise Healthy Overweight or Obese Adult Participants</t>
  </si>
  <si>
    <t>NCT06985368</t>
  </si>
  <si>
    <t>A Clinical Trial of SIBP-A18 Injection in the Treatment of Advanced Malignant Solid Tumor Patients</t>
  </si>
  <si>
    <t>NCT06782490</t>
  </si>
  <si>
    <t>A Study to Evaluate the Efficacy, Safety and Tolerability of BMS-986368 in Participants With Multiple Sclerosis Spasticity</t>
  </si>
  <si>
    <t>NCT07030959</t>
  </si>
  <si>
    <t>Study of AUBE00 in Patients With Solid Tumors</t>
  </si>
  <si>
    <t>NCT06952686</t>
  </si>
  <si>
    <t>A Study of SRP-9005 in Limb Girdle Muscular Dystrophy Type 2C/R5 Pediatric and Adult Participants</t>
  </si>
  <si>
    <t>NCT07101939</t>
  </si>
  <si>
    <t>A Study of the Effect of (S)-Pindolol Benzoate (ACM-001.1) on Lean Body Mass (LBM) in Obese Patents During (PROACT 1), and Post-semaglutide Therapy (PROACT 2)</t>
  </si>
  <si>
    <t>Actimed Therapeutics Ltd</t>
  </si>
  <si>
    <t>NCT06852963</t>
  </si>
  <si>
    <t>A Repeat-Dose, Open-Label, Two Arm Safety and Efficacy Study of Two Doses of VP-001 Administered Intravitreally in Participants With Confirmed PRPF31 Mutation-Associated Retinal Dystrophy, Including Participants Previously Treated With VP001</t>
  </si>
  <si>
    <t>NCT07014826</t>
  </si>
  <si>
    <t>A Trial of HRS-5965 Capsule in Primary IgA Nephropathy</t>
  </si>
  <si>
    <t>NCT06956235</t>
  </si>
  <si>
    <t>Study to Evaluate Tulisokibart for Hidradenitis Suppurativa (MK-7240-012)</t>
  </si>
  <si>
    <t>NCT07005154</t>
  </si>
  <si>
    <t>A Phase 2 Study to Evaluate the Effects of ASP5541 in Participants With Prostate Cancer</t>
  </si>
  <si>
    <t>NCT06283979</t>
  </si>
  <si>
    <t>A Randomized Controlled Phase II Trial of STIMULAN VG vs Standard of Care (SoC) for the Treatment of Osteomyelitis Associated With Stage IV Pressure Ulcers.</t>
  </si>
  <si>
    <t>Biocomposites Ltd</t>
  </si>
  <si>
    <t>NCT07037277</t>
  </si>
  <si>
    <t>C-Forward: Efficacy and Safety of BEM/RZR vs SOF/VEL in Subjects With Chronic HCV</t>
  </si>
  <si>
    <t>NCT06987695</t>
  </si>
  <si>
    <t>Efficacy and Safety of Maridebart Cafraglutide in Adult Participants in Japan Who Have Obesity Disease</t>
  </si>
  <si>
    <t>NCT06892522</t>
  </si>
  <si>
    <t>A Study to Assess Change in Disease Activity and Adverse Events (AE)s in Adult Participants With Multiple Myeloma Receiving Etentamig (ABBV-383) as an Intravenous (IV) Infusion Alone or in Combination With Oral, IV, Subcutaneous Daratumumab; Lenalidomide; Dexamethasone; Carfilzomib</t>
  </si>
  <si>
    <t>NCT06839872</t>
  </si>
  <si>
    <t>A Study to Investigate the Sequencing Strategy of Pirtobrutinib After Disease Progression on First-line Acalabrutinib Treatment for Adult Participants With Chronic Lymphocytic Leukemia or Small Lymphocytic Lymphoma</t>
  </si>
  <si>
    <t>NCT06943872</t>
  </si>
  <si>
    <t>A Study to Investigate Progression-Free Survival With Sonrotoclax Plus Obinutuzumab Or Sonrotoclax Plus Rituximab Compared With Venetoclax Plus Rituximab Treatment In Patients With Relapsed and/or Refractory Chronic Lymphocytic Leukemia/Small Lymphocytic Lymphoma (CELESTIAL-RRCLL)</t>
  </si>
  <si>
    <t>NCT06914609</t>
  </si>
  <si>
    <t>REVEAL: A Phase 3 Study of ION582 in Angelman Syndrome</t>
  </si>
  <si>
    <t>NCT07030907</t>
  </si>
  <si>
    <t>A Study to Evaluate the Safety and Efficacy of OPB-101 in Platinum-resistant Ovarian Cancer</t>
  </si>
  <si>
    <t>Outpace Bio, Inc.</t>
  </si>
  <si>
    <t>NCT07016633</t>
  </si>
  <si>
    <t>To Evaluate the Tolerability, Pharmacokinetics, and Pharmacodynamics of IMM-H014 in Patients With MASH</t>
  </si>
  <si>
    <t>Changchun Intellicrown Pharmaceutical Co. LTD</t>
  </si>
  <si>
    <t>NCT07026968</t>
  </si>
  <si>
    <t>A Study of Prusogliptin Tablets Combined With Dapagliflozin Tablets and Metformin Hydrochloride Extended Release Tablets in Type 2 Diabetes</t>
  </si>
  <si>
    <t>NCT07178522</t>
  </si>
  <si>
    <t>A Study to Evaluate the Immunogenicity and Safety of an EV71 Vaccine (Envacgen®) in Children Aged 6 to &lt;10 Years Compared to Children Aged 2 to &lt;6 Years</t>
  </si>
  <si>
    <t>Medigen Vaccine Biologics Corp.</t>
  </si>
  <si>
    <t>NCT05903833</t>
  </si>
  <si>
    <t>Pembrolizumab Combination With Lenvatinib in Pts With Recurrent,Persistent,Metastatic or Locally Advanced Vulvar Cancer Not Amenable to Curative Surgery or Radiotherapy</t>
  </si>
  <si>
    <t>AGO Research GmbH</t>
  </si>
  <si>
    <t>NCT06746688</t>
  </si>
  <si>
    <t>A First-in-human, Clinical Trial Assessing the Safety of ES2B-C001-S01 With or Without [Adjuvant] in Patients With HER2 Expressing Metastatic Breast Cancer.</t>
  </si>
  <si>
    <t>ExpreS2ion Biotechnologies</t>
  </si>
  <si>
    <t>NCT07005284</t>
  </si>
  <si>
    <t>A Study of LY3981314 in Healthy Participants</t>
  </si>
  <si>
    <t>NCT07019064</t>
  </si>
  <si>
    <t>A Study to Learn How BIIB141 (Omaveloxolone) is Processed in the Body When Taken as Capsules Compared to Sprinkled on Yogurt in Healthy Adults Aged 18 to 55</t>
  </si>
  <si>
    <t>NCT06665035</t>
  </si>
  <si>
    <t>A Study of 2 Doses of Tetravalent Dengue Vaccine (TDV) in Infants and Toddlers</t>
  </si>
  <si>
    <t>NCT06575426</t>
  </si>
  <si>
    <t>A Study to Investigate Safety and Effectiveness of Porcine Pancreatic Cells (OPF-310) in Patients With Type 1 Diabetes Mellitus</t>
  </si>
  <si>
    <t>Otsuka Pharmaceutical Factory, Inc.</t>
  </si>
  <si>
    <t>NCT07016802</t>
  </si>
  <si>
    <t>A Clinical Study of GenSci134 in Healthy Male Adults</t>
  </si>
  <si>
    <t>NCT06972212</t>
  </si>
  <si>
    <t>Pharmacodynamic Study of 100mg Suzegtrigine vs Placebo in Healthy Male Adults</t>
  </si>
  <si>
    <t>NCT07044050</t>
  </si>
  <si>
    <t>A First-in-human Study to Assess OT-C001 (Amplified/Activated Allogenic Natural Killer Cells) in Patients With Relapsed/Refractory Diffuse Large B Cell Lymphoma</t>
  </si>
  <si>
    <t>Emercell SAS</t>
  </si>
  <si>
    <t>NCT06999720</t>
  </si>
  <si>
    <t>Study of HX15001 in Adult Healthy Volunteers.</t>
  </si>
  <si>
    <t>Helixon Biotechnology (Suzhou) Co., Ltd</t>
  </si>
  <si>
    <t>NCT06861452</t>
  </si>
  <si>
    <t>Phase I/IIa Study: RR001 Administered Following Chemotherapy Cycles for Patients With Locally Advanced Pancreatic Carcinoma</t>
  </si>
  <si>
    <t>EIR Biotherapies s.r.l.</t>
  </si>
  <si>
    <t>NCT07046975</t>
  </si>
  <si>
    <t>Bioavailability and Bioequivalence Study of Extended Release Torsemide and Spironolactone</t>
  </si>
  <si>
    <t>NCT07033845</t>
  </si>
  <si>
    <t>Pharmacokinetic Study of Topical Phenylephrine</t>
  </si>
  <si>
    <t>NCT07038343</t>
  </si>
  <si>
    <t>AVENTINE-1: Study of AVZO-1418 as a Single Agent and in Combination Therapy in Patients With Locally Advanced or Metastatic Solid Tumors (AVZO-1418-1001)</t>
  </si>
  <si>
    <t>Avenzo Therapeutics, Inc.</t>
  </si>
  <si>
    <t>NCT06907615</t>
  </si>
  <si>
    <t>A Phase II Clinical Study to Evaluate HLX43 in Subjects With Advanced Non-small Cell Lung Cancer (NSCLC)</t>
  </si>
  <si>
    <t>NCT06978114</t>
  </si>
  <si>
    <t>A Study of BL-B01D1+PD-1/PD-L1 Monoclonal Antibody in Patients With Advanced Biliary Tract Cancer</t>
  </si>
  <si>
    <t>NCT07027527</t>
  </si>
  <si>
    <t>An Active Comparator Safety Study Evaluating the Combination of APG777 + APG990 in Moderate-to-Severe Atopic Dermatitis</t>
  </si>
  <si>
    <t>NCT06993181</t>
  </si>
  <si>
    <t>Clinical Trial of Comparing DA-5222 Single-administration and Co-administration of DA-5222-R1, DA-5222-R2 and DA-5222-R3 in Healthy Adult Subjects</t>
  </si>
  <si>
    <t>NCT06786234</t>
  </si>
  <si>
    <t>A Phase 1 Study to Assess STP938 as a Monotherapy in Adults With High Risk Essential Thrombocythaemia</t>
  </si>
  <si>
    <t>NCT07071090</t>
  </si>
  <si>
    <t>A Study of DC50292A Tablet in Patients With MTAP-deleted Advanced or Metastatic Solid Tumors</t>
  </si>
  <si>
    <t>NCT06489340</t>
  </si>
  <si>
    <t>P2a Open Label Study to Evaluate 2-HPβCD in Subjects With Diabetic Kidney Disease</t>
  </si>
  <si>
    <t>ZyVersa Therapeutics, Inc.</t>
  </si>
  <si>
    <t>NCT07065240</t>
  </si>
  <si>
    <t>A Study to Evaluate the Efficacy and Safety of SPT-300 (GlyphAllo) in Participants With Major Depressive Disorder, With or Without Anxious Distress (BUOY-1 Study)</t>
  </si>
  <si>
    <t>Seaport Therapeutics</t>
  </si>
  <si>
    <t>NCT07024563</t>
  </si>
  <si>
    <t>Study of Ravulizumab in Pediatric Participants With Primary IgAN</t>
  </si>
  <si>
    <t>NCT06672978</t>
  </si>
  <si>
    <t>A Study to Evaluate the Safety, Tolerability, and Pharmacokinetics of Meropenem-Vaborbactam in Children With Complicated Urinary Tract Infection, Including Acute Pyelonephritis</t>
  </si>
  <si>
    <t>Rempex (a wholly owned subsidiary of Melinta Therapeutics, LLC)</t>
  </si>
  <si>
    <t>NCT06912633</t>
  </si>
  <si>
    <t>Safety of a Single, Intravitreal Injection of 6.0M jCell (Famzeretcel) in Retinitis Pigmentosa (RP)</t>
  </si>
  <si>
    <t>jCyte, Inc</t>
  </si>
  <si>
    <t>NCT07082543</t>
  </si>
  <si>
    <t>A Study to Evaluate the Safety and Efficacy of Oral Nizubaglustat (AZ-3102) in Late-infantile and Juvenile Forms of GM1 Gangliosidosis or GM2 Gangliosidosis</t>
  </si>
  <si>
    <t>Azafaros A.G.</t>
  </si>
  <si>
    <t>NCT06843408</t>
  </si>
  <si>
    <t>A Ph1b/2 Study of Axatilimab Monotherapy in Chinese Participants With Recurrent or Refractory cGVHD</t>
  </si>
  <si>
    <t>NCT07038876</t>
  </si>
  <si>
    <t>A Study to Assess the Efficacy and Safety of ML-007C-MA for the Treatment of Inpatient Adults With Schizophrenia</t>
  </si>
  <si>
    <t>MapLight Therapeutics</t>
  </si>
  <si>
    <t>NCT07093008</t>
  </si>
  <si>
    <t>Comparing the Extent to Which AQ280 is Made Available in the Body After Single Oral Doses of a Capsule Formulation Versus a Tablet for Oral Suspension Formulation</t>
  </si>
  <si>
    <t>AQILION AB</t>
  </si>
  <si>
    <t>NCT06711640</t>
  </si>
  <si>
    <t>A Pharmacokinetic, Safety, and Tolerability Study of LUCEMYRA in the Treatment of Opioid Withdrawal Management in Adolescent Subjects</t>
  </si>
  <si>
    <t>USWM, LLC (dba US WorldMeds)</t>
  </si>
  <si>
    <t>NCT07010406</t>
  </si>
  <si>
    <t>A Study to Evaluate the Relative Bioavailability of Povetacicept Formulations and Bioequivalence of Povetacicept Presentations</t>
  </si>
  <si>
    <t>NCT07023354</t>
  </si>
  <si>
    <t>A Study to Test How BI 1291583 is Taken up in the Blood of People With and Without Liver Problems</t>
  </si>
  <si>
    <t>NCT06998524</t>
  </si>
  <si>
    <t>A Study to Assess the Efficacy and Safety of Emicizumab in Participants With Type 3 Von Willebrand Disease</t>
  </si>
  <si>
    <t>NCT06990464</t>
  </si>
  <si>
    <t>A Clinical Trial of SIBP-A19 Injection in the Treatment of Advanced Malignant Solid Tumor Patients</t>
  </si>
  <si>
    <t>NCT06668493</t>
  </si>
  <si>
    <t>Low-grade UTUC Treated With Nadofaragene Firadenovec Administered to Renal Pelvis</t>
  </si>
  <si>
    <t>NCT07002177</t>
  </si>
  <si>
    <t>A Phase Ib/II Study to Evaluate Multiple Combination Therapies of FWD1802 in Patients With ER+/HER2- BC</t>
  </si>
  <si>
    <t>Forward Pharmaceuticals Co., Ltd.</t>
  </si>
  <si>
    <t>NCT06862219</t>
  </si>
  <si>
    <t>A Safety Study of Enfortumab Vedotin in Indian Adults With Urothelial Cancer</t>
  </si>
  <si>
    <t>NCT06995573</t>
  </si>
  <si>
    <t>A Study to Assess Safety and Tolerability and to Explore Efficacy of NSC001 in Mild to Moderate Alzheimer's Disease</t>
  </si>
  <si>
    <t>NSC-Therapeutics</t>
  </si>
  <si>
    <t>NCT02442752</t>
  </si>
  <si>
    <t>Phase 1 Dexlansoprazole Delayed-Release Capsules for Acid-Related Disorders in Infants Aged 1 to 11 Months</t>
  </si>
  <si>
    <t>NCT06982534</t>
  </si>
  <si>
    <t>Clinical Study on the Treatment of Systemic Sclerosis With UTAA91 Injection.</t>
  </si>
  <si>
    <t>NCT06993844</t>
  </si>
  <si>
    <t>Phase 1/2 Study of ETX-636 in Participants With Advanced Solid Tumors</t>
  </si>
  <si>
    <t>Ensem Therapeutics</t>
  </si>
  <si>
    <t>NCT06961214</t>
  </si>
  <si>
    <t>Depemokimab as an Extended treatmeNt Duration Biologic in Adults With Chronic Obstructive Pulmonary Disease (COPD) and Type 2 Inflammation (ENDURA-2)</t>
  </si>
  <si>
    <t>NCT05567406</t>
  </si>
  <si>
    <t>Safety and Efficacy of Oral Belumosudil in Black or African American, American Indian or Alaska Native, and Native Hawaiian or Other Pacific Islander Male and Female Participants Aged 12 Years and Above With Chronic Graft Versus Host Disease (cGVHD) After At Least 2 Prior Lines of Systemic Therapy</t>
  </si>
  <si>
    <t>Kadmon, a Sanofi Company</t>
  </si>
  <si>
    <t>NCT06958536</t>
  </si>
  <si>
    <t>A Study to Investigate Efficacy and Safety of SAR442970 in Patients With Crohn's Disease</t>
  </si>
  <si>
    <t>NCT06961643</t>
  </si>
  <si>
    <t>Investigation of Pharmacokinetics and Safety of HRS-7535 in Subjects With Hepatic Impairment and Normal Hepatic Function</t>
  </si>
  <si>
    <t>NCT07028632</t>
  </si>
  <si>
    <t>The Safety, Feasibility and Efficacy of NouvNeu001 for Parkinson's Disease</t>
  </si>
  <si>
    <t>NCT06998056</t>
  </si>
  <si>
    <t>Safety Study of Roflumilast Cream 0.05% in Infants Aged 3 Months to Less Than 2 Years With Atopic Dermatitis</t>
  </si>
  <si>
    <t>Arcutis Biotherapeutics, Inc.</t>
  </si>
  <si>
    <t>NCT06972446</t>
  </si>
  <si>
    <t>A Study to Evaluate Different Targeted Therapies for Patients With Rheumatoid Arthritis</t>
  </si>
  <si>
    <t>NCT07051629</t>
  </si>
  <si>
    <t>Dose Escalation Study to Assess the Safety, Tolerability, Pharmacokinetics And Pharmacodynamics of SIF001 in Healthy Subjects and in Epilepsy Patients</t>
  </si>
  <si>
    <t>Suninflam Inc</t>
  </si>
  <si>
    <t>NCT06979531</t>
  </si>
  <si>
    <t>Efficacy and Safety of IMVT-1402 in Adult Participants With Primary Sjogren's Disease With Moderate to Severe Systemic Disease Activity</t>
  </si>
  <si>
    <t>NCT06937931</t>
  </si>
  <si>
    <t>A Study of IPN10200 for the Treatment of Cervical Dystonia in Adults</t>
  </si>
  <si>
    <t>NCT06920719</t>
  </si>
  <si>
    <t>Bioequivalence Study betweenYHP2406 and YHR2501 in Healthy Subjects</t>
  </si>
  <si>
    <t>NCT06933472</t>
  </si>
  <si>
    <t>A Study of a Novel Iron-based Phosphate Binder AP301 in Patients With Hyperphosphatemia in the U.S. and China</t>
  </si>
  <si>
    <t>NCT06917482</t>
  </si>
  <si>
    <t>A Study to Assess the Safety and Effects of the Investigational Drug BW-40202 in Healthy Volunteers</t>
  </si>
  <si>
    <t>NCT06839235</t>
  </si>
  <si>
    <t>Phase 1/2 Study of ABO-101 in Primary Hyperoxaluria Type 1 (redePHine)</t>
  </si>
  <si>
    <t>Arbor Biotechnologies</t>
  </si>
  <si>
    <t>NCT06990204</t>
  </si>
  <si>
    <t>Bioequivalence Study of Azilsartan Medoxomil 80 mg Tablets (Gedeon Richter Plc., Hungary) and Edarbi® 80 mg Tablets (JSC Nizhpharm, Russia)</t>
  </si>
  <si>
    <t>NCT07033455</t>
  </si>
  <si>
    <t>A Trial of HRS-1893 in Healthy Volunteers</t>
  </si>
  <si>
    <t>NCT07022119</t>
  </si>
  <si>
    <t>A Phase 1 Study Evaluating Safety, Tolerability, and Pharmacokinetics of VX-407 in Healthy Participants</t>
  </si>
  <si>
    <t>NCT06882785</t>
  </si>
  <si>
    <t>A Study to Evaluate the Efficacy and Safety of KarXT in Acutely Psychotic Japanese Adult Participants With Schizophrenia</t>
  </si>
  <si>
    <t>NCT07259889</t>
  </si>
  <si>
    <t>Safety and Tolerability Evaluation of CEL001 Injection in Advanced Solid Tumors</t>
  </si>
  <si>
    <t>Guangzhou Xiling Biotechnology Co., Ltd.</t>
  </si>
  <si>
    <t>NCT07081217</t>
  </si>
  <si>
    <t>Radiocaine Safety Study In Healthy Human Subjects</t>
  </si>
  <si>
    <t>Lutroo Imaging LLC</t>
  </si>
  <si>
    <t>NCT06993116</t>
  </si>
  <si>
    <t>A Phase I Study of SHR-4712 in Patients With Advanced Solid Tumors</t>
  </si>
  <si>
    <t>NCT06893016</t>
  </si>
  <si>
    <t>Evaluation of RAY1225 in Adult Participants Who Have Obesity or Are Overweight</t>
  </si>
  <si>
    <t>NCT06812260</t>
  </si>
  <si>
    <t>A Single-arm, Open-label, Phase II Study to Evaluate Efficacy, Safety and Pharmacokinetics of HLX10 + Chemotherapy in Patients With ES-SCLC</t>
  </si>
  <si>
    <t>NCT06993480</t>
  </si>
  <si>
    <t>A Study to Evaluate the Antiviral Activity and Immune Response of AHB-137 Injection in Participants With Chronic Hepatitis B (CHB)</t>
  </si>
  <si>
    <t>NCT06979362</t>
  </si>
  <si>
    <t>A Research Study Comparing Different Doses of CDR132L With Placebo on the Structure and Function of the Heart in People With Heart Failure With Preserved Ejection Fraction and Left Ventricular Hypertrophy</t>
  </si>
  <si>
    <t>NCT07112144</t>
  </si>
  <si>
    <t>Adsorption of Cell-free Diphtheria and Tetanus (Three-component) Combined With Vaccine Phase III Clinical Trial</t>
  </si>
  <si>
    <t>NCT06830889</t>
  </si>
  <si>
    <t>A Study of BL-M07D1 Versus T-DM1 in the Adjuvant Treatment of HER2-positive Breast Cancer With Residual Invasive Cancer After Neoadjuvant Therapy</t>
  </si>
  <si>
    <t>NCT06907680</t>
  </si>
  <si>
    <t>M-Gard Particulate EW Efficacy Study on Seasonal Allergic Rhinitis</t>
  </si>
  <si>
    <t>NCT06982859</t>
  </si>
  <si>
    <t>A Study to Evaluate the Effect of Retatrutide on Insulin Secretion and Insulin Sensitivity in Adult Participants With Type 2 Diabetes Mellitus</t>
  </si>
  <si>
    <t>NCT07019090</t>
  </si>
  <si>
    <t>Long-term Safety and Efficacy Study of HSK44459 Tablets in Patients With Idiopathic Pulmonary Fibrosis (IPF)</t>
  </si>
  <si>
    <t>NCT06959225</t>
  </si>
  <si>
    <t>Study to Evaluate the Efficacy and Safety of Ruxolitinib Cream in Participants With Hidradenitis Suppurativa (TRuE-HS1)</t>
  </si>
  <si>
    <t>NCT07044960</t>
  </si>
  <si>
    <t>A Phase 1 Study of KHN702 Tablets in Healthy Subjects</t>
  </si>
  <si>
    <t>NCT06928389</t>
  </si>
  <si>
    <t>Ivonescimab in Combination With Docetaxel in Advanced Non-Small Cell Lung Cancer</t>
  </si>
  <si>
    <t>NCT06397274</t>
  </si>
  <si>
    <t>Stemchymal® for Polyglutamine Spinocerebellar Ataxia</t>
  </si>
  <si>
    <t>Steminent US, Inc.</t>
  </si>
  <si>
    <t>NCT07011797</t>
  </si>
  <si>
    <t>A Study to Evaluate the Efficacy and Safety of CX11 Tablets in Overweight/Obese Participants</t>
  </si>
  <si>
    <t>NCT06995820</t>
  </si>
  <si>
    <t>A Study to Investigate Safety, Tolerability, Pharmacokinetics, Pharmacodynamics and Immunogenicity of AZD1613 in Healthy Participants.</t>
  </si>
  <si>
    <t>NCT06956599</t>
  </si>
  <si>
    <t>Hypersensitivity Reduction Efficacy: 5% Potassium Nitrate Toothpaste Compared to Colgate Cavity Protection Toothpaste</t>
  </si>
  <si>
    <t>NCT06953999</t>
  </si>
  <si>
    <t>A Phase III Study of Ivonescimab + Chemo With/Without AK117 in Metastatic Pancreatic Cancer</t>
  </si>
  <si>
    <t>NCT07004192</t>
  </si>
  <si>
    <t>The Role of hCG in Thawed Embryo Transfer</t>
  </si>
  <si>
    <t>NCT07043036</t>
  </si>
  <si>
    <t>Randomized Controlled Trial Comparing Remote Patient Monitoring vs Standard Care in IBD Patients Initiating or Changing Advanced Therapy</t>
  </si>
  <si>
    <t>NCT05640232</t>
  </si>
  <si>
    <t>Efficacy and Safety of CDE100 in the Treatment of Menstrual Cramp Pain Associated With Primary Dysmenorrhea</t>
  </si>
  <si>
    <t>NCT07004075</t>
  </si>
  <si>
    <t>FCN-159 Monotherapy Versus Chemotherapy by Investigator's Choice in Pediatric Low-grade Glioma Patients With BRAF Alteration</t>
  </si>
  <si>
    <t>Shanghai Fosun Pharmaceutical Industrial Development Co. Ltd.</t>
  </si>
  <si>
    <t>NCT07323680</t>
  </si>
  <si>
    <t>Comparative Pharmacokinetic, Pharmacodynamic, and Safety Study of 1 Dose of Aspirin for Injection and Oral Aspirin Tablets in Healthy Adult Subjects</t>
  </si>
  <si>
    <t>Rhoshan Pharmaceuticals Inc</t>
  </si>
  <si>
    <t>NCT07023341</t>
  </si>
  <si>
    <t>A Study to Learn More About How Well Aficamten Works in Japanese Participants With Symptomatic Obstructive Hypertrophic Cardiomyopathy</t>
  </si>
  <si>
    <t>NCT06908434</t>
  </si>
  <si>
    <t>A Phase I First-in-Human Study of GenSci128 in Patients With Solid Tumors Harboring a TP53 Y220C Mutation</t>
  </si>
  <si>
    <t>NCT07041801</t>
  </si>
  <si>
    <t>Treatment of Systemic Lupus Erythematosus With Human Umbilical Cord Mesenchymal Stem Cells</t>
  </si>
  <si>
    <t>Shenzhen Beike Bio-Technology Co., Ltd.</t>
  </si>
  <si>
    <t>NCT06975410</t>
  </si>
  <si>
    <t>Clinical Trial of YH32364 in Patients With Locally Advanced or Metastatic EGFR Overexpressing Solid Tumors</t>
  </si>
  <si>
    <t>NCT06933069</t>
  </si>
  <si>
    <t>Safety and Tolerability of CMAB017 In Patients With Advanced Solid Tumors</t>
  </si>
  <si>
    <t>NCT06943950</t>
  </si>
  <si>
    <t>A Phase III Study of SYHX1901 Tablets in the Treatment of Moderate to Severe Plaque Psoriasis</t>
  </si>
  <si>
    <t>NCT06062810</t>
  </si>
  <si>
    <t>Pharmacogenomics ANDA SNP Clinical Study - Raloxifene and Single Nucleotide Polymorphisms</t>
  </si>
  <si>
    <t>NCT07048197</t>
  </si>
  <si>
    <t>A Study to Assess Safety, Cellular Kinetics and Exploratory Efficacy of Rapcabtagene Autoleucel in Rheumatoid Arthritis and Sjogren's Disease</t>
  </si>
  <si>
    <t>NCT06973629</t>
  </si>
  <si>
    <t>Efficacy and Safety of MSC-NTF (NurOwn) in Participants With Early Symptomatic ALS and Moderate Disease Presentation in ALS (ENDURANCE STUDY)</t>
  </si>
  <si>
    <t>Brainstorm-Cell Therapeutics</t>
  </si>
  <si>
    <t>NCT07054515</t>
  </si>
  <si>
    <t>A Study to Evaluate the Safety and Efficacy of Oral Nizubaglustat (AZ-3102) in Late-infantile and Juvenile Forms of Niemann-Pick Type C Disease, GM1 Gangliosidosis or GM2 Gangliosidosis</t>
  </si>
  <si>
    <t>NCT06979674</t>
  </si>
  <si>
    <t>Study of ESG406 in Adults With Solid Tumors</t>
  </si>
  <si>
    <t>NCT06980142</t>
  </si>
  <si>
    <t>A Study of CM512 in Subjects With Moderate-to-Severe Chronic Obstructive Pulmonary Disease</t>
  </si>
  <si>
    <t>NCT07037459</t>
  </si>
  <si>
    <t>Maridebart Cafraglutide in Heart Failure With Preserved or Mildly Reduced Ejection Fraction and Obesity</t>
  </si>
  <si>
    <t>NCT06009107</t>
  </si>
  <si>
    <t>A Study of HY004 Treatment in Adult Relapsed/Refractory B-precursor Acute Lymphoblastic Leukemia (r/r B-ALL)</t>
  </si>
  <si>
    <t>NCT07009457</t>
  </si>
  <si>
    <t>Phase I Clinical Study of SHR-1316 (SC) Combined With Carboplatin and Etoposide as First-line Treatment for Extensive Stage Small Cell Lung Cancer</t>
  </si>
  <si>
    <t>NCT07373457</t>
  </si>
  <si>
    <t>A Phase I Study of HW201877 in Healthy Subjects</t>
  </si>
  <si>
    <t>NCT06984094</t>
  </si>
  <si>
    <t>First-in-human Safety and Immunogenicity Study of SCB-1022 and SCB-1033 in Healthy Older Adults</t>
  </si>
  <si>
    <t>Clover Biopharmaceuticals AUS Pty</t>
  </si>
  <si>
    <t>NCT04910386</t>
  </si>
  <si>
    <t>Multicenter Phase 2 Study of Envafolimab in Biliary Tract Cancers</t>
  </si>
  <si>
    <t>3D Medicines (Sichuan) Co., Ltd.</t>
  </si>
  <si>
    <t>NCT06986070</t>
  </si>
  <si>
    <t>Investigation of Small Mobile Stem Cells (SMS Cells) in Participants With Chronic Obstructive Pulmonary Disease (COPD).</t>
  </si>
  <si>
    <t>SMSbiotech</t>
  </si>
  <si>
    <t>NCT06979544</t>
  </si>
  <si>
    <t>A Study to Assess the Safety and Efficacy of Oral LPCN 1154A in Women With Severe PPD</t>
  </si>
  <si>
    <t>Lipocine Inc.</t>
  </si>
  <si>
    <t>NCT07169409</t>
  </si>
  <si>
    <t>Right Tools, Right Time, Right Place: Telehealth for Opioid Use Disorder in Vulnerable Settings</t>
  </si>
  <si>
    <t>Boulder Care</t>
  </si>
  <si>
    <t>NCT07035769</t>
  </si>
  <si>
    <t>A First-in-Human Study to Evaluate Safety, Tolerability, and Pharmacokinetics of Single and Multiple Oral Doses of Debio 1453P in Healthy Adults</t>
  </si>
  <si>
    <t>NCT06964061</t>
  </si>
  <si>
    <t>Evaluate Efficacy, Safety, Tolerability and Biodegradation of PA5346 Ocular Implant in Patients With Open-Angle Glaucoma or Ocular Hypertension</t>
  </si>
  <si>
    <t>NCT06340568</t>
  </si>
  <si>
    <t>A Clinical Study of the Anti-cancer Effects of an Investigational Therapy or Chemotherapy in Patients With Recurring Uterine Cancer</t>
  </si>
  <si>
    <t>NCT07016490</t>
  </si>
  <si>
    <t>A Phase 1 Study of SSGJ-709 in Patients With Advanced Malignant Tumors</t>
  </si>
  <si>
    <t>NCT07047989</t>
  </si>
  <si>
    <t>NWRD09 for HPV-16 Related Cervical HSIL</t>
  </si>
  <si>
    <t>Newish Biotech (Wuxi) Co., Ltd.</t>
  </si>
  <si>
    <t>NCT06816017</t>
  </si>
  <si>
    <t>A Study to Evaluate Eciskafusp Alfa in Combination With Bacillus Calmette-guerin (BCG) in Participants With BCG-unresponsive High-risk Non-muscle Invasive Bladder Cancer (NMIBC)</t>
  </si>
  <si>
    <t>NCT06983743</t>
  </si>
  <si>
    <t>A Study of ERAS-0015 in Patients With Advanced or Metastatic Solid Tumors</t>
  </si>
  <si>
    <t>NCT07003178</t>
  </si>
  <si>
    <t>A Study to Evaluate the Safety and Clinical Efficacy of STR-P004</t>
  </si>
  <si>
    <t>NCT07104383</t>
  </si>
  <si>
    <t>VK2735 for Weight Management Type 2 Diabetes Phase 3 (VANQUISH 2)</t>
  </si>
  <si>
    <t>NCT06847724</t>
  </si>
  <si>
    <t>Comparative PK, PD, Efficacy, and Safety Assessment of the Proposed Ocrelizumab Biosimilar CYB704 and Ocrevus in Participants With Relapsing Multiple Sclerosis</t>
  </si>
  <si>
    <t>NCT07003074</t>
  </si>
  <si>
    <t>A Clinical Study of TQB2102 Versus Docetaxel Plus Trastuzumab and Pertuzumab in the Treatment of HER2 Positive Recurrent or Metastatic Breast Cancer</t>
  </si>
  <si>
    <t>NCT06552416</t>
  </si>
  <si>
    <t>Safety of MT-401-OTS in Patients With Relapsed AML or MDS</t>
  </si>
  <si>
    <t>NCT06975748</t>
  </si>
  <si>
    <t>A Phase II Study of STSP-0902 Ophthalmic Solution in Patients With Neurotrophic Keratitis</t>
  </si>
  <si>
    <t>NCT06832618</t>
  </si>
  <si>
    <t>A Study to Assess the Efficacy and Safety of Ruxolitinib Cream in Children and Adolescents (6 to &lt;18 Years Old) With Moderate Atopic Dermatitis</t>
  </si>
  <si>
    <t>NCT07015268</t>
  </si>
  <si>
    <t>A Clinical Study of KLH-2109 in Patients With Endometriosis</t>
  </si>
  <si>
    <t>NCT06866080</t>
  </si>
  <si>
    <t>A Study of LCAR-AIO in Subjects With Relapsed/Refractory Autoimmune Diseases</t>
  </si>
  <si>
    <t>Nanjing Legend Biotech Co.</t>
  </si>
  <si>
    <t>NCT07034183</t>
  </si>
  <si>
    <t>A First-in-Human Study of PRD001</t>
  </si>
  <si>
    <t>PRD Therapeutics, Inc.</t>
  </si>
  <si>
    <t>NCT06821542</t>
  </si>
  <si>
    <t>A Study to Evaluate Axatilimab Versus Best Available Therapy in Participants With Chronic Graft Versus Host Disease After at Least 2 Prior Lines of Systemic Therapy</t>
  </si>
  <si>
    <t>NCT06984718</t>
  </si>
  <si>
    <t>A Phase II Study of AK104 Combination With Lenvatinib Versus Lenvatinib for Second-line HCC</t>
  </si>
  <si>
    <t>NCT07003919</t>
  </si>
  <si>
    <t>Safety Study of Viaskin® Peanut Patch in Peanut-Allergic Children 1 Through 3 Years of Age (COMFORT Toddlers)</t>
  </si>
  <si>
    <t>DBV Technologies</t>
  </si>
  <si>
    <t>NCT07091669</t>
  </si>
  <si>
    <t>A Comparative Bioavailability Study of Tamsulosin 0.4 mg Prolonged-release Tablets Versus the Reference Drug Omnic Ocas®, Tamsulosin 0.4 mg Tablets, in Healthy Adult Male Subjects, Under Fed Conditions</t>
  </si>
  <si>
    <t>NCT06699836</t>
  </si>
  <si>
    <t>A Phase 2 Study of Leronlimab in Combination With TAS-102 + Bevacizumab in Previously Treated Participants With mCRC</t>
  </si>
  <si>
    <t>CytoDyn, Inc.</t>
  </si>
  <si>
    <t>NCT06745336</t>
  </si>
  <si>
    <t>Clinical Study of CS-001 As a Treatment for Canities (Grey Hair)</t>
  </si>
  <si>
    <t>NCT07075718</t>
  </si>
  <si>
    <t>Phase 2/Phase 3 Trial to Evaluate the Safety and Efficacy of the Second Generation Travoprost Intracameral Implant</t>
  </si>
  <si>
    <t>NCT06872892</t>
  </si>
  <si>
    <t>The AIRTIVITY™ Study: A Study to Find Out Whether BI 1291583 Helps People With Bronchiectasis</t>
  </si>
  <si>
    <t>NCT06873763</t>
  </si>
  <si>
    <t>Nelmastobart in Combination With Trifluridine/ Tipiracil and Bevacizumab in Metastatic/ Recurrent Colorectal Cancer</t>
  </si>
  <si>
    <t>NCT06863493</t>
  </si>
  <si>
    <t>Comparison of Otezla to SFA-002 to Placebo in Plaque Psoriasis Patients</t>
  </si>
  <si>
    <t>SFA Therapeutics</t>
  </si>
  <si>
    <t>NCT06987643</t>
  </si>
  <si>
    <t>A Clinical Study to Investigate the Effect of Oral Neflamapimod on Motor Recovery After Acute Ischaemic Stroke</t>
  </si>
  <si>
    <t>NCT07013643</t>
  </si>
  <si>
    <t>A Study to Investigate the Effect of AZD6234, AZD9550, and a Combination of AZD9550 and AZD6234 on Pharmacokinetics of Combined Oral Contraceptive Ethinyl Estradiol/Levonorgestrel in Healthy Female Participants Living With Overweight or Obesity</t>
  </si>
  <si>
    <t>NCT06717360</t>
  </si>
  <si>
    <t>A Phase 3 Clinical Trial to Evaluate the Efficacy and Safety of AG2304T and AG2304R</t>
  </si>
  <si>
    <t>NCT07082725</t>
  </si>
  <si>
    <t>A Study to Evaluate the Safety and Efficacy of Oral Nizubaglustat (AZ-3102) in Late-infantile and Juvenile Forms of Niemann-Pick Type C Disease (NPC)</t>
  </si>
  <si>
    <t>NCT07015905</t>
  </si>
  <si>
    <t>REGN7508 Versus Apixaban and Enoxaparin for Thromboprophylaxis After Total Knee Arthroplasty in Adults</t>
  </si>
  <si>
    <t>NCT06994286</t>
  </si>
  <si>
    <t>The Purpose of This Study is to Investigate the Safety, Tolerability and Pharmacokinetics of MT-7117 in Healthy Subjects.</t>
  </si>
  <si>
    <t>NCT07226362</t>
  </si>
  <si>
    <t>A Study Evaluating the Safety, Tolerability and Pharmacokinetics of ASY202 in Healthy Adults</t>
  </si>
  <si>
    <t>Aspeya Switzerland SA</t>
  </si>
  <si>
    <t>NCT06703073</t>
  </si>
  <si>
    <t>JUST BREATHE, Breathing Life Into Innovative Therapies for ARDS (Master Record)</t>
  </si>
  <si>
    <t>PPD Development, LP</t>
  </si>
  <si>
    <t>NCT07023081</t>
  </si>
  <si>
    <t>A Study to Understand the Safety of the 20vPnC Vaccine in Healthy Chinese Adults, Children, and Infant</t>
  </si>
  <si>
    <t>NCT07009860</t>
  </si>
  <si>
    <t>RESTORE TRIAL: A Phase 2 Study Evaluating the Efficacy and Safety of Pemvidutide in the Treatment of Alcohol-Associated Liver Disease (ALD)</t>
  </si>
  <si>
    <t>NCT06852222</t>
  </si>
  <si>
    <t>A Study of Bleximenib, Venetoclax and Azacitidine For Treatment of Participants With Newly Diagnosed Acute Myeloid Leukemia (AML)</t>
  </si>
  <si>
    <t>NCT06930872</t>
  </si>
  <si>
    <t>Drug Interaction Study of ZYN002 Transdermal Gel and Probe Substrates</t>
  </si>
  <si>
    <t>NCT07037862</t>
  </si>
  <si>
    <t>A Study in Participants With Duchenne Muscular Dystrophy Amenable to Exon 44 Skipping to Evaluate the Safety and Efficacy of ENTR-601-44</t>
  </si>
  <si>
    <t>Entrada Therapeutics, Inc.</t>
  </si>
  <si>
    <t>NCT06978920</t>
  </si>
  <si>
    <t>A Trial to Evaluate the Safety, Tolerability and Preliminary Efficacy of NCR201 in the Treatment of Subjects With Parkinson's Disease</t>
  </si>
  <si>
    <t>NCT06919861</t>
  </si>
  <si>
    <t>Pharmacokinetics, Pharmacodynamics, and Safety of Nanokine Produced by Nanogen Pharmaceutical Joint Stock Company</t>
  </si>
  <si>
    <t>Nanogen Pharmaceutical Biotechnology Joint Stock Company</t>
  </si>
  <si>
    <t>NCT07025408</t>
  </si>
  <si>
    <t>Phase II Clinical Trial of KJ101in the Treatment of Deep II Degree Burns</t>
  </si>
  <si>
    <t>NCT06891833</t>
  </si>
  <si>
    <t>A Study of BL-M07D1 With or Without Pertuzumab Versus Taxane + Trastuzumab and Pertuzumab in Neoadjuvant Therapy for HER2-Positive Breast Cancer</t>
  </si>
  <si>
    <t>NCT07037771</t>
  </si>
  <si>
    <t>A Phase 3 Study of Zodasiran in Adolescent and Adult Subjects With Homozygous Familial Hypercholesterolemia (YOSEMITE)</t>
  </si>
  <si>
    <t>NCT06982547</t>
  </si>
  <si>
    <t>Clinical Study on the Treatment of Refractory Rheumatoid Arthritis With UTAA91 Injection</t>
  </si>
  <si>
    <t>NCT06980909</t>
  </si>
  <si>
    <t>The Food Effect on Pharmacokinetics Study of QLC1101 in Healthy Subjects</t>
  </si>
  <si>
    <t>NCT06885034</t>
  </si>
  <si>
    <t>A Study to Test the Safety and Effectiveness of GSK5764227, Alone or With Other Treatments, in Participants With Advanced Gastrointestinal Cancers That Cannot be Surgically Removed</t>
  </si>
  <si>
    <t>NCT06964113</t>
  </si>
  <si>
    <t>A Study of Filgotinib 200 mg in Korean Participants With Moderately to Severely Active Ulcerative Colitis Under Routine Clinical Practice</t>
  </si>
  <si>
    <t>NCT06898060</t>
  </si>
  <si>
    <t>To Evaluate the Efficacy and Safety of Abaloparatide Injection (QLG2128) in the Treatment of Postmenopausal Women With Osteoporosis and at High Risk of Fracture</t>
  </si>
  <si>
    <t>NCT06990880</t>
  </si>
  <si>
    <t>A Study of GSK5458514 Administered Alone or In Combination With Other Anti-Cancer Agents in Participants With Prostate Cancer</t>
  </si>
  <si>
    <t>NCT07087262</t>
  </si>
  <si>
    <t>A Phase I Study of SNH-119014 in Healthy Volunteers</t>
  </si>
  <si>
    <t>NCT07082738</t>
  </si>
  <si>
    <t>A Study to Investigate the Effect of AZD6793 in Participants With Moderate to Very Severe Chronic Obstructive Pulmonary Disease</t>
  </si>
  <si>
    <t>NCT07228078</t>
  </si>
  <si>
    <t>Open-Label Extension Protocol to SNK01-AD01 Study</t>
  </si>
  <si>
    <t>NKGen Biotech, Inc.</t>
  </si>
  <si>
    <t>NCT06995326</t>
  </si>
  <si>
    <t>A Study of SGB-3383 in Healthy Subjects</t>
  </si>
  <si>
    <t>NCT06868446</t>
  </si>
  <si>
    <t>Feasibility of a Digital Therapeutic for Adults With Posttraumatic Stress Disorder (PTSD)</t>
  </si>
  <si>
    <t>Oui Therapeutics, Inc.</t>
  </si>
  <si>
    <t>NCT06961786</t>
  </si>
  <si>
    <t>TNFα and IL-2 Coding Oncolytic Adenovirus TILT-123 With Lymphocyte-depleting Chemotherapy and TILs in the Treatment of Melanoma</t>
  </si>
  <si>
    <t>NCT06830850</t>
  </si>
  <si>
    <t>A Trial of HRS-5041-103 to Evaluate the Safety, Tolerability, Pharmacokinetics and Efficacy of HRS-5041 in Subjects With Metastatic Castration-resistant Prostate Cancer</t>
  </si>
  <si>
    <t>NCT07118891</t>
  </si>
  <si>
    <t>Study Evaluating ABCL635 for Vasomotor Symptoms of Menopause</t>
  </si>
  <si>
    <t>AbCellera Biologics Inc.</t>
  </si>
  <si>
    <t>NCT06942234</t>
  </si>
  <si>
    <t>Study of JSKN016 Combination Therapy in Inoperable Locally Advanced or Metastatic HER2-Negative Breast Cancer</t>
  </si>
  <si>
    <t>NCT07205432</t>
  </si>
  <si>
    <t>Phase I Study of XTL6001 Injection in Healthy and Obese Subjects</t>
  </si>
  <si>
    <t>Shanghai Xitaili Biomedicine Technology co., Ltd.</t>
  </si>
  <si>
    <t>NCT06844799</t>
  </si>
  <si>
    <t>A Study of HS-20137 in Participants with Moderate-to-severe Plaque Psoriasis</t>
  </si>
  <si>
    <t>NCT07025577</t>
  </si>
  <si>
    <t>A Study to Assess the Tolerability and Safety of Subcutaneously (SC) Administered Immunoglobulin G (IgG) With Varying Injection Conditions</t>
  </si>
  <si>
    <t>NCT06938269</t>
  </si>
  <si>
    <t>A Study to Evaluate MWN109 Tablets in Healthy Adult Participants</t>
  </si>
  <si>
    <t>NCT06958211</t>
  </si>
  <si>
    <t>Study to Evaluate the Efficacy and Safety of Ruxolitinib Cream in Participants With Hidradenitis Suppurativa (TRuE-HS2)</t>
  </si>
  <si>
    <t>NCT06962865</t>
  </si>
  <si>
    <t>A Phase Ⅱ Study of RC108 in Combination With Furmonertinib for the First-line Treatment of EGFR-Mutated Combined MET-Positive Unresectable Locally Advanced or Recurrent Metastatic NSCLC</t>
  </si>
  <si>
    <t>NCT06965465</t>
  </si>
  <si>
    <t>A Study to Learn How Different Amounts of the Study Medicine Called PF-07999415 Are Tolerated and Act in the Body in Healthy Adults</t>
  </si>
  <si>
    <t>NCT07029139</t>
  </si>
  <si>
    <t>A Study to Learn More About the Effects and Safety of JMT601 in Adults With Primary Membranous Nephropathy</t>
  </si>
  <si>
    <t>NCT06937099</t>
  </si>
  <si>
    <t>Mirikizumab and Tirzepatide Administered in Adult Participants With Moderately to Severely Active Crohn's Disease and Obesity or Overweight</t>
  </si>
  <si>
    <t>NCT06973304</t>
  </si>
  <si>
    <t>A Study of Teduglutide in Chinese Adults With Short Bowel Syndrome</t>
  </si>
  <si>
    <t>NCT07010432</t>
  </si>
  <si>
    <t>The Role of the Amylin Analogue Cagrilintide in Bone Metabolism</t>
  </si>
  <si>
    <t>NCT06980272</t>
  </si>
  <si>
    <t>SSGJ-707 in Advanced Non-Small Cell Lung Cancer</t>
  </si>
  <si>
    <t>NCT07001839</t>
  </si>
  <si>
    <t>A Phase Ib Study of QLS4131 in Subjects With Systemic Lupus Erythematosus</t>
  </si>
  <si>
    <t>NCT07001787</t>
  </si>
  <si>
    <t>A Study to Assess the Safety, Tolerability, Pharmacokinetics, and Pharmacodynamics of HS-10510 in Healthy Subjects</t>
  </si>
  <si>
    <t>NCT07016152</t>
  </si>
  <si>
    <t>An Open-label, Dose-finding, Phase I Study to Evaluate the Safety and Immunogenicity of a Bivalent Klebsiella Pneumoniae Vaccine (CHO-V08) in Healthy Adults</t>
  </si>
  <si>
    <t>Cho Pharma Inc.</t>
  </si>
  <si>
    <t>NCT07025915</t>
  </si>
  <si>
    <t>A Phase 1 Mass Balance Study of [¹⁴C]SSS17 in Healthy Chinese Males</t>
  </si>
  <si>
    <t>NCT06867978</t>
  </si>
  <si>
    <t>Multi-center Study on CCeLL-In Vivo's Clinical Efficacy for Intraoperative Brain Tumor Diagnosis.</t>
  </si>
  <si>
    <t>VPIX Medical</t>
  </si>
  <si>
    <t>NCT05720455</t>
  </si>
  <si>
    <t>Study to Assess Safety and Efficacy of Fexofenadine Hydrochloride (HCL) + Pseudoephedrine HCL Fixed Dose Combination in Indian Male and Female Participants With Allergic Rhinitis (AR) Who Are 12 Years and Above</t>
  </si>
  <si>
    <t>NCT06993870</t>
  </si>
  <si>
    <t>Phase I Study of HBT-708 for Patients With Advanced Solid Tumors</t>
  </si>
  <si>
    <t>NCT06701669</t>
  </si>
  <si>
    <t>JUST BREATHE, Breathing Life Into Innovative Therapies for ARDS- Cohort B: Paridiprubart</t>
  </si>
  <si>
    <t>NCT07051603</t>
  </si>
  <si>
    <t>SAL0140 Safety, Tolerability, Pharmacokinetic and Pharmacodynamic Study in a Healthy Chinese Population</t>
  </si>
  <si>
    <t>NCT07048808</t>
  </si>
  <si>
    <t>Investigational Trial to Evaluate XC001 Delivered Via an Cardiac Catheter in Subjects With Chronic Angina.</t>
  </si>
  <si>
    <t>XyloCor Therapeutics, Inc.</t>
  </si>
  <si>
    <t>NCT06902558</t>
  </si>
  <si>
    <t>A Study to Assess Adverse Events and Effectiveness of IntraVenous Infusions of ABBV-CLS-628 in Adult Participants With Autosomal Dominant Polycystic Kidney Disease (ADPKD)</t>
  </si>
  <si>
    <t>NCT07446491</t>
  </si>
  <si>
    <t>A Study to Evaluate the Safety and Efficacy of PN20 in the Treatment of Thrombocytopenia in Patients With Chronic Liver Disease Undergoing an Elective Procedure</t>
  </si>
  <si>
    <t>NCT07043946</t>
  </si>
  <si>
    <t>A Phase 1b/2a Study of Budoprutug in Subjects With Immune Thrombocytopenia (ITP)</t>
  </si>
  <si>
    <t>Climb Bio, Inc.</t>
  </si>
  <si>
    <t>NCT06954246</t>
  </si>
  <si>
    <t>A Study of MHB088C Injection Versus Treatment of Physician's Choice in Subjects With Relapsed Small Cell Lung Cancer</t>
  </si>
  <si>
    <t>NCT06982846</t>
  </si>
  <si>
    <t>A Study to Investigate the Response of Participants With Type 2 Diabetes Mellitus on Once-Weekly Retatrutide to Hypoglycemia</t>
  </si>
  <si>
    <t>NCT07149831</t>
  </si>
  <si>
    <t>A Clinical Trial Evaluating the Safety and Tolerability, Biodistribution and Radiation Dosimetry, and Pharmacokinetics of Flotufolastat F-18 Injection in Healthy Chinese Adults</t>
  </si>
  <si>
    <t>NCT07001800</t>
  </si>
  <si>
    <t>Ataciguat for Slowing the Progression of Moderate Calcific Aortic Valve Stenosis: A Randomized, Placebo Controlled Study</t>
  </si>
  <si>
    <t>NCT07000136</t>
  </si>
  <si>
    <t>A Phase III Study to Assess the Effect of AZD0780 on LDL-C in Patients With HeFH</t>
  </si>
  <si>
    <t>NCT07182552</t>
  </si>
  <si>
    <t>Phase I Clinical Study to Evaluate the Safety, Pharmacokinetics, Pharmacodynamics of NTB003 in Healthy Participants</t>
  </si>
  <si>
    <t>NCT06998771</t>
  </si>
  <si>
    <t>JSKN003 Combined Treatment of HER2-positive Gastric Cancer</t>
  </si>
  <si>
    <t>NCT06941792</t>
  </si>
  <si>
    <t>Inclisiran Effectiveness in China: a Pragmatic Randomized Trial</t>
  </si>
  <si>
    <t>NCT07185321</t>
  </si>
  <si>
    <t>A Phase 1 Study of Mosliciguat in Healthy, Adult Males</t>
  </si>
  <si>
    <t>NCT06872125</t>
  </si>
  <si>
    <t>A Double-blind Study Evaluating the Efficacy, Safety, and Tolerability of Zorevunersen in Patients With Dravet Syndrome</t>
  </si>
  <si>
    <t>Stoke Therapeutics, Inc</t>
  </si>
  <si>
    <t>NCT06991257</t>
  </si>
  <si>
    <t>A Study to Learn About the Study Medicine Called PF-07328948 in Adults With Heart Failure (BRANCH-HF)</t>
  </si>
  <si>
    <t>NCT07059767</t>
  </si>
  <si>
    <t>Phase IIa Trial in Participants With Asthma to Evaluate Impact of Intranasal ETH47 on Development of Asthma-related Symptoms Following Rhinovirus Challenge</t>
  </si>
  <si>
    <t>Ethris GmbH</t>
  </si>
  <si>
    <t>NCT07003984</t>
  </si>
  <si>
    <t>A Safety and Immunogenicity Study of CHIKV VLP Vaccine in Children.</t>
  </si>
  <si>
    <t>NCT07033585</t>
  </si>
  <si>
    <t>Generic Drugs (Dapagliflozin and Saxagliptin) Treat Type 2 Diabetes Patients With Controlled Cancers</t>
  </si>
  <si>
    <t>NCT06795191</t>
  </si>
  <si>
    <t>Efficacy, Safety, and Pharmacokinetics of FP-014, 22.5 mg in Patients With Advanced Prostate Cancer</t>
  </si>
  <si>
    <t>NCT06927687</t>
  </si>
  <si>
    <t>Study of ZG005 in Patients With Advanced Solid Tumors</t>
  </si>
  <si>
    <t>NCT07028749</t>
  </si>
  <si>
    <t>Study of MAR001 in Adults With Elevated Triglycerides and Remnant Cholesterol</t>
  </si>
  <si>
    <t>Marea Therapeutics</t>
  </si>
  <si>
    <t>NCT07036185</t>
  </si>
  <si>
    <t>A Clinical Trail of KJ015 in Patients With HER2-Expressing Solid Tumors</t>
  </si>
  <si>
    <t>NCT06972732</t>
  </si>
  <si>
    <t>A Phase IV Clinical Trial to Compare the Efficacy and Safety of Metformin+Sodium-Glucose Cotransporter 2 Inhibitor(SGLT2-i)+Thiazolidinedione (TZD) in Patients With Type 2 Diabetes</t>
  </si>
  <si>
    <t>NCT06931028</t>
  </si>
  <si>
    <t>A Study of IBI362 in Chinese Subjects With Obstructive Sleep Apnea and BMI≥28 kg/m2</t>
  </si>
  <si>
    <t>NCT07028268</t>
  </si>
  <si>
    <t>A Trial of SHR-2017 Injection in Patients With Bone Metastases From Solid Tumors</t>
  </si>
  <si>
    <t>NCT07363967</t>
  </si>
  <si>
    <t>A Phase I First-in-Human Open-Label Study to Evaluate the Safety, Tolerability, Pharmacokinetics, and Preliminary Anti-Tumor Activity of SWA1211 Tablets in Subjects With Advanced Solid Tumors</t>
  </si>
  <si>
    <t>Beijing StoneWise Technology Co., Ltd</t>
  </si>
  <si>
    <t>NCT07020221</t>
  </si>
  <si>
    <t>A Phase 1/2 Study of VS-7375 in Patients With KRAS G12D-Mutated Solid Tumors</t>
  </si>
  <si>
    <t>NCT07119125</t>
  </si>
  <si>
    <t>A First-in-human, 3-part Study of MRT-8102 in Healthy Participants and Participants at Cardiovascular Risk With Elevated CRP</t>
  </si>
  <si>
    <t>NCT06984926</t>
  </si>
  <si>
    <t>A Study to Test How Well Multiple Doses of BI 3810477 Are Tolerated by Healthy Adults</t>
  </si>
  <si>
    <t>NCT05876585</t>
  </si>
  <si>
    <t>Clinical Trial to Investigate the Efficacy and Safety of Ondansetron (Danset - Adwia) Versus Placebo Plus the Standard of Care in the Treatment of Nausea and Vomiting in Adult Patients With Acute Gastroenteritis</t>
  </si>
  <si>
    <t>NCT06989840</t>
  </si>
  <si>
    <t>Phase 1 Study to Evaluate the Safety, Tolerability, PK, and PD of TVB-3567 in Healthy Participants With or Without Acne</t>
  </si>
  <si>
    <t>NCT07008417</t>
  </si>
  <si>
    <t>A Study on Bioequivalence of Cabergoline Tablets in Human Body</t>
  </si>
  <si>
    <t>NCT06951880</t>
  </si>
  <si>
    <t>A Study to Investigate the Safety and Pharmacokinetics of Single- and Multiple-ascending Doses of AZD4916 in Healthy Volunteers</t>
  </si>
  <si>
    <t>NCT06701682</t>
  </si>
  <si>
    <t>JUST BREATHE, Breathing Life Into Innovative Therapies for ARDS- Cohort A: Vilobelimab</t>
  </si>
  <si>
    <t>NCT07126886</t>
  </si>
  <si>
    <t>A Multicenter, Prospective, Clinical Trial Evaluating a Single Layer Amniotic Membrane and Standard of Care Versus Matched Controls in the Management of Nonhealing Pressure Ulcers</t>
  </si>
  <si>
    <t>Applied Biologics, LLC</t>
  </si>
  <si>
    <t>NCT06966700</t>
  </si>
  <si>
    <t>A Clinical Study of Sacituzumab Tirumotecan (Sac-TMT, MK-2870) in People With Breast Cancer (MK-2870-032)</t>
  </si>
  <si>
    <t>NCT07116694</t>
  </si>
  <si>
    <t>Assessment of Acute Psychomotor Agitation Measures Associated With Schizophrenia and Bipolar Disorder</t>
  </si>
  <si>
    <t>BioXcel Therapeutics Inc</t>
  </si>
  <si>
    <t>NCT06979505</t>
  </si>
  <si>
    <t>GV101 in Healthy Obese Participants</t>
  </si>
  <si>
    <t>Graviton Bioscience Corporation</t>
  </si>
  <si>
    <t>NCT06994936</t>
  </si>
  <si>
    <t>An Open-label Study in Healthy Adults to Evaluate the Relative Bioequivalence of a Single-dose Administration of Sonelokimab Either by a Prefilled Syringe or an Autoinjector</t>
  </si>
  <si>
    <t>NCT07051993</t>
  </si>
  <si>
    <t>A Study to Evaluate the Relative Bioavailability of Two Tablet Formulations Compared to Capsule Formulation and the Effect of Food and Proton Pump Inhibitor on ZN-A-1041 Tablet(s) in Healthy Participants</t>
  </si>
  <si>
    <t>NCT07279155</t>
  </si>
  <si>
    <t>A Study on the Bioequivalence of Bupivacaine Liposome Injection in Humans</t>
  </si>
  <si>
    <t>NCT06993155</t>
  </si>
  <si>
    <t>A Clinical Trial Evaluating the Efficacy and Safety of Leflutrozole on Testicular Function</t>
  </si>
  <si>
    <t>ReproNovo Aps</t>
  </si>
  <si>
    <t>NCT07012109</t>
  </si>
  <si>
    <t>Study of BEBT-507 Injection in Subjects With Polycythemia Vera (PV)</t>
  </si>
  <si>
    <t>NCT06682806</t>
  </si>
  <si>
    <t>A Study of PRT3789 in Combination With Pembrolizumab in Patients With Advanced or Metastatic Solid Tumors With a SMARCA4 Mutation</t>
  </si>
  <si>
    <t>NCT06808984</t>
  </si>
  <si>
    <t>Study to Evaluate the Efficacy, Safety, and Tolerability of BMS-986368, for the Treatment of Agitation in Participants With Alzheimer's Disease</t>
  </si>
  <si>
    <t>NCT07420491</t>
  </si>
  <si>
    <t>The Efficacy and Safety of Reconyl in Acute Cough Treatment</t>
  </si>
  <si>
    <t>NCT07062978</t>
  </si>
  <si>
    <t>A Comparative Study to Valuating the Efficacy and Safety of QL1206 and Prolia®</t>
  </si>
  <si>
    <t>NCT06783647</t>
  </si>
  <si>
    <t>A Clinical Trial of LBL-024 Combination Drug in Patients With Advanced Solid Tumours[Substudy 01(NSCLC)]</t>
  </si>
  <si>
    <t>Nanjing Leads Biolabs Co.,Ltd</t>
  </si>
  <si>
    <t>NCT06986785</t>
  </si>
  <si>
    <t>A Study of BL-B01D1 Combined With Lenvatinib in Patients With Advanced Hepatocellular Carcinoma</t>
  </si>
  <si>
    <t>NCT06819735</t>
  </si>
  <si>
    <t>Study of DT-7012 as a Single Agent and in Combination With an Immune Checkpoint Inhibitor in Participants With Advanced Solid Tumors</t>
  </si>
  <si>
    <t>Domain Therapeutics Australia Pty Ltd</t>
  </si>
  <si>
    <t>NCT06942767</t>
  </si>
  <si>
    <t>Combination of QLS31905, QL2107 and Chemotherapy as First-line Therapy in CLDN18.2-positive Unresectable Locally Advanced or Metastatic Gastric or Gastroesophageal Junction (GEJ) Adenocarcinoma</t>
  </si>
  <si>
    <t>NCT07038200</t>
  </si>
  <si>
    <t>A Study to Evaluate Del-brax (Also Referred to as AOC 1020) in Participants With FSHD</t>
  </si>
  <si>
    <t>NCT06953583</t>
  </si>
  <si>
    <t>A Study to Learn More About the Effects and Long-Term Safety of BIIB141 (Omaveloxolone) in Participants With Friedreich's Ataxia Aged 2 to 15 Years Old (BRAVE)</t>
  </si>
  <si>
    <t>NCT06926829</t>
  </si>
  <si>
    <t>A Long-term Trial of EB-1020 in Adult Patients With ADHD</t>
  </si>
  <si>
    <t>NCT06990698</t>
  </si>
  <si>
    <t>A Phase 1 Study to Investigate FP008 in Subjects With Advanced Solid Tumors</t>
  </si>
  <si>
    <t>Zhuhai Fapon Biopharma Co., Ltd.</t>
  </si>
  <si>
    <t>NCT06377228</t>
  </si>
  <si>
    <t>A Study of TAK-007 in Adults With Refractory Lupus Nephritis (LN) or Refractory Systemic Sclerosis (SSc)</t>
  </si>
  <si>
    <t>NCT06979375</t>
  </si>
  <si>
    <t>A Research Study Comparing CDR132L With Placebo on the Structure and Function of the Heart in People With Heart Failure With Reduced/Mildly Reduced Ejection Fraction and Left Ventricular Hypertrophy</t>
  </si>
  <si>
    <t>NCT07480603</t>
  </si>
  <si>
    <t>Pilot Study on a New Self Adjustable Glaucoma Drainage Device</t>
  </si>
  <si>
    <t>Rheon Medical SA</t>
  </si>
  <si>
    <t>NCT07045701</t>
  </si>
  <si>
    <t>FMXIN002 in Patients at Risk of Anaphylaxis</t>
  </si>
  <si>
    <t>Nasus Pharma</t>
  </si>
  <si>
    <t>NCT07007091</t>
  </si>
  <si>
    <t>A Study to Assess the Relative Bioavailability of Risankizumab Following Subcutaneous Administrations With a Pre-Filled Syringe or an On-Body Injector in Healthy Adult Participants</t>
  </si>
  <si>
    <t>NCT05425576</t>
  </si>
  <si>
    <t>OT-101 in Combination With Pembrolizumab in Subjects With Malignant Pleural Mesothelioma Failing to Respond to Checkpoint Inhibition</t>
  </si>
  <si>
    <t>NCT06949761</t>
  </si>
  <si>
    <t>A Clinical Study to Evaluate the Safety, Tolerability, and Efficacy of QLC1101 in Combination With Other Therapies in the Treatment of Patients With Advanced Solid Tumors Harboring a KRAS G12D Mutation</t>
  </si>
  <si>
    <t>NCT06910813</t>
  </si>
  <si>
    <t>DFT383 in Pediatric Participants With Nephropathic Cystinosis</t>
  </si>
  <si>
    <t>NCT07020988</t>
  </si>
  <si>
    <t>A Study to Assess the Time to Onset of Action of Staccato Alprazolam Versus Midazolam and Diazepam in Healthy Participants</t>
  </si>
  <si>
    <t>NCT07017335</t>
  </si>
  <si>
    <t>Drug-Drug Interaction Between R1_PBK_M2301 and R2_PBK_M2301 in Healthy Adults</t>
  </si>
  <si>
    <t>NCT07018323</t>
  </si>
  <si>
    <t>NCT07215390</t>
  </si>
  <si>
    <t>A Phase 2, Randomized, Placebo Controlled, Multicenter, Masked Study to Evaluate the Efficacy, Safety, Tolerability, and Pharmacodynamics of Multidose APL 3007 in Combination With Syfovre/Pegcetacoplan (APL-2) in Patients Diagnosed With Geographic Atrophy Secondary to Age Related Macular Degeneratio</t>
  </si>
  <si>
    <t>Apellis Pharmaceuticals, Inc.</t>
  </si>
  <si>
    <t>NCT07037901</t>
  </si>
  <si>
    <t>A Study to Evaluate the Efficacy and Safety of IMG-007 in Adult Participants With Moderate-to-Severe Atopic Dermatitis</t>
  </si>
  <si>
    <t>NCT06892145</t>
  </si>
  <si>
    <t>Clinical Trial of CD19 Targeted CAR-T Cell in Refractory Adult SLE</t>
  </si>
  <si>
    <t>NCT06949020</t>
  </si>
  <si>
    <t>A Dose-finding Study of JMKX003142 in Treatment of Cardiac Edema</t>
  </si>
  <si>
    <t>NCT06997627</t>
  </si>
  <si>
    <t>A Phase I/II Study to Evaluate the Safety and Immunogenicity of GC3111B in Healthy Adults</t>
  </si>
  <si>
    <t>NCT06793748</t>
  </si>
  <si>
    <t>Study to Evaluate the Safety, Tolerability, and Efficacy of PEP-TISSEEL in Subjects With Chronic Radiation Ulcer</t>
  </si>
  <si>
    <t>NCT07113522</t>
  </si>
  <si>
    <t>A Phase 2 Study to Evaluate Therapies for Inflammatory Bowel Disease</t>
  </si>
  <si>
    <t>NCT07035665</t>
  </si>
  <si>
    <t>A Clinical Study to Evaluate the Effect of Food on the Pharmacokinetic Profiles of HRS-5965 Capsules in Healthy Subjects</t>
  </si>
  <si>
    <t>NCT06789913</t>
  </si>
  <si>
    <t>A Phase 2 Study of Mutant-selective PI3Kα Inhibitor, RLY-2608, in Adults and Children With PIK3CA Related Overgrowth Spectrum and Malformations Driven by PIK3CA Mutation</t>
  </si>
  <si>
    <t>Relay Therapeutics, Inc.</t>
  </si>
  <si>
    <t>NCT06999083</t>
  </si>
  <si>
    <t>A Study to Evaluate Single-dose of HB0043 in Healthy Adult Participants</t>
  </si>
  <si>
    <t>NCT06880744</t>
  </si>
  <si>
    <t>A Study to Assess the Change in Disease Activity in Adult Participants With Moderate to Severe Ulcerative Colitis Treated With Risankizumab Compared to Vedolizumab</t>
  </si>
  <si>
    <t>NCT06797999</t>
  </si>
  <si>
    <t>First-in-Human Study of ADCE-D01 in Soft Tissue Sarcoma</t>
  </si>
  <si>
    <t>NCT07036510</t>
  </si>
  <si>
    <t>Safety of TimoD Sustained-Release Implant in Participants With Glaucoma or Ocular Hypertension Undergoing Cataract Surgery</t>
  </si>
  <si>
    <t>EyeD Pharma</t>
  </si>
  <si>
    <t>NCT07016750</t>
  </si>
  <si>
    <t>A Study Comparing KB803 and Matched Placebo in Patients With Dystrophic Epidermolysis Bullosa</t>
  </si>
  <si>
    <t>NCT06995677</t>
  </si>
  <si>
    <t>Efficacy and Safety of TYRA-300 in Participants With FGFR3 Altered Low Grade, Intermediate Risk Non-Muscle Invasive Bladder Cancer</t>
  </si>
  <si>
    <t>NCT07009353</t>
  </si>
  <si>
    <t>A Study to Learn How the Study Medicine Called [14C]PF-07054894 is Processed by the Body</t>
  </si>
  <si>
    <t>NCT07225829</t>
  </si>
  <si>
    <t>A Trial to Investigate the Safety and Efficacy of Intra-articular 4P004 Injection in Subjects With Knee Synovitis and Osteoarthritis</t>
  </si>
  <si>
    <t>4Moving Biotech</t>
  </si>
  <si>
    <t>NCT07029555</t>
  </si>
  <si>
    <t>An Ascending Dose Study of PIT565 in Participants With Rheumatoid Arthritis</t>
  </si>
  <si>
    <t>NCT07069335</t>
  </si>
  <si>
    <t>A Bioequivalence Study to Evaluate Pharmacokinetics and Safety of BR2022 and BR2022-1 in Patients With Deleterious or Suspected Deleterious Germline BRCA-Mutated Advanced Ovarian Cancer</t>
  </si>
  <si>
    <t>NCT07030868</t>
  </si>
  <si>
    <t>A Study of LY3549492 in Adults With Obesity or Overweight With Type 2 Diabetes</t>
  </si>
  <si>
    <t>NCT06907121</t>
  </si>
  <si>
    <t>Investigation of Growth Hormone and Platelet-Rich Plasma on Joint Health</t>
  </si>
  <si>
    <t>Integrant Pty Ltd</t>
  </si>
  <si>
    <t>NCT06947980</t>
  </si>
  <si>
    <t>Study of CM512 in Patients With Moderate-to-Severe Atopic Dermatitis</t>
  </si>
  <si>
    <t>NCT06850727</t>
  </si>
  <si>
    <t>Safety and Efficacy of OD-07656 and of Subsequent Vedolizumab Therapy in Moderately to Severely Active Ulcerative Colitis</t>
  </si>
  <si>
    <t>NCT03997318</t>
  </si>
  <si>
    <t>Japanese Bridging Study of Autologous Muscle Derived Cells Compared to Placebo for Female Urinary Sphincter Repair(JPN1)</t>
  </si>
  <si>
    <t>NCT06868082</t>
  </si>
  <si>
    <t>A Study to Investigate Safety, Tolerability, and Pharmacokinetics of Solrikitug in Healthy Japanese and Non-Japanese Participants</t>
  </si>
  <si>
    <t>NCT07053345</t>
  </si>
  <si>
    <t>A Study of Esketamine Nasal Spray in Korean Participants With Treatment-resistant Depression</t>
  </si>
  <si>
    <t>Janssen Korea, Ltd., Korea</t>
  </si>
  <si>
    <t>NCT07266792</t>
  </si>
  <si>
    <t>Bioequivalence Study to Compare Brexpiprazole 4 mg Film Coated Tablets Versus RXULTI 4 mg Film Coated Tablet (Brexpiprazole)</t>
  </si>
  <si>
    <t>NCT06954428</t>
  </si>
  <si>
    <t>Clinical Trial of Intranasal Delivery of NT-301</t>
  </si>
  <si>
    <t>Nano PharmaSolutions Australia</t>
  </si>
  <si>
    <t>NCT06971614</t>
  </si>
  <si>
    <t>A Study of T3011 in Patients With BCG-Unresponsive NMIBC or BCG-Exposed, Chemotherapy-Unresponsive NMIBC</t>
  </si>
  <si>
    <t>NCT06847698</t>
  </si>
  <si>
    <t>Single Ascending Dose and Multiple Ascending Dose Study of AVR-48</t>
  </si>
  <si>
    <t>AyuVis Research, Inc.</t>
  </si>
  <si>
    <t>NCT07010263</t>
  </si>
  <si>
    <t>A Study of AK112 as Consolidation Treatment for Patients With Limited Stage Small-cell Lung Cancer Who Have Not Progressed Following Concurrent Chemoradiation Therapy</t>
  </si>
  <si>
    <t>NCT07023302</t>
  </si>
  <si>
    <t>A Study to Evaluate the Safety and Effectiveness of Upadacitinib Tablets in Adult and Adolescent Participants in Japan With Alopecia Areata</t>
  </si>
  <si>
    <t>NCT06959095</t>
  </si>
  <si>
    <t>Depemokimab as an Extended treatmeNt Duration Biologic in Adults With Chronic Obstructive Pulmonary Disease (COPD) and Type 2 Inflammation (ENDURA -1)</t>
  </si>
  <si>
    <t>NCT07007637</t>
  </si>
  <si>
    <t>A Study to Evaluate the Long-term Safety, Tolerability, and Efficacy of Subcutaneous Sonelokimab in Participants With Moderate to Severe Hidradenitis Suppurativa</t>
  </si>
  <si>
    <t>NCT06761677</t>
  </si>
  <si>
    <t>A Phase 1b/2 Study of Intravenous Brincidofovir in Patients With Relapsed or Refractory Lymphoma and Relapsed or Refractory Extranodal Natural Killer/T-cell Lymphoma</t>
  </si>
  <si>
    <t>SymBio Pharmaceuticals</t>
  </si>
  <si>
    <t>NCT06765954</t>
  </si>
  <si>
    <t>Immunotherapy With N 803, ETBX-071, and M-CENK in Combination With Radiation for Participants With High-Risk Prostate Cancer.</t>
  </si>
  <si>
    <t>NCT07065331</t>
  </si>
  <si>
    <t>A Study of Inhaled AZD8630 in Adolescents With Asthma</t>
  </si>
  <si>
    <t>NCT06900751</t>
  </si>
  <si>
    <t>A Study to Assess NEU-627 in Healthy Participants</t>
  </si>
  <si>
    <t>NCT06992713</t>
  </si>
  <si>
    <t>A Clinical Study Evaluating H1710 for Injection in Participants With Advanced Solid Tumors</t>
  </si>
  <si>
    <t>Shenzhen Hepalink Pharmaceutical Group Co., Ltd.</t>
  </si>
  <si>
    <t>NCT06850623</t>
  </si>
  <si>
    <t>Acoustic Cluster Therapy (ACT) With Chemotherapy for the Treatment of Locally Advanced Pancreatic Cancer</t>
  </si>
  <si>
    <t>EXACT Therapeutics AS</t>
  </si>
  <si>
    <t>NCT06980454</t>
  </si>
  <si>
    <t>Phase I PK Comparison of HLX05 vs. Erbitux® in Healthy Chinese Males: Safety, Immunogenicity, and Pharmacokinetics</t>
  </si>
  <si>
    <t>NCT07024823</t>
  </si>
  <si>
    <t>A Study to Investigate Safety, Tolerability, Pharmacokinetics, and Pharmacodynamics of AZD4248 in Healthy Participants and Participants With Chronic Kidney Disease and Type 2 Diabetes and to Assess Home Measurements of Creatinine in a Non Interventional Cohort</t>
  </si>
  <si>
    <t>NCT07050641</t>
  </si>
  <si>
    <t>Phase I/II Study of SCTB39-1 in Advanced Solid Tumours</t>
  </si>
  <si>
    <t>NCT06981988</t>
  </si>
  <si>
    <t>A Study of Linperlisib (YY-20394) in Combination With Rituximab in Patients With Relapsed/Refractory Indolent NHL</t>
  </si>
  <si>
    <t>NCT06822998</t>
  </si>
  <si>
    <t>HF50 in HER-2 Positive and Low-expression Advanced Solid Tumors</t>
  </si>
  <si>
    <t>HighField Biopharmaceuticals Corporation</t>
  </si>
  <si>
    <t>NCT06949137</t>
  </si>
  <si>
    <t>Intravenous Infusion of Human Mesenchymal Stem Cells (HMM910 ) in Postmenopausal Women With Osteoporosis at High Risk of Fracture</t>
  </si>
  <si>
    <t>NCT07104500</t>
  </si>
  <si>
    <t>VK2735 for Weight Management Phase 3</t>
  </si>
  <si>
    <t>NCT07016516</t>
  </si>
  <si>
    <t>A Study to Learn About PRT-064040 Nasal Spray in Healthy Adult Subjects</t>
  </si>
  <si>
    <t>NCT06934538</t>
  </si>
  <si>
    <t>First-in-human Trial of STC-1010, an Immunotherapy, in Patients With Unresectable Locally Advanced or Metastatic Colorectal Cancer</t>
  </si>
  <si>
    <t>Brenus Pharma</t>
  </si>
  <si>
    <t>NCT07029568</t>
  </si>
  <si>
    <t>A Study to See How Safe a New Medicine (NNC0705-0001) is in Healthy People</t>
  </si>
  <si>
    <t>NCT06857214</t>
  </si>
  <si>
    <t>A Study of GNC-038 Tetra-specific Antibody Injection in Patients With Systemic Lupus Erythematosus</t>
  </si>
  <si>
    <t>NCT06891443</t>
  </si>
  <si>
    <t>Study to Evaluate Sepofarsen in Subjects With Leber Congenital Amaurosis (LCA) Type 10 (HYPERION)</t>
  </si>
  <si>
    <t>NCT07024602</t>
  </si>
  <si>
    <t>A Study to Evaluate the Safety, Tolerability, Pharmacokinetics, Pharmacodynamics and Efficacy of ASC50 Tables in Healthy Participants and Participants With Plaque Psoriasis</t>
  </si>
  <si>
    <t>NCT07033026</t>
  </si>
  <si>
    <t>An Evaluation of NGM120 in a Randomized, Double-blind, Placebo-controlled Study in Participants With Colorectal Cancer Who Have Cancer Cachexia.</t>
  </si>
  <si>
    <t>NCT07143318</t>
  </si>
  <si>
    <t>First-in-Human Single and Multiple Dose of KLA578-1 for Injection</t>
  </si>
  <si>
    <t>Sichuan Kelun Pharmaceutical Co., Ltd</t>
  </si>
  <si>
    <t>NCT06891287</t>
  </si>
  <si>
    <t>An Early Phase Study of RT-114</t>
  </si>
  <si>
    <t>RANI Therapeutics</t>
  </si>
  <si>
    <t>NCT07176832</t>
  </si>
  <si>
    <t>Bioavailability of Stiripentol After Single Oral Dose of Capsule vs Suspension in Healthy Subjects (STILIQ)</t>
  </si>
  <si>
    <t>NCT07052032</t>
  </si>
  <si>
    <t>An Open-label Study of CND261 in Seropositive Rheumatoid Arthritis</t>
  </si>
  <si>
    <t>Candid Therapeutics</t>
  </si>
  <si>
    <t>NCT06665100</t>
  </si>
  <si>
    <t>PUL-042 Treatment in Patients With Parainfluenza Virus (PIV), Human Metapneumovirus (hMPV) or Respiratory Syncytial Virus (RSV)</t>
  </si>
  <si>
    <t>NCT06736990</t>
  </si>
  <si>
    <t>A Phase 2 Study of CAL101 in Patients With Idiopathic Pulmonary Fibrosis</t>
  </si>
  <si>
    <t>Calluna Pharma AS</t>
  </si>
  <si>
    <t>NCT07024160</t>
  </si>
  <si>
    <t>Phase I Study of MT1011 Injection in Healthy Subjects</t>
  </si>
  <si>
    <t>NCT06643143</t>
  </si>
  <si>
    <t>A Phase 2 Study of IkT-001Pro in Pulmonary Arterial Hypertension (PAH)</t>
  </si>
  <si>
    <t>Inhibikase Therapeutics</t>
  </si>
  <si>
    <t>NCT07049107</t>
  </si>
  <si>
    <t>Pharmacokinetics Impact of HRS-8427 on Bupropion and Midazolam in Healthy Subjects</t>
  </si>
  <si>
    <t>NCT06552169</t>
  </si>
  <si>
    <t>REgulatory T Cell Therapy to Achieve Immunosuppression REduction</t>
  </si>
  <si>
    <t>Singulera Therapeutics Inc.</t>
  </si>
  <si>
    <t>NCT06841770</t>
  </si>
  <si>
    <t>A Study to Evaluate the Safety of a Delivery Device for Administering LCTOPC1 in Participants With Spinal Cord Injury</t>
  </si>
  <si>
    <t>Lineage Cell Therapeutics, Inc.</t>
  </si>
  <si>
    <t>NCT06095986</t>
  </si>
  <si>
    <t>A Study Evaluating the Safety, Tolerability, and Efficacy of Aramchol Meglumine in Primary Sclerosing Cholangitis</t>
  </si>
  <si>
    <t>NCT07043634</t>
  </si>
  <si>
    <t>A Study to Evaluate the Effect of Food or no Food on the Bioavailability of an Extended Release (ER) Torsemide and Spironolactone Fixed Dose Combination (FDC) Tablet in Healthy Adult Subjects</t>
  </si>
  <si>
    <t>NCT06168734</t>
  </si>
  <si>
    <t>Cefepime-taniborbactam vs Meropenem in Adults With VABP or Ventilated HABP</t>
  </si>
  <si>
    <t>Venatorx Pharmaceuticals, Inc.</t>
  </si>
  <si>
    <t>NCT06847867</t>
  </si>
  <si>
    <t>A Study of Momelotinib in Participants With Low-risk Myelodysplastic Syndrome</t>
  </si>
  <si>
    <t>NCT06994806</t>
  </si>
  <si>
    <t>A Study to Investigate the Safety and Efficacy of KQB168 as Monotherapy and in Combination in Participants With Advanced Solid Malignancies</t>
  </si>
  <si>
    <t>NCT07015398</t>
  </si>
  <si>
    <t>A Study of the Pharmacokinetic Interaction Between Pirfenidone, Nintedanib, and Nalbuphine Extended Release (NAL ER) in Healthy Participants</t>
  </si>
  <si>
    <t>NCT06982352</t>
  </si>
  <si>
    <t>Safety and Pharmacokinetics of LPX-TI641 in Atopic Dermatitis and Psoriasis</t>
  </si>
  <si>
    <t>NCT07006792</t>
  </si>
  <si>
    <t>A Study to See How Well Lebrikizumab Works in Adults and Adolescents With Moderate Atopic Dermatitis (Eczema) and High Itch Burden</t>
  </si>
  <si>
    <t>NCT06873789</t>
  </si>
  <si>
    <t>A Study to Evaluate INCB177054 in Participants With Select Advanced or Metastatic Solid Tumors</t>
  </si>
  <si>
    <t>NCT06951711</t>
  </si>
  <si>
    <t>A Study to Evaluate the Efficacy and Safety of KarXT for the Treatment of Manic Episodes in Bipolar-I Disorder (BALSAM-2)</t>
  </si>
  <si>
    <t>NCT07013487</t>
  </si>
  <si>
    <t>A Study to Evaluate V181 Dengue Vaccine in Healthy Participants 2 to 17 Years of Age (V181-005/MOBILIZE-1)</t>
  </si>
  <si>
    <t>NCT06951698</t>
  </si>
  <si>
    <t>A Study to Evaluate the Efficacy and Safety of KarXT for the Treatment of Manic Episodes in Bipolar-I Disorder</t>
  </si>
  <si>
    <t>NCT06874010</t>
  </si>
  <si>
    <t>A Multiple Ascending Dose Study of DT-216P2 in Patients With Friedreich's Ataxia</t>
  </si>
  <si>
    <t>NCT07039045</t>
  </si>
  <si>
    <t>A Study of [14C]-LY4065967 in Healthy Participants</t>
  </si>
  <si>
    <t>NCT06628128</t>
  </si>
  <si>
    <t>A Study to Evaluate the Long-Term Safety and Efficacy of JNT-517 in Participants With Phenylketonuria</t>
  </si>
  <si>
    <t>NCT06703892</t>
  </si>
  <si>
    <t>A Study to Evaluate the Safety and Clinical Activity of GF- CART01 (CD20/19 CAR T Cell) in Subjects With Relapsed or Refractory B-Cell Hematological Malignancies</t>
  </si>
  <si>
    <t>GenomeFrontier Therapeutics TW Co., Ltd.</t>
  </si>
  <si>
    <t>NCT06533657</t>
  </si>
  <si>
    <t>Unique Treatment of Oncology Pain in Advanced Cancer</t>
  </si>
  <si>
    <t>ZYUS Life Sciences Inc.</t>
  </si>
  <si>
    <t>NCT06962839</t>
  </si>
  <si>
    <t>A Study to Test Whether BI 1815368 Helps People With an Eye Condition Called Diabetic Macular Edema</t>
  </si>
  <si>
    <t>NCT07327034</t>
  </si>
  <si>
    <t>ABSK-011+BSC vs. Placebo+BSC in Previously Treated Advanced HCC With FGF19 Overexpression</t>
  </si>
  <si>
    <t>NCT07073014</t>
  </si>
  <si>
    <t>Long-Term Extension Study of Vosoritide to Treat Children With Hypochondroplasia</t>
  </si>
  <si>
    <t>NCT07019779</t>
  </si>
  <si>
    <t>Study of CM518D1 in Patients With Advanced Solid Tumors</t>
  </si>
  <si>
    <t>NCT07000955</t>
  </si>
  <si>
    <t>Tolerance and Pharmacokinetic/Pharmacokinetic Study of IBI362 15mg in Patients With Moderate to Severe Obesity</t>
  </si>
  <si>
    <t>NCT06947291</t>
  </si>
  <si>
    <t>Safety and Efficacy of Glumetinib Combined With Docetaxel for Injection (Albumin-bound) in Patients With Advanced Gastric Cancer/Gastroesophageal Junction Adenocarcinoma and Other Solid Tumors</t>
  </si>
  <si>
    <t>NCT06928051</t>
  </si>
  <si>
    <t>A Study of S-892216 in Participants With COVID-19</t>
  </si>
  <si>
    <t>NCT07011667</t>
  </si>
  <si>
    <t>A Research Study to Look at How Well CagriSema Helps People Living With Obesity Lose Weight and Maintain Weight Loss in the Long-term</t>
  </si>
  <si>
    <t>NCT06940336</t>
  </si>
  <si>
    <t>To Evaluate the Efficacy and Safety of Tafamidis Meglumine Soft Capsules in the Treatment of Adult Patients With Transthyretin Amyloid Polyneuropathy</t>
  </si>
  <si>
    <t>NCT07056309</t>
  </si>
  <si>
    <t>A Study of Remternetug (LY3372993) in Healthy Participants</t>
  </si>
  <si>
    <t>NCT06999187</t>
  </si>
  <si>
    <t>A Study of DR-0202 in Patients With Locally Advanced or Metastatic, Relapsed or Refractory Carcinomas</t>
  </si>
  <si>
    <t>NCT07029971</t>
  </si>
  <si>
    <t>A First-in-Human Study of BB-TL1A-VIAL-HLE in Healthy Adults and People With Ulcerative Colitis</t>
  </si>
  <si>
    <t>Vial Australia Pty Ltd</t>
  </si>
  <si>
    <t>NCT07082803</t>
  </si>
  <si>
    <t>TLN-121 in Relapsed or Refractory Non-Hodgkin Lymphomas</t>
  </si>
  <si>
    <t>NCT06870240</t>
  </si>
  <si>
    <t>A Randomised, Double-blind, Placebo-controlled Phase 2a Pilot Study to Evaluate the Safety, Tolerability, Pharmacokinetics and Pharmacodynamics of ONP-002 in Adults With Mild Traumatic Brain Injury</t>
  </si>
  <si>
    <t>Oragenics, Inc.</t>
  </si>
  <si>
    <t>NCT06568627</t>
  </si>
  <si>
    <t>A Double Blind Study Performed to Evaluate the Efficacy and the Safety of EscharEx in Debridement of VLU (VALUE)</t>
  </si>
  <si>
    <t>NCT07006025</t>
  </si>
  <si>
    <t>A Study of Oral Tetrahydrouridine-Decitabine in Relapsed or Refractory Myelodysplastic Syndromes (MDS)</t>
  </si>
  <si>
    <t>Treebough Therapies</t>
  </si>
  <si>
    <t>NCT07082829</t>
  </si>
  <si>
    <t>A Study of ORX142 in Healthy Adult Subjects, Including Subjects 18 to 80 Years of Age</t>
  </si>
  <si>
    <t>NCT06944522</t>
  </si>
  <si>
    <t>A Study to Investigate the Efficacy and Safety of Bemdaneprocel in Adults Who Have Parkinson's Disease</t>
  </si>
  <si>
    <t>NCT07096869</t>
  </si>
  <si>
    <t>Bioequivalence Study of Paclitaxel Protein-bound Particles for Injectable Suspension (Albumin-bound) in Breast Cancer Patients</t>
  </si>
  <si>
    <t>NCT06946927</t>
  </si>
  <si>
    <t>A Phase Ib Study of JMKX001899 in Combination With Other Therapies in Advanced NSCLC Harboring KRAS G12C Mutation</t>
  </si>
  <si>
    <t>NCT07014488</t>
  </si>
  <si>
    <t>A Study to Evaluate the Effect of Rifampicin on the Pharmacokinetics of Oral HRS-5041 in Healthy Subjects</t>
  </si>
  <si>
    <t>NCT07063342</t>
  </si>
  <si>
    <t>A Study to Evaluate Novel KarX and KarT Prototypes Versus the KarXT and KarX-EC Reference Following Single Doses, and to Explore the Effect of Food After Multiple Doses of Selected Prototypes in Healthy Adult Participants</t>
  </si>
  <si>
    <t>NCT07023029</t>
  </si>
  <si>
    <t>A Study on the Effect of Etavopivat on Heart Rhythm in Healthy Participants</t>
  </si>
  <si>
    <t>NCT07000357</t>
  </si>
  <si>
    <t>A Phase III Study of AZD0780 on Major Adverse CV Events in Patients With a History of ASCVD Events or at High Risk for a First Event</t>
  </si>
  <si>
    <t>NCT07024394</t>
  </si>
  <si>
    <t>Follow-up Study to Evaluate the Safety and Efficacy of FCN-159 in Pediatric Participants With Neurofibromatosis Type 1</t>
  </si>
  <si>
    <t>NCT06966453</t>
  </si>
  <si>
    <t>A Study of Disitamab Vedotin in Adults With HER2 Expressing Advanced Breast Cancer</t>
  </si>
  <si>
    <t>NCT07059182</t>
  </si>
  <si>
    <t>Safety Study of a Single Dose of Pneumococcal Whole-Cell Vaccine in Healthy Adults</t>
  </si>
  <si>
    <t>Serum Life Science Europe GmbH</t>
  </si>
  <si>
    <t>NCT06794554</t>
  </si>
  <si>
    <t>Rezafungin for Treatment of Chronic Pulmonary Aspergillosis (CPA) in Adults With Limited Treatment Options</t>
  </si>
  <si>
    <t>Mundipharma Research Limited</t>
  </si>
  <si>
    <t>NCT06988553</t>
  </si>
  <si>
    <t>A Phase Ib Study of AZD5004 in Chinese Participants With Overweight/Obesity With or Without Type 2 Diabetes Mellitus</t>
  </si>
  <si>
    <t>NCT07086677</t>
  </si>
  <si>
    <t>A Study to Learn About How a New Pneumococcal Vaccine Works in Adults</t>
  </si>
  <si>
    <t>NCT07059130</t>
  </si>
  <si>
    <t>Evaluating the Efficacy and Safety of Mirikizumab in Adults Over 60 With Moderate to Severe Crohn's Disease and Ulcerative Colitis</t>
  </si>
  <si>
    <t>Rubix LS</t>
  </si>
  <si>
    <t>NCT07355075</t>
  </si>
  <si>
    <t>A Study to Assess the Efficacy of GX-03 in Moderate to Severe Eczema (Atopic Dermatitis)</t>
  </si>
  <si>
    <t>Turn Therapeutics</t>
  </si>
  <si>
    <t>NCT07036250</t>
  </si>
  <si>
    <t>Clinical Study of U32 in Patients With Acute Myeloid Leukemia</t>
  </si>
  <si>
    <t>NCT07010159</t>
  </si>
  <si>
    <t>Phase 2/3 Study of KPL-387 in Recurrent Pericarditis</t>
  </si>
  <si>
    <t>NCT06824168</t>
  </si>
  <si>
    <t>Evaluation of Two Dose Levels of Quizartinib as Maintenance in FLT3-ITD (+) Acute Myeloid Leukemia Patients in Complete Remission</t>
  </si>
  <si>
    <t>NCT07312188</t>
  </si>
  <si>
    <t>A Study of F182112 in the Treatment of Patients With Relapsed or Refractory Multiple Myeloma</t>
  </si>
  <si>
    <t>NCT06863272</t>
  </si>
  <si>
    <t>A Clinical Study of Ifinatamab Deruxtecan Based Treatment Combinations or as Monotherapy to Treat Metastatic Castrate Resistant Prostate Cancer (mCRPC) (MK-2400-01A/IDeate-Prostate02)</t>
  </si>
  <si>
    <t>NCT07185841</t>
  </si>
  <si>
    <t>Safety and Efficacy of Oral HX9428 Tablets in Subjects With Wet Age-related Macular Degeneration (wAMD)</t>
  </si>
  <si>
    <t>Fujian Haixi Pharmaceuticals Co., Ltd.</t>
  </si>
  <si>
    <t>NCT07064486</t>
  </si>
  <si>
    <t>A Study of BGM0504 in Participants With Type 2 Diabetes in Indonesia</t>
  </si>
  <si>
    <t>NCT06981078</t>
  </si>
  <si>
    <t>A Study to Assess the Efficacy and Safety of Verekitug in Participants With COPD</t>
  </si>
  <si>
    <t>NCT07475546</t>
  </si>
  <si>
    <t>Combination Gerotherapeutic Interventions for Healthspan Improvement</t>
  </si>
  <si>
    <t>NCT06605105</t>
  </si>
  <si>
    <t>Phase III Long-term Extension Trial to Assess Safety and Efficacy of CYB003 in MDD (EXTEND)</t>
  </si>
  <si>
    <t>NCT06946225</t>
  </si>
  <si>
    <t>ACTengine® IMA203 Combined With mRNA-4203</t>
  </si>
  <si>
    <t>NCT07146022</t>
  </si>
  <si>
    <t>Safety and Efficacy of VDPHL01 in Females With Androgenetic Alopecia (AGA)</t>
  </si>
  <si>
    <t>NCT06927999</t>
  </si>
  <si>
    <t>An Outpatient Study of the Efficacy of ARS-2 in Patients With Chronic Spontaneous Urticaria</t>
  </si>
  <si>
    <t>NCT07124936</t>
  </si>
  <si>
    <t>A Study of HDM2005 in Combination With Standard of Care in Patients With Diffuse Large B-Cell Lymphoma</t>
  </si>
  <si>
    <t>NCT06983028</t>
  </si>
  <si>
    <t>Atacicept in Multiple Glomerular Diseases</t>
  </si>
  <si>
    <t>NCT06949735</t>
  </si>
  <si>
    <t>Clinical Trial on Digestive Enzymes: Effects on Post-Meal Response to High-Macronutrient Meals</t>
  </si>
  <si>
    <t>Pancap Pharma Inc.</t>
  </si>
  <si>
    <t>NCT07092748</t>
  </si>
  <si>
    <t>A Phase Ia/ Ib Study of HS387 in Subjects With Advanced Solid Tumors</t>
  </si>
  <si>
    <t>Zhejiang Hisun Pharmaceutical Co. Ltd.</t>
  </si>
  <si>
    <t>NCT06990776</t>
  </si>
  <si>
    <t>A Clinical Trial to Evaluate the Efficacy and Safety of TQA3605 Tablets in Treatment-naive Chronic HBV-infected Subjects</t>
  </si>
  <si>
    <t>NCT07039578</t>
  </si>
  <si>
    <t>Study Evaluating the Efficacy and Safety of CM336 Injection in the Treatment of Light-Chain Amyloidosis</t>
  </si>
  <si>
    <t>NCT06817382</t>
  </si>
  <si>
    <t>A Study to Investigate the Safety and Biodistribution of a Single Intrathecal (IT) Injection of INS1201 in Ambulatory Males With Duchenne Muscular Dystrophy (DMD)</t>
  </si>
  <si>
    <t>Insmed Gene Therapy LLC</t>
  </si>
  <si>
    <t>NCT06570798</t>
  </si>
  <si>
    <t>A Phase 2 Master Protocol Assessing Inebilizumab and Blinatumomab in Autoimmune Diseases</t>
  </si>
  <si>
    <t>NCT06953323</t>
  </si>
  <si>
    <t>A Phase I/II Study of WJB001 Combination Therapy on Safety and Efficacy for Advanced Solid Tumors</t>
  </si>
  <si>
    <t>Wigen Biomedicine Technology (Shanghai) Co., Ltd.</t>
  </si>
  <si>
    <t>NCT07068932</t>
  </si>
  <si>
    <t>A Clinical Study of SHR-4506 Injection in Patients With Malignant Tumors</t>
  </si>
  <si>
    <t>NCT07072611</t>
  </si>
  <si>
    <t>Clinical Trial to Evaluate Safety, Tolerability, and Pharmacokinetics of SOF-SKN in Healthy Participants</t>
  </si>
  <si>
    <t>Noxopharm Limited</t>
  </si>
  <si>
    <t>NCT06204536</t>
  </si>
  <si>
    <t>Treatment Planning for ABA Employing Auxiliary Tools V2+ (TREAAT2+)</t>
  </si>
  <si>
    <t>Montera Health Texas LLC</t>
  </si>
  <si>
    <t>NCT07106021</t>
  </si>
  <si>
    <t>A Study to Assess Safety and Efficacy of Surgical Implant of RNDP-001 in Patients With Idiopathic Parkinson's Disease</t>
  </si>
  <si>
    <t>Kenai Therapeutics</t>
  </si>
  <si>
    <t>NCT07071558</t>
  </si>
  <si>
    <t>Study to Evaluate the Safety and Immunogenicity of Investigational Vaccines Using the RSV (Respiratory Syncytial Virus) Monovalent Antigen in Healthy Participants 18 to 49 Years of Age</t>
  </si>
  <si>
    <t>NCT06979323</t>
  </si>
  <si>
    <t>Depemokimab Asthma Imaging and Bronchoscopy Sub-Study</t>
  </si>
  <si>
    <t>NCT07083362</t>
  </si>
  <si>
    <t>Safety, Tolerability and Pharmacokinetic Study of HRS-8829</t>
  </si>
  <si>
    <t>NCT06961370</t>
  </si>
  <si>
    <t>A Study to Investigate Safety, Tolerability, Pharmacokinetics (PK), Pharmacodynamics (PD), and Immunogenicity of RO7669330 in Participants With Geographic Atrophy (GA) Secondary to Age-related Macular Degeneration (AMD)</t>
  </si>
  <si>
    <t>NCT07078331</t>
  </si>
  <si>
    <t>Safety and Performance, and Dose, of OsteoAdapt DE in Localized Alveolar Ridge Augmentations</t>
  </si>
  <si>
    <t>Theradaptive, Inc</t>
  </si>
  <si>
    <t>NCT07066657</t>
  </si>
  <si>
    <t>A Study of MRG007 (ARR-217) in Patients With Advanced Solid Tumors</t>
  </si>
  <si>
    <t>ArriVent BioPharma, Inc.</t>
  </si>
  <si>
    <t>NCT06963710</t>
  </si>
  <si>
    <t>A Study Evaluating the Efficacy and Safety of ALG-000184 Compared With Tenofovir Disoproxil Fumarate in Untreated HBeAg-Positive and HBeAg- Negative Adult Subjects With Chronic Hepatitis B (B-SUPREME)</t>
  </si>
  <si>
    <t>NCT06315608</t>
  </si>
  <si>
    <t>MRG-001 in Patients With Amyotrophic Lateral Sclerosis</t>
  </si>
  <si>
    <t>NCT07066397</t>
  </si>
  <si>
    <t>A Phase 1 Study of FIT-CD19-CAR-T Cells in R/R B-ALL</t>
  </si>
  <si>
    <t>TriArm Therapeutics (Taiwan) Limited</t>
  </si>
  <si>
    <t>NCT07055594</t>
  </si>
  <si>
    <t>A Study to Investigate Safety and Preliminary Efficacy of SOA101 in Adult Subjects With Advanced Solid Tumors</t>
  </si>
  <si>
    <t>Shine-On Biomedical Co., Ltd.</t>
  </si>
  <si>
    <t>NCT07120503</t>
  </si>
  <si>
    <t>Study to Evaluate the Safety, Pharmacology and Efficacy of WIN378 in Adults With Moderate or Severe Asthma</t>
  </si>
  <si>
    <t>Windward Bio</t>
  </si>
  <si>
    <t>NCT07008469</t>
  </si>
  <si>
    <t>Global Open-Label Extension Study of Del-desiran for the Treatment of DM1</t>
  </si>
  <si>
    <t>NCT07073417</t>
  </si>
  <si>
    <t>A Study to Compare XW003 Injection and Semaglutide Injection in Chinese Adults With Obesity (SLIMMER-UP-SWITCH)</t>
  </si>
  <si>
    <t>Hangzhou Sciwind Biosciences Co., Ltd.</t>
  </si>
  <si>
    <t>NCT06719908</t>
  </si>
  <si>
    <t>A Phase I Study of the Interaction of Alcohol With Oral AFA-281 in Healthy Volunteers</t>
  </si>
  <si>
    <t>Afasci Inc</t>
  </si>
  <si>
    <t>NCT07089706</t>
  </si>
  <si>
    <t>A Study to Evaluate the Immunogenicity and Safety of mRNA-1283 COVID-19 Variant-containing Formulations</t>
  </si>
  <si>
    <t>NCT07115043</t>
  </si>
  <si>
    <t>A Study to Investigate Safety of AZD6750 in Adult Participants With Select Advanced or Metastatic Solid Tumors</t>
  </si>
  <si>
    <t>NCT07056439</t>
  </si>
  <si>
    <t>Phase I/II Clinical Study of HRS-1738 for the Diagnosis of Prostate Cancer Patients</t>
  </si>
  <si>
    <t>NCT07029945</t>
  </si>
  <si>
    <t>A Phase 1/2 Study of the Safety and Efficacy of BRX011 Oral Administration Once Daily in Subjects With Geographic Atrophy Secondary to Age-Related Macular Degeneration</t>
  </si>
  <si>
    <t>Biojiva LLC</t>
  </si>
  <si>
    <t>NCT07148128</t>
  </si>
  <si>
    <t>Phase 1/2a Study to Assess the Safety, Tolerability, Pharmacokinetics, and Preliminary Efficacy of WEF-001 as Monotherapy in Advanced KRAS-Mutant Solid Tumours.</t>
  </si>
  <si>
    <t>Auricula Biosciences Inc.</t>
  </si>
  <si>
    <t>NCT07016412</t>
  </si>
  <si>
    <t>A Phase IIb Ensifentrine-glycopyrrolate Fixed-dose Combination Dose Ranging Study in Subjects With COPD</t>
  </si>
  <si>
    <t>NCT07036419</t>
  </si>
  <si>
    <t>A Trial of Remimazolam for Intraoperative Sedation in Pediatric and Adolescent Patients</t>
  </si>
  <si>
    <t>NCT07083401</t>
  </si>
  <si>
    <t>A Study to Evaluate the Pharmacokinetics and Safety Between "BR3006" and Co-administration of "BR3006A", "BR3006B", and "BR3006C" in Healthy Adult Volunteers (Fed)</t>
  </si>
  <si>
    <t>NCT07109297</t>
  </si>
  <si>
    <t>Study of Monoclonal Antibody Nirsevimab Against Respiratory Syncytial Virus (RSV) in Participants up to 24 Months of Age in India</t>
  </si>
  <si>
    <t>NCT07017036</t>
  </si>
  <si>
    <t>Efficacy, Safety and Pharmacokinetic of Virchow IVIG in PID Patients</t>
  </si>
  <si>
    <t>Virchow Group</t>
  </si>
  <si>
    <t>NCT07019909</t>
  </si>
  <si>
    <t>A Study to Learn About How Safe and Effective is 20vPnC and 13vPnC Vaccines in Chinese Adults</t>
  </si>
  <si>
    <t>NCT07044687</t>
  </si>
  <si>
    <t>Study to Assess Adverse Events and Change in Disease Activity of Oral Venetoclax in Combination With Subcutaneous (SC) or Intravenous (IV) Azacitidine in Newly Diagnosed Adult Participants With Acute Myeloid Leukemia (AML) Who Are Ineligible for Standard Induction Therapy in India</t>
  </si>
  <si>
    <t>NCT06940804</t>
  </si>
  <si>
    <t>A Clinical Study Investigating the Therapeutic Effects and Safety of an Investigational Cell Therapy Given With and Without an Additional Investigational Product in Males With Testicular Cancer or a Form of Cancer That Developed From Sperm</t>
  </si>
  <si>
    <t>NCT07097935</t>
  </si>
  <si>
    <t>Study of HS-10516 Combination Therapy in Patients With Advanced Renal Cell Carcinoma</t>
  </si>
  <si>
    <t>NCT07096193</t>
  </si>
  <si>
    <t>Study of GS-4321 in Healthy Participants and Participants With Chronic Hepatitis Delta Virus</t>
  </si>
  <si>
    <t>NCT06791291</t>
  </si>
  <si>
    <t>Efficacy and Safety of Teplizumab in Japanese Participants With Stage 2 Type 1 Diabetes</t>
  </si>
  <si>
    <t>NCT07072195</t>
  </si>
  <si>
    <t>A Study of AMC6156 in People With Sarcopenia</t>
  </si>
  <si>
    <t>Animuscure Inc.</t>
  </si>
  <si>
    <t>NCT07128550</t>
  </si>
  <si>
    <t>A Study to Evaluate Tobevibart+Elebsiran in Participants With Chronic HDV Infection Not Virologically Suppressed With Bulevirtide</t>
  </si>
  <si>
    <t>NCT07088913</t>
  </si>
  <si>
    <t>A Study to Investigate the Effect of Capivasertib on the Pharmacokinetics of Oral Rosuvastatin in Healthy Participants</t>
  </si>
  <si>
    <t>NCT07177352</t>
  </si>
  <si>
    <t>Screening Study to Determine Individuals With Potential Trial Eligibility for Alzheimer's Disease Studies</t>
  </si>
  <si>
    <t>NCT07056517</t>
  </si>
  <si>
    <t>Pharmacokinetics and Safety of M107 Orally Disintegrating Tablet in Healthy Adults</t>
  </si>
  <si>
    <t>Aclipse Two Inc.</t>
  </si>
  <si>
    <t>NCT07073833</t>
  </si>
  <si>
    <t>The Safety, Tolerability, and Efficacy of IBR900 Cell Injection in Relapsed/Refractory B-cell Non Hodgkin Lymphoma</t>
  </si>
  <si>
    <t>NCT06901505</t>
  </si>
  <si>
    <t>To Evaluate the Efficacy of Three Times Weekly (TIW) Vadadustat Compared to Standard of Care ESA in Patients With Anemia of CKD Receiving In-Center Hemodialysis</t>
  </si>
  <si>
    <t>NCT07203404</t>
  </si>
  <si>
    <t>A Study of Anti-CD19/BCMA Universal CAR-T Cell Therapy RD06-05 in Patients With Autoimmune Diseases.</t>
  </si>
  <si>
    <t>NCT06470373</t>
  </si>
  <si>
    <t>A Phase 3 Clinical Trial to Compare RBS-001 to Eylea® in Subjects With Neovascular Age-Related Macular Degeneration</t>
  </si>
  <si>
    <t>Rophibio, Inc.</t>
  </si>
  <si>
    <t>NCT07107230</t>
  </si>
  <si>
    <t>A Study of JNJ-95437446 in Participants With Advanced-Stage Solid Tumors</t>
  </si>
  <si>
    <t>NCT07047365</t>
  </si>
  <si>
    <t>TQB2930 Injection for the Treatment of HER2-positive Advanced Breast Cancer</t>
  </si>
  <si>
    <t>NCT07014176</t>
  </si>
  <si>
    <t>Nonhealing Diabetic Foot Ulcers Treated With Standard of Care (SOC) Alone or Standard of Care and Amnion-Intermediate-Chorion (AIC)</t>
  </si>
  <si>
    <t>NCT06998173</t>
  </si>
  <si>
    <t>Phase 1 Study to Evaluate the Safety, Tolerability, Pharmacokinetics and Preliminary Efficacy of DAT-1604 in Advanced Solid Tumor</t>
  </si>
  <si>
    <t>NCT06929273</t>
  </si>
  <si>
    <t>A Study to Assess the Long-term Safety of KarXT for the Treatment of Manic Episodes in Bipolar-I Disorder (BALSAM-3)</t>
  </si>
  <si>
    <t>NCT07030712</t>
  </si>
  <si>
    <t>A Clinical Study of MK-8294 in Participants With Advanced Solid Tumors (MK-8294-001)</t>
  </si>
  <si>
    <t>NCT06878001</t>
  </si>
  <si>
    <t>CaroRite™ for Skin Health and Signs of Ageing</t>
  </si>
  <si>
    <t>NCT06991556</t>
  </si>
  <si>
    <t>An Open-label Study of JSB462 (Luxdegalutamide) in Combination With Abiraterone in Adult Male Patients With Metastatic Hormone-sensitive Prostate Cancer (mHSPC)</t>
  </si>
  <si>
    <t>NCT07025239</t>
  </si>
  <si>
    <t>QL1706 Injection Plus Bevacizumab and XELOX vs Placebo Plus Bevacizumab and XELOX as First-Line Treatment of Unresectable Metastatic Colorectal Cancer</t>
  </si>
  <si>
    <t>NCT06976216</t>
  </si>
  <si>
    <t>A Study to Evaluate the Efficacy and Safety of KarXT + KarX-EC for Cognitive Impairment in Alzheimer's Disease</t>
  </si>
  <si>
    <t>NCT07047716</t>
  </si>
  <si>
    <t>Study of Lenacapavir as a Once-Yearly Injection for HIV Pre-exposure Prophylaxis (PrEP)</t>
  </si>
  <si>
    <t>NCT07056842</t>
  </si>
  <si>
    <t>This is an Open-label, Non-randomized Study to Assess the Pharmacokinetics (PK) of VCT220 in Healthy Volunteers When Administered With Rifampin or Itraconazole</t>
  </si>
  <si>
    <t>NCT06850805</t>
  </si>
  <si>
    <t>Efficacy and Safety of 186 mcg of OPN-375 Nasal Spray Twice a Day (BID) in Adolescents With Chronic Rhinosinusitis Without Nasal Polyps</t>
  </si>
  <si>
    <t>Optinose US Inc.</t>
  </si>
  <si>
    <t>NCT07088588</t>
  </si>
  <si>
    <t>Study of SYN608 for the Treatment of Advanced or Metastatic Solid Tumors</t>
  </si>
  <si>
    <t>NCT07039669</t>
  </si>
  <si>
    <t>Evaluation of 611 in Chinese Adults Patients With Moderate to Severe Chronic Obstructive Pulmonary Disease</t>
  </si>
  <si>
    <t>NCT06254469</t>
  </si>
  <si>
    <t>Visualizing Brain Proteinopathies Using [F-18]Flornaptitril-PET in the Prediction of Clinical Progression of Mild Cognitive Impairment With Either Suspected Chronic Traumatic Encephalopathy or Alzheimer's Disease</t>
  </si>
  <si>
    <t>CereMark Pharma, LLC</t>
  </si>
  <si>
    <t>NCT07033494</t>
  </si>
  <si>
    <t>A Clinical Study of MK-2214 in People With Early Alzheimer's Disease (MK-2214-004)</t>
  </si>
  <si>
    <t>NCT07076459</t>
  </si>
  <si>
    <t>A Comparative Pharmacokinetic Study of Single-Dose Administration of HR091506 Tablets From Different Batches in Healthy Subjects</t>
  </si>
  <si>
    <t>NCT07282028</t>
  </si>
  <si>
    <t>A Prospective, Open-label, Pivotal Study to Assess Spectacle Hearing Aid Safety and Efficacy</t>
  </si>
  <si>
    <t>Nuance Hearing</t>
  </si>
  <si>
    <t>NCT07002034</t>
  </si>
  <si>
    <t>RE104 Safety and Efficacy Study in Adjustment Disorder in Cancer and Other Medical Illnesses</t>
  </si>
  <si>
    <t>NCT05484414</t>
  </si>
  <si>
    <t>Safety and Pharmacokinetics of SAD/MAD Oral Doses of SRP-3D (DA)</t>
  </si>
  <si>
    <t>South Rampart Pharma, LLC</t>
  </si>
  <si>
    <t>NCT07053384</t>
  </si>
  <si>
    <t>A Study to Investigate the Use of VH3810109 With or Without Fostemsavir (FTR) to Reduce the Size and Activity of the Viral Reservoir in People Living With HIV</t>
  </si>
  <si>
    <t>NCT07128797</t>
  </si>
  <si>
    <t>a Safety, Tolerability, and Pharmacokinetic Trial of Multiple Subcutaneous Injections of B1344 Injection in Patients With Nonalcoholic Fatty Liver Disease（NAFLD）</t>
  </si>
  <si>
    <t>NCT07085468</t>
  </si>
  <si>
    <t>A Study of LY3549492 in Healthy Weight Adult Participants</t>
  </si>
  <si>
    <t>NCT07357870</t>
  </si>
  <si>
    <t>A Proof of Concept, Phase 1 Study of CGB-600 for the Topical Treatment of Non-Segmented Facial Vitiligo</t>
  </si>
  <si>
    <t>NCT07052513</t>
  </si>
  <si>
    <t>Modified Autologous Leukocyte Cells for the Treatment of Acute Kidney Injury After Cardiac Surgery</t>
  </si>
  <si>
    <t>M2RLAB SL</t>
  </si>
  <si>
    <t>NCT07050368</t>
  </si>
  <si>
    <t>A Study Assessing Brain Activity, Safety, Tolerability, and Pharmacokinetics Following Multiple Doses of MLS101 (Psilocybin) in Healthy Volunteers</t>
  </si>
  <si>
    <t>NCT06915025</t>
  </si>
  <si>
    <t>Phase 3 Trial Evaluating the Safety &amp; Efficacy of IMNN-001 Administered in Combination w/ Standard NACT &amp; Adjuvant Chemotherapy in Newly Diagnosed Patients w/ Advanced EOC, Fallopian Tube or Primary Peritoneal Cancer</t>
  </si>
  <si>
    <t>NCT06994676</t>
  </si>
  <si>
    <t>A Study of CBX-250 in Participants With Relapsed or Refractory Myeloid Leukemias</t>
  </si>
  <si>
    <t>Crossbow Therapeutics, Inc.</t>
  </si>
  <si>
    <t>NCT07044908</t>
  </si>
  <si>
    <t>TQB2922 and TAS-102 Tablets for Injection With or Without Bevacizumab in Chemotherapy-failed RAS/BRAF Wild-type Advanced Colorectal Cancer</t>
  </si>
  <si>
    <t>NCT06807268</t>
  </si>
  <si>
    <t>A Study of the Medicine Called Abrocitinib in Children 6 to Less Than 12 Years of Age With Moderate-to-Severe Eczema</t>
  </si>
  <si>
    <t>NCT07024693</t>
  </si>
  <si>
    <t>DT-168 in Keratoplasty Patients With Fuchs Endothelial Corneal Dystrophy</t>
  </si>
  <si>
    <t>NCT06622057</t>
  </si>
  <si>
    <t>D07001 Softgel-Capsules and Capecitabine Combination Therapy in Patients With Advanced Biliary Tract Cancer</t>
  </si>
  <si>
    <t>InnoPharmax Inc.</t>
  </si>
  <si>
    <t>NCT06941818</t>
  </si>
  <si>
    <t>HS-IT101 Injection in the Treatment of Advanced Melanoma</t>
  </si>
  <si>
    <t>NCT07070518</t>
  </si>
  <si>
    <t>Study of GV20-0251 in Participants With Solid Tumor Malignancies</t>
  </si>
  <si>
    <t>GV20 Therapeutics</t>
  </si>
  <si>
    <t>NCT07066722</t>
  </si>
  <si>
    <t>A Study to Evaluate VH4524184 Tablet Absorption, Effects of Food, and Interactions With Other Drugs in Healthy Adults</t>
  </si>
  <si>
    <t>NCT07032272</t>
  </si>
  <si>
    <t>A Study to Investigate the Pharmacokinetics and Safety of Remibrutinib in Participants With Severe Renal Impairment Compared to Matched Healthy Participants.</t>
  </si>
  <si>
    <t>NCT07043283</t>
  </si>
  <si>
    <t>A Study Evaluating the Single Subcutaneous Injection of Ebronucimab in Healthy Male Chinese Subjects</t>
  </si>
  <si>
    <t>NCT06859762</t>
  </si>
  <si>
    <t>A First-in-Human Study of YL217 in Patients With Advanced Solid Tumors</t>
  </si>
  <si>
    <t>NCT06694480</t>
  </si>
  <si>
    <t>Study of FID-022 in Participants With Advanced Solid Tumors</t>
  </si>
  <si>
    <t>NCT07044297</t>
  </si>
  <si>
    <t>A Clinical Study of MK-8527 to Prevent Human Immunodeficiency Virus Type 1 (HIV-1) (MK-8527-011)</t>
  </si>
  <si>
    <t>NCT04433572</t>
  </si>
  <si>
    <t>Temsirolimus Adventitial Delivery to Improve ANGioplasty and/or Atherectomy Revascularization Outcomes Below the Knee</t>
  </si>
  <si>
    <t>Mercator MedSystems, Inc.</t>
  </si>
  <si>
    <t>NCT07090330</t>
  </si>
  <si>
    <t>ORKA-001 Versus Placebo in Patients With Moderate-to-Severe Plaque Psoriasis</t>
  </si>
  <si>
    <t>NCT06909136</t>
  </si>
  <si>
    <t>A Study to Evaluate Safety , Efficacy and Pharmacokinetics of WJ01024 Tablets Combined With Ruxolitinib in Patients With Myelofibrosis</t>
  </si>
  <si>
    <t>NCT07032298</t>
  </si>
  <si>
    <t>A Phase I Study of SSGJ-612 in Patients With Advanced Solid Tumors</t>
  </si>
  <si>
    <t>NCT06832722</t>
  </si>
  <si>
    <t>Procizumab (PCZ; AK1967) in Critical Cardiovascular Care</t>
  </si>
  <si>
    <t>NCT07069062</t>
  </si>
  <si>
    <t>A Phase I/Ⅱ Human Study of HY0001a for Injection in Adult Participants With Advanced Solid Tumors</t>
  </si>
  <si>
    <t>NCT07035990</t>
  </si>
  <si>
    <t>Safety, Tolerability, and Pharmacokinetics of Multiple Dose Combinations of SION-451 and Complementary Modulators SION-2222 and SION-109 in Healthy Participants.</t>
  </si>
  <si>
    <t>Sionna Therapeutics Inc.</t>
  </si>
  <si>
    <t>NCT07155668</t>
  </si>
  <si>
    <t>A Safety, Tolerability and Pharmacokinetics Study of VRDN-003 in Participants With Thyroid Eye Disease (TED)</t>
  </si>
  <si>
    <t>NCT07069712</t>
  </si>
  <si>
    <t>A Study of Novel Agents or Combinations as Perioperative Treatment in Participants With Locally Advanced Resectable Gastroesophageal Adenocarcinoma</t>
  </si>
  <si>
    <t>NCT07047118</t>
  </si>
  <si>
    <t>A Study of JSB462 (Luxdegalutamide) Plus Lutetium (177Lu) Vipivotide Tetraxetan in Patients With Metastatic Castration Resistant Prostate Cancer (mCRPC)</t>
  </si>
  <si>
    <t>NCT07096882</t>
  </si>
  <si>
    <t>SDTM001 Injection as Adjuvant Therapy for NSCLC Patients After Radical Surgical Resection</t>
  </si>
  <si>
    <t>Cytocraft Biopharmaceutical Co., Ltd.</t>
  </si>
  <si>
    <t>NCT07087795</t>
  </si>
  <si>
    <t>A Study to See the Effect of NNC0194-0499 Alone or in Combination With Semaglutide on Blood Sugar Control in People Living With Type 1 Diabetes</t>
  </si>
  <si>
    <t>NCT06986772</t>
  </si>
  <si>
    <t>TGRX-678 Pharmacokinetic Mass Balance</t>
  </si>
  <si>
    <t>NCT07089602</t>
  </si>
  <si>
    <t>Trial Assessing the Efficacy of Human Placental Membrane Products and Standard of Care Versus Standard of Care Alone in the Management of Nonhealing Diabetic Foot Ulcers and Venous Leg Ulcers</t>
  </si>
  <si>
    <t>BioLab Holdings</t>
  </si>
  <si>
    <t>NCT07061639</t>
  </si>
  <si>
    <t>A Study of QLS5133 Monotherapy in Advanced Solid Tumors</t>
  </si>
  <si>
    <t>NCT07018453</t>
  </si>
  <si>
    <t>A Study Comparing SHR-3167 and Insulin Degludec in Type 2 Diabetic Subjects Treated With Basal Insulin With or Without Oral Antidiabetic Drugs</t>
  </si>
  <si>
    <t>NCT07073183</t>
  </si>
  <si>
    <t>Safety and Tolerability of CVHNLC Plus Pembrolizumab in Patients With Squamous Non Small-Cell Lung Cancer (sqNSCLC)</t>
  </si>
  <si>
    <t>CureVac</t>
  </si>
  <si>
    <t>NCT06974110</t>
  </si>
  <si>
    <t>Study of Orally Administered MOMA-341 in Participants With Advanced or Metastatic Solid Tumors</t>
  </si>
  <si>
    <t>NCT07082920</t>
  </si>
  <si>
    <t>A Study of JNJ-78278343 in Combination With JNJ-95298177 for Treatment of Prostate Cancer</t>
  </si>
  <si>
    <t>NCT07362264</t>
  </si>
  <si>
    <t>A Study of SH006 Injection Combination Therapy in Patients With Advanced Solid Tumors</t>
  </si>
  <si>
    <t>NCT07024732</t>
  </si>
  <si>
    <t>A Safety and Tolerability Clinical Trial of PST-611 in Dry Age-related Macular Degeneration</t>
  </si>
  <si>
    <t>Eyevensys</t>
  </si>
  <si>
    <t>NCT07069309</t>
  </si>
  <si>
    <t>A Study to Learn About COVID-19 RNA-Based Variant-Adapted Vaccine Candidate(s) Against SARS-CoV-2 in Participants Ages 12 Through 64 Years Considered at Higher Risk of Severe COVID-19, and Participants Ages ≥65 Years</t>
  </si>
  <si>
    <t>NCT07077616</t>
  </si>
  <si>
    <t>Clinical Study for the Safety and Therapeutic Efficacy of the AI-QMMM Designed TamavaqTM Personalised Vaccine in Patients With Newly Diagnosed Glioma.</t>
  </si>
  <si>
    <t>Biogenea Pharmaceuticals Ltd.</t>
  </si>
  <si>
    <t>NCT07052097</t>
  </si>
  <si>
    <t>Clinical Trial of TQC2938 Injection in Patients With Seasonal Allergic Rhinitis</t>
  </si>
  <si>
    <t>NCT07002905</t>
  </si>
  <si>
    <t>A Study to Evaluate the Efficacy, Safety, and Tolerability in Participants With Obesity or Overweight With Weight-Related Comorbidities</t>
  </si>
  <si>
    <t>NCT07071337</t>
  </si>
  <si>
    <t>A Study of SKB264 Versus Investigator's Choice of Chemotherapy in Subjects With Unresectable Locally Advanced, Relapsed, or Metastatic HR+/HER2- Breast Cancer Who Have Previously Failed Endocrine Therapy</t>
  </si>
  <si>
    <t>NCT07005713</t>
  </si>
  <si>
    <t>A Study to Evaluate the Safety, Tolerability, Pharmacokinetics, and Pharmacodynamics of Multiple-Ascending Doses of BGB-16673 in Adults With Chronic Spontaneous Urticaria</t>
  </si>
  <si>
    <t>NCT07090785</t>
  </si>
  <si>
    <t>A Study of LY4088044 in Healthy Participants</t>
  </si>
  <si>
    <t>NCT07094113</t>
  </si>
  <si>
    <t>AMG 410 Alone and in Combination With Other Agents in Participants With KRAS Altered Advanced or Metastatic Solid Tumors</t>
  </si>
  <si>
    <t>NCT07032077</t>
  </si>
  <si>
    <t>A Phase II Clinical Trial on the Safety, Tolerability, and Efficacy of HRS-7058 Combined Anti-tumor Drugs in Subjects With Solid Tumors.</t>
  </si>
  <si>
    <t>NCT06352138</t>
  </si>
  <si>
    <t>Comparative Study of Two Recombinant Human Erythropoietin Products in Chronic Kidney Disease Patients</t>
  </si>
  <si>
    <t>NCT07052903</t>
  </si>
  <si>
    <t>TRITON-CM: A Study to Evaluate Nucresiran in Patients With Transthyretin Amyloidosis With Cardiomyopathy</t>
  </si>
  <si>
    <t>NCT07102459</t>
  </si>
  <si>
    <t>An Efficacy and Safety Study of LTG-001 Following Abdominoplasty</t>
  </si>
  <si>
    <t>NCT06913218</t>
  </si>
  <si>
    <t>A Study of mRNA Vaccines AK154 Monotherapy or in Combination With AK104/AK112,and Sequential mFOLFIRINOX in Surgically Resected PDAC</t>
  </si>
  <si>
    <t>NCT06844214</t>
  </si>
  <si>
    <t>A Study to Investigate the Safety, Tolerability, and Efficacy of SAR446268, an Adeno-associated Viral Vector-mediated Gene Therapy in Participants Aged 10 to 50 Years of Age With Non-congenital Myotonic Dystrophy Type 1</t>
  </si>
  <si>
    <t>NCT06998043</t>
  </si>
  <si>
    <t>Study With Phage for CF Subjects With Pseudomonas Lung Infection</t>
  </si>
  <si>
    <t>BiomX Ltd</t>
  </si>
  <si>
    <t>NCT07292233</t>
  </si>
  <si>
    <t>A Food Effect Study of LY03020 in Healthy Subjects</t>
  </si>
  <si>
    <t>NCT06795178</t>
  </si>
  <si>
    <t>Efficacy, Safety, and Pharmacokinetics of FP-014, 11.25 mg in Patients With Advanced Prostate Cancer</t>
  </si>
  <si>
    <t>NCT06892288</t>
  </si>
  <si>
    <t>A Study to Assess the Efficacy and Safety of Weekly Doses of GLM101 in Participants With PMM2-CDG</t>
  </si>
  <si>
    <t>NCT07046494</t>
  </si>
  <si>
    <t>Study Evaluating the Efficacy and Safety of RAP-219 in Adult Participants With Bipolar I Disorder</t>
  </si>
  <si>
    <t>NCT06567470</t>
  </si>
  <si>
    <t>A Study With CIT-013 in RA Patients</t>
  </si>
  <si>
    <t>Citryll BV</t>
  </si>
  <si>
    <t>NCT06995430</t>
  </si>
  <si>
    <t>A Phase 3 Study to Assess the Immune Response And Safety Of Rmenb+Omv Nz In Primed Healthy Participants (10 To 20 Years Old)</t>
  </si>
  <si>
    <t>NCT07039929</t>
  </si>
  <si>
    <t>Study to Assess the Safety, Tolerability, and Pharmacokinetics of INCB000631 When Administered Orally to Healthy Adult Participants</t>
  </si>
  <si>
    <t>NCT06911502</t>
  </si>
  <si>
    <t>A Study to Compare the Efficacy and Safety of Golcadomide in Combination With Rituximab (Golca + R) vs Investigator's Choice in Participants With Relapsed/Refractory Follicular Lymphoma Who Have Received at Least 1 Prior Line of Systemic Therapy (GOLSEEK-4)</t>
  </si>
  <si>
    <t>NCT06699849</t>
  </si>
  <si>
    <t>Safety, Efficacy, and Pharmacokinetics of CSL889 in Adults and Adolescents With Sickle Cell Disease During Vaso-Occlusive Crisis</t>
  </si>
  <si>
    <t>NCT06978244</t>
  </si>
  <si>
    <t>A Study to Assess Safety, Tolerability, and Pharmacokinetics of Ascending Concentrations of Topical Ocular BL1332 in Healthy Volunteers</t>
  </si>
  <si>
    <t>NCT07094204</t>
  </si>
  <si>
    <t>A Study to Find a Suitable Dose of ASP5834 in Adults With Solid Tumors</t>
  </si>
  <si>
    <t>NCT07279636</t>
  </si>
  <si>
    <t>A Study to Evaluate Single Doses of Alpha-0261 in Healthy Adult Volunteers</t>
  </si>
  <si>
    <t>AlphaMol Science Ltd. (Shanghai)</t>
  </si>
  <si>
    <t>NCT07065058</t>
  </si>
  <si>
    <t>A Drug Drug Interaction Study to Evaluate the Effect of VCT220 on the Pharmacokinetics of Repaglinide, Rosuvastatin, and Digoxin in Healthy, Overweight, and Obese Subjects</t>
  </si>
  <si>
    <t>NCT07450482</t>
  </si>
  <si>
    <t>Safety and Efficacy of JKN2304 Inhalation Solution in Patients With Moderate to Severe COPD</t>
  </si>
  <si>
    <t>NCT06933329</t>
  </si>
  <si>
    <t>Zelenectide Pevedotin in NECTIN4 Amplified Advanced or Metastatic Non-small Cell Lung Cancer</t>
  </si>
  <si>
    <t>NCT07126262</t>
  </si>
  <si>
    <t>A Study of Vosoritide Versus Placebo in Children With Hypochondroplasia Aged 0 to &lt; 36 Months</t>
  </si>
  <si>
    <t>NCT07079631</t>
  </si>
  <si>
    <t>A Clinical Study to Test if an Investigational Treatment Called BNT314 When Used in Combination With Another Investigational Treatment BNT327 and Chemotherapy, is Beneficial and Safe for Patients With Advanced Colorectal Cancer</t>
  </si>
  <si>
    <t>NCT06855277</t>
  </si>
  <si>
    <t>Study Comparing AAA817+ARPI Versus Standard of Care in Adult Participants With PSMA-positive mCRPC</t>
  </si>
  <si>
    <t>NCT06975722</t>
  </si>
  <si>
    <t>A Study to Investigate the Efficacy and Safety of SAR442970 in Adult Participants With Ulcerative Colitis</t>
  </si>
  <si>
    <t>NCT07085702</t>
  </si>
  <si>
    <t>A Study to Evaluate Safety, Reactogenicity, and Immunogenicity of the GSK 4-component Strep A Vaccine With Aluminum Hydroxide (Alum) or AS37 in Healthy Young Adults</t>
  </si>
  <si>
    <t>NCT07010575</t>
  </si>
  <si>
    <t>Patient Preference Study: Standard of Care Versus Once-daily Trientine Tetrahydrochloride</t>
  </si>
  <si>
    <t>NCT07056556</t>
  </si>
  <si>
    <t>A Study of BL-M09D1 in Patients With Locally Advanced or Metastatic Non-Small Cell Lung Cancer and Other Solid Tumors</t>
  </si>
  <si>
    <t>NCT06947941</t>
  </si>
  <si>
    <t>A Study to Evaluate Safety and Efficacy of KarXT + KarX-EC as a Treatment for Psychosis Associated With Alzheimer's Disease (ADEPT-5)</t>
  </si>
  <si>
    <t>NCT06996080</t>
  </si>
  <si>
    <t>A Phase 3 Study to Evaluate the Efficacy and Safety of Intravitreal KSI-101 in Participants With Macular Edema Secondary to Inflammation (MESI) - PINNACLE</t>
  </si>
  <si>
    <t>NCT06989918</t>
  </si>
  <si>
    <t>MHB018A Treatment in Patients With Active Thyroid Eye Disease</t>
  </si>
  <si>
    <t>NCT07055880</t>
  </si>
  <si>
    <t>Immunogenicity and Safety of Different Dosages of Rabies Vaccine (Serum-free Vero Cell)</t>
  </si>
  <si>
    <t>NCT07074327</t>
  </si>
  <si>
    <t>Effects of VX-407 on the Pharmacokinetics of Oral Contraceptives in Healthy Participants</t>
  </si>
  <si>
    <t>NCT01064466</t>
  </si>
  <si>
    <t>Pharmacogenomics ANDA SNP Clinical Study - Etoposide and Single Nucleotide Polymorphisms</t>
  </si>
  <si>
    <t>NCT06904235</t>
  </si>
  <si>
    <t>Study With IV NEPA (Fosnetupitant/Palonosetron) for the Prevention of Chemotherapy-induced Nausea and Vomiting in Paediatric Cancer Patients Undergoing Highly Emetogenic Chemotherapy (HEC)</t>
  </si>
  <si>
    <t>Helsinn Healthcare SA</t>
  </si>
  <si>
    <t>NCT07163325</t>
  </si>
  <si>
    <t>EP102 Safety and Efficacy in METTL3 Modulation in Advanced Solid Tumors</t>
  </si>
  <si>
    <t>Epics Therapeutics</t>
  </si>
  <si>
    <t>NCT06977568</t>
  </si>
  <si>
    <t>A Study to Evaluate an Intra-Articular Injection of ZILRETTA Versus Triamcinolone Acetonide, Immediate Release in Subjects With Osteoarthritis of the Hip</t>
  </si>
  <si>
    <t>NCT07083323</t>
  </si>
  <si>
    <t>A Phase I/II Study of HY05350 in Mesothelin(MSLN)-Positive Advanced Solid Tumors</t>
  </si>
  <si>
    <t>NCT07114874</t>
  </si>
  <si>
    <t>NBI-1117568-SCZ3032: Long-Term Evaluation of NBI-1117568 in Adults With Schizophrenia</t>
  </si>
  <si>
    <t>NCT07142161</t>
  </si>
  <si>
    <t>A Study on the Safety, Preliminary Efficacy, and Cellular Kinetics of Allo-CD7 CAR-T Cells in T1DM</t>
  </si>
  <si>
    <t>NCT07015983</t>
  </si>
  <si>
    <t>A Study of CC-97540 (BMS-986353 or Zola-cel), CD19-Targeted NEX-T CAR T Cells, in Participants With Active SLE Despite Immunosuppressants (Breakfree-SLE)</t>
  </si>
  <si>
    <t>NCT07060807</t>
  </si>
  <si>
    <t>A Clinical Study of Patritumab Deruxtecan to Treat Breast Cancer (MK-1022-016)</t>
  </si>
  <si>
    <t>NCT06836063</t>
  </si>
  <si>
    <t>Study to Evaluate Efficacy and Safety of Ropanicant in MDD Patients</t>
  </si>
  <si>
    <t>NCT06943755</t>
  </si>
  <si>
    <t>Zanzalintinib Versus Everolimus in Participants With Locally Advanced or Metastatic Neuroendocrine Tumors</t>
  </si>
  <si>
    <t>NCT07029438</t>
  </si>
  <si>
    <t>Comparative Efficacy of Floss and Essential Oil/CPC+Zn Mouthwashes in Reducing Dental Plaque and Gingivitis</t>
  </si>
  <si>
    <t>NCT07071714</t>
  </si>
  <si>
    <t>A Phase II Study of SHR-8068 Injection in Combination With Anti-tumor Therapies in Colorectal Cancer</t>
  </si>
  <si>
    <t>NCT06997497</t>
  </si>
  <si>
    <t>A Clinical Study of Calderasib (MK-1084) With Targeted Therapy and Chemotherapy in People With Colorectal Cancer (MK-1084-012/KANDLELIT-012)</t>
  </si>
  <si>
    <t>NCT06637514</t>
  </si>
  <si>
    <t>A Phase 2 Study of JNT-517 in Adolescent Participants With Phenylketonuria</t>
  </si>
  <si>
    <t>NCT07075640</t>
  </si>
  <si>
    <t>A Study to Determine the Safety and Tolerability of AG-236 and How it is Absorbed, Broken Down, and Eliminated From the Body in Healthy Participants</t>
  </si>
  <si>
    <t>NCT07044271</t>
  </si>
  <si>
    <t>A Study of Multiple Olomorasib (LY3537982) Capsules in Healthy Participants</t>
  </si>
  <si>
    <t>NCT07093398</t>
  </si>
  <si>
    <t>A Phase 1 Study to Assess Food Effect on the Pharmacokinetics of D3S-001 in Healthy Adult Participants</t>
  </si>
  <si>
    <t>D3 Bio (Wuxi) Co., Ltd</t>
  </si>
  <si>
    <t>NCT07038005</t>
  </si>
  <si>
    <t>A Phase I Study of SPGL008 in Subjects With Advanced Malignant Tumors</t>
  </si>
  <si>
    <t>NCT06878365</t>
  </si>
  <si>
    <t>A Study to Test How Well BI 3000202 is Tolerated by People With Type 1 Interferonopathies</t>
  </si>
  <si>
    <t>NCT06799013</t>
  </si>
  <si>
    <t>Safety and Immunogenicity of a Self-Amplifying RNA Vaccine Against Crimean-Congo Hemorrhagic Fever</t>
  </si>
  <si>
    <t>HDT Bio</t>
  </si>
  <si>
    <t>NCT07040137</t>
  </si>
  <si>
    <t>Confirmatory Study 3 of KPS-0373 in Patients With Spinocerebellar Degeneration</t>
  </si>
  <si>
    <t>NCT07077252</t>
  </si>
  <si>
    <t>Phase I/II Study of SCTB39G in Advanced Solid Tumours</t>
  </si>
  <si>
    <t>NCT07122583</t>
  </si>
  <si>
    <t>A Study to Assess Non-Invasive Subcutaneous Fat Reduction in the Submental, Inner Thigh and Back/Bra Areas With the CoolSculpting Elite System</t>
  </si>
  <si>
    <t>NCT07058662</t>
  </si>
  <si>
    <t>A Clinical Study to Evaluate the Safety, Tolerability, and Efficacy of BBM-D101 in the Treatment of Duchenne Muscular Dystrophy.</t>
  </si>
  <si>
    <t>Belief BioMed (Beijing) Co., Ltd</t>
  </si>
  <si>
    <t>NCT06953466</t>
  </si>
  <si>
    <t>Clinical Study of QRX003 Lotion in Subjects With Netherton Syndrome</t>
  </si>
  <si>
    <t>Quoin Pharmaceuticals</t>
  </si>
  <si>
    <t>NCT07060456</t>
  </si>
  <si>
    <t>Efficacy and Safety of HRS9531 in Participants With Type 2 Diabetes Treated With Basal Insulin</t>
  </si>
  <si>
    <t>NCT03301805</t>
  </si>
  <si>
    <t>A Phase II, EvaluateBLEX 404 Combined With Gemcitabine Monotherapy With Pancreatic Cancer</t>
  </si>
  <si>
    <t>Rgene Corporation</t>
  </si>
  <si>
    <t>NCT07082114</t>
  </si>
  <si>
    <t>A Phase 3 Study to Evaluate Efficacy and Safety of HDM1002 Tablets in Adults With Type 2 Diabetes Mellitus</t>
  </si>
  <si>
    <t>NCT07162116</t>
  </si>
  <si>
    <t>A Study to Evaluate the Effect of XY0206 on the QTc Interval in Chinese Healthy Participants</t>
  </si>
  <si>
    <t>NCT07128914</t>
  </si>
  <si>
    <t>A Clinical Study of GO306 in Patients With Advanced Solid Tumors</t>
  </si>
  <si>
    <t>GeneSail Biotech (Shanghai) Co., Ltd.</t>
  </si>
  <si>
    <t>NCT07054606</t>
  </si>
  <si>
    <t>A Study to Evaluate Concomitant Perfluorohexyloctane Use With Contact Lens Wear</t>
  </si>
  <si>
    <t>NCT07103148</t>
  </si>
  <si>
    <t>A Phase III Control Study of the Safety and Immunogenicity of vYF in Pediatric Population</t>
  </si>
  <si>
    <t>NCT07070349</t>
  </si>
  <si>
    <t>A Trial of HRS-6213 in Healthy Subjects and Patients With Solid Tumors</t>
  </si>
  <si>
    <t>NCT07064759</t>
  </si>
  <si>
    <t>Single Intravitreal (IVT) Injection of 4D-150 in Patients With Macular Neovascularization Secondary to Age-Related Macular Degeneration</t>
  </si>
  <si>
    <t>NCT07108894</t>
  </si>
  <si>
    <t>A First-in-Human Phase 1 Single-Ascending Dose Study of ABCL575 in Healthy Participants</t>
  </si>
  <si>
    <t>NCT06962787</t>
  </si>
  <si>
    <t>A Study of BL-B01D1+TKI±Pembrolizumab in Patients With Locally Advanced or Metastatic Renal Cancer</t>
  </si>
  <si>
    <t>NCT06929663</t>
  </si>
  <si>
    <t>A Study of AK146D1 for Injection in the Treatment of Advanced Solid Tumors</t>
  </si>
  <si>
    <t>NCT07011732</t>
  </si>
  <si>
    <t>A Phase 3 Study to Evaluate the Safety and Efficacy of KarXT + KarX-EC for the Treatment of Agitation Associated With Alzheimer's Disease (ADAGIO-1)</t>
  </si>
  <si>
    <t>NCT07211633</t>
  </si>
  <si>
    <t>A Study to Evaluate the Pharmacokinetics, Pharmacodynamics, Safety, Radiological and Clinical Effects of Subcutaneous Ublituximab in Participants With Relapsing Multiple Sclerosis (RMS)</t>
  </si>
  <si>
    <t>NCT06451913</t>
  </si>
  <si>
    <t>Effect of Saccharomyces Boulardii CNCM I-745 on Gut Microbiota in Patients Undergoing Antibiotic Therapy (in the Context of Erythema Migrans (Early Skin Form of Lyme Borreliosis))</t>
  </si>
  <si>
    <t>NCT07046923</t>
  </si>
  <si>
    <t>A Study of LY4175408 in Participants With Advanced Cancer</t>
  </si>
  <si>
    <t>NCT07028801</t>
  </si>
  <si>
    <t>Clinical Trial of Freeze-dried Human Rabies Vaccine (Human Diploid Cells)</t>
  </si>
  <si>
    <t>NCT07073677</t>
  </si>
  <si>
    <t>A Study to Evaluate the Efficacy and Safety of IN-115314 Ointment in Mild to Moderate Atopic Dermatitis Adult Patients</t>
  </si>
  <si>
    <t>NCT07073157</t>
  </si>
  <si>
    <t>Effect of HRS-8427 for Injection on the Pharmacokinetics of Furosemide and Metformin in Healthy Subjects。</t>
  </si>
  <si>
    <t>NCT07044401</t>
  </si>
  <si>
    <t>A Single-dose Study to Investigate the Effect of Injection Site on KAI-9531 Relative Bioavailability in a Range of Body Mass Indices</t>
  </si>
  <si>
    <t>Kailera</t>
  </si>
  <si>
    <t>NCT07015697</t>
  </si>
  <si>
    <t>A Study of Subcutaneous Trastuzumab Deruxtecan in Participants With Metastatic Solid Tumors</t>
  </si>
  <si>
    <t>NCT06937749</t>
  </si>
  <si>
    <t>A Study of IBI362 in Participants With Metabolic Dysfunction-Associated Steatohepatitis (MASH)</t>
  </si>
  <si>
    <t>NCT06950385</t>
  </si>
  <si>
    <t>Phase 3 Trial of eRapa in Patients With Familial Adenomatous Polyposis</t>
  </si>
  <si>
    <t>Rapamycin Holdings Inc.</t>
  </si>
  <si>
    <t>NCT06991114</t>
  </si>
  <si>
    <t>AlloNK®, an Allogeneic Non-genetically Modified, Cord Blood-derived NK Cell Therapy, in Combination With Rituximab, Studied in Relapsing Forms of B-cell Dependent Rheumatologic Diseases.</t>
  </si>
  <si>
    <t>NCT07007936</t>
  </si>
  <si>
    <t>Phase IIa Trial of Oral SSS17 for Post-Arthroplasty Anemia</t>
  </si>
  <si>
    <t>NCT06939036</t>
  </si>
  <si>
    <t>Study of 225Ac-SS0110 in Subjects With ES-SCLC or MCC (SANTANA-225 )</t>
  </si>
  <si>
    <t>Ariceum Therapeutics GmbH</t>
  </si>
  <si>
    <t>NCT06780111</t>
  </si>
  <si>
    <t>Substudy 06E: Umbrella Study of Combination Therapies in Esophageal Cancer (MK-3475-06E/KEYMAKER-U06)</t>
  </si>
  <si>
    <t>NCT07025811</t>
  </si>
  <si>
    <t>A Study to Explore Signs, Symptoms, and Biomarkers in Dry Eye Disease Participants Following Anti-inflammatory Treatment</t>
  </si>
  <si>
    <t>NCT06963814</t>
  </si>
  <si>
    <t>Study of HC006 in Combination With a PD-1 Inhibitor in Patients With Advanced Solid Tumors</t>
  </si>
  <si>
    <t>NCT07013747</t>
  </si>
  <si>
    <t>Study to Evaluate Safety, Efficacy and Immunogenicity of Acne mRNA Vaccine in Participants With Mild Acne</t>
  </si>
  <si>
    <t>NCT07071974</t>
  </si>
  <si>
    <t>A Study in Healthy People to Compare How 2 Different Formulations of Survodutide Are Taken up in the Body</t>
  </si>
  <si>
    <t>NCT06328608</t>
  </si>
  <si>
    <t>A Study to Learn About the Safety and Effects of the Study Drug PRX-102 in Children and Adolescents With Fabry Disease</t>
  </si>
  <si>
    <t>NCT07090759</t>
  </si>
  <si>
    <t>To Evaluate the Efficacy, Safety and Population Pharmacokinetics of GST-HG141 in Patients With Chronic Hepatitis B (CHB) Who Have an Inadequate Response to Antiviral Drug Treatment</t>
  </si>
  <si>
    <t>Fujian Akeylink Biotechnology Co., Ltd.</t>
  </si>
  <si>
    <t>NCT07025018</t>
  </si>
  <si>
    <t>Phase I Study of HMPL-306 for the Treatment of Gliomas With IDH1 and/or IDH2 Mutations</t>
  </si>
  <si>
    <t>NCT06765109</t>
  </si>
  <si>
    <t>Neladalkib (NVL-655) for TKI-naive Patients With Advanced ALK-Positive NSCLC</t>
  </si>
  <si>
    <t>NCT07043751</t>
  </si>
  <si>
    <t>A Clinical Trial Evaluating Injection of TQB6411 in Subjects With Advanced Malignant Tumors</t>
  </si>
  <si>
    <t>NCT06866795</t>
  </si>
  <si>
    <t>Phase 1 Clinical Study of GT-220F in Subjects With Metastatic Castration Resistant Prostate Cancer (mCRPC)</t>
  </si>
  <si>
    <t>Geode Therapeutics Inc.</t>
  </si>
  <si>
    <t>NCT06868212</t>
  </si>
  <si>
    <t>A Study to Evaluate Efficacy of Remibrutinib Compared to Dupilumab at Early Timepoints in Adults With Chronic Spontaneous Urticaria Inadequately Controlled by Second Generation H1-antihistamines</t>
  </si>
  <si>
    <t>NCT07052253</t>
  </si>
  <si>
    <t>A Phase II Clinical Study of AK104/AK112 in Combination With TT-00420 Tablet for Advanced HCC.</t>
  </si>
  <si>
    <t>NCT06976203</t>
  </si>
  <si>
    <t>A Study to Evaluate the Efficacy and Safety of KarXT + KarX-EC for Cognitive Impairment in Alzheimer's Disease (MINDSET 2)</t>
  </si>
  <si>
    <t>NCT07043907</t>
  </si>
  <si>
    <t>PANK-003 Cell Injection Combined With Standard Adjuvant Chemotherapy After Surgery in Patients With Stage IIIA NSCLC</t>
  </si>
  <si>
    <t>NCT07069036</t>
  </si>
  <si>
    <t>A Study to Evaluate Single and Multiple Doses of SEP-631 in Healthy Adult Volunteers</t>
  </si>
  <si>
    <t>Septerna, Inc.</t>
  </si>
  <si>
    <t>NCT07021963</t>
  </si>
  <si>
    <t>A Clinical Study to Evaluate the Long-term Safety of HRS-1893 in Hypertrophic Cardiomyopathy</t>
  </si>
  <si>
    <t>NCT06757634</t>
  </si>
  <si>
    <t>Phase 3 Study of Gedatolisib as First-Line Treatment for Patients With HR-Positive, HER2-Negative Advanced Breast Cancer (VIKTORIA-2)</t>
  </si>
  <si>
    <t>NCT06885567</t>
  </si>
  <si>
    <t>A Phase 2 Study to Evaluate the Safety and Efficacy of BEY2153 in Patients with Early Alzheimer's Disease</t>
  </si>
  <si>
    <t>BeyondBio Inc.</t>
  </si>
  <si>
    <t>NCT07005752</t>
  </si>
  <si>
    <t>A Study to Evaluate the Efficacy and Safety of CnU Capsule 750 mg in Patients With Cholesterol Gallstones(GB Stones).</t>
  </si>
  <si>
    <t>Myungmoon Pharma. Co. Ltd.</t>
  </si>
  <si>
    <t>NCT07010471</t>
  </si>
  <si>
    <t>A Clinical Trial for Participants With DEE to Assess Efficacy, Safety, Tolerability, and PK of Relutrigine</t>
  </si>
  <si>
    <t>NCT07086443</t>
  </si>
  <si>
    <t>Randomized Evaluation of Nonhealing Diabetic Foot Ulcers With Exclusive Wound Therapy</t>
  </si>
  <si>
    <t>Sequence LifeScience, Inc.</t>
  </si>
  <si>
    <t>NCT07356453</t>
  </si>
  <si>
    <t>A Study of PARG Inhibitor FORX-428 in Patients With Advanced Solid Tumors.</t>
  </si>
  <si>
    <t>FoRx Therapeutics AG</t>
  </si>
  <si>
    <t>NCT07146672</t>
  </si>
  <si>
    <t>Exploratory Study of Super DC Cell Injection in Preventing Recurrence After Radical Surgery for Tumors</t>
  </si>
  <si>
    <t>NCT07024784</t>
  </si>
  <si>
    <t>A Study to Assess Change in Disease Activity and Adverse Events in Adult Participants With Gynecologic Cancers Receiving Intravenous Infusion of IMGN151 as Monotherapy or in Combination With Other Therapies</t>
  </si>
  <si>
    <t>NCT06714864</t>
  </si>
  <si>
    <t>Open-Label Study to Assess Safety and Time to Catheter-related Bloodstream Infections (CRBSI) in Subjects From Birth to &lt; 18 Years of Age</t>
  </si>
  <si>
    <t>NCT06924632</t>
  </si>
  <si>
    <t>Efficacy &amp; Safety of Minoxidil SL Tablets in Men With AGA</t>
  </si>
  <si>
    <t>NCT07055412</t>
  </si>
  <si>
    <t>Y-3 for Injection in Patients With Hepatic Insufficiency and Healthy Subjects</t>
  </si>
  <si>
    <t>NCT07073534</t>
  </si>
  <si>
    <t>Phase I/II Clinical Study of SHR-1501 Combined With Adbelizumab in Patients With Malignant Tumors</t>
  </si>
  <si>
    <t>NCT07076446</t>
  </si>
  <si>
    <t>An Open-label, Multicenter Study to Assess the Pharmacokinetics (PK), Safety, and Tolerability of Subcutaneous IgPro20 in Immunoglobulin (IG) Treatment-naïve Participants With Primary Immunodeficiency (PID)</t>
  </si>
  <si>
    <t>NCT07073170</t>
  </si>
  <si>
    <t>A Study of LY3549492 in Chinese Participants With Type 2 Diabetes Mellitus</t>
  </si>
  <si>
    <t>NCT06963827</t>
  </si>
  <si>
    <t>A Study of Mezagitamab in Adults With Primary IgA Nephropathy Kidney Condition</t>
  </si>
  <si>
    <t>NCT06663046</t>
  </si>
  <si>
    <t>Universal CAR-T Cells (REVO-UWD-00B) for Refractory and Relapsed Multiple Myeloma</t>
  </si>
  <si>
    <t>NCT06897527</t>
  </si>
  <si>
    <t>A Study to Evaluate the Safety of Dostarlimab in Adult Participants in India With Recurrent or Advanced Endometrial Cancer (EC)</t>
  </si>
  <si>
    <t>NCT07009171</t>
  </si>
  <si>
    <t>Study to Evaluate the Efficacy and Safety of KDS2010 in Overweight or Obese Patients</t>
  </si>
  <si>
    <t>NeuroBiogen Co., Ltd</t>
  </si>
  <si>
    <t>NCT07075185</t>
  </si>
  <si>
    <t>A Study to Evaluate a Novel Gene Therapy in Patients With Relapsed and Refractory Multiple Myeloma</t>
  </si>
  <si>
    <t>Kelonia Therapeutics, Inc.</t>
  </si>
  <si>
    <t>NCT06884085</t>
  </si>
  <si>
    <t>A Study to Compare to PK Characteristics and Safety Profiles Between AD-227 and Co-administration of AD-227A and AD-227B</t>
  </si>
  <si>
    <t>NCT07000149</t>
  </si>
  <si>
    <t>A Study to Investigate the Efficacy and Safety of Volrustomig ± Casdatifan vs Nivolumab + Ipilimumab as 1L Treatment for Advanced ccRCC</t>
  </si>
  <si>
    <t>NCT07008976</t>
  </si>
  <si>
    <t>Clinical Trial of TQB2102 for Injection Versus Trastuzumab Emtansine for Injection in HER2-positive Advanced Breast Cancer</t>
  </si>
  <si>
    <t>NCT07076407</t>
  </si>
  <si>
    <t>A Randomized Study of Azetukalner Versus Placebo in Major Depressive Disorder (X-NOVA3)</t>
  </si>
  <si>
    <t>NCT06997900</t>
  </si>
  <si>
    <t>Menopur And Rekovelle Combination Study Version 2.0</t>
  </si>
  <si>
    <t>Clinique Ovo</t>
  </si>
  <si>
    <t>NCT07028528</t>
  </si>
  <si>
    <t>Levagen+ Efficacy Study on Diabetic Peripheral Neuropathy</t>
  </si>
  <si>
    <t>NCT07288957</t>
  </si>
  <si>
    <t>A Early Study of ABSK131 in Patients With Advanced/Metastatic Solid Tumors</t>
  </si>
  <si>
    <t>NCT07011056</t>
  </si>
  <si>
    <t>A Phase III Clinical Study of Purinostat Mesylate for Injection in Patients With Diffuse Large B-cell Lymphoma</t>
  </si>
  <si>
    <t>NCT07018635</t>
  </si>
  <si>
    <t>A Study to Assess the Effect of Itraconazole, Rifampin, and Acid-Reducing Agents on INCB161734 Pharmacokinetics When Administered Orally in Healthy Participants</t>
  </si>
  <si>
    <t>NCT07011745</t>
  </si>
  <si>
    <t>A Phase 3 Study to Evaluate the Safety and Efficacy of KarXT + KarX-EC for the Treatment of Agitation Associated With Alzheimer's Disease (ADAGIO-2)</t>
  </si>
  <si>
    <t>NCT07018245</t>
  </si>
  <si>
    <t>Clinical Trial of TJ0113 Capsules in the Treatment of Patients With Depressive Disorder</t>
  </si>
  <si>
    <t>NCT06748872</t>
  </si>
  <si>
    <t>EPITOME-1015-I: a Study to Investigate the Safety and Tolerability of MDG1015 in Patients with Epithelial Ovarian Cancer, Gastroesophageal Adenocarcinoma, Round Cell Liposarcoma And/or Synovial Sarcoma</t>
  </si>
  <si>
    <t>Medigene AG</t>
  </si>
  <si>
    <t>NCT07029711</t>
  </si>
  <si>
    <t>A Study to Learn About Medicine Called Ritlecitinib in Children Aged Between 6 to 12 Years With Severe Alopecia Areata</t>
  </si>
  <si>
    <t>NCT06814730</t>
  </si>
  <si>
    <t>A Study to Assess THN391 in Subjects With Alzheimer's Disease</t>
  </si>
  <si>
    <t>Therini Bio, Inc.</t>
  </si>
  <si>
    <t>NCT06989567</t>
  </si>
  <si>
    <t>A Study of Intravenous L-Citrulline in Patients Aged 6-21 Years Old With Sickle Cell Disease Presenting to Emergency Departments in Acute Vaso-Occlusive Crisis</t>
  </si>
  <si>
    <t>Asklepion Pharmaceuticals, LLC</t>
  </si>
  <si>
    <t>NCT07074236</t>
  </si>
  <si>
    <t>Pharmacokinetics and Pharmacodynamics Study</t>
  </si>
  <si>
    <t>NCT07186426</t>
  </si>
  <si>
    <t>A Clinical Trial Evaluating the Efficacy and Safety of HSK21542 in Patients for Postoperative Pain Treatment in Orthopedic Surgery</t>
  </si>
  <si>
    <t>NCT06983158</t>
  </si>
  <si>
    <t>A Clinical Trial of CAP-002 Gene Therapy in Pediatric Patients With Syntaxin-Binding Protein 1 (STXBP1) Encephalopathy</t>
  </si>
  <si>
    <t>Capsida Biotherapeutics, Inc.</t>
  </si>
  <si>
    <t>NCT07093580</t>
  </si>
  <si>
    <t>Study of S-892216 Long-acting Injectable (LAI) in Healthy Adult Participants</t>
  </si>
  <si>
    <t>NCT07034768</t>
  </si>
  <si>
    <t>A Study to Evaluate EDG-7500 in People With Renal Impairment</t>
  </si>
  <si>
    <t>NCT07079475</t>
  </si>
  <si>
    <t>Study of Oral EGFR Inhibitor DZD6008 Combined With Sunvozertinib in Patients Who Have Advanced NSCLC With EGFR Mutations (TIAN-SHAN8)</t>
  </si>
  <si>
    <t>Dizal (Jiangsu) Pharmaceutical Co., Ltd.</t>
  </si>
  <si>
    <t>NCT06976229</t>
  </si>
  <si>
    <t>Safety and Early Efficacy of iPSC-Derived Motor Neuron Progenitor Cells (XS228) in Subacute Spinal Cord Injury: A Phase I Trial</t>
  </si>
  <si>
    <t>XellSmart Bio-Pharmaceutical (Suzhou) Co., Ltd.</t>
  </si>
  <si>
    <t>NCT07099989</t>
  </si>
  <si>
    <t>Pharmacokinetics of GATE-251 in Fasted or Fed State</t>
  </si>
  <si>
    <t>NCT07239323</t>
  </si>
  <si>
    <t>In VIVO CAR-T Therapy for Relapsed/Refractory Hematological Malignancies</t>
  </si>
  <si>
    <t>NCT07049081</t>
  </si>
  <si>
    <t>A Study of LUCAR-G79 in Subjects With Relapsed/Refractory Autoimmune Diseases</t>
  </si>
  <si>
    <t>NCT07049926</t>
  </si>
  <si>
    <t>Substudy 03C: A Study of Combination Therapies in Participants With Renal Cell Carcinoma With Recurrent Disease During or After Anti-PD-(L)1 Therapy (MK-3475-03C/KEYMAKER-U03)</t>
  </si>
  <si>
    <t>NCT07054684</t>
  </si>
  <si>
    <t>Study of BHV-1400 in IgA Nephropathy</t>
  </si>
  <si>
    <t>NCT07010107</t>
  </si>
  <si>
    <t>A Clinical Trial of Anaprazole for Treating Reflux Esophagitis.</t>
  </si>
  <si>
    <t>Xuanzhu Biopharmaceutical Co., Ltd.</t>
  </si>
  <si>
    <t>NCT07007533</t>
  </si>
  <si>
    <t>A Study to Compare and Evaluate the Safety, Tolerability and Pharmacokinetics Between DA-5223 and DA-5223-R in Healthy Adult Subjects</t>
  </si>
  <si>
    <t>NCT07070440</t>
  </si>
  <si>
    <t>DZD6008 Combination Therapy in Patients With Locally Advanced or Metastatic NSCLC With EGFR Mutation (TIAN-SHAN7)</t>
  </si>
  <si>
    <t>NCT07080905</t>
  </si>
  <si>
    <t>Phase 3, Open-label, Single-dose Study of CSL222 in Adolescent Male Subjects (≥ 12 to &amp;lt; 18 Years of Age) With Severe or Moderately Severe Hemophilia B</t>
  </si>
  <si>
    <t>NCT07102095</t>
  </si>
  <si>
    <t>A Study Evaluating How Moderate Liver Impairment Affects the Absorption, Distribution, Metabolism, and Elimination of Sevabertinib After a Single Oral Dose</t>
  </si>
  <si>
    <t>NCT06461156</t>
  </si>
  <si>
    <t>A Study of HS-10504 in Patients With Advanced or Metastatic Non-Small-Cell Lung Cancer(NSCLC)</t>
  </si>
  <si>
    <t>NCT07068295</t>
  </si>
  <si>
    <t>A Study to Test How Insulin NNC0471-0119 H Works in the Body in Participants With Type 2 Diabetes When Given by an Insulin Pump</t>
  </si>
  <si>
    <t>NCT06846281</t>
  </si>
  <si>
    <t>Efficacy and Safety of Remibrutinib After Switching From Ocrelizumab in Participants Living With Relapsing Multiple Sclerosis.</t>
  </si>
  <si>
    <t>NCT06589830</t>
  </si>
  <si>
    <t>TL938 and Trastuzumab for Patients With HER2-positive Metastatic Colorectal Cancer</t>
  </si>
  <si>
    <t>Suzhou Teligene Ltd.</t>
  </si>
  <si>
    <t>NCT06764940</t>
  </si>
  <si>
    <t>A Pivotal Phase II Clinical Trial of Utidelone Injection Plus Capecitabine in HER2-negative Breast Cancer Patients With Brain Metastases</t>
  </si>
  <si>
    <t>Biostar Pharma, Inc.</t>
  </si>
  <si>
    <t>NCT07027982</t>
  </si>
  <si>
    <t>A Study to Evaluate the Pharmacokinetics and Safety of Diluted vs. Undiluted Intravenous DA-5217 in Healthy Adult Subjects</t>
  </si>
  <si>
    <t>NCT07055724</t>
  </si>
  <si>
    <t>Study of Eque-cel CAR-T Therapy in Newly Diagnosed Severe AL Amyloidosis</t>
  </si>
  <si>
    <t>NCT07013279</t>
  </si>
  <si>
    <t>Evaluate the Efficacy and Safety of DWP712 With Moderate to Severe Glabellar Lines</t>
  </si>
  <si>
    <t>NCT06953089</t>
  </si>
  <si>
    <t>DB-1311 in Combination With BNT327 or DB-1305 in Advanced/Metastatic Solid Tumors</t>
  </si>
  <si>
    <t>NCT07042945</t>
  </si>
  <si>
    <t>MK-4646 Multiple Dose Trial in Participants With Human Immunodeficiency Virus Type 1 (HIV-1) (MK-4646-003)</t>
  </si>
  <si>
    <t>NCT07098806</t>
  </si>
  <si>
    <t>Multiple Dose Intraventricular Administration of Rhenium-186 NanoLiposome for Leptomeningeal Metastases</t>
  </si>
  <si>
    <t>NCT06961747</t>
  </si>
  <si>
    <t>A Study to Assess Zilucoplan Concentration in Breast Milk of Healthy Lactating Women</t>
  </si>
  <si>
    <t>NCT07093138</t>
  </si>
  <si>
    <t>Evaluation of Efficacy and Safety of Topical Cannabidiol (Canvert-M Produced by Alasht Pharmed co. Iran) in the Treatment of Migraine Attacks</t>
  </si>
  <si>
    <t>Alasht Pharmed</t>
  </si>
  <si>
    <t>NCT07071519</t>
  </si>
  <si>
    <t>A Study to Learn More About How Risankizumab Works in Young Participants With Ulcerative Colitis</t>
  </si>
  <si>
    <t>NCT06999551</t>
  </si>
  <si>
    <t>Comparison of the Efficacy and Safety of GLARGEN® Versus NPH Insulin in Diabetic Tunisian Patients.</t>
  </si>
  <si>
    <t>NCT07011992</t>
  </si>
  <si>
    <t>A Study to Assess the Effects of BPN14770 on Rosuvastatin</t>
  </si>
  <si>
    <t>NCT07070739</t>
  </si>
  <si>
    <t>A Long-term Study of HSK44459 Tablets in Participants With Bechet's Disease</t>
  </si>
  <si>
    <t>NCT06930794</t>
  </si>
  <si>
    <t>A Study of Vebreltinib and Platinum-Containing Double Agents in Subjects With MET-Positive</t>
  </si>
  <si>
    <t>Beijing Pearl Biotechnology Limited Liability Company</t>
  </si>
  <si>
    <t>NCT07022002</t>
  </si>
  <si>
    <t>SSGJ-705 Monotherapy and Combination Therapy in Advanced HER2-Expressing Solid Tumors</t>
  </si>
  <si>
    <t>NCT07021066</t>
  </si>
  <si>
    <t>Evaluate the Safety, Tolerability, Pharmacokinetics and Efficacy of BL-M05D1 in Subjects With Solid Tumors</t>
  </si>
  <si>
    <t>NCT07141329</t>
  </si>
  <si>
    <t>SPN-817 Open-Label Extension Study in Adults With Focal Onset Seizures</t>
  </si>
  <si>
    <t>NCT06926660</t>
  </si>
  <si>
    <t>A Study to Test Whether Vicadrostat in Combination With Empagliflozin Helps People With Chronic Kidney Disease</t>
  </si>
  <si>
    <t>NCT07042113</t>
  </si>
  <si>
    <t>A Study of Two Different Formulations of 611 in Healthy Adult Subjects in China</t>
  </si>
  <si>
    <t>NCT07105488</t>
  </si>
  <si>
    <t>A Study Evaluating BFB759 in Moderate to Severe Atopic Dermatitis</t>
  </si>
  <si>
    <t>Bluefin Biomedicine, Inc.</t>
  </si>
  <si>
    <t>NCT07097259</t>
  </si>
  <si>
    <t>A Study to Assess the Bioequivalence of Follitropin Alfa Solution in Pen and Follitropin Alfa Powder in Vial in Healthy Downregulated Male Participants</t>
  </si>
  <si>
    <t>NCT07189169</t>
  </si>
  <si>
    <t>QA108 Phase III Study in Subjects With Intermediate AMD</t>
  </si>
  <si>
    <t>Smilebiotek Zhuhai Limited</t>
  </si>
  <si>
    <t>NCT07257042</t>
  </si>
  <si>
    <t>Oothpaste Containing 8% Arginine Compared to Colgate Cavity Protection Toothpaste in Reducing Dentinal Hypersensitivity</t>
  </si>
  <si>
    <t>NCT06960395</t>
  </si>
  <si>
    <t>Safety and Preliminary Efficacy of VIR-5525 and VIR-5525 + Pembrolizumab in Participants With Locally Advanced or Metastatic Solid Tumors</t>
  </si>
  <si>
    <t>NCT06986239</t>
  </si>
  <si>
    <t>Safety and Immunogenicity of PCV-LITE, a Low-dose of Pneumococcal Conjugate Vaccine With LiteVax Adjuvant</t>
  </si>
  <si>
    <t>NCT07331402</t>
  </si>
  <si>
    <t>A Clinical Study Evaluating the Pharmacokinetics and Pharmacodynamics of HSK39004 Inhalation Suspension in COPD Patients</t>
  </si>
  <si>
    <t>NCT07063407</t>
  </si>
  <si>
    <t>Phase 1 Study of HS-20093 Combinations in Patients With Extensive Stage Small Cell Lung Cancer</t>
  </si>
  <si>
    <t>Shanghai Hansoh Biomedical Co., Ltd</t>
  </si>
  <si>
    <t>NCT07059221</t>
  </si>
  <si>
    <t>A Trial of SHR-A2102 With Adebrelimab With or Without Other Anti-tumor Therapies in Recurrent/MetastaticHead and Neck Squamous Cell Carcinoma Cancer</t>
  </si>
  <si>
    <t>NCT07035652</t>
  </si>
  <si>
    <t>The Phase Ib Clinical Trial of the XH-S004 Tablet in Patients With Chronic Obstructive Pulmonary Disease (COPD) to Evaluate Its Safety, Tolerability, Pharmacokinetic Characteristics and Pharmacodynamic Characteristics After Multiple Administrations</t>
  </si>
  <si>
    <t>NCT06854783</t>
  </si>
  <si>
    <t>Safety and Pharmacokinetics of Cannabidiol in Healthy Volunteers</t>
  </si>
  <si>
    <t>Tiamat Australia Pty Ltd</t>
  </si>
  <si>
    <t>NCT07040787</t>
  </si>
  <si>
    <t>Investigation of Drug-drug Interaction of HRS-5965 With Clopidogrel and Clarithromycin in Healthy Subjects</t>
  </si>
  <si>
    <t>NCT06898515</t>
  </si>
  <si>
    <t>Fluid Management of Acute Decompensated Heart Failure Subjects Treated With Reprieve System (FASTR-II) (IDE-G210258)</t>
  </si>
  <si>
    <t>Reprieve Cardiovascular, Inc</t>
  </si>
  <si>
    <t>NCT07081958</t>
  </si>
  <si>
    <t>A Study Evaluating the Effect of Daily Oral RO7795081 in Participants With Obesity or Overweight With at Least One Weight-Related Comorbidity</t>
  </si>
  <si>
    <t>NCT06985355</t>
  </si>
  <si>
    <t>A Study of MHB046C Injection in Patients With Advanced Solid Tumors</t>
  </si>
  <si>
    <t>NCT07038447</t>
  </si>
  <si>
    <t>A Study of KITE-363 in Participants With Refractory Autoimmune Diseases</t>
  </si>
  <si>
    <t>NCT07292714</t>
  </si>
  <si>
    <t>A Study to Evaluate 9MW1911 in Patients With Chronic Obstructive Pulmonary Disease (COPD)</t>
  </si>
  <si>
    <t>NCT07096791</t>
  </si>
  <si>
    <t>A Phase 2 Study to Evaluate Efficacy and Safety of KH607 Tablets in Woman With Postpartum Depression</t>
  </si>
  <si>
    <t>NCT07035457</t>
  </si>
  <si>
    <t>A Study in Healthy Men to Compare the Amount of Vicadrostat and Empagliflozin in the Blood When Taken Separately and Together</t>
  </si>
  <si>
    <t>NCT06953960</t>
  </si>
  <si>
    <t>A Study to Assess Adverse Events and Change in Disease Activity of Oral ABBV-453 Alone or in Combination With Subcutaneous and/or Oral Antimyeloma Agents in Adult Participants With Multiple Myeloma (MM)</t>
  </si>
  <si>
    <t>NCT07013474</t>
  </si>
  <si>
    <t>A Study to Learn About the Study Medicine Ibuzatrelvir in Adults With COVID-19 Who Are Severely Immunocompromised</t>
  </si>
  <si>
    <t>NCT06516055</t>
  </si>
  <si>
    <t>Study of S1B-408 in Women With Orgasmic Dysfunction</t>
  </si>
  <si>
    <t>S1 Biopharma, Inc.</t>
  </si>
  <si>
    <t>NCT07073547</t>
  </si>
  <si>
    <t>A Phase I, Open-label, Multicenter Study to Evaluate the Safety, Tolerability, Cellular Kinetics, Immunogenicity, Pharmacodynamics, and Preliminary Efficacy of AZD0120 in Participants With Multiple Myeloma (DURGA-2)</t>
  </si>
  <si>
    <t>NCT06758401</t>
  </si>
  <si>
    <t>This is a Study to Learn About How the Combination of the Study Medicines Sigvotatug Vedotin Plus Pembrolizumab Works in People With Non-small Cell Lung Cancer With High Levels of PD-L1.</t>
  </si>
  <si>
    <t>NCT06984328</t>
  </si>
  <si>
    <t>Study of the Effectiveness and Safety of Acasunlimab Alone and With Pembrolizumab to Treat Advanced Melanoma of the Skin That Has Returned After Treatment With an Approved Checkpoint Inhibitor Therapy (ABBIL1TY MELANOMA-07)</t>
  </si>
  <si>
    <t>NCT07083388</t>
  </si>
  <si>
    <t>A Study to Evaluate the Pharmacokinetics and Safety Between "BR3006" and Co-administration of "BR3006A", "BR3006B", and "BR3006C" in Healthy Adult Volunteers (Fasting)</t>
  </si>
  <si>
    <t>NCT05684159</t>
  </si>
  <si>
    <t>Study of NM8074 in Patients with AHUS with Evidence of Ongoing Thrombotic Microangiopathy</t>
  </si>
  <si>
    <t>NovelMed Therapeutics</t>
  </si>
  <si>
    <t>NCT07024173</t>
  </si>
  <si>
    <t>A Phase 3 Study of HRS-8080 Versus Treatment Chosen by Physicians in Locally Advanced and Metastatic Breast Cancer</t>
  </si>
  <si>
    <t>NCT06888921</t>
  </si>
  <si>
    <t>A Clinical Trial to Evaluate the Safety and Efficacy of COM701 in Relapsed Platinum Sensitive Ovarian Cancer</t>
  </si>
  <si>
    <t>NCT06858319</t>
  </si>
  <si>
    <t>Open-label Extension Study of Zigakibart in Adults With IgA Nephropathy.</t>
  </si>
  <si>
    <t>NCT05691244</t>
  </si>
  <si>
    <t>Assess the Safety and Efficacy of Sovateltide in Patients With Acute Cerebral Ischemic Stroke</t>
  </si>
  <si>
    <t>NCT06867835</t>
  </si>
  <si>
    <t>Single Dose of Vyleesi in Lactating Female Subjects to Measure the Concentration of Bremelanotide in Breast Milk</t>
  </si>
  <si>
    <t>Cosette Pharmaceuticals, Inc.</t>
  </si>
  <si>
    <t>NCT07037433</t>
  </si>
  <si>
    <t>Evaluating the Impact of Maridebart Cafraglutide on Cardiovascular Outcomes in Participants With Atherosclerotic Cardiovascular Disease and Overweight or Obesity</t>
  </si>
  <si>
    <t>NCT06970665</t>
  </si>
  <si>
    <t>A Study About the Safety of ASP3021 Eye Injections and if They Help People in Japan With Vision Loss From Age-related Macular Degeneration</t>
  </si>
  <si>
    <t>NCT06939816</t>
  </si>
  <si>
    <t>Vonafexor in Patients With Impaired Renal Function and Suspected MASH (Metabolic Dysfunction-associated Steatohepatitis)</t>
  </si>
  <si>
    <t>NCT06468033</t>
  </si>
  <si>
    <t>P1101 in Treating Patients With Early PMF or Overt PMF at Low or Intermediate-1 Risk</t>
  </si>
  <si>
    <t>NCT07093476</t>
  </si>
  <si>
    <t>Efficacy and Safety of Add-On Therapy With Empagliflozin in Patients With Type 2 Diabetes on a Background of Alogliptin and Metformin</t>
  </si>
  <si>
    <t>NCT06973291</t>
  </si>
  <si>
    <t>A Study Comparing Zasocitinib (TAK-279) With Deucravacitinib in Adults With Plaque Psoriasis</t>
  </si>
  <si>
    <t>NCT07028281</t>
  </si>
  <si>
    <t>A Trial of SHR-4849 Combined With Other Antitumor Drugs in Patients With Malignant Solid Tumors</t>
  </si>
  <si>
    <t>NCT07071532</t>
  </si>
  <si>
    <t>A Study to Assess Adverse Events and How Oral ABBV-932 Moves Through the Body When Given With Oral Itraconazole in Healthy Adult Participants</t>
  </si>
  <si>
    <t>NCT06721013</t>
  </si>
  <si>
    <t>A Study of Pirtobrutinib in Participants With Immune Thrombocytopenia</t>
  </si>
  <si>
    <t>NCT07046715</t>
  </si>
  <si>
    <t>Clinical Trial Comparing Single-administration of DA-5222 and Co-administration of DA-5222-R1, DA-5222-R2 and DA-5222-R3 in Healthy Adult Subjects in Fed State</t>
  </si>
  <si>
    <t>NCT06985875</t>
  </si>
  <si>
    <t>Clinical Trial for the Evaluation of Safety and Efficacy of Drop 0.4%</t>
  </si>
  <si>
    <t>Avizor SA</t>
  </si>
  <si>
    <t>NCT06990399</t>
  </si>
  <si>
    <t>A Phase 3 Study to Evaluate the Efficacy and Safety of Intravitreal KSI-101 in Participants With Macular Edema Secondary to Inflammation (MESI) - PEAK</t>
  </si>
  <si>
    <t>NCT06999733</t>
  </si>
  <si>
    <t>A Study Comparing KB801 Verse Placebo in Patients With Stage 2 or 3 Neurotrophic Keratitis</t>
  </si>
  <si>
    <t>NCT06974851</t>
  </si>
  <si>
    <t>A Phase III Study Evaluating the Efficacy and Safety of HRS9531 Injection in Subjects With Obstructive Sleep Apnea (OSA) and Obesity</t>
  </si>
  <si>
    <t>NCT07065136</t>
  </si>
  <si>
    <t>Evaluation of 627 in Healthy Adult Subjects</t>
  </si>
  <si>
    <t>NCT07107802</t>
  </si>
  <si>
    <t>Phase 1 Single Ascending Dose Study With ATX101</t>
  </si>
  <si>
    <t>Aurobac Therapeutics SAS</t>
  </si>
  <si>
    <t>NCT07048353</t>
  </si>
  <si>
    <t>CD30 CAR-T in the Treatment of CD30 Positive Lymphoma</t>
  </si>
  <si>
    <t>Shandong Qilu Cell Therapy Engineering Technology Co., Ltd</t>
  </si>
  <si>
    <t>NCT06858865</t>
  </si>
  <si>
    <t>A Study to Evaluate the Safety and Pharmacokinetics of AD-228A Compared to Coadministration of AD-2281 and AD-2282</t>
  </si>
  <si>
    <t>NCT07011043</t>
  </si>
  <si>
    <t>A Phase 1b Study of Budoprutug in Systemic Lupus Erythematosus (SLE)</t>
  </si>
  <si>
    <t>NCT07015671</t>
  </si>
  <si>
    <t>Bioavailability and Bioequivalence Study of ER Torsemide and Spironolactone FDC Tablet in Healthy Subjects</t>
  </si>
  <si>
    <t>NCT07412080</t>
  </si>
  <si>
    <t>EDP167 in Healthy Volunteers and Subjects With Mild Dyslipidemia</t>
  </si>
  <si>
    <t>Eddingpharm (Zhuhai) Co., Ltd.</t>
  </si>
  <si>
    <t>NCT07038369</t>
  </si>
  <si>
    <t>A Phase 1 Study of ATV-1601 in Patients With Advanced Cancer That Have AKT1 E17K Mutations</t>
  </si>
  <si>
    <t>Atavistik Bio, Inc</t>
  </si>
  <si>
    <t>NCT07075224</t>
  </si>
  <si>
    <t>Pharmacodynamics of a Fixed Dose Combination of 0.34% Tropicamide and 2.5% Phenylephrine Hydrochloride, Eye Drop, Solution</t>
  </si>
  <si>
    <t>NCT07044479</t>
  </si>
  <si>
    <t>A Clinical Study of How Coffee and Tea Affect Enlicitide in Healthy Volunteers (MK-0616-040)</t>
  </si>
  <si>
    <t>NCT07191483</t>
  </si>
  <si>
    <t>A Study to Evaluate KYN-5356 in Adults With Cognitive Impairment Associated With Schizophrenia</t>
  </si>
  <si>
    <t>Kynexis B.V.</t>
  </si>
  <si>
    <t>NCT06910657</t>
  </si>
  <si>
    <t>IDOV-Immune for Advanced Solid Tumors</t>
  </si>
  <si>
    <t>ViroMissile, Inc.</t>
  </si>
  <si>
    <t>NCT07123519</t>
  </si>
  <si>
    <t>A Clinical Study of YTS109 Cells for the Treatment of R/R Autoimmune Diseases</t>
  </si>
  <si>
    <t>NCT07158346</t>
  </si>
  <si>
    <t>Phase I Study to Evaluate the Pharmacokinetics and Safety After Co-administration of L03RD1 and L03RD2 or Administration of CT-L03 in Healthy Volunteers</t>
  </si>
  <si>
    <t>NCT07102888</t>
  </si>
  <si>
    <t>A Clinical Study to Evaluate the Safety and Pharmacokinetics of Topical RSS0393 Ointment in Children and Adolescents With Plaque Psoriasis</t>
  </si>
  <si>
    <t>NCT06287450</t>
  </si>
  <si>
    <t>A Study to Describe the Safety and Immunogenicity of a Respiratory Syncytial Virus Vaccine IN006 in Healthy Adults</t>
  </si>
  <si>
    <t>NCT07145229</t>
  </si>
  <si>
    <t>Safety and Efficacy of ABP-745 in Participants With an Acute Gout Flare</t>
  </si>
  <si>
    <t>NCT07111832</t>
  </si>
  <si>
    <t>A Clinical Trial of SHR-A1811 in the Treatment of Triple-negative Breast Cancer</t>
  </si>
  <si>
    <t>NCT06557460</t>
  </si>
  <si>
    <t>A Phase IIb Randomized, Multicenter Trial of Subretinal CPCB-RPE1 in Advanced Dry AMD (Geographic Atrophy)</t>
  </si>
  <si>
    <t>Regenerative Patch Technologies, LLC</t>
  </si>
  <si>
    <t>NCT06690710</t>
  </si>
  <si>
    <t>FiH Safety and Feasibility Study Assessing Intra-articular Administration of aeGF in Patients With Knee Osteoarthritis</t>
  </si>
  <si>
    <t>Scarcell Therapeutics S.A.S.</t>
  </si>
  <si>
    <t>NCT07052214</t>
  </si>
  <si>
    <t>PSMA PET Combined With MRI for the Detection of PCa</t>
  </si>
  <si>
    <t>NCT07060989</t>
  </si>
  <si>
    <t>A Study of Safety, Tolerability and Preliminary Efficacy of NTS071 in Subjects With Advanced Solid Tumors Harboring a TP53 Y220C Mutation</t>
  </si>
  <si>
    <t>Nutshell Therapeutics (Shanghai) Co., LTD.</t>
  </si>
  <si>
    <t>NCT07063329</t>
  </si>
  <si>
    <t>Phase I/II Study of PLB1004 Combined With Platinum-based Doublet Chemotherapy in Patients With EGFR Mutation-positive</t>
  </si>
  <si>
    <t>Avistone Pharmaceutical（Ningbo）Co., LTD.</t>
  </si>
  <si>
    <t>NCT07063251</t>
  </si>
  <si>
    <t>An Clinical Study Evaluating the Safety, Tolerability, and efficAcy of HG005 in StaRgardT Disease</t>
  </si>
  <si>
    <t>NCT07001475</t>
  </si>
  <si>
    <t>A Study to Test How BI 3031185 is Tolerated by People With Borderline Personality Disorder or Attention-deficit/Hyperactivity Disorder</t>
  </si>
  <si>
    <t>NCT06887192</t>
  </si>
  <si>
    <t>A Study to Assess the Efficacy and Safety of ML-007C-MA for the Treatment of Alzheimer's Disease Psychosis</t>
  </si>
  <si>
    <t>NCT06774131</t>
  </si>
  <si>
    <t>A Phase 3 Single-arm Study of UGN-104 for the Treatment of Low-grade Upper Tract Urothelial Cancer</t>
  </si>
  <si>
    <t>NCT07153172</t>
  </si>
  <si>
    <t>Safety Follow-up Study of Participants Dosed With INV-347 in Study INV-CL-108</t>
  </si>
  <si>
    <t>NCT07090954</t>
  </si>
  <si>
    <t>A Study of GR1803 Injection in Combination With Anti-CD38 Monoclonal Antibody for the Treatment of Participants With Multiple Myeloma</t>
  </si>
  <si>
    <t>NCT07142811</t>
  </si>
  <si>
    <t>A Study to Evaluate Tobevibart+Elebsiran Versus Bulevirtide in Chronic HDV Infection</t>
  </si>
  <si>
    <t>NCT07085507</t>
  </si>
  <si>
    <t>Safety, Tolerability, Pharmacokinetics, and Pharmacodynamics of VT7208 in Healthy Participants and MS Patients</t>
  </si>
  <si>
    <t>Vidya Therapeutics Inc</t>
  </si>
  <si>
    <t>NCT06994507</t>
  </si>
  <si>
    <t>GM1 Prophylaxis for Nab-paclitaxel-associated Chemotherapy-induced Peripheral Neuropathy (CIPN) in Patients With Breast Cancer</t>
  </si>
  <si>
    <t>NCT07160244</t>
  </si>
  <si>
    <t>BEATRIX: A Study to Learn About a Group B Streptococcus Vaccine in Healthy Pregnant Women and Their Babies</t>
  </si>
  <si>
    <t>NCT07100964</t>
  </si>
  <si>
    <t>A Study in Healthy Men to Test Whether Carbamazepine Influences the Amount of Nerandomilast in the Blood</t>
  </si>
  <si>
    <t>NCT07133308</t>
  </si>
  <si>
    <t>Study to Evaluate the Efficacy and Safety of Deuruxolitinib in Adolescents With Severe Alopecia Areata</t>
  </si>
  <si>
    <t>NCT07066098</t>
  </si>
  <si>
    <t>A Multicenter Study of IBI343 Monotherapy Versus Placebo in Subjects With Previously Treated, Claudin (CLDN) 18.2-positive, Pancreatic Cancer(G-HOPE-002)</t>
  </si>
  <si>
    <t>NCT06298916</t>
  </si>
  <si>
    <t>64Cu-LNTH-1363S in Patients With Sarcoma or Gastrointestinal Tract Cancer</t>
  </si>
  <si>
    <t>NCT06920004</t>
  </si>
  <si>
    <t>A Study to Assess Efficacy and Safety of Empasiprubart Versus IVIg in Adults With CIDP</t>
  </si>
  <si>
    <t>NCT06030193</t>
  </si>
  <si>
    <t>Study of an Investigational Product, QLS-111, Provided as an Eyedrop, for Treatment of Normal Tension Glaucoma (NTG)</t>
  </si>
  <si>
    <t>NCT07109869</t>
  </si>
  <si>
    <t>Safety and Efficacy of Boric Acid Inserts for Treatment of Vulvovaginal Candidiasis</t>
  </si>
  <si>
    <t>pH-D Feminine Health LLC</t>
  </si>
  <si>
    <t>NCT07046273</t>
  </si>
  <si>
    <t>Phase III Clinical Study on the Efficacy and Safety of Semaglutide and Ozempic® in Patients With Type 2 Diabetes</t>
  </si>
  <si>
    <t>NCT06910384</t>
  </si>
  <si>
    <t>A Study of STRO4 in Patients Amyotrophic Lateral Sclerosis (ALS)</t>
  </si>
  <si>
    <t>New England Cell Therapeutics, Inc.</t>
  </si>
  <si>
    <t>NCT07177066</t>
  </si>
  <si>
    <t>A Study of EDG-15400 in Healthy Adults</t>
  </si>
  <si>
    <t>NCT07314723</t>
  </si>
  <si>
    <t>9MW2821 Combined With Toripalimab in Perioperative Patients With Urothelial Cancer</t>
  </si>
  <si>
    <t>NCT07136142</t>
  </si>
  <si>
    <t>A Phase I/II Clinical Study of FH-006 for Injection in Patients With Malignant Solid Tumors</t>
  </si>
  <si>
    <t>NCT07145333</t>
  </si>
  <si>
    <t>Pharmacogenomics ANDA SNP Clinical Study - Topotecan and Single Nucleotide Polymorphisms</t>
  </si>
  <si>
    <t>NCT07110766</t>
  </si>
  <si>
    <t>Phase Ib Clinical Study on the Efficacy and Safety of MDR-001 in Patients Who Are Obesity or Overweight</t>
  </si>
  <si>
    <t>NCT07055386</t>
  </si>
  <si>
    <t>A Study to Compare the Efficacy and Safety of GZR102 Injection and GZR18 Injection in Type 2 Diabetes Mellitus</t>
  </si>
  <si>
    <t>NCT07081646</t>
  </si>
  <si>
    <t>A Phase 1b/2 Study of CAR T Cell Therapy Targeting CD19 and BCMA in Participants With Relapsed or Refractory AL Amyloidosis.</t>
  </si>
  <si>
    <t>NCT07088068</t>
  </si>
  <si>
    <t>A Study to Investigate Efficacy and Safety of Teplizumab Compared With Placebo in Participants 1 to 25 Years of Age With Stage 3 Type 1 Diabetes</t>
  </si>
  <si>
    <t>NCT07146750</t>
  </si>
  <si>
    <t>A Bioequivalence Study of Amlitelimab Delivered by 2 Different Devices in Healthy Adult Participants</t>
  </si>
  <si>
    <t>NCT07059000</t>
  </si>
  <si>
    <t>A Study Investigating Intravenous Human Normal Immunoglobulin 10% in Adults With Chronic Immune Thrombocytopenia (ITP)</t>
  </si>
  <si>
    <t>Kedrion S.p.A.</t>
  </si>
  <si>
    <t>NCT07196501</t>
  </si>
  <si>
    <t>A Study to Evaluate the Maintenance Effect of NBI-1065845 as an Adjunctive Treatment in Participants With Major Depressive Disorder (MDD)</t>
  </si>
  <si>
    <t>NCT07086976</t>
  </si>
  <si>
    <t>A Study to Investigate the Efficacy, Safety, and Pharmacokinetics of Oral Rilzabrutinib Compared With Placebo in Participants 18 Years of Age and Older With Warm Autoimmune Hemolytic Anemia</t>
  </si>
  <si>
    <t>NCT07044336</t>
  </si>
  <si>
    <t>Puxitatug Samrotecan (AZD8205) Monotherapy vs Chemotherapy in B7-H4-selected Endometrial Cancer (Bluestar-Endometrial01)</t>
  </si>
  <si>
    <t>NCT07172516</t>
  </si>
  <si>
    <t>A Randomized Study of Azetukalner Versus Placebo in Depressive Episodes Associated With Bipolar I or II Disorder (Bipolar Depression)</t>
  </si>
  <si>
    <t>NCT07054736</t>
  </si>
  <si>
    <t>Evaluate the Efficacy and Safety of XKH001 Injection in Patients With Moderate-to-Severe Atopic Dermatitis</t>
  </si>
  <si>
    <t>Zhejiang Kanova Biopharmaceutical Co., LTD</t>
  </si>
  <si>
    <t>NCT07020117</t>
  </si>
  <si>
    <t>A Study of [225Ac]Ac-AKY-1189 in Patients With Solid Tumors</t>
  </si>
  <si>
    <t>Aktis Oncology, Inc.</t>
  </si>
  <si>
    <t>NCT07042100</t>
  </si>
  <si>
    <t>A Study to Test the Safety and Tolerability of SBO-154 in Patients With Advanced Solid Tumors.</t>
  </si>
  <si>
    <t>Sun Pharma Advanced Research Company Limited</t>
  </si>
  <si>
    <t>NCT07010835</t>
  </si>
  <si>
    <t>Study of YK012 in Moderate to Severe Systemic Lupus Erythematosus</t>
  </si>
  <si>
    <t>NCT07158918</t>
  </si>
  <si>
    <t>ABL103 in Combination With Pembrolizumab, With or Without Taxane in Advanced or Metastatic Solid Tumors</t>
  </si>
  <si>
    <t>ABL Bio, Inc.</t>
  </si>
  <si>
    <t>NCT07200908</t>
  </si>
  <si>
    <t>A Trial Evaluating Brelovitug (BJT-778) vs Bulevirtide for the Treatment of Chronic Hepatitis Delta Infection (AZURE-2)</t>
  </si>
  <si>
    <t>NCT07124117</t>
  </si>
  <si>
    <t>A Study Evaluating OBI-902 in Participants With Advanced Solid Tumors</t>
  </si>
  <si>
    <t>NCT07081932</t>
  </si>
  <si>
    <t>A Study in Healthy Men to Test How Bosentan Influences the Amount of Nerandomilast in the Blood</t>
  </si>
  <si>
    <t>NCT07026916</t>
  </si>
  <si>
    <t>A Phase II Study to Evaluate GFH375 in Patients With KRAS G12D Mutant Metastatic Pancreatic Cancer</t>
  </si>
  <si>
    <t>NCT07192692</t>
  </si>
  <si>
    <t>Food Effect Study of HSK47388 in Healthy Subjects</t>
  </si>
  <si>
    <t>NCT07209475</t>
  </si>
  <si>
    <t>Effect of Amnio-Maxx on the Healing Rate of Chronic Diabetic Foot Ulcers.</t>
  </si>
  <si>
    <t>Royal Biologics</t>
  </si>
  <si>
    <t>NCT07095309</t>
  </si>
  <si>
    <t>Safety and Effectiveness Study of Pre-operative Artesunate in Stage II/ III Colorectal Cancer</t>
  </si>
  <si>
    <t>Metanoic Health Ltd.</t>
  </si>
  <si>
    <t>NCT07139743</t>
  </si>
  <si>
    <t>Obe-cel in Refractory Progressive Forms of Multiple Sclerosis</t>
  </si>
  <si>
    <t>NCT06966024</t>
  </si>
  <si>
    <t>Study of DCC-2812 in Participants With Advanced Genitourinary Cancers</t>
  </si>
  <si>
    <t>NCT06896916</t>
  </si>
  <si>
    <t>Study of Intravenously (IV) Infused Etentamig in Combination With an Oral Cereblon E3 Ligase Modulatory Drug (CELMoD) Agent Assessing Adverse Events and Change in Disease Activity in Adult Participants With Relapsed or Refractory Multiple Myeloma</t>
  </si>
  <si>
    <t>NCT07095478</t>
  </si>
  <si>
    <t>Safety and Efficacy of Oral Artesunate for Pre-cervical Cancer</t>
  </si>
  <si>
    <t>NCT07134127</t>
  </si>
  <si>
    <t>A Study of IBI3032 in Chinese Healthy Subjects</t>
  </si>
  <si>
    <t>NCT07139431</t>
  </si>
  <si>
    <t>A Study of [89Zr]-Oxine-NCR100 Injection for the Cellular Distribution</t>
  </si>
  <si>
    <t>NCT07149454</t>
  </si>
  <si>
    <t>Clinical Trial to Evaluate the Safety, Tolerability, Pharmacokinetics, and Pharmacodynamics of Recombinant Human Anti-Tetanus Toxin Monoclonal Antibody Injection</t>
  </si>
  <si>
    <t>Lanzhou Institute of Biological Products Co., Ltd</t>
  </si>
  <si>
    <t>NCT07052383</t>
  </si>
  <si>
    <t>Safety and Efficacy of DIT309 in Advanced Bone and Soft Tissue Sarcomas</t>
  </si>
  <si>
    <t>NCT06948019</t>
  </si>
  <si>
    <t>Safety and Efficacy of AAV9/AP4B1 (BFB-101) For Patients With AP4B1-related Hereditary Spastic Paraplegia Type 47 (SPG47)</t>
  </si>
  <si>
    <t>BlackfinBio Ltd</t>
  </si>
  <si>
    <t>NCT06916169</t>
  </si>
  <si>
    <t>A Study to Evaluate the Safety and Pharmacokinetics of AG2304 Compared to Coadministration of AG23041 and AG23042</t>
  </si>
  <si>
    <t>NCT07102316</t>
  </si>
  <si>
    <t>A Study to Assess the Relative Bioavailability After a Single Inhalation Administration of Treprostinil Palmitil Inhalation Powder (TPIP) Formulation 2 (F2) to TPIP Formulation 3 (F3) in Healthy Participants</t>
  </si>
  <si>
    <t>NCT07036458</t>
  </si>
  <si>
    <t>To Evaluate the Mass Balance Recovery, Metabolite Profile and Metabolite Identification in Healthy Male Subjects</t>
  </si>
  <si>
    <t>NCT06867107</t>
  </si>
  <si>
    <t>A Long-term Follow-up Study for Participants That Completed the SAT-3247-CL-101 Study</t>
  </si>
  <si>
    <t>NCT07469228</t>
  </si>
  <si>
    <t>A Study Comparing Tretinoin Gel Microsphere, 0.04% and RETIN-A MICRO ® Gel Microsphere, 0.04% in the Treatment of Acne Vulgaris</t>
  </si>
  <si>
    <t>NCT07112222</t>
  </si>
  <si>
    <t>A Study of LM-350 in Subjects With Advanced Solid Tumours</t>
  </si>
  <si>
    <t>NCT07115251</t>
  </si>
  <si>
    <t>Plans4Care: Personalized Dementia Care on Demand</t>
  </si>
  <si>
    <t>Plans4Care Inc</t>
  </si>
  <si>
    <t>NCT07083505</t>
  </si>
  <si>
    <t>A Study Comparing the Efficacy and Safety of HB1801 With Taxotere® in Advanced Breast Cancer</t>
  </si>
  <si>
    <t>NCT07143331</t>
  </si>
  <si>
    <t>A Phase 1 Study to Assess the Safety and Effects of Single and Multiple Doses of KS101 in Healthy Volunteers</t>
  </si>
  <si>
    <t>Klotho Sciences Australia Pty Ltd.</t>
  </si>
  <si>
    <t>NCT07089875</t>
  </si>
  <si>
    <t>A Study of Dotinurad Versus Allopurinol in Participants With Gout</t>
  </si>
  <si>
    <t>Crystalys Therapeutics</t>
  </si>
  <si>
    <t>NCT06927739</t>
  </si>
  <si>
    <t>Focused Orticumab Research for Treating Inflammation in Coronary Arteries</t>
  </si>
  <si>
    <t>Abcentra</t>
  </si>
  <si>
    <t>NCT07140341</t>
  </si>
  <si>
    <t>A Clinical Study to Assess the Effectiveness of ENO Lime in Participants With Ajeerna Vyadhi (Acidity, Acid Indigestion, Indigestion, and Associated Nausea)</t>
  </si>
  <si>
    <t>NCT06798675</t>
  </si>
  <si>
    <t>Phase 2a Study for PK/PD of nC-001</t>
  </si>
  <si>
    <t>nephCentric</t>
  </si>
  <si>
    <t>NCT07101120</t>
  </si>
  <si>
    <t>A Phase 2 Study to Evaluate Efficacy and Safety of KH607 Tablets in Adult Participents With Major Depressive Disorder</t>
  </si>
  <si>
    <t>NCT07096674</t>
  </si>
  <si>
    <t>A Long-term Extension Study of ORX750 in Participants With Narcolepsy and Idiopathic Hypersomnia</t>
  </si>
  <si>
    <t>NCT06998407</t>
  </si>
  <si>
    <t>ORION-1: Study of AVZO-023 as a Single Agent and in Combination With AVZO-021, and/or Endocrine Therapy in Advanced Solid Tumors</t>
  </si>
  <si>
    <t>NCT07108114</t>
  </si>
  <si>
    <t>SLV-324 Treatment of Metastatic Solid Tumors</t>
  </si>
  <si>
    <t>NCT07112872</t>
  </si>
  <si>
    <t>A Study to Compare Different Doses of RO7795081 With a Placebo or Semaglutide in People With Type 2 Diabetes</t>
  </si>
  <si>
    <t>NCT07016269</t>
  </si>
  <si>
    <t>A Study to Evaluate the Efficacy and Safety of CnU Cap. 500 mg in Patients With Biliary Dyspepsia</t>
  </si>
  <si>
    <t>NCT07142850</t>
  </si>
  <si>
    <t>A Phase I Study of the Safety, Tolerability, Pharmacokinetics, and Pharmacodynamics of Intravenous Bolus and Infusion HRS-9190 in Healthy Adults</t>
  </si>
  <si>
    <t>NCT07106918</t>
  </si>
  <si>
    <t>A Clinical Trial of SIBP-A16 Injection in Healthy Adults</t>
  </si>
  <si>
    <t>NCT07038382</t>
  </si>
  <si>
    <t>A Study to Evaluate the Efficacy, Safety, and Tolerability of Human Sialidase Fusion Protein (HLX79) in Combination With Rituximab Injection Versus Placebo in Patients With Active Glomerulonephritis</t>
  </si>
  <si>
    <t>NCT07154706</t>
  </si>
  <si>
    <t>Phase 3 Study of Taletrectinib vs Placebo as an Adjuvant Therapy in ROS1 Positive NSCLC (TRUST-IV)</t>
  </si>
  <si>
    <t>NCT07089823</t>
  </si>
  <si>
    <t>A Study of YP05002 in Healthy Participants</t>
  </si>
  <si>
    <t>Yaopharma Co., Ltd.</t>
  </si>
  <si>
    <t>NCT07101783</t>
  </si>
  <si>
    <t>A Research Study on How a Dose of NNC0662-0419 Works in Japanese, Chinese and Non-Asian Participants Living With Overweight or Obesity</t>
  </si>
  <si>
    <t>NCT07142954</t>
  </si>
  <si>
    <t>Epidemiology and Biomarker Study in Alzheimer's Disease</t>
  </si>
  <si>
    <t>NCT07070232</t>
  </si>
  <si>
    <t>A Clinical Study to Test if an Investigational Treatment Called BNT326 is Safe and Potentially Beneficial When Used Alone or in Combination With Other Investigational Treatments Such as BNT327, for People With Advanced Malignant Tumors</t>
  </si>
  <si>
    <t>NCT07237568</t>
  </si>
  <si>
    <t>A Study to Evaluate Efficacy and Safety of LNK01001 in Adults With Ankylosing Spondylitis</t>
  </si>
  <si>
    <t>NCT07023289</t>
  </si>
  <si>
    <t>A Study to Assess Adverse Events and Change in Disease Activity in Adult Participants Receiving Intravenously Infused Telisotuzumab Adizutecan Alone or With Standard of Care in Participants With Post Adjuvant Circulating Tumor DNA Positive Colorectal Cancer and No Radiographic Evidence of Disease</t>
  </si>
  <si>
    <t>NCT07230652</t>
  </si>
  <si>
    <t>A Phase 1 MAD Study to Evaluate the Safety and Tolerability of LY03020</t>
  </si>
  <si>
    <t>NCT07066826</t>
  </si>
  <si>
    <t>Clinical Study to Evaluate the Efficacy and Safety of Huperzine A Controlled-Release Tablets in Patients With Mild-to-Moderate Dementia of the Alzheimer's Type</t>
  </si>
  <si>
    <t>NCT06398418</t>
  </si>
  <si>
    <t>R-5780-01 In Combination With PD-1 Checkpoint Inhibitors (Checkpoint Protein on Immune Cells Called T Cells) in Patients With Solid Tumors</t>
  </si>
  <si>
    <t>Rise Therapeutics LLC</t>
  </si>
  <si>
    <t>NCT07137689</t>
  </si>
  <si>
    <t>A Study of LY3537982 in Participants With Kidney Problems Compared With Participants With Normal Kidney Function</t>
  </si>
  <si>
    <t>NCT07158710</t>
  </si>
  <si>
    <t>Phase I Study of HSK42360 in Malignant Brain Tumors With BRAF V600 Mutation</t>
  </si>
  <si>
    <t>NCT07038824</t>
  </si>
  <si>
    <t>A Study in Participants With Duchenne Muscular Dystrophy Amenable to Exon 45 Skipping to Evaluate the Safety and Efficacy of ENTR-601-45</t>
  </si>
  <si>
    <t>NCT06830863</t>
  </si>
  <si>
    <t>A Study to Evaluate Topical ATR04-484 for EGFRi-Associated Dermal Toxicity</t>
  </si>
  <si>
    <t>NCT06982963</t>
  </si>
  <si>
    <t>Randomized, Double Blind, Placebo-controlled Phase 2 Study in Adults With Celiac Disease</t>
  </si>
  <si>
    <t>NCT07108699</t>
  </si>
  <si>
    <t>Evaluation of the Safety and Efficacy of HSK39004 Dry Powder Inhaler in Chinese Patients With Chronic Obstructive Pulmonary Disease (COPD)</t>
  </si>
  <si>
    <t>NCT07143227</t>
  </si>
  <si>
    <t>A Study of XW003 Injection in Chinese Adolescents With Obesity</t>
  </si>
  <si>
    <t>NCT07058077</t>
  </si>
  <si>
    <t>A Study of Enlicitide Decanoate (MK-0616, an Oral PCSK9 Inhibitor) in Children and Adolescents With Heterozygous Familial Hypercholesterolemia (MK-0616-029)</t>
  </si>
  <si>
    <t>NCT06961344</t>
  </si>
  <si>
    <t>An Open-label Extension Safety Study of MELAS Patients Who Completed TIS6463-203 (PRIZM)</t>
  </si>
  <si>
    <t>NCT07086664</t>
  </si>
  <si>
    <t>A Study to Learn About the Study Medicine Called PF-07258669 in Older Adults Including Those at Risk of Malnutrition</t>
  </si>
  <si>
    <t>NCT07116499</t>
  </si>
  <si>
    <t>A Study of K-645 in the Treatment of Multiple Migraine Attacks</t>
  </si>
  <si>
    <t>NCT07148414</t>
  </si>
  <si>
    <t>A Study of SPY072 in Rheumatic Disease</t>
  </si>
  <si>
    <t>NCT07105709</t>
  </si>
  <si>
    <t>Open-label Extension Study in Participants With Early Alzheimer's Disease</t>
  </si>
  <si>
    <t>NCT07170644</t>
  </si>
  <si>
    <t>A Study of Nirogacestat in Japanese Adults With Desmoid Tumors/Aggressive Fibromatosis (DT/AF)</t>
  </si>
  <si>
    <t>NCT07090499</t>
  </si>
  <si>
    <t>A Study to Learn About the Study Medicine Called PF-08046876 in People With Advanced Solid Tumors</t>
  </si>
  <si>
    <t>NCT07123103</t>
  </si>
  <si>
    <t>A Study of XB371 Administered in Participants With Locally Advanced or Metastatic Solid Tumors</t>
  </si>
  <si>
    <t>NCT06850870</t>
  </si>
  <si>
    <t>Door-Through-Door Companion Rideshare Technology for Individuals With Alzheimer's Disease and Related Dementias (AD/ADRD)</t>
  </si>
  <si>
    <t>Onward Health, Inc</t>
  </si>
  <si>
    <t>NCT07145918</t>
  </si>
  <si>
    <t>A Study to Assess Adverse Events, Change in Disease Activity, and How Oral Emraclidine Moves Through the Body in Adult Participants With Schizophrenia</t>
  </si>
  <si>
    <t>NCT07266779</t>
  </si>
  <si>
    <t>Bioequivalence Study of Test Product (T) of Ertugliflozin/Metformin 7.5 mg/ 1000 mg Film Coated Tablets and Reference Product (R) of Segluromet 7.5 mg/ 1000 mg Film Coated Tablets in Healthy, Adult, Human Subjects Under Fed Condition.</t>
  </si>
  <si>
    <t>NCT07111468</t>
  </si>
  <si>
    <t>Clinical Trial to Evaluate the Efficacy and Safety of YHP2401 Compared to YHR2402 and YHR2403 for Acute Bronchitis</t>
  </si>
  <si>
    <t>NCT07090655</t>
  </si>
  <si>
    <t>A Phase 1 Study of Budoprutug (TNT119) Subcutaneous and Intravenous Injections in Normal Healthy Volunteers</t>
  </si>
  <si>
    <t>NCT06989359</t>
  </si>
  <si>
    <t>Phase 2 Study of ADX-038 in Complement-Mediated Kidney Disease</t>
  </si>
  <si>
    <t>NCT07099118</t>
  </si>
  <si>
    <t>A Safety, Tolerability, Pharmacokinetics/Pharmacodynamics Study of HEC169584 Capsules in Healthy Subjects</t>
  </si>
  <si>
    <t>Sunshine Lake Pharma Co., Ltd.</t>
  </si>
  <si>
    <t>NCT07105722</t>
  </si>
  <si>
    <t>A Trial to Evaluate the Safety and Immune Response of an Investigational Pneumococcal Vaccine in Adults 50 To 64 Years of Age</t>
  </si>
  <si>
    <t>NCT07166081</t>
  </si>
  <si>
    <t>Evaluate the Pharmacokinetics, Pharmacodynamics, Safety and Tolerability of BGM0504 Tablets in Non-diabetic Overweight or Obese Adult Subjects</t>
  </si>
  <si>
    <t>NCT06997029</t>
  </si>
  <si>
    <t>A Phase 1 Study of BMS-986500 as Monotherapy or Combination Therapy in Advanced Solid Tumors</t>
  </si>
  <si>
    <t>NCT07162181</t>
  </si>
  <si>
    <t>Long-Term Safety of Pirtobrutinib in Participants With Previously Treated Types of Blood Cancers</t>
  </si>
  <si>
    <t>NCT07152639</t>
  </si>
  <si>
    <t>Clinical Trial to Evaluate the Efficacy and Safety of EEC for the Diagnosis of Mycobacterium Tuberculosis Infection in People Aged 3 Years and Above</t>
  </si>
  <si>
    <t>Chengdu CoenBiotech Co., Ltd</t>
  </si>
  <si>
    <t>NCT07104721</t>
  </si>
  <si>
    <t>A Clinical Study of YTS109 Cell for R/R Autoimmune Diseases</t>
  </si>
  <si>
    <t>NCT07118527</t>
  </si>
  <si>
    <t>A Phase III Study of SHR-A1811 in Combination With Chemotherapy and Adebrelimab in Previously Untreated Patients With Gastric or Gastroesophageal Junction Adenocarcinoma</t>
  </si>
  <si>
    <t>NCT07165886</t>
  </si>
  <si>
    <t>Sirolimus for Injection (Albumin Bound) Combined With Octreotide Long-acting Injection in Patients With Metastatic Gastroenteropancreatic Neuroendocrine Tumors</t>
  </si>
  <si>
    <t>NCT07169734</t>
  </si>
  <si>
    <t>A Study to Investigate ALE.P03 as Monotherapy in Adult Patients With Selected Advanced or Metastatic CLDN1+ Solid Tumors</t>
  </si>
  <si>
    <t>NCT06624644</t>
  </si>
  <si>
    <t>A Trial of LNS8801 With or Without Pembrolizumab in Patients With Refractory Melanoma</t>
  </si>
  <si>
    <t>Linnaeus Therapeutics, Inc.</t>
  </si>
  <si>
    <t>NCT07113392</t>
  </si>
  <si>
    <t>A Study to Evaluate the Safety, Efficacy and Pharmacokinetics of Suraxavir Marboxil for Suspension</t>
  </si>
  <si>
    <t>Jiangxi Kvvit Pharmaceutical Co., Ltd.</t>
  </si>
  <si>
    <t>NCT07210138</t>
  </si>
  <si>
    <t>Clinical Investigation of PerioGard (Test) Regimen</t>
  </si>
  <si>
    <t>NCT07123129</t>
  </si>
  <si>
    <t>A Trial of SHR-7782 for Treatment of Advanced Malignant Tumors</t>
  </si>
  <si>
    <t>NCT07146217</t>
  </si>
  <si>
    <t>Pharmacokinetic and Safety Study of Metronidazole Oral Suspension in Pediatric Patients With Anaerobic Bacterial Infection</t>
  </si>
  <si>
    <t>Saptalis Pharmaceuticals LLC</t>
  </si>
  <si>
    <t>NCT07011524</t>
  </si>
  <si>
    <t>Study of CM512 Injection in Subjects With Moderate-to-severe Asthma</t>
  </si>
  <si>
    <t>NCT06942156</t>
  </si>
  <si>
    <t>Optimize Immunosuppressive Therapy Using Everolimus and Low-dose Calcineurin Inhibitors in Heart Transplant Patients in Korea</t>
  </si>
  <si>
    <t>NCT07219485</t>
  </si>
  <si>
    <t>A Study of Pitolisant in Participants With Prader-Willi Syndrome</t>
  </si>
  <si>
    <t>NCT07104617</t>
  </si>
  <si>
    <t>Study of TY-302 Capsules Combined With Abiraterone in Patients With Metastatic Castration-resistant Prostate Cancer（mCRPC）</t>
  </si>
  <si>
    <t>NCT07238868</t>
  </si>
  <si>
    <t>An Open-label Study to Evaluate Safety, Tolerability, and Efficacy of CB03-154 in Subjects Diagnosed With Epilepsy</t>
  </si>
  <si>
    <t>NCT07138001</t>
  </si>
  <si>
    <t>Phase 2 Clinical Trial of KH617</t>
  </si>
  <si>
    <t>Sichuan Honghe Biotechnology Co., Ltd.</t>
  </si>
  <si>
    <t>NCT07033481</t>
  </si>
  <si>
    <t>Clinical Study of Neflamapimod in Patients With Primary Progressive Aphasia</t>
  </si>
  <si>
    <t>NCT07063238</t>
  </si>
  <si>
    <t>A Clinical Study of MK-8527 in Healthy Adult Participants (MK-8527-014)</t>
  </si>
  <si>
    <t>NCT07058779</t>
  </si>
  <si>
    <t>Safety, Tolerability, PK and PD of SSS55 in Healthy Subjects</t>
  </si>
  <si>
    <t>NCT07043400</t>
  </si>
  <si>
    <t>A Study to Investigate Tislelizumab Administered as Subcutaneous Injection Versus Intravenous Infusion Plus Chemotherapy in Patients With Unresectable or Metastatic Gastric or Gastroesophageal Junction Adenocarcinoma</t>
  </si>
  <si>
    <t>NCT07122687</t>
  </si>
  <si>
    <t>IBI363 Combined With Chemotherapy or Pembrolizumab Combined With Chemotherapy as Neoadjuvant Therapy in Resectable Stage IB-III Non-Squamous Non-Small Cell Lung Cancer</t>
  </si>
  <si>
    <t>NCT07098663</t>
  </si>
  <si>
    <t>Food Effect, Efficacy and Safety of MKP10241 in Healthy and Obese Adult Participants, With and Without Diabetes</t>
  </si>
  <si>
    <t>Mankind Pharma Limited</t>
  </si>
  <si>
    <t>NCT07114406</t>
  </si>
  <si>
    <t>A Study to Evaluate Safety and Efficacy of PBK_M2502</t>
  </si>
  <si>
    <t>NCT07128121</t>
  </si>
  <si>
    <t>A Phase 2 Study to Describe the Safety and Immunogenicity of Respiratory Syncytial Virus Vaccine IN006 in Healthy Participants Aged 60 Years and Older</t>
  </si>
  <si>
    <t>NCT07087158</t>
  </si>
  <si>
    <t>A Study of IBR854 Combined With Pazopanib Versus Pazopanib in Advanced Renal Cell Carcinoma</t>
  </si>
  <si>
    <t>NCT07100249</t>
  </si>
  <si>
    <t>A Study of HDM2012 in Patients With Advanced Solid Tumor</t>
  </si>
  <si>
    <t>NCT06607458</t>
  </si>
  <si>
    <t>Evaluation of the Safety and Efficacy of Treatment w/High Dose Melphalan Given Directly Into the Liver Followed by Treatment w/Approved Cancer Treatment or Approved Cancer Treatment Alone in Patients w/ Metastatic Colorectal Cancer w/Liver Dominant Disease</t>
  </si>
  <si>
    <t>Delcath Systems Inc.</t>
  </si>
  <si>
    <t>NCT07093268</t>
  </si>
  <si>
    <t>Safety of Intrathecal Riluzole in Patients With Amyotrophic Lateral Sclerosis</t>
  </si>
  <si>
    <t>Brain Trust Bio</t>
  </si>
  <si>
    <t>NCT07115368</t>
  </si>
  <si>
    <t>Study of GS-1219 in Participants With HIV-1</t>
  </si>
  <si>
    <t>NCT06629103</t>
  </si>
  <si>
    <t>A Study in Healthy Subjects to Compare the Bioavailability of EPA + DHA</t>
  </si>
  <si>
    <t>NCT07132827</t>
  </si>
  <si>
    <t>Efficacy and Safety of SHR-1905 Injection in Subjects With Chronic Rhinosinusitis With Nasal Polyps</t>
  </si>
  <si>
    <t>NCT07059403</t>
  </si>
  <si>
    <t>A Study of SN2001 Dose, Safety &amp; Immunogenicity in Healthy Adults</t>
  </si>
  <si>
    <t>Chimivac INC</t>
  </si>
  <si>
    <t>NCT06825559</t>
  </si>
  <si>
    <t>Evaluate PK &amp; Safety of Saroglitazar in Subjects With Moderate Hepatic Impairment Due to Cholestatic Liver Disease</t>
  </si>
  <si>
    <t>NCT05126888</t>
  </si>
  <si>
    <t>SCI-110 in the Treatment of Tourette Syndrome</t>
  </si>
  <si>
    <t>Neurothera Labs Inc.</t>
  </si>
  <si>
    <t>NCT07157423</t>
  </si>
  <si>
    <t>A Research Study to See How Safe is Eptacog Alfa When Used to Stop Heavy Bleeding in Women After Giving Birth in India</t>
  </si>
  <si>
    <t>NCT07376629</t>
  </si>
  <si>
    <t>A Study of HB0025 Plus Nab-paclitaxel as First Line Therapy for TNBC</t>
  </si>
  <si>
    <t>NCT06925321</t>
  </si>
  <si>
    <t>A Phase 3 Efficacy and Safety Study of Fosmanogepix for the Treatment of Adult Patients With Invasive Mold Infections.</t>
  </si>
  <si>
    <t>NCT06628947</t>
  </si>
  <si>
    <t>A Phase II Study of Intravitreal KIO-301 in Patients With Late-stage Retinitis Pigmentosa</t>
  </si>
  <si>
    <t>NCT06952478</t>
  </si>
  <si>
    <t>A Study to Compare Pharmacokinetics, Efficacy and Safety of Subcutaneous CT-P44 and Darzalex Faspro in Combination With Lenalidomide and Dexamethasone in Patients With Refractory or Relapsed Multiple Myeloma</t>
  </si>
  <si>
    <t>NCT07059312</t>
  </si>
  <si>
    <t>A Phase 1 Study of JADE101 in Healthy Participants</t>
  </si>
  <si>
    <t>Jade Biosciences, Inc.</t>
  </si>
  <si>
    <t>NCT07023315</t>
  </si>
  <si>
    <t>A Phase III Clinical Study of Cadonilimab Plus SOX as Perioperative Treatment for Patients With Resectable G/GEJ Adenocarcinoma</t>
  </si>
  <si>
    <t>NCT07083817</t>
  </si>
  <si>
    <t>Mass Balance Study of [14C]Xeruborbactam (QPX7728) in Healthy Adult Male Participants</t>
  </si>
  <si>
    <t>NCT07161180</t>
  </si>
  <si>
    <t>Evaluation of the Pharmacokinetics of "PBK_M2301" in Healthy Adults</t>
  </si>
  <si>
    <t>NCT07110441</t>
  </si>
  <si>
    <t>Pharmacokinetic Study on G1090N (Nitazoxanide) Capsules in Healthy Volunteers</t>
  </si>
  <si>
    <t>Genfit</t>
  </si>
  <si>
    <t>NCT07078695</t>
  </si>
  <si>
    <t>A Trial of SHR-1139 in Healthy Volunteers</t>
  </si>
  <si>
    <t>NCT06385522</t>
  </si>
  <si>
    <t>A Clinical Trial in Adults With Non-Hodgkin Lymphoma (NHL), With a Particular Emphasis on Cutaneous T Cell Lymphoma (CTCL), Testing the Safety and Activity of a Novel Drug to Inhibit a Protein Called Tumor Necrosis Factor Receptor 2 That Drives Both Lymphoma Growth and Escape of the Immune System</t>
  </si>
  <si>
    <t>Boston Immune Technologies and Therapeutics</t>
  </si>
  <si>
    <t>NCT07156253</t>
  </si>
  <si>
    <t>Study of SYN818 With Olaparib for the Treatment of Locally Advanced or Metastatic Solid Tumors</t>
  </si>
  <si>
    <t>NCT07034781</t>
  </si>
  <si>
    <t>A Study to Evaluate the Safety and Pharmacokinetics of Dapagliflozin, Linagliptin, and Metformin in Healthy Adults</t>
  </si>
  <si>
    <t>NCT07169942</t>
  </si>
  <si>
    <t>Aleniglipron Phase 2 Body Composition Study</t>
  </si>
  <si>
    <t>NCT07160179</t>
  </si>
  <si>
    <t>Study to Assess the Adverse Events and How Intravitreal ABBV-6628 Moves Through the Body of Adult Participants With Geographic Atrophy Secondary to Age-Related Macular Degeneration</t>
  </si>
  <si>
    <t>NCT07021976</t>
  </si>
  <si>
    <t>A Phase III Trial of HRS-1893 in Patients With Obstructive Hypertrophic Cardiomyopathy</t>
  </si>
  <si>
    <t>NCT07174115</t>
  </si>
  <si>
    <t>A Study to Evaluate the Efficacy and Safety of HTMC0658 Tablets in the Treatment of Chronic Rhinosinusitis Without Nasal Polyps</t>
  </si>
  <si>
    <t>NCT06995482</t>
  </si>
  <si>
    <t>Multiple Ascending Dose Study to Evaluate the Safety, Tolerability and Pharmacokinetics of KSHN001034 in Healthy Postmenopausal Female Volunteers</t>
  </si>
  <si>
    <t>NCT07018492</t>
  </si>
  <si>
    <t>Phase 1 Study of BPN14770 in Participants With Hepatic Impairment and Healthy Controls</t>
  </si>
  <si>
    <t>NCT07105098</t>
  </si>
  <si>
    <t>NBI-1117568-SCZ3030: Evaluation of NBI-1117568 in Inpatient Adults With Schizophrenia</t>
  </si>
  <si>
    <t>NCT06948318</t>
  </si>
  <si>
    <t>A Continuation Study of Mezagitamab in Adults With Chronic Primary Immune Thrombocytopenia</t>
  </si>
  <si>
    <t>NCT07117487</t>
  </si>
  <si>
    <t>A Study of mRNA-1345 Following a Primary Dose of a Licensed Protein Subunit Respiratory Syncytial Virus (RSV) Vaccine in Adult Participants ≥60 Years of Age</t>
  </si>
  <si>
    <t>NCT07141381</t>
  </si>
  <si>
    <t>A Study to Evaluate the Effect of Food and a Proton Pump Inhibitor on the Pharmacokinetics of VRN110755</t>
  </si>
  <si>
    <t>NCT06985147</t>
  </si>
  <si>
    <t>A Phase 2, Open-Label Study of DISC-3405 in Participants With Polycythemia Vera (PV)</t>
  </si>
  <si>
    <t>NCT07110363</t>
  </si>
  <si>
    <t>A Clinical Study of BT02 in Treating Patients With Advanced Lung Cancer</t>
  </si>
  <si>
    <t>Biotroy Therapeutics</t>
  </si>
  <si>
    <t>NCT07146386</t>
  </si>
  <si>
    <t>A Phase III Clinical Study of H077 Sustained-Release Tablets Compared With Silodosin Capsules in the Treatment of Benign Prostatic Hyperplasia</t>
  </si>
  <si>
    <t>NCT07207291</t>
  </si>
  <si>
    <t>Phase I Study of Single/Multiple Ascending Doses of JKN2501 for Injection in Chinese Healthy Volunteers</t>
  </si>
  <si>
    <t>NCT07042126</t>
  </si>
  <si>
    <t>Evaluation of 611 in Chinese Adolescents With Moderate to Severe Atopic Dermatitis</t>
  </si>
  <si>
    <t>NCT07065617</t>
  </si>
  <si>
    <t>A Study to Test How BI 1819479 is Taken up and Processed by the Body</t>
  </si>
  <si>
    <t>NCT07109609</t>
  </si>
  <si>
    <t>Topical Menthol For Tear Secretion</t>
  </si>
  <si>
    <t>Reinhold Vieth</t>
  </si>
  <si>
    <t>NCT07122063</t>
  </si>
  <si>
    <t>Clinical Study to Evaluate Safety, Tolerability, Pharmacokinetics, and Preliminary Efficacy of SYS6045 in Patients With HER2-Positive, Expressing, or Mutated Advanced Malignant Solid Tumors</t>
  </si>
  <si>
    <t>NCT07136558</t>
  </si>
  <si>
    <t>Evaluation of ICP-B794 in Patients With Advanced Solid Tumors</t>
  </si>
  <si>
    <t>NCT07030257</t>
  </si>
  <si>
    <t>Study of CP-383 in Patients With Advanced or Metastatic Solid Tumors</t>
  </si>
  <si>
    <t>Tasca Therapeutics</t>
  </si>
  <si>
    <t>NCT07191899</t>
  </si>
  <si>
    <t>To Evaluate the Efficacy and Safety of KN060 in Essential Hypertension</t>
  </si>
  <si>
    <t>NCT07030127</t>
  </si>
  <si>
    <t>A Study of LY3985863 in Healthy Participants</t>
  </si>
  <si>
    <t>NCT06977724</t>
  </si>
  <si>
    <t>A Study to Assess Adverse Events, How the Drug Moves Through the Body and Effectiveness of Intravenous Infusions of ABBV-319 in Adult Participants With Systemic Lupus Erythematosus (SLE) and Sjogren's Disease (SjD)</t>
  </si>
  <si>
    <t>NCT07103668</t>
  </si>
  <si>
    <t>A Phase III Randomized Study in CLDN18.2-positive Unresectable Locally Advanced Gastric Cancer Patients</t>
  </si>
  <si>
    <t>Suzhou Immunofoco Biotechnology Co., Ltd</t>
  </si>
  <si>
    <t>NCT07036159</t>
  </si>
  <si>
    <t>A Study to Assess the Safety and Immunogenicity of a Vaccine Against Malaria in Healthy Children Aged 5-60 Months</t>
  </si>
  <si>
    <t>NCT07168720</t>
  </si>
  <si>
    <t>The Study is Being Conducted to Evaluate the Efficacy and Safety of Dexmedetomidine Hydrochloride Microneedles for Preoperative Sedation in Children</t>
  </si>
  <si>
    <t>Guangzhou Novaken Pharm Co., Ltd.</t>
  </si>
  <si>
    <t>NCT07133815</t>
  </si>
  <si>
    <t>Evaluate the Long-term Efficacy and Safety of SHR-1918 in Patients With Homozygous Familial Hypercholesterolemia</t>
  </si>
  <si>
    <t>NCT07083960</t>
  </si>
  <si>
    <t>OM336 in Autoimmune Cytopenias</t>
  </si>
  <si>
    <t>Ouro Medicines</t>
  </si>
  <si>
    <t>NCT07113925</t>
  </si>
  <si>
    <t>A Clinical Trial Evaluating TQB2101 in Subjects With Advanced Hematologic Malignancies</t>
  </si>
  <si>
    <t>NCT07133750</t>
  </si>
  <si>
    <t>PM8002 (BNT327) in Combination With Chemotherapy in Patients With Metastatic Colorectal Cancer</t>
  </si>
  <si>
    <t>NCT06979596</t>
  </si>
  <si>
    <t>A Study of MK-5684 in People With Certain Solid Tumors (MK-5684-015/OMAHA-015)</t>
  </si>
  <si>
    <t>NCT07100938</t>
  </si>
  <si>
    <t>A Study Investigating the Efficacy and Safety of BGB-45035 Versus Placebo in Adults With Moderate to Severe Active Rheumatoid Arthritis</t>
  </si>
  <si>
    <t>NCT07067775</t>
  </si>
  <si>
    <t>Pharmacokinetic/Pharmacodynamic Study of Vicagrel Capsules and Clopidogrel Tablets in Healthy CYP2C19 Normal Metabolizers</t>
  </si>
  <si>
    <t>NCT07160257</t>
  </si>
  <si>
    <t>A Study to Evaluate the Effect of Maridebart Cafraglutide on Insulin Sensitivity and β-cell Function in Participants With Type 2 Diabetes Mellitus</t>
  </si>
  <si>
    <t>NCT07136103</t>
  </si>
  <si>
    <t>A Study to Evaluate the Safety, Tolerability, Pharmacokinetics and Immunogenicity of ABBV-277 in Healthy Adult Participants</t>
  </si>
  <si>
    <t>NCT07115446</t>
  </si>
  <si>
    <t>Phase Ib Study of HS-20093+HRS-5041 in Patients With Advanced Prostate Cancer</t>
  </si>
  <si>
    <t>NCT07147400</t>
  </si>
  <si>
    <t>Pfs230D1 + R21 in Matrix-M1 in African School Children and Adults</t>
  </si>
  <si>
    <t>NCT07141004</t>
  </si>
  <si>
    <t>A Study of Guselkumab Administered Subcutaneously in Treatment of Indian Participants With Psoriatic Arthritis (PsA)</t>
  </si>
  <si>
    <t>NCT06980649</t>
  </si>
  <si>
    <t>Study of BHV-1300 in Graves' Disease</t>
  </si>
  <si>
    <t>NCT07201467</t>
  </si>
  <si>
    <t>To Assess the Safety, Tolerability, Pharmacokinetics and Pharmacodynamics of KN060 in ESRD Dialysis Patients</t>
  </si>
  <si>
    <t>NCT07210047</t>
  </si>
  <si>
    <t>Study of HuL001 in Relapsed/Refractory Multiple Myeloma Patients</t>
  </si>
  <si>
    <t>HuniLife Biotechnology, Inc.</t>
  </si>
  <si>
    <t>NCT07118878</t>
  </si>
  <si>
    <t>A Multiple Ascending Dose Study With AGMB-129 in Healthy Participants</t>
  </si>
  <si>
    <t>Agomab Spain S.L.U.</t>
  </si>
  <si>
    <t>NCT07105176</t>
  </si>
  <si>
    <t>HS-IT101 Injection for Advanced NSCLC</t>
  </si>
  <si>
    <t>NCT07019922</t>
  </si>
  <si>
    <t>A Clinical Trial of Elsunersen in Pediatric SCN2A-DEE to Assess Efficacy and Safety</t>
  </si>
  <si>
    <t>NCT07124793</t>
  </si>
  <si>
    <t>A Study of IBI363 Combination Therapy in Participants With Advanced Solid Tumors</t>
  </si>
  <si>
    <t>NCT07121192</t>
  </si>
  <si>
    <t>A Study to Assess the Immune Response and Safety of a Vaccine Against Influenza in Adults 18 Years of Age and Older</t>
  </si>
  <si>
    <t>NCT06749236</t>
  </si>
  <si>
    <t>A Study to Evaluate the Bioavailability of Two Specifications of Oral Deuremidevir Hydrobromide for Suspension</t>
  </si>
  <si>
    <t>NCT07139548</t>
  </si>
  <si>
    <t>A Study of RAY1225 Versus Semaglutide as Add-on Therapy to Oral Antidiabetic Drugs in Participants With Type 2 Diabetes</t>
  </si>
  <si>
    <t>NCT07081503</t>
  </si>
  <si>
    <t>Phase 1 Study of ADX-626 in Healthy Participants</t>
  </si>
  <si>
    <t>NCT07087197</t>
  </si>
  <si>
    <t>A Study of SKB107 in Advanced Solid Tumors With Bone Metastases</t>
  </si>
  <si>
    <t>NCT06989645</t>
  </si>
  <si>
    <t>A Phase 1/2a Study to Evaluate Single Intraarticular Injections of 3 Dose Levels of SYN321 and Placebo in Patients With Symptomatic Knee Osteoarthritis</t>
  </si>
  <si>
    <t>Synartro AB</t>
  </si>
  <si>
    <t>NCT07076095</t>
  </si>
  <si>
    <t>A Phase II/III Study of IBB0979 in Combination With Topotecan Versus Topotecan in Relapsed Small Cell Lung Cancer</t>
  </si>
  <si>
    <t>NCT06449001</t>
  </si>
  <si>
    <t>Study of Danicopan as Add-on Treatment to Ravulizumab or Eculizumab in Pediatric Participants With PNH Who Have Clinically Significant Extravascular Hemolysis</t>
  </si>
  <si>
    <t>NCT07094516</t>
  </si>
  <si>
    <t>A Clinical Trial to Learn About the Effects of VHB937 in People With Early Alzheimer's Disease</t>
  </si>
  <si>
    <t>NCT06971939</t>
  </si>
  <si>
    <t>Phase 4 Study: Long-term Safety and Efficacy of NT-501 in MacTel Type 2, Including Sham Procedure Participants</t>
  </si>
  <si>
    <t>NCT06677229</t>
  </si>
  <si>
    <t>Phase 1b/2a Clinical Trial to Determine the Safety, Tolerability and Efficacy of TZ-161 in Spinal Cord Injury</t>
  </si>
  <si>
    <t>NCT07018700</t>
  </si>
  <si>
    <t>A Clinical Trial to Evaluate Efficacy and Safety of Xeomin® Injections for Preventing Episodic Migraine</t>
  </si>
  <si>
    <t>Merz Therapeutics GmbH</t>
  </si>
  <si>
    <t>NCT07110571</t>
  </si>
  <si>
    <t>A Trial of Adebrelimab Plus (SHR-A1811/SHR-A1904 With Chemotherapy) or SHR-8068 as Treatment for Gastric/GEJ Cancer</t>
  </si>
  <si>
    <t>NCT07122076</t>
  </si>
  <si>
    <t>GT719 Injection for Moderate to Severe Refractory Autoimmune Diseases</t>
  </si>
  <si>
    <t>NCT07117669</t>
  </si>
  <si>
    <t>Study of ENP-501 in Peanut-Allergic and Non-Allergic Participants</t>
  </si>
  <si>
    <t>N-Fold, LLC</t>
  </si>
  <si>
    <t>NCT07042594</t>
  </si>
  <si>
    <t>Single Ascending Doses Phase I Study to Evaluate the Safety and Pharmacokinetics of RBD1119 in Healthy Participants</t>
  </si>
  <si>
    <t>Suzhou Ribo Life Science Co. Ltd.</t>
  </si>
  <si>
    <t>NCT07137910</t>
  </si>
  <si>
    <t>A Study to Evaluate the Efficacy and Safety of AHB-137 Injection in Participants With Chronic Hepatitis B (CHB)</t>
  </si>
  <si>
    <t>NCT06975150</t>
  </si>
  <si>
    <t>Efficacy and Safety of HK-660S in the Treatment of Primary Sclerosing Cholangitis</t>
  </si>
  <si>
    <t>CuromeBiosciences</t>
  </si>
  <si>
    <t>NCT07146191</t>
  </si>
  <si>
    <t>RE104 Radiolabeled Mass Balance (hAME) Study</t>
  </si>
  <si>
    <t>NCT07144098</t>
  </si>
  <si>
    <t>Study of Pharmacokinetics and Safety of GZR18 Injection in Subjects With Liver Insufficiency and Normal Liver Function</t>
  </si>
  <si>
    <t>NCT07147049</t>
  </si>
  <si>
    <t>Evaluate the Safety and Efficacy of HL-1186 Tablet for Moderate to Severe Acute Pain After Surgery</t>
  </si>
  <si>
    <t>NCT07024589</t>
  </si>
  <si>
    <t>First-in-Human Trial of Oral AN2-502998</t>
  </si>
  <si>
    <t>AN2 Therapeutics, Inc</t>
  </si>
  <si>
    <t>NCT07133802</t>
  </si>
  <si>
    <t>Clinical Trial to Evaluate the Protective Efficacy and Safety of a Nasal Spray Live Attenuated Influenza Vaccine (LAIV) in Adults Aged 18-59 Years Post-Vaccination</t>
  </si>
  <si>
    <t>NCT07158112</t>
  </si>
  <si>
    <t>Assessing Gingivitis and Plaque From a Marketed Toothpaste</t>
  </si>
  <si>
    <t>NCT07024277</t>
  </si>
  <si>
    <t>Study of ZG006 in Participants With Neuroendocrine Prostate Cancer</t>
  </si>
  <si>
    <t>NCT07044765</t>
  </si>
  <si>
    <t>A Study to Evaluate the Safety and Pharmacokinetics of Dapagliflozin, Linagliptin, and Metformin in Healthy Adults: Fed State Study</t>
  </si>
  <si>
    <t>NCT07081633</t>
  </si>
  <si>
    <t>Durvalumab and Tremelimumab With Lenvatinib as First-line Treatment in Patients With Unresectable Hepatocellular Carcinoma</t>
  </si>
  <si>
    <t>NCT07144111</t>
  </si>
  <si>
    <t>A Study to Evaluate the Effect of Moderate or Severe Hepatic Impairment on the Pharmacokinetics (PK) of Inavolisib</t>
  </si>
  <si>
    <t>NCT07130097</t>
  </si>
  <si>
    <t>A Study to Compare Two Tablet Formulations of Study Medicine Atirmociclib in Healthy Participants</t>
  </si>
  <si>
    <t>NCT07139535</t>
  </si>
  <si>
    <t>A Study of RAY1225 in Participants With Type 2 Diabetes Not Controlled With Diet and Exercise Alone</t>
  </si>
  <si>
    <t>NCT06994650</t>
  </si>
  <si>
    <t>A Multicenter, Randomized, Double-blind, Placebo-controlled Phase III Clinical Study to Evaluate the Efficacy and Safety of HRS9531 Injection in Subjects With Obstructive Sleep Apnea (OSA) and Obesity Who Are on Positive Airway Pressure Ventilation (PAP) Therapy</t>
  </si>
  <si>
    <t>NCT07024797</t>
  </si>
  <si>
    <t>Study to Assess the Adverse Events, Tolerability, and How Oral Doses of ABBV-932 Moves Through the Body in Healthy Adult Chinese Participants</t>
  </si>
  <si>
    <t>NCT07122986</t>
  </si>
  <si>
    <t>A Study to Learn About a Vaccine Against E Coli in Healthy Adults</t>
  </si>
  <si>
    <t>NCT07089888</t>
  </si>
  <si>
    <t>A Study of Dotinurad Versus Allopurinol in Tophaceous Gout</t>
  </si>
  <si>
    <t>NCT07082686</t>
  </si>
  <si>
    <t>A Study to Evaluate the Efficacy and Safety of ICP-248 in Subjects With Relapsed or Refractory Mantle Cell Lymphoma (APEX-06)</t>
  </si>
  <si>
    <t>NCT07142642</t>
  </si>
  <si>
    <t>A Study to Evaluate Pharmacokinetics, Safety, and Tolerability of Teprotumumab (AMG 632) Administered Intravenously in Healthy Chinese Participants</t>
  </si>
  <si>
    <t>NCT07121023</t>
  </si>
  <si>
    <t>To Evaluate the Safety, Efficacy and Kinetic Characteristics of TRD205 Tablets for Postoperative Analgesia After Unilateral Hallux Valgus Orthopedic Surgery</t>
  </si>
  <si>
    <t>NCT07143604</t>
  </si>
  <si>
    <t>A Study to Investigate the Effects of AZD0901 Monotherapy in Adult Participants With 2L+ Advanced or Metastatic Gastric or GEJ Adenocarcinoma Expressing CLDN18.2</t>
  </si>
  <si>
    <t>NCT07078994</t>
  </si>
  <si>
    <t>Clinical Study of the Efficacy, Safety, Pharmacokinetics, Pharmacodynamics, and Immunogenicity of BCD-261 in Subjects With Moderate to Severe Active Crohn's Disease</t>
  </si>
  <si>
    <t>NCT07266766</t>
  </si>
  <si>
    <t>Bioequivalence Study to Compare Empagliflozin / Metformin 25 mg/ 1000 mg Extended-Release Tablet Versus Synjardy XR Tablets 25mg/1000mg</t>
  </si>
  <si>
    <t>NCT07026279</t>
  </si>
  <si>
    <t>A Study of Narmafotinib Given in Combination With Modified FOLFIRINOX in Patients With Metastatic Pancreatic Cancer</t>
  </si>
  <si>
    <t>Amplia Therapeutics Limited</t>
  </si>
  <si>
    <t>NCT05982522</t>
  </si>
  <si>
    <t>IN10018 Combination Therapy in Previously-treated Solid Tumors</t>
  </si>
  <si>
    <t>InxMed (Shanghai) Co., Ltd.</t>
  </si>
  <si>
    <t>NCT07036029</t>
  </si>
  <si>
    <t>NAL ER IPF Respiratory Function and Safety Study</t>
  </si>
  <si>
    <t>NCT07091357</t>
  </si>
  <si>
    <t>A Clinical Study on the Efficacy, Safety, Pharmacokinetics and Pharmacodynamics of SHR-1819 Injection in Patients With Seasonal Allergic Rhinitis</t>
  </si>
  <si>
    <t>NCT07167758</t>
  </si>
  <si>
    <t>A Study Evaluating TRIV-509 in Atopic Dermatitis</t>
  </si>
  <si>
    <t>Triveni Bio</t>
  </si>
  <si>
    <t>NCT07146971</t>
  </si>
  <si>
    <t>Clinical Evaluation of Skin Microbiome an Over-The-Counter (OTC) Drug for Atopic Dermatitis</t>
  </si>
  <si>
    <t>Good Molecules, LLC</t>
  </si>
  <si>
    <t>NCT07096843</t>
  </si>
  <si>
    <t>A Phase 2 Study of Budoprutug in Subjects With Primary Membranous Nephropathy</t>
  </si>
  <si>
    <t>NCT07104643</t>
  </si>
  <si>
    <t>Study of TYK-00540 Combined With Enzalutamide in Patients With Metastatic Castration-resistant Prostate Cancer（mCRPC）</t>
  </si>
  <si>
    <t>NCT07185815</t>
  </si>
  <si>
    <t>Pharmacokinetics, Safety, Tolerability and Efficacy of a Subcutaneous Long-Acting Injection of Cariprazine (Cariprazine Depot) in Subjects Eligible for Treatment With Oral Cariprazine</t>
  </si>
  <si>
    <t>Mapi Pharma Ltd.</t>
  </si>
  <si>
    <t>NCT07042516</t>
  </si>
  <si>
    <t>Safety and Efficacy of Asimadoline (TP0052) in Patients With Vasomotor Symptoms (VMS).</t>
  </si>
  <si>
    <t>Tioga Pharmaceuticals</t>
  </si>
  <si>
    <t>NCT07076199</t>
  </si>
  <si>
    <t>A Research Study to See How a Weekly Insulin, Insulin Icodec, Helps in Reducing the Blood Sugar Compared to Daily Insulin Glargine, Both in Combination With Insulin Aspart, in Adults With Type 1 Diabetes</t>
  </si>
  <si>
    <t>NCT07150845</t>
  </si>
  <si>
    <t>Phase 2b Study of EVO756 in Adults With Atopic Dermatitis</t>
  </si>
  <si>
    <t>NCT07105111</t>
  </si>
  <si>
    <t>A Study to Evaluate the Effectiveness of Valbenazine in Adult Participants With Tardive Dyskinesia (TD) Who Remain Symptomatic While Receiving or After Stopping a Vesicular Monoamine Transporter 2 (VMAT2) Inhibitor</t>
  </si>
  <si>
    <t>NCT06973863</t>
  </si>
  <si>
    <t>A Study of PEP08 in Patients With MTAP-Del Advanced or Metastatic Solid Tumors</t>
  </si>
  <si>
    <t>NCT07100119</t>
  </si>
  <si>
    <t>A Study of LY4256984 in Participants With Sporadic Amyotrophic Lateral Sclerosis</t>
  </si>
  <si>
    <t>NCT07092865</t>
  </si>
  <si>
    <t>A Study Evaluating Persistence of the Immune Response of the Adjuvanted Respiratory Syncytial Virus (RSV) Vaccine and the Safety and Immune Response Following Revaccination in Adults 18 Years of Age and Above Who Received Lung or Kidney Transplant</t>
  </si>
  <si>
    <t>NCT06989671</t>
  </si>
  <si>
    <t>SYS6002 Plus JMT101 and Enlonstobart Injection in Participants With HNSCC</t>
  </si>
  <si>
    <t>NCT07154342</t>
  </si>
  <si>
    <t>A Study of IL4Rα Monoclonal Antibody in Patients With Seasonal Allergic Rhinitis</t>
  </si>
  <si>
    <t>NCT06940141</t>
  </si>
  <si>
    <t>Rademikibart Add-on Treatment of an Acute Asthma Exacerbation (Seabreeze STAT Asthma)</t>
  </si>
  <si>
    <t>Connect Biopharm LLC</t>
  </si>
  <si>
    <t>NCT07116915</t>
  </si>
  <si>
    <t>A Phase I Study of the Safety, Tolerability, Pharmacokinetics, and Pharmacodynamics for a Single Dose of HRS-9821 Powder for Inhalation and Inhalation Suspension Administered in Healthy Subjects and Multiple Doses in Patients With COPD.</t>
  </si>
  <si>
    <t>NCT07140380</t>
  </si>
  <si>
    <t>Phase 2b Controlled Study</t>
  </si>
  <si>
    <t>NCT07128303</t>
  </si>
  <si>
    <t>Study of GS-5319 in Adults With Solid Tumors</t>
  </si>
  <si>
    <t>NCT07121959</t>
  </si>
  <si>
    <t>A Study of Belzutifan (MK-6482) and Metformin in Healthy Adult Participants (MK-6482-039)</t>
  </si>
  <si>
    <t>NCT07127042</t>
  </si>
  <si>
    <t>Study on BT-114143 Reducing Perioperative Bleeding in Total Knee Arthroplasty（TKA）</t>
  </si>
  <si>
    <t>NCT07122193</t>
  </si>
  <si>
    <t>A Study of NT 201 in Adults With Moderate to Severe Platysma Prominence in the United States</t>
  </si>
  <si>
    <t>Merz North America, Inc.</t>
  </si>
  <si>
    <t>NCT07149376</t>
  </si>
  <si>
    <t>To Assess the Efficacy of a Toothpaste Containing 8% Arginine as Compared to Colgate Cavity Protection Toothpaste in the Reduction of Dentinal Hypersensitivity.</t>
  </si>
  <si>
    <t>NCT05618925</t>
  </si>
  <si>
    <t>Study for Subjects With Relapsed/Refractory Non- Hodgkin Lymphoma</t>
  </si>
  <si>
    <t>NCT07049939</t>
  </si>
  <si>
    <t>A Study of Bomedemstat (MK-3543) in Participants With Mild or Moderate Hepatic Impairment (MK-3543-023)</t>
  </si>
  <si>
    <t>NCT06947967</t>
  </si>
  <si>
    <t>Tucidinostat in Combination With CHOP in Newly Diagnosed Peripheral T-Cell Lymphoma With Follicular Helper of T Cell Phenotype</t>
  </si>
  <si>
    <t>NCT07154901</t>
  </si>
  <si>
    <t>Investigation of the Effects of Renal Impairment on the Pharmacokinetics, Safety, and Tolerability of Opemalirsen (AZD2373)</t>
  </si>
  <si>
    <t>NCT07005102</t>
  </si>
  <si>
    <t>A Study to Assess Adverse Events, Change in Disease Activity of Intravenous Telisotuzumab Adizutecan in Combination With Osimertinib as First-Line Treatment in Adult Participants With Locally Advanced Unresectable or Metastatic EGFR-Mutated Non-Squamous Non-Small Cell Lung Cancer</t>
  </si>
  <si>
    <t>NCT07114601</t>
  </si>
  <si>
    <t>A Study of LY4257496 in Participants With Cancer (OMNIRAY)</t>
  </si>
  <si>
    <t>NCT06952803</t>
  </si>
  <si>
    <t>A Study of Metastases Free Survival With Saruparib vs Placebo Added to a Standard RT/ADT in Men With High-risk Prostate Cancer With a BRCA Mutation</t>
  </si>
  <si>
    <t>NCT07283796</t>
  </si>
  <si>
    <t>A Study to Assess PK, Safety and Efficacy of HSK47977 Tablets in Subjects With Relapsed or Refractory Non-Hodgkin's Lymphoma</t>
  </si>
  <si>
    <t>NCT07095855</t>
  </si>
  <si>
    <t>A Phase III Study to Evaluate the Efficacy and Safety of ZM-H1505R in Patients With CHB</t>
  </si>
  <si>
    <t>NCT07213583</t>
  </si>
  <si>
    <t>Study of Re-Treatment With ALXN2220 in Patients With ATTR-CM</t>
  </si>
  <si>
    <t>Neurimmune AG</t>
  </si>
  <si>
    <t>NCT07040930</t>
  </si>
  <si>
    <t>Assessment of the Safety, Tolerability, Pharmacokinetics, and Pharmacodynamics of Multiple Subcutaneous Injections of GenSci120 in Healthy Adult Participants in China.</t>
  </si>
  <si>
    <t>NCT06947304</t>
  </si>
  <si>
    <t>Evaluation of Miricorilant on Liver Fat in Patients With MASLD</t>
  </si>
  <si>
    <t>NCT07100418</t>
  </si>
  <si>
    <t>A Clinical Study Evaluating the Efficacy and Safety of HRS-7249 in Treating Patients With Hyperlipidemia</t>
  </si>
  <si>
    <t>NCT07151040</t>
  </si>
  <si>
    <t>Phase 1/2 Study to Evaluate TH9619 in the Treatment of Advanced Solid Tumors</t>
  </si>
  <si>
    <t>One-carbon Therapeutics AB</t>
  </si>
  <si>
    <t>NCT07029412</t>
  </si>
  <si>
    <t>Study to Evaluate Efficacy and Dose Response of Imapextide (STEADI)</t>
  </si>
  <si>
    <t>NCT07118709</t>
  </si>
  <si>
    <t>A Study of KC1086 in Patients With Advanced Solid Tumors</t>
  </si>
  <si>
    <t>NCT07150663</t>
  </si>
  <si>
    <t>Nanocrystalline Megestrol Acetate in Concurrent Chemoradiotherapy for Locally Advanced Non-Small Cell Lung Cancer</t>
  </si>
  <si>
    <t>NCT07134465</t>
  </si>
  <si>
    <t>Clinical Study to Evaluate the Effect of Itraconazole on the Pharmacokinetics of HSK31858 in Healthy Subjects</t>
  </si>
  <si>
    <t>NCT07054567</t>
  </si>
  <si>
    <t>A Study of BL-B01D1 + Pembrolizumab ± Bevacizumab in Patients With Recurrent or Metastatic Cervical Cancer and Endometrial Cancer</t>
  </si>
  <si>
    <t>NCT06853184</t>
  </si>
  <si>
    <t>Study Evaluating the Efficacy and Safety of Artesunate</t>
  </si>
  <si>
    <t>Amivas Inc.</t>
  </si>
  <si>
    <t>NCT07164833</t>
  </si>
  <si>
    <t>A Study to Evaluate the Efficacy and Safety of BX-001N in Preventing Cardiac Surgery-Associated Acute Kidney Injury (CSA-AKI) and Major Adverse Kidney Events (MAKE)</t>
  </si>
  <si>
    <t>Bilix Co.,Ltd.</t>
  </si>
  <si>
    <t>NCT06994897</t>
  </si>
  <si>
    <t>A Study to Learn How Different Amounts of the Study Medicine Called PF-07985631 Are Tolerated and Act in the Body of Healthy Adults</t>
  </si>
  <si>
    <t>NCT07118449</t>
  </si>
  <si>
    <t>Epicardial Delivery of XC001 Gene Therapy to Promote Angiogenesis in CAD Patients Undergoing Treatment With CABG</t>
  </si>
  <si>
    <t>NCT07068958</t>
  </si>
  <si>
    <t>A Study Evaluating the Efficacy and Safety of RCI001 Ophthalmic Solution Compared to Placebo in Subjects With Dry Eye</t>
  </si>
  <si>
    <t>ORA, Inc.</t>
  </si>
  <si>
    <t>NCT07107178</t>
  </si>
  <si>
    <t>A Clinical Study of BT02 for the Treatment of Patients With Advanced Malignant Melanoma</t>
  </si>
  <si>
    <t>NCT07059650</t>
  </si>
  <si>
    <t>DZD8586 Combination Therapy in Patients With Diffuse Large B-cell Lymphoma (TAI-SHAN12)</t>
  </si>
  <si>
    <t>NCT07102251</t>
  </si>
  <si>
    <t>A Study to Evaluate the Safety, Tolerability, PK/PD of HEC-007 Injection in Healthy and Overweight/Obese Subjects</t>
  </si>
  <si>
    <t>NCT07029581</t>
  </si>
  <si>
    <t>Phase 2, Efficacy and Safety Study of ACP-204 in Lewy Body Dementia Psychosis</t>
  </si>
  <si>
    <t>NCT07027072</t>
  </si>
  <si>
    <t>Study to Evaluate the Efficacy and Safety of KDS2010 in Patients With Alzheimer's Disease With Mild Cognitive Impairment and Mild Dementia Due to Alzheimer's Disease</t>
  </si>
  <si>
    <t>NCT07019675</t>
  </si>
  <si>
    <t>A Study of SKB518 in Patients With Lung Cancer</t>
  </si>
  <si>
    <t>NCT06908928</t>
  </si>
  <si>
    <t>A Dose Randomization Study of Bulumtatug Fuvedotin in TNBC Patients Previously Treated With ADCs</t>
  </si>
  <si>
    <t>NCT07195175</t>
  </si>
  <si>
    <t>Study of MAR002 in Healthy Men</t>
  </si>
  <si>
    <t>NCT07121153</t>
  </si>
  <si>
    <t>A Research Study on How NNC0487-0111, a New Medicine, Works in Chinese Participants When Injected Under the Skin.</t>
  </si>
  <si>
    <t>NCT07083739</t>
  </si>
  <si>
    <t>A Study on the Safety and Efficacy of TQB3473 Tablets in the Treatment of Persistent or Chronic Primary Immune Thrombocytopenia (ITP) in Adults</t>
  </si>
  <si>
    <t>NCT06868485</t>
  </si>
  <si>
    <t>A Study to Assess the Efficacy of WSD0922-FU in Patients With C797S+ Advanced Non-small Cell Lung Cancer</t>
  </si>
  <si>
    <t>NCT07084961</t>
  </si>
  <si>
    <t>A Pharmacodynamic Study of TS-172 in Healthy Adult Male Subjects</t>
  </si>
  <si>
    <t>NCT06995625</t>
  </si>
  <si>
    <t>The STem Cell-derived Extracellular Vesicle Therapy In Acute Ischemic Stroke (STEVIA)</t>
  </si>
  <si>
    <t>S&amp;Ebio Co. Ltd.</t>
  </si>
  <si>
    <t>NCT06815471</t>
  </si>
  <si>
    <t>CRF2 Agonist for the Treatment of Worsening Heart Failure</t>
  </si>
  <si>
    <t>Corteria Pharmaceuticals</t>
  </si>
  <si>
    <t>NCT07011771</t>
  </si>
  <si>
    <t>A Clinical Trial of CAP-003 Gene Therapy in Adult Patients With GBA1 Associated Parkinson's Disease</t>
  </si>
  <si>
    <t>NCT07080775</t>
  </si>
  <si>
    <t>The Safety and Tolerability of XS411CN Injection in Treatment of Primary Parkinson's Disease</t>
  </si>
  <si>
    <t>NCT07136012</t>
  </si>
  <si>
    <t>OCEAN(a)-PreEvent - Olpasiran Trials of Cardiovascular Events And LipoproteiN(a) Reduction to Prevent First Major Cardiovascular Events</t>
  </si>
  <si>
    <t>NCT06938334</t>
  </si>
  <si>
    <t>A First-in-human Clinical Trial Using a Gene Therapy With Patient's Own Stem Cells to Treat Early Type 1 Diabetes</t>
  </si>
  <si>
    <t>Altheia Science</t>
  </si>
  <si>
    <t>NCT07147348</t>
  </si>
  <si>
    <t>A First-in-human, Dose Escalation and Indication Expansion Study of BNT3212 as Monotherapy or in Combination With BNT327 in Adults With Advanced Solid Tumors</t>
  </si>
  <si>
    <t>NCT06397144</t>
  </si>
  <si>
    <t>A Study on 2 Different Combination Tablets of Nirmatrelvir Plus Ritonavir to Compare Them With Marketed Paxlovid in Healthy Participants</t>
  </si>
  <si>
    <t>NCT07188012</t>
  </si>
  <si>
    <t>Safety and Dystrophin Expression of SPOT-mRNA03 in Duchenne Muscular Dystrophy (DMD) Patients</t>
  </si>
  <si>
    <t>Shanghai Siponuoyin Biotechnology Co Ltd</t>
  </si>
  <si>
    <t>NCT06216366</t>
  </si>
  <si>
    <t>Rhu-pGSN to Mitigate Proinflammatory Responses to Decompression in Healthy SCUBA Divers</t>
  </si>
  <si>
    <t>NCT07112339</t>
  </si>
  <si>
    <t>A Research Study to See How Well Weekly Insulin Icodec Maintains Blood Sugar Levels Compared to Daily Basal Insulins in Adults With Type 2 Diabetes</t>
  </si>
  <si>
    <t>NCT07152002</t>
  </si>
  <si>
    <t>A Study of LY4064912 in Healthy Participants and With Overweight or Obesity</t>
  </si>
  <si>
    <t>NCT07055451</t>
  </si>
  <si>
    <t>Study of Bictegravir/Emtricitabine/Tenofovir Alafenamide in Newborns Exposed to HIV</t>
  </si>
  <si>
    <t>NCT07088822</t>
  </si>
  <si>
    <t>A Phase 1 Study Evaluating the Safety, Tolerability, and Immunogenicity of V4020 Vaccine in Healthy Volunteers</t>
  </si>
  <si>
    <t>Medigen, Inc.</t>
  </si>
  <si>
    <t>NCT06508931</t>
  </si>
  <si>
    <t>Safety and Efficacy Study of Zamtocabtagene Autoleucel (MB-CART2019.1) in Pediatric Patients With R/R B-Cell Neoplasms</t>
  </si>
  <si>
    <t>NCT06994195</t>
  </si>
  <si>
    <t>A Study Comparing BL-B01D1 With the Investigator's Choice of Chemotherapy in Patients With Platinum-resistant Recurrent Epithelial Ovarian Cancer</t>
  </si>
  <si>
    <t>NCT07098052</t>
  </si>
  <si>
    <t>A Study of HDM2020 in Patients With Advanced Solid Tumors</t>
  </si>
  <si>
    <t>NCT07246889</t>
  </si>
  <si>
    <t>Study of AHB-137 in Participants With Chronic Hepatitis B (CHB) Treated With Nucleos(t)Ide Analogues (NAs)(AUSHINE)</t>
  </si>
  <si>
    <t>NCT07079579</t>
  </si>
  <si>
    <t>Enarodustat Tablets at Different Initial Doses for Anemia in Non-dialysis CKD Patients</t>
  </si>
  <si>
    <t>NCT06987968</t>
  </si>
  <si>
    <t>A Study to See if an Investigational Medicine Called VS-01 Can Help and How Safe it is in the Treatment of Patients With Overt Hepatic Encephalopathy</t>
  </si>
  <si>
    <t>NCT07085091</t>
  </si>
  <si>
    <t>A First in Human Study of ALX2004 With Advanced or Metastatic Selected Solid Tumors</t>
  </si>
  <si>
    <t>NCT06876363</t>
  </si>
  <si>
    <t>Study of EN-374 Gene Therapy in Participants With X-Linked Chronic Granulomatous Disease</t>
  </si>
  <si>
    <t>Ensoma</t>
  </si>
  <si>
    <t>NCT07239947</t>
  </si>
  <si>
    <t>A Study of BBT001 in Healthy Volunteers (HVs) and in Adult Patients With Moderate to Severe Atopic Dermatitis (AD)</t>
  </si>
  <si>
    <t>NCT07193459</t>
  </si>
  <si>
    <t>Study to Evaluate HDM1002 Tablets in Adults With Type 2 Diabetes Mellitus</t>
  </si>
  <si>
    <t>NCT07109531</t>
  </si>
  <si>
    <t>ASKC202 Combined With Limertinib Versus Platinum-based Chemotherapy in Treatment of Locally Advanced or Metastatic NSCLC With MET Amplification/Overexpression After Failure of EGFR-TKI Therapy</t>
  </si>
  <si>
    <t>NCT07163364</t>
  </si>
  <si>
    <t>A Study to Evaluate the Effects and Safety of Hydroxocobalamin in Participants With Combined Methylmalonic Academia (cblC Type)</t>
  </si>
  <si>
    <t>NCT07093333</t>
  </si>
  <si>
    <t>A Study in Participants With Anti-NMDAR Encephalitis and Anti-NMDAR Antibody-Associated Psychiatric Disease</t>
  </si>
  <si>
    <t>Arialys Australia Pty Ltd</t>
  </si>
  <si>
    <t>NCT07021898</t>
  </si>
  <si>
    <t>A Study of ERAS-4001 in Patients With Advanced or Metastatic Solid Tumors.</t>
  </si>
  <si>
    <t>NCT07132112</t>
  </si>
  <si>
    <t>GT719 Injection for Moderate to Severe Refractory Autoimmune Disease</t>
  </si>
  <si>
    <t>NCT07159282</t>
  </si>
  <si>
    <t>A Multicenter, Prospective, Controlled Clinical Trial Evaluating the Efficacy of a Single Layer Placental-based Allograft and Standard of Care in the Management of Nonhealing Diabetic Foot Ulcers</t>
  </si>
  <si>
    <t>NCT06957756</t>
  </si>
  <si>
    <t>A Study to Test How BI 1584862 is Taken up in the Blood of People With and Without Liver Problems</t>
  </si>
  <si>
    <t>NCT06960213</t>
  </si>
  <si>
    <t>STOP-HAE: A Phase 3 Study of ADX-324 in HAE</t>
  </si>
  <si>
    <t>NCT07099898</t>
  </si>
  <si>
    <t>A Study of GSK5764227 in Participants With Relapsed Small Cell Lung Cancer (SCLC)</t>
  </si>
  <si>
    <t>NCT07202364</t>
  </si>
  <si>
    <t>A Study of YL202 in Patients With Advanced Solid Tumors</t>
  </si>
  <si>
    <t>NCT07188844</t>
  </si>
  <si>
    <t>An Open-Label Extension Study of Batoclimab in Adult Participants With Chronic Inflammatory Demyelinating Polyneuropathy (CIDP)</t>
  </si>
  <si>
    <t>NCT07377175</t>
  </si>
  <si>
    <t>Study to Evaluate the Safety, Tolerability, and Pharmacokinetics of BSY001 After Single/Multiple Doses.</t>
  </si>
  <si>
    <t>China National Biotec Group Company Limited</t>
  </si>
  <si>
    <t>NCT07067567</t>
  </si>
  <si>
    <t>A Study of AK146D1 for Injection in Advanced Solid Tumors</t>
  </si>
  <si>
    <t>NCT07010926</t>
  </si>
  <si>
    <t>A Double-Blind, Randomized, Placebo-Controlled Phase II Clinical Trial to Evaluate the Safety and Efficacy of L2-01 in Subjects With Crohn's Disease</t>
  </si>
  <si>
    <t>L2 Bio, LLC</t>
  </si>
  <si>
    <t>NCT07181473</t>
  </si>
  <si>
    <t>A Study to Evaluate the Safety, Pharmacokinetics and Efficacy of TJ101 in Patients With Advanced/Metastatic Solid Tumors</t>
  </si>
  <si>
    <t>Phrontline Biopharma</t>
  </si>
  <si>
    <t>NCT07122453</t>
  </si>
  <si>
    <t>Safety and PK of Intrathecal CNTX-3001 for Intractable Chronic Low Back Pain</t>
  </si>
  <si>
    <t>Centrexion Therapeutics</t>
  </si>
  <si>
    <t>NCT07080034</t>
  </si>
  <si>
    <t>Study of the Efficacy, Safety, Pharmacokinetics, Pharmacodynamics, and Immunogenicity of BCD-261 in Subjects With Moderate to Severe Active Ulcerative Colitis</t>
  </si>
  <si>
    <t>NCT06869252</t>
  </si>
  <si>
    <t>Autologous Adipose Cells Therapy</t>
  </si>
  <si>
    <t>CERM INC.</t>
  </si>
  <si>
    <t>NCT06513949</t>
  </si>
  <si>
    <t>Anti-CD14 Treatment With IC14 in Hospitalized ARDS Patients</t>
  </si>
  <si>
    <t>NCT07153159</t>
  </si>
  <si>
    <t>A Study to Learn How the Study Medicine Called Etrasimod is Taken up Into Blood and Breastmilk of Healthy Breastfeeding Women</t>
  </si>
  <si>
    <t>NCT07179237</t>
  </si>
  <si>
    <t>Efficacy of Carminal in Helicobacter Pylori Gastritis</t>
  </si>
  <si>
    <t>Catalysis SL</t>
  </si>
  <si>
    <t>NCT07398989</t>
  </si>
  <si>
    <t>A Clinical Study to Assess Efficacy and Tolerability of a Topical Skincare Product on Adults With Mature, Crepey Skin</t>
  </si>
  <si>
    <t>NCT07117214</t>
  </si>
  <si>
    <t>A Phase I Study of [68Ga]Ga-DWJ155 in Patients With Breast and Lung Cancers</t>
  </si>
  <si>
    <t>NCT07146347</t>
  </si>
  <si>
    <t>Comparison Study of Insulin GZR4 With Insulin Degludec</t>
  </si>
  <si>
    <t>NCT07098338</t>
  </si>
  <si>
    <t>A Study of Novel Combinations in Non-Small Cell Lung Cancer (NSCLC)</t>
  </si>
  <si>
    <t>NCT07032688</t>
  </si>
  <si>
    <t>A Clinical Study to Evaluate the Pharmacokinetic and Pharmacodynamics Properties of of SHR-3167 in Subjects With Type 2 Diabetes</t>
  </si>
  <si>
    <t>NCT07105215</t>
  </si>
  <si>
    <t>A I/II Phase Clinical Study to Evaluate the Safety and Efficacy of RC278 in the Treatment of Solid Tumors</t>
  </si>
  <si>
    <t>NCT07005128</t>
  </si>
  <si>
    <t>A Study Comparing Tarlatamab, Durvalumab, Carboplatin, and Etoposide Versus Durvalumab, Carboplatin, and Etoposide in First-line Extensive Stage Small-Cell Lung Cancer (ES-SCLC)</t>
  </si>
  <si>
    <t>NCT07062965</t>
  </si>
  <si>
    <t>A Study to Learn About the Study Medicine Called PF-07248144 in Combination With Fulvestrant in People With HR-positive, HER2-negative Advanced or Metastatic Breast Cancer Who Progressed After a Prior Line of Treatment.</t>
  </si>
  <si>
    <t>NCT06975865</t>
  </si>
  <si>
    <t>The Efficacy and Safety of Rilzabrutinib in Patients Aged 10 to 65 Years With Sickle-cell Disease</t>
  </si>
  <si>
    <t>NCT07007793</t>
  </si>
  <si>
    <t>A Study to Assess Efficacy and Safety of Baxdrostat in Participants With Primary Aldosteronism</t>
  </si>
  <si>
    <t>NCT06982521</t>
  </si>
  <si>
    <t>Phase 3 Study of RLY-2608 + Fulvestrant vs Capivasertib + Fulvestrant as Treatment for Locally Advanced or Metastatic PIK3CA-mutant HR+/HER2- Breast Cancer</t>
  </si>
  <si>
    <t>NCT07346287</t>
  </si>
  <si>
    <t>ASSIST-VLA: Assessment of Symptom-Specific Improvement in Diagnosed Vaginal Atrophy Following Laser Therapy</t>
  </si>
  <si>
    <t>Stratpharma AG</t>
  </si>
  <si>
    <t>NCT06340633</t>
  </si>
  <si>
    <t>SPI-1005 in Adults Receiving Cochlear Implant</t>
  </si>
  <si>
    <t>Sound Pharmaceuticals, Incorporated</t>
  </si>
  <si>
    <t>NCT06931626</t>
  </si>
  <si>
    <t>Study of NMS-03305293 in Adult Patient With Relapsed Small Cell Lung Cancer</t>
  </si>
  <si>
    <t>NCT07127770</t>
  </si>
  <si>
    <t>A Study to Understand How the Body Processes [14C]PF-07104091 in Healthy Participants</t>
  </si>
  <si>
    <t>NCT06841679</t>
  </si>
  <si>
    <t>Utidelone Capsule Combined With Fluoropyrimidine- and Platinum-containing Therapy in First-line Treatment of Patients With Gastric or Gastroesophageal Junction Adenocarcinoma</t>
  </si>
  <si>
    <t>NCT07018713</t>
  </si>
  <si>
    <t>A Clinical Trial to Evaluate Efficacy and Safety of Xeomin® Injections for Preventing Chronic Migraine</t>
  </si>
  <si>
    <t>NCT07156201</t>
  </si>
  <si>
    <t>A Study to Investigate the Safety, Tolerability, and Pharmacokinetics of ABS-1230 Given Orally Compared With Placebo in Healthy Participants Aged 18 to 55 Years</t>
  </si>
  <si>
    <t>Actio Biosciences, Inc.</t>
  </si>
  <si>
    <t>NCT07084012</t>
  </si>
  <si>
    <t>A Phase IIa Clinical Trial to Evaluate the Efficacy and Safety of Intravenous Infusion of hUC-MSCs in Patients With AIS</t>
  </si>
  <si>
    <t>Shenzhen Wingor Biotechnology Co., Ltd.</t>
  </si>
  <si>
    <t>NCT06845553</t>
  </si>
  <si>
    <t>A Study to Assess the Efficacy and Safety of Vutiglabridin in Knee Osteoarthritis Patients</t>
  </si>
  <si>
    <t>NCT07146945</t>
  </si>
  <si>
    <t>A Study Testing the Safety and Effects of Single Doses of S1-221 in Healthy Volunteers</t>
  </si>
  <si>
    <t>Delphian Therapeutics Australia Pty, Ltd</t>
  </si>
  <si>
    <t>NCT07012005</t>
  </si>
  <si>
    <t>Study of BPN14770 in Participants With Severe Renal Impairment and Healthy Controls</t>
  </si>
  <si>
    <t>NCT07098988</t>
  </si>
  <si>
    <t>Trial Investigating Visugromab in Combination With Immunochemotherapy in 1L Treatment of Participants With Metastatic NSCLC</t>
  </si>
  <si>
    <t>CatalYm GmbH</t>
  </si>
  <si>
    <t>NCT07049328</t>
  </si>
  <si>
    <t>HCW9302 (Interleukin-2 Fusion Protein) for Alopecia Areata</t>
  </si>
  <si>
    <t>HCW Biologics</t>
  </si>
  <si>
    <t>NCT06940154</t>
  </si>
  <si>
    <t>Rademikibart Add-on Treatment of an Acute COPD Exacerbation (Seabreeze STAT COPD)</t>
  </si>
  <si>
    <t>NCT07133828</t>
  </si>
  <si>
    <t>A Study to Learn About the Safety of BIIB142 and How it is Processed in the Body of Healthy Adult Participants Aged 18 to 55 Years Old</t>
  </si>
  <si>
    <t>NCT07162441</t>
  </si>
  <si>
    <t>A Two-arm, Open-label, Single-sequence, Multiple-dose, Cross-over Study to Evaluate the Pharmacokinetic Interaction and the Safety of UIC202502 and UIC202505 in Healthy Adult Volunteers</t>
  </si>
  <si>
    <t>NCT07334483</t>
  </si>
  <si>
    <t>A Study of Yttrium [90Y] Microsphere Injection in Combination With Targeted Immunotherapy in the Treatment of HCC</t>
  </si>
  <si>
    <t>GrandPharma (China) Co., Ltd.</t>
  </si>
  <si>
    <t>NCT07123727</t>
  </si>
  <si>
    <t>A Study to Examine Anktiva for the Treatment of COVID-19.</t>
  </si>
  <si>
    <t>NCT07408024</t>
  </si>
  <si>
    <t>Safety and Efficacy of TollB-001 Tablets in Moderate to Severe Rheumatoid Arthritis</t>
  </si>
  <si>
    <t>Toll Biotech Co. Ltd. (Beijing)</t>
  </si>
  <si>
    <t>NCT05067257</t>
  </si>
  <si>
    <t>Study to Assess Epidural Resiniferatoxin for the Treatment of Intractable Pain Associated With Advanced Cancer</t>
  </si>
  <si>
    <t>NCT06052254</t>
  </si>
  <si>
    <t>Dexmedetomidine Transdermal Systems (DMTS) Treatment for Agitation Associated With Dementia of the Alzheimer's Type</t>
  </si>
  <si>
    <t>Teikoku Pharma USA, Inc.</t>
  </si>
  <si>
    <t>NCT07200986</t>
  </si>
  <si>
    <t>Study to Compare Pharmacokinetics and Safety of CT-P52 and US-licensed Taltz in Healthy Subjects</t>
  </si>
  <si>
    <t>NCT07210996</t>
  </si>
  <si>
    <t>A Study to Evaluate the Relative Bioavailability of Pimicotinib Capsules Containing Free Base in Different Proportions in Healthy Subjects</t>
  </si>
  <si>
    <t>NCT07184086</t>
  </si>
  <si>
    <t>A Study to See How Metabolism is Influenced by Weight Loss Due to Intervention With Cagrilintide and Semaglutide Compared to Diet</t>
  </si>
  <si>
    <t>NCT07254286</t>
  </si>
  <si>
    <t>Food Effect Study in Healthy Volunteers</t>
  </si>
  <si>
    <t>Biomea Fusion Inc.</t>
  </si>
  <si>
    <t>NCT07157956</t>
  </si>
  <si>
    <t>CVL006 Combination Therapy in Advanced Solid Tumors</t>
  </si>
  <si>
    <t>NCT06747416</t>
  </si>
  <si>
    <t>KN057 Multiple Dose Study in Patients with Hemophilia a or Hemophilia B with or Without Inhibitors</t>
  </si>
  <si>
    <t>NCT07142837</t>
  </si>
  <si>
    <t>Study of ZG005 in Combination With Gecacitinib and Chemotherapy for Participants With Advanced Solid Tumors</t>
  </si>
  <si>
    <t>NCT07148999</t>
  </si>
  <si>
    <t>An Advanced Decision Support Tool for Personalized Medicine for IVF Using Modeling and Optimization for Provera</t>
  </si>
  <si>
    <t>Urmila DIwekar</t>
  </si>
  <si>
    <t>NCT07204340</t>
  </si>
  <si>
    <t>TLN-372 in Advanced KRAS Mutant Solid Tumors</t>
  </si>
  <si>
    <t>NCT07160790</t>
  </si>
  <si>
    <t>Phase 3 Study of JP-1366: Efficacy and Safety of JP-1366 in Patients With Non-erosive Gastroesophageal Reflux Disease</t>
  </si>
  <si>
    <t>NCT07152405</t>
  </si>
  <si>
    <t>A Study of BL-M07D1 Versus Investigator's Choice of Chemotherapy in Patients With HER2-positive Locally Advanced or Metastatic Gastric or Gastro-esophageal Junction Adenocarcinoma</t>
  </si>
  <si>
    <t>NCT07184645</t>
  </si>
  <si>
    <t>A Phase 3 Trial of OPA-15406 Foam in Children and Infants With Atopic Dermatitis</t>
  </si>
  <si>
    <t>NCT06956807</t>
  </si>
  <si>
    <t>Safety and Efficacy of Epicardial Implantation of Collagen Membranes With Allogeneic Adipose Derived Stem Cells</t>
  </si>
  <si>
    <t>Viscofan</t>
  </si>
  <si>
    <t>NCT07216430</t>
  </si>
  <si>
    <t>Safety and Efficacy of wSp Vaccine in Young Children</t>
  </si>
  <si>
    <t>NCT07166211</t>
  </si>
  <si>
    <t>Study of CM512 Injection in Subjects With Chronic Spontaneous Urticaria(CSU)</t>
  </si>
  <si>
    <t>NCT07170319</t>
  </si>
  <si>
    <t>A Study of IBI3032 in Chinese Participants With Overweight or Obesity</t>
  </si>
  <si>
    <t>NCT07192263</t>
  </si>
  <si>
    <t>Study to Evaluate the Efficacy and Safety of IN-B00009 Injection in Adults With Obesity or Overweight Without Diabetes Mellitus</t>
  </si>
  <si>
    <t>NCT07254871</t>
  </si>
  <si>
    <t>Study of DM-101PX in Adults With Birch Pollen Allergy</t>
  </si>
  <si>
    <t>Desentum Oy</t>
  </si>
  <si>
    <t>NCT06005649</t>
  </si>
  <si>
    <t>Clinical Trial of HY004 Cell Injection in the Treatment of Relapsed or Refractory B-Cell Non-Hodgkin's Lymphoma</t>
  </si>
  <si>
    <t>NCT07174726</t>
  </si>
  <si>
    <t>A Phase 2 Open-label Study to Evaluate the Safety of Laruparetigene Zovaparvovec Administered Bilaterally in Male Participants With X-Linked Retinitis Pigmentosa</t>
  </si>
  <si>
    <t>NCT06352541</t>
  </si>
  <si>
    <t>Study Evaluating PRO-232 an Ophthalmic Solution Compared to Placebo.</t>
  </si>
  <si>
    <t>NCT07141199</t>
  </si>
  <si>
    <t>A Study to Evaluate Adverse Events, How the Drug is Tolerated, and How the Drug Moves Through the Body of Intravenous Infusions of ABBV-8736 in Adult Healthy Volunteers</t>
  </si>
  <si>
    <t>NCT07142707</t>
  </si>
  <si>
    <t>A Study to Evaluate the Safety, Tolerability, Pharmacokinetics, and Pharmacodynamics of MBX 4291 in Adult Participants With Obesity</t>
  </si>
  <si>
    <t>NCT06970106</t>
  </si>
  <si>
    <t>Safety of Single and Repeat Dose of PYC-001 Eye Injections in People With Autosomal Dominant Optic Atrophy</t>
  </si>
  <si>
    <t>NCT07089043</t>
  </si>
  <si>
    <t>A Study in Subjects With Neurogenic Orthostatic Hypotension</t>
  </si>
  <si>
    <t>NCT07144280</t>
  </si>
  <si>
    <t>A Study to Learn About the Study Medicine Called PF-08046054/SGN-PDL1V Versus Docetaxel in Adult Participants With Previously-Treated Programmed Cell Death Ligand 1 (PD-L1) Positive Non-Small-Cell Lung Cancer (NSCLC)</t>
  </si>
  <si>
    <t>NCT06935383</t>
  </si>
  <si>
    <t>Randomised EValuation of Therapies for microvAscuLar Injury in STEACS</t>
  </si>
  <si>
    <t>CorFlow Therapeutics AG</t>
  </si>
  <si>
    <t>NCT07082816</t>
  </si>
  <si>
    <t>Reformulated PG324 Ophthalmic Solution for Intraocular Pressure Reduction</t>
  </si>
  <si>
    <t>NCT07140614</t>
  </si>
  <si>
    <t>A First in Human Study to Assess the Safety, Tolerability, and Pharmacokinetics of EDK060 in Adults With CMT1A.</t>
  </si>
  <si>
    <t>NCT07157007</t>
  </si>
  <si>
    <t>Early-stage Trial to Determine a Safe and Effective Dose for Ratutrelvir in Patients With Mild to Moderate COVID-19</t>
  </si>
  <si>
    <t>NCT07161193</t>
  </si>
  <si>
    <t>Anti-CD19 Chimeric Antigen Receptor T Cells for Refractory Autoimmune Diseases</t>
  </si>
  <si>
    <t>NCT06103734</t>
  </si>
  <si>
    <t>A Study to Learn About Zavegepant as a Treatment for Multiple Migraine Attacks in Adult Participants</t>
  </si>
  <si>
    <t>NCT07082764</t>
  </si>
  <si>
    <t>Safety and Efficacy Study of TAR-0520 Gel in Prevention of Taxane-induced Peripheral Neuropathy</t>
  </si>
  <si>
    <t>NCT07144462</t>
  </si>
  <si>
    <t>A Study to Evaluate the Safety, Tolerability, and Preliminary Efficacy of NEUK203-215 Injection in Adult Chinese Patients With Relapsed/Refractory Autoimmune Diseases</t>
  </si>
  <si>
    <t>Neukio Biotherapeutics (Shanghai) Co., Ltd.</t>
  </si>
  <si>
    <t>NCT07150988</t>
  </si>
  <si>
    <t>A Phase II Efficacy and Safety Study of HSK44459 in Subjects With Moderate to Severe Plaque Psoriasis</t>
  </si>
  <si>
    <t>NCT07062198</t>
  </si>
  <si>
    <t>Combined Metabolic Activator Supplementation in Subjects Diagnosed With Alzheimer's Disease</t>
  </si>
  <si>
    <t>ScandiBio Therapeutics AB</t>
  </si>
  <si>
    <t>NCT07061626</t>
  </si>
  <si>
    <t>Determine Maximum Tolerated Dose, Safety, and Tolerability of Rhenium (186Re) in Pediatric Recurrent, Refractory or Progressive Ependymoma and High-Grade Glioma</t>
  </si>
  <si>
    <t>NCT07334886</t>
  </si>
  <si>
    <t>A Study of [14C]Ulonivirine ([14C]MK-8507) in Healthy Adults (MK-8507-006)</t>
  </si>
  <si>
    <t>NCT07091630</t>
  </si>
  <si>
    <t>A Study to Assess the Efficacy and Safety of Empasiprubart in Adults With CIDP</t>
  </si>
  <si>
    <t>NCT07176728</t>
  </si>
  <si>
    <t>A Study to Assess the Safety and Effects of Different Doses of an Investigational Drug, BAY 3389934, in Healthy Japanese Volunteers.</t>
  </si>
  <si>
    <t>NCT07161544</t>
  </si>
  <si>
    <t>A Study of AAVB-039 in Participants With Stargardt Disease (STGD1)</t>
  </si>
  <si>
    <t>NCT06974084</t>
  </si>
  <si>
    <t>Investigating Measurable PRO Acuity Trial (IMPACT) is a Multi-Center Randomized, Double-Blind, Placebo-Controlled Study to Evaluate the Efficacy of Maraviroc and Atorvastatin to Improve Neurocognitive and Physical Function of Subjects With Long COVID-19/Post-Acute Sequelae of COVID-19 (PASC).</t>
  </si>
  <si>
    <t>HealthBio, Inc.</t>
  </si>
  <si>
    <t>NCT07195604</t>
  </si>
  <si>
    <t>A Single Ascending Dose of HRS-2162 in Healthy Subjects</t>
  </si>
  <si>
    <t>NCT04381130</t>
  </si>
  <si>
    <t>A Phase I/IIa Study of EF-009 in Patients with Pancreatic Cancer</t>
  </si>
  <si>
    <t>Everfront Biotech Co., Ltd.</t>
  </si>
  <si>
    <t>NCT07160335</t>
  </si>
  <si>
    <t>A Phase I Clinical Study to Evaluate the PK Profile, Efficacy, Safety and Immunogenicity of HLX17 vs. Keytruda® in Multiple Resected Solid Tumors</t>
  </si>
  <si>
    <t>NCT06982508</t>
  </si>
  <si>
    <t>Evaluation of Obicetrapib on Antioxidant Levels in Plasma and HDL Particles of Healthy Volunteers</t>
  </si>
  <si>
    <t>NCT07023835</t>
  </si>
  <si>
    <t>Usnoflast Neuromuscular Investigation for Treatment Efficacy in Amyotrophic Lateral Sclerosis</t>
  </si>
  <si>
    <t>NCT07177911</t>
  </si>
  <si>
    <t>Safety and Efficacy Study of CC312 for Moderate to Severe SLE</t>
  </si>
  <si>
    <t>NCT07221578</t>
  </si>
  <si>
    <t>Study to Evaluate the Efficacy and Safety of VQW-765 for the On-Demand Treatment of Social Anxiety Disorder</t>
  </si>
  <si>
    <t>NCT07116616</t>
  </si>
  <si>
    <t>A Study of mRNA-2808 in Participants With Relapsed or Refractory Multiple Myeloma</t>
  </si>
  <si>
    <t>NCT06705686</t>
  </si>
  <si>
    <t>Novel ACK1 Inhibitor (R)-9b in Patients With Prostate Cancer</t>
  </si>
  <si>
    <t>TechnoGenesys, Inc.</t>
  </si>
  <si>
    <t>NCT07107256</t>
  </si>
  <si>
    <t>Clinical Trial of TQC2731 Injection in Patients With Chronic Sinusitis and Nasal Polyps</t>
  </si>
  <si>
    <t>NCT07190209</t>
  </si>
  <si>
    <t>Efficacy, Safety, and Tolerability Study of Lunsekimig Compared With Placebo in Adult Participants With Inadequately Controlled Chronic Obstructive Pulmonary Disease (COPD) Characterized by an Eosinophilic Phenotype</t>
  </si>
  <si>
    <t>NCT07159763</t>
  </si>
  <si>
    <t>A Study to Evaluate the Safety and Efficacy of CD388 for Prevention of Influenza</t>
  </si>
  <si>
    <t>NCT07013201</t>
  </si>
  <si>
    <t>A 16-week Trial to Investigate the Efficacy and Safety of Delgocitinib Cream 20 mg/g in Adult Participants With Mild to Severe Palmoplantar Pustulosis</t>
  </si>
  <si>
    <t>NCT06890039</t>
  </si>
  <si>
    <t>A-TANGO Phase 2 Study</t>
  </si>
  <si>
    <t>Yaqrit Ltd</t>
  </si>
  <si>
    <t>NCT06953453</t>
  </si>
  <si>
    <t>A Study of Inhaled Fentanyl Aerosol in Chinese Patients With Malignant Tumors</t>
  </si>
  <si>
    <t>NCT07004972</t>
  </si>
  <si>
    <t>A Study of Mavacamten in Adults With Obstructive Hypertrophic Cardiomyopathy in India (ROVER)</t>
  </si>
  <si>
    <t>NCT07156773</t>
  </si>
  <si>
    <t>The Study is Being Conducted to Evaluate the Safety and Efficacy of XJN010 Nasal Spray in Patients With Parkinson's Disease Experiencing Off Episodes</t>
  </si>
  <si>
    <t>NCT07166380</t>
  </si>
  <si>
    <t>RK-4 Intracalvariosseous Injection in Treatment of Acute Large Hemispheric Infarction</t>
  </si>
  <si>
    <t>NCT07275073</t>
  </si>
  <si>
    <t>JMT106 Injection in the Treatment of Advanced Solid Tumors</t>
  </si>
  <si>
    <t>NCT07154264</t>
  </si>
  <si>
    <t>A Study of DZD8586 Combination in CLL/SLL (TAI-SHAN10)</t>
  </si>
  <si>
    <t>NCT05904626</t>
  </si>
  <si>
    <t>Assess the Safety of ELGN-2112 in Preterm Infants Born Under 26 Weeks GA and IUGR Infants Born 26-32 Weeks GA</t>
  </si>
  <si>
    <t>NCT05569239</t>
  </si>
  <si>
    <t>Efficacy, Immunogenicity and Safety of OVX836 Influenza Vaccine 480μg</t>
  </si>
  <si>
    <t>NCT07198321</t>
  </si>
  <si>
    <t>A Single-Arm, Open-Label, Multicenter Phase I/II Clinical Study of GFH276 in Patients With RAS-Mutant Advanced Solid Tumors</t>
  </si>
  <si>
    <t>NCT07124221</t>
  </si>
  <si>
    <t>A Phase III Clinical Study of Cabergoline Tablets Compared With Bromocriptine Mesylate Tablets</t>
  </si>
  <si>
    <t>NCT07097701</t>
  </si>
  <si>
    <t>An Open-Label, Randomized, Cross-Over Study to Investigate the Efficacy and Safety of Mexiletine PR Compared to Mexiletine IR</t>
  </si>
  <si>
    <t>NCT07152730</t>
  </si>
  <si>
    <t>A Study to Measure Pharmacokinetic (PK) Concentrations of Gonadotropin-Releasing Hormone Delivered by the OmniPod Pump</t>
  </si>
  <si>
    <t>NCT07156539</t>
  </si>
  <si>
    <t>A Phase 3 Study of HS-20094 in Patients With T2DM</t>
  </si>
  <si>
    <t>NCT07098403</t>
  </si>
  <si>
    <t>A Trial of SHR-1905 in Subjects With Severe Uncontrolled Asthma</t>
  </si>
  <si>
    <t>NCT07207408</t>
  </si>
  <si>
    <t>Immunogenicity, Safety, and Tolerability of rF1V-1018 Vaccine in Adults 18 to 55 Years of Age</t>
  </si>
  <si>
    <t>NCT06682780</t>
  </si>
  <si>
    <t>A Phase I/II Study of LM-2417 in Subjects With Advanced Solid Tumours</t>
  </si>
  <si>
    <t>NCT07190469</t>
  </si>
  <si>
    <t>PQ203 in Advanced Malignant Tumors Including Triple Negative Breast Cancer</t>
  </si>
  <si>
    <t>ProteinQure Inc.</t>
  </si>
  <si>
    <t>NCT05954091</t>
  </si>
  <si>
    <t>OH2 Administered by Intratumoral Injection</t>
  </si>
  <si>
    <t>Binhui Biopharmaceutical Co., Ltd.</t>
  </si>
  <si>
    <t>NCT07053423</t>
  </si>
  <si>
    <t>A Study to Investigate Airway Inflammation With Dupilumab Subcutaneously in Participants Aged ≥40 to ≤85 Years With Chronic Obstructive Pulmonary Disease.</t>
  </si>
  <si>
    <t>NCT07289542</t>
  </si>
  <si>
    <t>Phase II Clinical Trial of Lyophilized Respiratory Syncytial Virus mRNA Vaccine in Adults Aged 50 Years or Above</t>
  </si>
  <si>
    <t>NCT07106762</t>
  </si>
  <si>
    <t>Phase 2/3 Trial of Izalontamab Brengitecan vs Platinum-based Chemotherapy for Metastatic Urothelial Cancer With Disease Progression on or After Immunotherapy</t>
  </si>
  <si>
    <t>NCT07138833</t>
  </si>
  <si>
    <t>A Phase IV Study of Dimethyl Fumarate Enteric-coated Capsules for Relapsing Multiple Sclerosis (RMS)</t>
  </si>
  <si>
    <t>NCT07165015</t>
  </si>
  <si>
    <t>A Study of Pharmacokinetics and Safety of LY3537031 in Participants With Normal Renal Function and Participants With Renal Impairment</t>
  </si>
  <si>
    <t>NCT07168226</t>
  </si>
  <si>
    <t>Phase 2 Cachexia Clinical Trial to Evaluate the Efficacy and Safety of ASCA101</t>
  </si>
  <si>
    <t>MetaFines</t>
  </si>
  <si>
    <t>NCT07110610</t>
  </si>
  <si>
    <t>Phase 1 Single and Multiple Ascending Dose of LTG-321 in Healthy Participants</t>
  </si>
  <si>
    <t>NCT07044349</t>
  </si>
  <si>
    <t>Phase II Clinical Study of Utidelone Capsule (UTD2) in Patients With Advanced Epithelial Ovarian, Fallopian Tube, or Primary Peritoneal Cancer</t>
  </si>
  <si>
    <t>NCT07198035</t>
  </si>
  <si>
    <t>A Study to Learn if Multiple Doses of the Study Medicine Called Carbamazepine Changes How the Body Processes the Other Study Medicine PF-07248144</t>
  </si>
  <si>
    <t>NCT06824103</t>
  </si>
  <si>
    <t>Study of Efficacy and Safety of Ruxolitinib in Chinese Participants With Corticosteroid-refractory Chronic Graft vs. Host Disease</t>
  </si>
  <si>
    <t>NCT07037875</t>
  </si>
  <si>
    <t>A Study Comparing the Effect and Safety of Linaprazan Glurate to Lansoprazole in Participants With Erosive Esophagitis (EE) Due to Gastroesophageal Reflux Disease (GERD)</t>
  </si>
  <si>
    <t>Cinclus Pharma Holding AB</t>
  </si>
  <si>
    <t>NCT06377982</t>
  </si>
  <si>
    <t>Human Umbilical Cord Blood Infusion in Patients with Cerebral Palsy</t>
  </si>
  <si>
    <t>StemCyte Taiwan Co., Ltd.</t>
  </si>
  <si>
    <t>NCT06894511</t>
  </si>
  <si>
    <t>An Open-label Study Comparing Lutetium (177Lu) Vipivotide Tetraxetan (AAA617) in Combination With ARPI Versus AAA617 in PSMA Positive First-line mCRPC</t>
  </si>
  <si>
    <t>NCT07011719</t>
  </si>
  <si>
    <t>Study of Casdatifan and Cabozantinib Versus Placebo and Cabozantinib in Patients With Advanced Clear Cell Renal Cell Carcinoma</t>
  </si>
  <si>
    <t>NCT07166757</t>
  </si>
  <si>
    <t>Clinical Study to Evaluate XS411 in Treatment of Early-onset Parkinson's Disease</t>
  </si>
  <si>
    <t>NCT07199257</t>
  </si>
  <si>
    <t>A Study of GR1802 Injection in Patients With Seasonal Allergic Rhinitis.</t>
  </si>
  <si>
    <t>NCT07134998</t>
  </si>
  <si>
    <t>Phase I Study of HRS-6093 in Participants With Advanced Solid Tumors Harboring KRAS G12D Mutations</t>
  </si>
  <si>
    <t>NCT07048262</t>
  </si>
  <si>
    <t>Dose Range Finding, Efficacy, and Safety Study of Nebulized CSL787 in Adults With Non-cystic Fibrosis Bronchiectasis (NCFB)</t>
  </si>
  <si>
    <t>NCT07197827</t>
  </si>
  <si>
    <t>A Study of YL242 in Subjects With Advanced Solid Tumors</t>
  </si>
  <si>
    <t>NCT07186283</t>
  </si>
  <si>
    <t>Pharmacokinetic Study of a Novel Cannabidiol (CBD) Formulation in Healthy Volunteers</t>
  </si>
  <si>
    <t>NW PharmaTech Ltd</t>
  </si>
  <si>
    <t>NCT07338786</t>
  </si>
  <si>
    <t>A Phase I Clinical Trial to Evaluate the Safety of Different Immunization Schedules of a Lyophilized Human Rabies Vaccine (Human Diploid Cell)</t>
  </si>
  <si>
    <t>NCT07037758</t>
  </si>
  <si>
    <t>A Study of Tarlatamab in Combination With AB248 in Participants With Extensive Stage Small Cell Lung Cancer (DeLLphi-311)</t>
  </si>
  <si>
    <t>NCT06704022</t>
  </si>
  <si>
    <t>Assessing Gut Microbiome Changes Before and After an Oral Nutritional Supplement Intake Using the SIMBA Capsule in Diabetic Participants</t>
  </si>
  <si>
    <t>NCT07149415</t>
  </si>
  <si>
    <t>A Study to Learn if Taking BIIB141 (Omaveloxolone) Affects How Omeprazole is Processed in the Body and About BIIB141's Safety in Healthy Adults Aged 18 to 55</t>
  </si>
  <si>
    <t>NCT07127874</t>
  </si>
  <si>
    <t>A Study of PHN-012 in Patients With Advanced Solid Tumors</t>
  </si>
  <si>
    <t>NCT07090161</t>
  </si>
  <si>
    <t>Evaluation of Efficacy and Safety of Iloperidone for the Treatment of Participants With Uncontrolled Hypertension</t>
  </si>
  <si>
    <t>NCT07140783</t>
  </si>
  <si>
    <t>OPI-NXYDLD-303 Safety and Efficacy of Phentolamine Ophthalmic Solution in Keratorefractive Surgery Participants With Decreased Mesopic Visual Acuity</t>
  </si>
  <si>
    <t>NCT07163182</t>
  </si>
  <si>
    <t>Evaluation of Safety, Side Effects and How the Drug CHF6467 Administered Via Intranasal Route is Absorbed, Modified and Removed in Healthy Subjects</t>
  </si>
  <si>
    <t>NCT07140523</t>
  </si>
  <si>
    <t>A Study to Compare the Efficacy and Safety of SRSD107 and Enoxaparin in Adult Subjects Undergoing TKA</t>
  </si>
  <si>
    <t>NCT07168356</t>
  </si>
  <si>
    <t>A Study to Evaluate Blood Levels of Bepirovirsen in Adult Participants With Severe or Moderate Kidney Disease</t>
  </si>
  <si>
    <t>NCT07029828</t>
  </si>
  <si>
    <t>A Long-Term Study to Learn About The Study Medicine Called Ritlecitinib in Children With Severe Alopecia Areata.</t>
  </si>
  <si>
    <t>NCT07131657</t>
  </si>
  <si>
    <t>Ropiclobet for Regional Anesthesia and Post-Operative Pain Control in Upper Extremity Surgery</t>
  </si>
  <si>
    <t>NCT07102901</t>
  </si>
  <si>
    <t>Safety and Efficacy of SHR2554 Combined With Other Antitumor Therapies in Gastric or Gastro-oesophageal Junction Adenocarcinoma</t>
  </si>
  <si>
    <t>NCT06806592</t>
  </si>
  <si>
    <t>A Study to Test Whether Nerandomilast Helps People With Lungfibrosis Related to Rheumatic Diseases</t>
  </si>
  <si>
    <t>NCT07150975</t>
  </si>
  <si>
    <t>Phase III Clinical Study Comparing the Efficacy and Safety of GZR18 Injection and Semaglutide (Wegovy®) in Adult Obese or Overweight Subjects</t>
  </si>
  <si>
    <t>NCT07158151</t>
  </si>
  <si>
    <t>A Phase II Trial of the Safety and Efficacy of RSS0309 Ointment in Adults With Atopic Dermatitis</t>
  </si>
  <si>
    <t>Reistone Biopharma Company Limited</t>
  </si>
  <si>
    <t>NCT07159828</t>
  </si>
  <si>
    <t>A Study to Assess AXN-2510 Treatment in Adult Patients With Advanced Solid Tumors</t>
  </si>
  <si>
    <t>Axion Bio, Inc</t>
  </si>
  <si>
    <t>NCT07080619</t>
  </si>
  <si>
    <t>SC-101 in Subjects With Advanced NECTIN4-Amplified Cancers</t>
  </si>
  <si>
    <t>NCT07199309</t>
  </si>
  <si>
    <t>A Mechanistic Study of MAR001 in Adults With Elevated Triglycerides and Remnant Cholesterol</t>
  </si>
  <si>
    <t>NCT06760546</t>
  </si>
  <si>
    <t>A Trial of Setmelanotide in Patients With Congenital Hypothalamic Obesity (Sub-study of NCT05774756)</t>
  </si>
  <si>
    <t>NCT06282315</t>
  </si>
  <si>
    <t>Real World Evaluation of an Albendazole-Ivermectin Coformulation Safety and Effectiveness</t>
  </si>
  <si>
    <t>Insud Pharma</t>
  </si>
  <si>
    <t>NCT07167550</t>
  </si>
  <si>
    <t>The Study of Efficacy and Safety of Dimephosphon® in Acute Ischemic Stroke</t>
  </si>
  <si>
    <t>Tatchempharmpreparaty, JSC</t>
  </si>
  <si>
    <t>NCT07188610</t>
  </si>
  <si>
    <t>PA3-17 Injection in Adult Patients With CD7-positive Relapsed/Refractory T-lymphoblastic Leukemia/Lymphoma</t>
  </si>
  <si>
    <t>NCT07215663</t>
  </si>
  <si>
    <t>Clinical Study of Cizutamig in Systemic Lupus Erythematosus</t>
  </si>
  <si>
    <t>NCT07175506</t>
  </si>
  <si>
    <t>Study of CM559 in Healthy Subjects</t>
  </si>
  <si>
    <t>NCT07130604</t>
  </si>
  <si>
    <t>Evaluate the Efficacy and Safety of D-2570 in Subjects With Moderate to Severe Plaque Psoriasis</t>
  </si>
  <si>
    <t>NCT07140081</t>
  </si>
  <si>
    <t>A Research Study to Evaluate BLX-0871 in Healthy Adults</t>
  </si>
  <si>
    <t>Biolexis Therapeutics</t>
  </si>
  <si>
    <t>NCT07178795</t>
  </si>
  <si>
    <t>A Study of BL-M07D1 vs Pembrolizumab-platinum Chemotherapy in First-line Treatment of HER2-mutant Advanced or Metastatic Non-squamous NSCLC</t>
  </si>
  <si>
    <t>NCT07187375</t>
  </si>
  <si>
    <t>Pharmacokinetics, Safety and Tolerability of Crinecerfont in Participants With Congenital Adrenal Hyperplasia Who Are Less Than 2 Years Old</t>
  </si>
  <si>
    <t>NCT07211165</t>
  </si>
  <si>
    <t>Clinical Study on the Mass Balance of Clifutinib</t>
  </si>
  <si>
    <t>NCT07162883</t>
  </si>
  <si>
    <t>Pharmacokinetic Study of QL2107 Versus Keytruda® for Adjuvant Therapy of Non-Small Cell Lung Cancer (NSCLC)</t>
  </si>
  <si>
    <t>NCT07057037</t>
  </si>
  <si>
    <t>Phase 3 Study of the Efficacy and Safety of MR Arthrography Using the NEMO-103 Injection in Patients With Known or Suspected Shoulder Joint Diseases</t>
  </si>
  <si>
    <t>Inventera Inc.</t>
  </si>
  <si>
    <t>NCT07053800</t>
  </si>
  <si>
    <t>Obe-cel in Severe, Refractory Systemic Lupus Erythematosus With Active Lupus Nephritis</t>
  </si>
  <si>
    <t>NCT04667013</t>
  </si>
  <si>
    <t>A Multiple Dose Study to Investigate Safety, Tolerability and Pharmacokinetics of TBN</t>
  </si>
  <si>
    <t>Guangzhou Magpie Pharmaceuticals Co., Ltd.</t>
  </si>
  <si>
    <t>NCT06999603</t>
  </si>
  <si>
    <t>Phase 2 Study of Inhaled SNG001 in Mechanically Ventilated Patients With Respiratory Viral Infection</t>
  </si>
  <si>
    <t>Synairgen Research Ltd.</t>
  </si>
  <si>
    <t>NCT07124013</t>
  </si>
  <si>
    <t>A Study of Olomorasib (LY3537982) in Healthy Japanese Participants</t>
  </si>
  <si>
    <t>NCT07168603</t>
  </si>
  <si>
    <t>EvaluatIon of Autologous Nucleus Pulposus Cells (aNPC) in Degenerative Disc Disease</t>
  </si>
  <si>
    <t>ASTEROGENE Biomedical Co. Ltd.</t>
  </si>
  <si>
    <t>NCT07354269</t>
  </si>
  <si>
    <t>Phase IV Clinical Study of sIPV Administration in Adolescent and Adult Populations</t>
  </si>
  <si>
    <t>NCT05316220</t>
  </si>
  <si>
    <t>A Study to Assess Adverse Events and Change in Disease Condition of Mesalamine Capsules in Children Aged 5 to 17 Years With Ulcerative Colitis</t>
  </si>
  <si>
    <t>NCT07123454</t>
  </si>
  <si>
    <t>A Phase I/II Study of AZD4512 Monotherapy or in Combination With Anticancer Agents in Participants With Relapsed/Refractory B-cell Non-Hodgkin Lymphoma</t>
  </si>
  <si>
    <t>NCT07372118</t>
  </si>
  <si>
    <t>Bioequivalence Study to Compare Empagliflozin / Metformin 25 mg/ 1000 mg Extended-Release Tablet Versus Synjardy XR Tablets 25mg/1000mg in Fast Condition</t>
  </si>
  <si>
    <t>NCT06732323</t>
  </si>
  <si>
    <t>A Phase III Study of ESG401 for Unresectable Recurrent or Metastatic Triple-Negative Breast Cancer</t>
  </si>
  <si>
    <t>NCT07147946</t>
  </si>
  <si>
    <t>Evaluation of the Clinical Trial of Inhaled TQC3721 Suspension in Patients With Moderate-to-Severe Chronic Obstructive Pulmonary Disease</t>
  </si>
  <si>
    <t>NCT07207707</t>
  </si>
  <si>
    <t>A Study to Investigate the Safety and Efficacy of KQB548 in Participants With Advanced Solid Malignancies</t>
  </si>
  <si>
    <t>NCT07192614</t>
  </si>
  <si>
    <t>A Study to Learn How Safe AZD6621 is, How Well it Works, and How it Moves Throughout the Body Over Time, in Adult Male Participants With Metastatic Prostate Cancer</t>
  </si>
  <si>
    <t>NCT07174843</t>
  </si>
  <si>
    <t>An Exploratory Study of CD19/CD22/BCMA CAR-T Cells (BZE2204) in Subjects With Relapsed or Refractory Autoimmune Diseases</t>
  </si>
  <si>
    <t>NCT06666335</t>
  </si>
  <si>
    <t>A Study to Evaluate Efficacy and Safety of Anakinra in Chinese Patients With Colchicine-resistent FMF</t>
  </si>
  <si>
    <t>NCT07135349</t>
  </si>
  <si>
    <t>A Phase II Clinical Study of BW-20507 in Combination With PEG-IFNα for the Treatment of Hepatitis B</t>
  </si>
  <si>
    <t>NCT07082192</t>
  </si>
  <si>
    <t>A Study to Evaluate the Efficacy and Safety of Different Doses of CB03-154 in Adult Patients With Amyotrophic Lateral Sclerosis (ALS)</t>
  </si>
  <si>
    <t>NCT06751238</t>
  </si>
  <si>
    <t>Study to Evaluate the Pharmacokinetics (PK), Safety and Tolerability up to 6 Years of Intravenous (i.v.) Secukinumab in Pediatric Participants With Juvenile Psoriatic Arthritis (JPsA).</t>
  </si>
  <si>
    <t>NCT07176689</t>
  </si>
  <si>
    <t>Nirogacestat in Premenopausal Females With Desmoid Tumor/Aggressive Fibromatosis (DT/AF)</t>
  </si>
  <si>
    <t>NCT07164443</t>
  </si>
  <si>
    <t>A Study of Pasritamig Versus Placebo in Late Line Metastatic Castration-resistant Prostate Cancer (mCRPC)</t>
  </si>
  <si>
    <t>NCT07237659</t>
  </si>
  <si>
    <t>Phase 1a/b Tolerability of NTR-1011 in Healthy Adults and Adult Patients With SLE and RA</t>
  </si>
  <si>
    <t>Neutrolis</t>
  </si>
  <si>
    <t>NCT07145151</t>
  </si>
  <si>
    <t>A Study of UBT251 in Participants With Metabolic Dysfunction-Associated Steatohepatitis (MASH)</t>
  </si>
  <si>
    <t>NCT07003321</t>
  </si>
  <si>
    <t>A Trial of HRS-4508 in Subjects With Locally Advanced or Metastatic Non-small Cell Lung Cancer</t>
  </si>
  <si>
    <t>NCT07215767</t>
  </si>
  <si>
    <t>Clinical Study to Investigate the Antihypersensitivity Efficacy of a Novel Dentifrice</t>
  </si>
  <si>
    <t>NCT07030478</t>
  </si>
  <si>
    <t>A Study to Evaluate the Safety and Tolerability of EP0089</t>
  </si>
  <si>
    <t>Ellipses Pharma</t>
  </si>
  <si>
    <t>NCT07099430</t>
  </si>
  <si>
    <t>A Trial of LBL-024 Monotherapy, LBL-024 Combined With LBL-007 or Toripalimab in Patients With Advanced Melanoma</t>
  </si>
  <si>
    <t>NCT06992609</t>
  </si>
  <si>
    <t>Durvalumab After Chemoradiotherapy in Limited Stage Small Cell Lung Cancer.</t>
  </si>
  <si>
    <t>NCT07169994</t>
  </si>
  <si>
    <t>A Study of YL202 in Combination With Other Anti-tumor Therapies in Patients With Advanced Solid Tumors</t>
  </si>
  <si>
    <t>NCT07061288</t>
  </si>
  <si>
    <t>A Study to Evaluate the Dose Levels, Safety, and Drug Levels of Single KarXT Intramuscular Injection in Participants With Schizophrenia</t>
  </si>
  <si>
    <t>NCT07123662</t>
  </si>
  <si>
    <t>γδ T Cell Therapy for Relapse Prevention in High-Risk AML Post-Transplant</t>
  </si>
  <si>
    <t>NCT07329777</t>
  </si>
  <si>
    <t>Atropine in the Treatment of Myopia Study in Malaysia</t>
  </si>
  <si>
    <t>IDB VisionCare SDN BHD</t>
  </si>
  <si>
    <t>NCT07047144</t>
  </si>
  <si>
    <t>A Study to Evaluate How Apitegromab Works in Subjects Who Are Less Than 2 Years Old and Have Spinal Muscular Atrophy</t>
  </si>
  <si>
    <t>NCT07035379</t>
  </si>
  <si>
    <t>A Phase I/II Study of TRS005 in Combination With Cyclophosphamide, Doxorubicin, and Prednisone（T-CHP） in Previously Untreated Patients With CD20-positive DLBCL</t>
  </si>
  <si>
    <t>Zhejiang Teruisi Pharmaceutical Inc.</t>
  </si>
  <si>
    <t>NCT07199270</t>
  </si>
  <si>
    <t>A Study to Evaluate the Safety, Immunogenicity, and Pharmacokinetics of GR2303 in Healthy Adult</t>
  </si>
  <si>
    <t>NCT06773117</t>
  </si>
  <si>
    <t>Phase III Trial of Susu Zhike Granules in Children With Cold-cough Syndrome for Acute Cough Treatment</t>
  </si>
  <si>
    <t>NCT07028827</t>
  </si>
  <si>
    <t>Atropine Eyedrops for Myopia Progression in Children and Adolescents (MODERATO STUDY)</t>
  </si>
  <si>
    <t>Ocus Innovation Ireland Limited</t>
  </si>
  <si>
    <t>NCT07089784</t>
  </si>
  <si>
    <t>Multiple Dose Study of MK-2828 in Participants With Type 2 Diabetes (MK-2828-003)</t>
  </si>
  <si>
    <t>NCT07169578</t>
  </si>
  <si>
    <t>A Study of Trontinemab in Participants With Early Symptomatic Alzheimer's Disease</t>
  </si>
  <si>
    <t>NCT07181109</t>
  </si>
  <si>
    <t>Zilebesiran in Patients With Hypertension Not Adequately Controlled and With Either Established Cardiovascular Disease or High Risk for Cardiovascular Disease</t>
  </si>
  <si>
    <t>NCT07167914</t>
  </si>
  <si>
    <t>A Study to Assess Safety, Tolerability and Pharmacokinetics of Transdermal SFG-02 in Healthy Participants</t>
  </si>
  <si>
    <t>Juro Sciences Inc.</t>
  </si>
  <si>
    <t>NCT07129382</t>
  </si>
  <si>
    <t>A Study to Evaluate the Efficacy and Safety of CS32582 in Participants With Moderate to Severe Plaque Psoriasis</t>
  </si>
  <si>
    <t>NCT07204275</t>
  </si>
  <si>
    <t>A Study to Evaluate Efficacy, Safety, and Tolerability of Povetacicept in Participants With Primary Membranous Nephropathy (pMN)</t>
  </si>
  <si>
    <t>NCT07172321</t>
  </si>
  <si>
    <t>A Study to Learn How Different Forms of the Study Medicine Called PF 08049820 Are Taken up Into the Bloodstream in Healthy Adults</t>
  </si>
  <si>
    <t>NCT07160738</t>
  </si>
  <si>
    <t>A Study to Learn About How the Study Medicines Called Itraconazole and Probenecid Change How the Body Processes PF-07220060</t>
  </si>
  <si>
    <t>NCT07156916</t>
  </si>
  <si>
    <t>A Comparative Bioavailability Study of Tamsulosin 0.4 mg Prolonged-release Tablets Versus the Reference Drug Omnic Ocas®, Tamsulosin Hydrochloride 0.4 mg, Prolonged-release Film-coated Tablets, in Healthy Adult Male Subjects, Under Fasting Conditions</t>
  </si>
  <si>
    <t>NCT07181499</t>
  </si>
  <si>
    <t>Sequential Chemotherapy With Befotertinib in Non-Small Cell Lung Cancer (NSCLC) Patients With Resistance to Third-Generation EGFR-TKI</t>
  </si>
  <si>
    <t>NCT07093814</t>
  </si>
  <si>
    <t>A Study of VRT106 for Injection in Patients With Recurrent/Progressive Glioblastoma</t>
  </si>
  <si>
    <t>NCT07158268</t>
  </si>
  <si>
    <t>A Phase 2 Study of HSK47388 Tablets to Evaluate the Efficacy and Safety in Patients With Moderate-to-Severe Plaque Psoriasis</t>
  </si>
  <si>
    <t>NCT07118215</t>
  </si>
  <si>
    <t>A Study to Evaluate the Effects of KarXT on the Drug Levels of Midazolam, Fexofenadine, and Digoxin</t>
  </si>
  <si>
    <t>NCT07161011</t>
  </si>
  <si>
    <t>Phase 2b Controlled Study of Dosing Techniques - Part B</t>
  </si>
  <si>
    <t>NCT07116824</t>
  </si>
  <si>
    <t>HB1801 Combined Treatment of HER2-positive Breast Cancer</t>
  </si>
  <si>
    <t>NCT07136766</t>
  </si>
  <si>
    <t>An 18-week Study to Evaluate a Test Product With a Marketed Prescription Product</t>
  </si>
  <si>
    <t>NCT07133399</t>
  </si>
  <si>
    <t>A Study in Healthy People to Test How 2 Different Formulations of a Combination Treatment (Vicadrostat and Empagliflozin) Are Taken up in the Body and How Food Influences the Amount of the Medicines in the Blood</t>
  </si>
  <si>
    <t>NCT07305974</t>
  </si>
  <si>
    <t>A Phase IIa Clinical Study of RG002C0106 Injection in Subjects With Primary IgA Nephropathy</t>
  </si>
  <si>
    <t>NCT07336940</t>
  </si>
  <si>
    <t>Study of ENV-294 in Healthy Adults and in Adults With Moderate-to-Severe Atopic Dermatitis</t>
  </si>
  <si>
    <t>Enveda Therapeutics</t>
  </si>
  <si>
    <t>NCT07020819</t>
  </si>
  <si>
    <t>An Open Label Clinical Study to Evaluate Tanruprubart (Also Commonly Known as ANX005) in Participants With Guillain-Barré Syndrome (FORWARD Study)</t>
  </si>
  <si>
    <t>NCT07174830</t>
  </si>
  <si>
    <t>Pharmacokinetic Study of Allisartan Isoproxil Tablets in Healthy Chinese Participants</t>
  </si>
  <si>
    <t>NCT07195461</t>
  </si>
  <si>
    <t>Feasibility Study Evaluating the Safety and Effectiveness of Magnetic Bead Tracking System When Used With a Bionic External Prosthesis</t>
  </si>
  <si>
    <t>MuscleMetrix, LLC</t>
  </si>
  <si>
    <t>NCT06441331</t>
  </si>
  <si>
    <t>Phase I Trial to Determine the Dose and Evaluate the PK and Safety of Lutetium Lu 177 Edotreotide Therapy in Pediatric Participants With SSTR-positive Tumors</t>
  </si>
  <si>
    <t>ITM Solucin GmbH</t>
  </si>
  <si>
    <t>NCT07057349</t>
  </si>
  <si>
    <t>CSB-321 Ph 1 in Immunotherapy for the Treatment of Cancer</t>
  </si>
  <si>
    <t>Cytosite Biopharma Inc.</t>
  </si>
  <si>
    <t>NCT07145255</t>
  </si>
  <si>
    <t>Phase 1/2 Dose Finding, Safety and PK Study in Advanced Refractory Solid Tumors</t>
  </si>
  <si>
    <t>MBrace Therapeutics</t>
  </si>
  <si>
    <t>NCT07130617</t>
  </si>
  <si>
    <t>Evaluation of the Efficacy and Safety of Megestrol Acetate in Preventing Nausea and Vomiting Induced by Highly Emetogenic Chemotherapy</t>
  </si>
  <si>
    <t>NCT07104162</t>
  </si>
  <si>
    <t>A Study to Investigate Safety and Pharmacokinetics of Intravenous Cefiderocol/Xeruborbactam in Participants With Renal Impairment</t>
  </si>
  <si>
    <t>NCT07185256</t>
  </si>
  <si>
    <t>Safety and Tolerability of Subretinally Injected OPGx-BEST1 in Patients With Best Vitelliform Macular Dystrophy (BVMD) or Autosomal-Recessive Bestrophinopathy (ARB)</t>
  </si>
  <si>
    <t>Opus Genetics, Inc</t>
  </si>
  <si>
    <t>NCT07378436</t>
  </si>
  <si>
    <t>A Clinical Study of GK02 in Malignant Ascites</t>
  </si>
  <si>
    <t>Beijing Geekgene Technology Co., LTD</t>
  </si>
  <si>
    <t>NCT07144176</t>
  </si>
  <si>
    <t>PK and Safety Comparison of DWJ1511 and DWC202501 in Healthy Volunteers</t>
  </si>
  <si>
    <t>NCT07185269</t>
  </si>
  <si>
    <t>The Purpose of This Study is to Evaluate the Efficacy and Safety of 626 in the Treatment of SLE</t>
  </si>
  <si>
    <t>NCT07186413</t>
  </si>
  <si>
    <t>A Study to Compare the Efficacy, Safety and Pharmacokinetics of Trifarotene 50 mcg/g Cream in Chinese Subjects With Acne Vulgaris</t>
  </si>
  <si>
    <t>NCT07083765</t>
  </si>
  <si>
    <t>Renal Artery Denervation Assessment Without Antihypertensive Medication Regimen (RADAR)</t>
  </si>
  <si>
    <t>Ablative Solutions, Inc.</t>
  </si>
  <si>
    <t>NCT05482295</t>
  </si>
  <si>
    <t>Immunogenicity and Safety Following In-House Recombinant Hepatitis B Vaccine in Indonesian Population (Phase III)</t>
  </si>
  <si>
    <t>NCT07185139</t>
  </si>
  <si>
    <t>MSCohi-O Lenses for Ocular Involvement in Sjögren's Syndrome</t>
  </si>
  <si>
    <t>NCT07161700</t>
  </si>
  <si>
    <t>An Open-Label Extension Study to Evaluate the Safety and Tolerability of SPT-300 (GlyphAllo) in Participants With Major Depressive Disorder, With or Without Anxious Distress (BUOY-1 OLE Study)</t>
  </si>
  <si>
    <t>NCT07181239</t>
  </si>
  <si>
    <t>Study of CM336 in Relapsed or Refractory Multiple Myeloma Patients</t>
  </si>
  <si>
    <t>NCT07140939</t>
  </si>
  <si>
    <t>A Study to Evaluate the Efficacy and Safety of CBL-514 Injection for Reducing Subcutaneous Fat</t>
  </si>
  <si>
    <t>NCT06979336</t>
  </si>
  <si>
    <t>A Study to Evaluate the Efficacy, Safety, and Pharmacokinetics (PK) of RO7837195 in Participants With Moderately to Severely Active Ulcerative Colitis (UC)</t>
  </si>
  <si>
    <t>NCT07106372</t>
  </si>
  <si>
    <t>A Study of Stapokibatrt in Children Subjects With Atopic Dermatitis</t>
  </si>
  <si>
    <t>NCT06068881</t>
  </si>
  <si>
    <t>A Study to Assess Efficacy and Safety of Oral Tazemetostat in Adult Participants With Relapsed/Refractory Follicular Lymphoma That Does Not Have an "EZH2 Gain-of-function" Genetic Mutation</t>
  </si>
  <si>
    <t>Epizyme, Inc.</t>
  </si>
  <si>
    <t>NCT06549400</t>
  </si>
  <si>
    <t>An Open-Label Extension Study to Evaluate the Long-Term Safety and Efficacy of Once Daily Mexiletine PR in Patients With Myotonic Dystrophy Type 1 and Type 2 Who Have Completed MEX-DM-302 Study.</t>
  </si>
  <si>
    <t>NCT07142980</t>
  </si>
  <si>
    <t>A Phase I Study of HRS-7172 in Participants With Advanced Solid Tumors Harboring RAS Mutations or Amplifications</t>
  </si>
  <si>
    <t>NCT06865417</t>
  </si>
  <si>
    <t>A Study Evaluating the Effects of Filgotinib in Children and Teenagers With Ulcerative Colitis</t>
  </si>
  <si>
    <t>NCT07172126</t>
  </si>
  <si>
    <t>Clinical Trial to Evaluate the Tolerance of TQB3201 Tablets</t>
  </si>
  <si>
    <t>NCT07140016</t>
  </si>
  <si>
    <t>A Study of Gilteritinib in Adults With Advanced ALK-positive Non-small Cell Lung Cancer (NSCLC)</t>
  </si>
  <si>
    <t>NCT07102511</t>
  </si>
  <si>
    <t>Randomized, Placebo-Controlled, Double-Blind, Phase 3b Study to Evaluate the Efficacy and Safety of Lerodalcibep in Children 6 to 17 Years, With Heterozygous FH</t>
  </si>
  <si>
    <t>LIB Therapeutics LLC</t>
  </si>
  <si>
    <t>NCT07179692</t>
  </si>
  <si>
    <t>CEA-Targeted CAR-T Therapy in CEA-Positive Advanced Solid Tumors</t>
  </si>
  <si>
    <t>NCT07140055</t>
  </si>
  <si>
    <t>A Research Study to Evaluate BLX-7006 in Healthy Adults</t>
  </si>
  <si>
    <t>NCT07060365</t>
  </si>
  <si>
    <t>A Master Protocol Study to Investigate Biomarker-guided Novel Anticancer Agent(s) as Monotherapy or Combination Therapy in Participants With Advanced/Recurrent Ovarian Cancer</t>
  </si>
  <si>
    <t>NCT07192211</t>
  </si>
  <si>
    <t>Exploratory Study of ADR-002K for Heart Failure Patients With Ischemic Heart Disease Who Undergo CABG</t>
  </si>
  <si>
    <t>Rohto Pharmaceutical Co., Ltd.</t>
  </si>
  <si>
    <t>NCT07054190</t>
  </si>
  <si>
    <t>A Study to Test Inavolisib Treatments in Participants With Early-Stage, PIK3CA-Mutated Breast Cancer</t>
  </si>
  <si>
    <t>NCT07331389</t>
  </si>
  <si>
    <t>A Drug-Drug Interaction Study of HDM1002 and Metformin, Empagliflozin, Midazolam, Valsartan, and Warfarin</t>
  </si>
  <si>
    <t>NCT07137585</t>
  </si>
  <si>
    <t>A Study to Evaluate the Effect of RO7204239 on Insulin Sensitivity and Muscle Composition in Participants With Type 2 Diabetes Mellitus (T2DM) and Overweight or Obesity</t>
  </si>
  <si>
    <t>NCT07184450</t>
  </si>
  <si>
    <t>Clinical Study of BCMA/CD70-targeted CAR-T Therapy for Refractory Pediatric Rheumatic Diseases</t>
  </si>
  <si>
    <t>NCT07220460</t>
  </si>
  <si>
    <t>Study to Assess the Adverse Events of Oral ABBV-932 in Adult Participants With Depressive Episodes Associated With Bipolar I or II Disorder</t>
  </si>
  <si>
    <t>NCT07113262</t>
  </si>
  <si>
    <t>A Clinical Study to Evaluate the Efficacy and Safety of IBI311 in Subjects With Inactive Thyroid Eye Disease</t>
  </si>
  <si>
    <t>NCT06432166</t>
  </si>
  <si>
    <t>2-Hydroxybenzylamine (2-HOBA) Study in Early Alzheimer's Patients</t>
  </si>
  <si>
    <t>MTI Biotech Inc</t>
  </si>
  <si>
    <t>NCT06855771</t>
  </si>
  <si>
    <t>A Study of BMS-986504 in Participants With Pre-treated Advanced or Metastatic Non-small Cell Lung Cancer (NSCLC) With Homozygous MTAP Deletion (MountainTAP-9)</t>
  </si>
  <si>
    <t>NCT07197866</t>
  </si>
  <si>
    <t>An Extension Trial to Test if TEV-56286 is Effective in Relieving Multiple System Atrophy</t>
  </si>
  <si>
    <t>NCT07040436</t>
  </si>
  <si>
    <t>Assessment of Safety and Efficacy of OPM-101 Combined With Anti-PD-1 in Patients With Advanced Melanoma Showing Resistance to Anti-PD-1</t>
  </si>
  <si>
    <t>Oncodesign Precision Medicine</t>
  </si>
  <si>
    <t>NCT07325097</t>
  </si>
  <si>
    <t>PVEK Corneal Implant For Treatment of Corneal Edema</t>
  </si>
  <si>
    <t>Precise Bio</t>
  </si>
  <si>
    <t>NCT07118319</t>
  </si>
  <si>
    <t>The Safety, Tolerability and Preliminary Efficacy of Derived Motor Neuron Progenitor Cells (XS228CN) in Subjects With Amyotrophic Lateral Sclerosis</t>
  </si>
  <si>
    <t>NCT07173556</t>
  </si>
  <si>
    <t>A Phase Ib/II Study of QLC1401 Combined With CDK4/6 or mTOR Inhibitors in ER+/HER2- Advanced Breast Cancer</t>
  </si>
  <si>
    <t>NCT07015437</t>
  </si>
  <si>
    <t>A Recovery and Lifespan Study Using INTERCEPT Red Blood Cells Prepared Using the INTERCEPT Blood System for RBCs With AS-1</t>
  </si>
  <si>
    <t>NCT06835400</t>
  </si>
  <si>
    <t>Oral Paclitaxel + Encequidar vs IV Paclitaxel in Treatment of HER2 Negative Metastatic Breast Cancer</t>
  </si>
  <si>
    <t>Health Hope Pharma</t>
  </si>
  <si>
    <t>NCT07193563</t>
  </si>
  <si>
    <t>A Study to Evaluate the Efficacy and Safety of ENX-102 in Participants With Social Anxiety Disorder</t>
  </si>
  <si>
    <t>NCT07094087</t>
  </si>
  <si>
    <t>Efficacy and Safety of 4F-PCC (4-Factor Prothrombin Complex Concentrate) in Adult Patients Undergoing Complex Cardiovascular Surgery With Cardiopulmonary Bypass (CPB)</t>
  </si>
  <si>
    <t>NCT07102381</t>
  </si>
  <si>
    <t>A Phase 2 Neoadjuvant Study of Zanidatamab in Combination With Chemotherapy in Participants With HER2-positive Breast Cancer</t>
  </si>
  <si>
    <t>NCT07109726</t>
  </si>
  <si>
    <t>A Phase 1/2 Trial of TER-2013 in Patients With Solid Tumors Harboring AKT/PI3K/PTEN Pathway Alterations</t>
  </si>
  <si>
    <t>Terremoto Biosciences Inc.</t>
  </si>
  <si>
    <t>NCT07146126</t>
  </si>
  <si>
    <t>A Phase III Study to Assess the Efficacy and Safety of PG-011 Nasal Spray in Adults With Moderate to Severe Seasonal Allergic Rhinitis</t>
  </si>
  <si>
    <t>NCT07060885</t>
  </si>
  <si>
    <t>A Research Study of House Dust Mite (HDM) SLIT-tablet for the Treatment of HDM Allergy in Chinese Participants Aged 12-65</t>
  </si>
  <si>
    <t>ALK-Abelló A/S</t>
  </si>
  <si>
    <t>NCT07174908</t>
  </si>
  <si>
    <t>A Phase 3 Study of IN10018 in Combination With D-1553 Versus Standard Therapy for First Line Non-squamous Non-small Cell Lung Cancer With KRAS G12C Mutation</t>
  </si>
  <si>
    <t>NCT07202884</t>
  </si>
  <si>
    <t>A Study of Orforglipron in Female Participants With Stress Urinary Incontinence Who Have Obesity or Overweight</t>
  </si>
  <si>
    <t>NCT07160400</t>
  </si>
  <si>
    <t>A Study of IBI3032 in Chinese Healthy Participants and Participants With Overweight or Obesity</t>
  </si>
  <si>
    <t>NCT07290257</t>
  </si>
  <si>
    <t>Long-Term Low-Intervention SafEty and Clinical Outcomes Clinical Study of LivmArli® in Patients With Alagille Syndrome in the European Union (LEAP-EU)</t>
  </si>
  <si>
    <t>NCT07079228</t>
  </si>
  <si>
    <t>A Study to Compare QLS31905 and Chemotherapy With Placebo and Chemotherapy in Participants With Pancreatic Cancer</t>
  </si>
  <si>
    <t>NCT07201064</t>
  </si>
  <si>
    <t>A Study of SZ1003 Injection in Patients With Advanced Hepatocellular Carcinoma</t>
  </si>
  <si>
    <t>NCT07171619</t>
  </si>
  <si>
    <t>Evaluate the Effects of Famotidine or Rabeprazole on the PK of Nirogacestat</t>
  </si>
  <si>
    <t>NCT06247241</t>
  </si>
  <si>
    <t>A Phase 2a Study To Evaluate VMB-100 In Females With Stress Urinary Incontinence</t>
  </si>
  <si>
    <t>Versameb AG</t>
  </si>
  <si>
    <t>NCT07095127</t>
  </si>
  <si>
    <t>Safety, Tolerability, and Efficacy of NVG-2089 in Participants With Immune Thrombocytopenia</t>
  </si>
  <si>
    <t>NCT07141511</t>
  </si>
  <si>
    <t>A Study to Investigate the Relative Bioavailability and Food Effect of a Fixed-Dose Combination Tablet Containing Zanubrutinib and Sonrotoclax (BG-71332) in Healthy Adults</t>
  </si>
  <si>
    <t>NCT07171034</t>
  </si>
  <si>
    <t>A Phase I Study of KLA318-2 Nanocrystal Injection</t>
  </si>
  <si>
    <t>Hunan Kelun Pharmaceutical Co., Ltd.</t>
  </si>
  <si>
    <t>NCT07133633</t>
  </si>
  <si>
    <t>A Clinical Study of Tulisokibart (MK-7240) to Treat Radiographic Axial Spondyloarthritis (MK-7240-013)</t>
  </si>
  <si>
    <t>NCT06903611</t>
  </si>
  <si>
    <t>Phase III Study of Topical Fibrinogen-Depleted Human Platelet Lysate Compared to Placebo for Moderate to Severe Dry Eye</t>
  </si>
  <si>
    <t>Cambium Bio Limited</t>
  </si>
  <si>
    <t>NCT07153471</t>
  </si>
  <si>
    <t>A Study of Orforglipron (LY3502970) in Participants With Obesity or Overweight and Osteoarthritis (OA) of the Knee</t>
  </si>
  <si>
    <t>NCT07312630</t>
  </si>
  <si>
    <t>Clinical Study of LV009 Injection for the Treatment of Relapsed/Refractory CD19-Positive Hematologic and Lymphoid Malignancies</t>
  </si>
  <si>
    <t>NCT07139873</t>
  </si>
  <si>
    <t>A Study of DZD8586 Versus Investigator's Choice in r/r CLL/SLL (TAI-SHAN6)</t>
  </si>
  <si>
    <t>NCT07201051</t>
  </si>
  <si>
    <t>A Study to Assess the Effectiveness and Safety of GSK3862995B in Adults With Bronchiectasis</t>
  </si>
  <si>
    <t>NCT06040476</t>
  </si>
  <si>
    <t>Human Umbilical Cord Blood Infusion in Patients with Acute Ischemic Stroke (AIS)</t>
  </si>
  <si>
    <t>StemCyte, Inc.</t>
  </si>
  <si>
    <t>NCT07157774</t>
  </si>
  <si>
    <t>Assessing the Impact of Muvalaplin on Major Cardiovascular Events in Adults With Elevated Lipoprotein(a)</t>
  </si>
  <si>
    <t>NCT07022483</t>
  </si>
  <si>
    <t>Study of Trastuzumab Deruxtecan Versus Standard of Care Chemotherapy for HER2-Expressing (IHC 3+/2+) Endometrial Cancer</t>
  </si>
  <si>
    <t>NCT07333742</t>
  </si>
  <si>
    <t>A Clinical Study to See How the Body Handles and How Safe a Combination Tablet of Gemigliptin, Dapagliflozin, and Metformin 50/10/1000mg is Compared to Taking Gemigliptin 50mg Separately With Dapagliflozin/Metformin 10/1000mg in Healthy Adults After a Meal</t>
  </si>
  <si>
    <t>NCT07086079</t>
  </si>
  <si>
    <t>A Study of Doravirine/Islatravir in Healthy Lactating Females (MK-8591A-061)</t>
  </si>
  <si>
    <t>NCT07007312</t>
  </si>
  <si>
    <t>Studies to Assess Ziftomenib in Combination With Ven+Aza or 7+3 in Patients With Untreated NPM1-m or KMT2A-r AML</t>
  </si>
  <si>
    <t>NCT07186595</t>
  </si>
  <si>
    <t>A Study to Evaluate the Safety and Effectiveness of JUVÉDERM Products in Adult Participants for the Change of Their Overall Facial Appearance</t>
  </si>
  <si>
    <t>NCT07282145</t>
  </si>
  <si>
    <t>Safety and Pharmacokinetics Study of BCD101 in Healthy Volunteers</t>
  </si>
  <si>
    <t>Bichedam Co., Ltd.</t>
  </si>
  <si>
    <t>NCT07158099</t>
  </si>
  <si>
    <t>Bioequivalence Study of WP205 in Healthy Subjects</t>
  </si>
  <si>
    <t>NCT07181720</t>
  </si>
  <si>
    <t>CD70-Targeted CAR-T Therapy in CD70-Positive Advanced Solid Tumors</t>
  </si>
  <si>
    <t>NCT07193810</t>
  </si>
  <si>
    <t>A Study of CC312 for Relapsed/Refractory Autoimmune Diseases</t>
  </si>
  <si>
    <t>NCT06830395</t>
  </si>
  <si>
    <t>Study of CM313 in Subject With IgA Nephropathy</t>
  </si>
  <si>
    <t>NCT07027345</t>
  </si>
  <si>
    <t>A Phase II, Placebo Controlled, Clinical Trial of Topical TolaSure Targeting Aggregated Mutant Keratin in Epidermolysis Bullosa Simplex</t>
  </si>
  <si>
    <t>BioMendics, LLC</t>
  </si>
  <si>
    <t>NCT07182383</t>
  </si>
  <si>
    <t>Evaluating Bioequivalence of a Fixed Dose Combination Versus Individual Tablets of Bempedoic Acid, Ezetimibe, and Rosuvastatin</t>
  </si>
  <si>
    <t>NCT07087327</t>
  </si>
  <si>
    <t>A Long-term Trial of EB-1020 in Pediatric Patients With ADHD</t>
  </si>
  <si>
    <t>NCT07158437</t>
  </si>
  <si>
    <t>Phase 1 Study of SL-325 in Healthy Volunteers</t>
  </si>
  <si>
    <t>Shattuck Labs, Inc.</t>
  </si>
  <si>
    <t>NCT05633446</t>
  </si>
  <si>
    <t>Next Generation T-cell Vaccine Against Coronavirus Disease (COVID-19)</t>
  </si>
  <si>
    <t>Gylden Pharma Ltd</t>
  </si>
  <si>
    <t>NCT07288554</t>
  </si>
  <si>
    <t>A Study of BBT002 in Healthy Volunteers (HVs) and in Patients With Chronic Obstructive Pulmonary Disease (COPD)</t>
  </si>
  <si>
    <t>NCT07099547</t>
  </si>
  <si>
    <t>Study of ZG005 in Combination With Platinum-Based Chemotherapy in Participants With Advanced Biliary Tract Carcinoma</t>
  </si>
  <si>
    <t>NCT06582485</t>
  </si>
  <si>
    <t>A Trial to Assess Efficacy and Safety of ex Vivo Allograft Admin of iCM012 Solution 2 mg/ml to Improve Its Function in Recipients of DCD Kidneys</t>
  </si>
  <si>
    <t>iCoat Medical AB</t>
  </si>
  <si>
    <t>NCT07086313</t>
  </si>
  <si>
    <t>A Trial to Evaluate the Efficacy and Safety of EB-1020 in Pediatric Patients With ADHD</t>
  </si>
  <si>
    <t>NCT07159243</t>
  </si>
  <si>
    <t>Evaluate the Efficacy and Safety of HL-1186 in Patients With Diabetic Peripheral Neuropathic Pain</t>
  </si>
  <si>
    <t>NCT07134335</t>
  </si>
  <si>
    <t>UBT251 Injection Phase II Clinical Study (CKD)</t>
  </si>
  <si>
    <t>NCT07018050</t>
  </si>
  <si>
    <t>Phase II Study of QLS32015 Combination Therapy in the Treatment of Multiple Myeloma</t>
  </si>
  <si>
    <t>NCT07038096</t>
  </si>
  <si>
    <t>ZG006 and ZG005 in Participants With Small Cell Lung Cancer or Neuroendocrine Carcinoma</t>
  </si>
  <si>
    <t>NCT07294846</t>
  </si>
  <si>
    <t>Drug Interaction Study on Linaprazan Glurate Capsules</t>
  </si>
  <si>
    <t>Jiangsu Sinorda Biomedicine Co., Ltd</t>
  </si>
  <si>
    <t>NCT07154368</t>
  </si>
  <si>
    <t>JYP0322 Versus Platinum Based Doublet Chemotherapy in ROS1 Positive Patients Previously Treated With ROS1-TKIs.</t>
  </si>
  <si>
    <t>NCT07232290</t>
  </si>
  <si>
    <t>Phase IIa Study on Flonoltinib Maleate Tablets in the Treatment of Patients With Polycythemia Vera</t>
  </si>
  <si>
    <t>NCT06776783</t>
  </si>
  <si>
    <t>Safety and Efficacy of APC-0101 in Preterm Infants With Respiratory Distress Syndrome</t>
  </si>
  <si>
    <t>Aerogen Pharma Limited</t>
  </si>
  <si>
    <t>NCT07153744</t>
  </si>
  <si>
    <t>Efficacy and Safety of Shexiang Baoxin Pill(MUSKARDIA) in the Treatment of Acute Myocardial Infarction</t>
  </si>
  <si>
    <t>NCT06941870</t>
  </si>
  <si>
    <t>Efanesoctocog Alfa Prophylaxis in Patients With Hemophilia A With Synovial Hypertrophy</t>
  </si>
  <si>
    <t>NCT07182838</t>
  </si>
  <si>
    <t>Proof-of-Concept Clinical Pharmacology Trial for HIV Antigen Presentation Therapeutic Biologic Mix</t>
  </si>
  <si>
    <t>NCT07205315</t>
  </si>
  <si>
    <t>A Clinical Study Evaluating the Safety and Efficacy of GT801 Injection in Adult Patients With Relapsed/Refractory CD19-positive B-cell Hematologic Malignancies and Autoimmune Hemolytic Anemia</t>
  </si>
  <si>
    <t>NCT07120425</t>
  </si>
  <si>
    <t>A Study of IBI3032 in Healthy Participants</t>
  </si>
  <si>
    <t>Fortvita Biologics (USA)Inc.</t>
  </si>
  <si>
    <t>NCT07278349</t>
  </si>
  <si>
    <t>Bioequivalence Study to Compare Vonoprazan 20 mg Film Coated Tablets Versus Voquezna® 20 mg (Vonoprazan) Tablets</t>
  </si>
  <si>
    <t>NCT06685965</t>
  </si>
  <si>
    <t>A Study to Evaluate Effects on Sleep and Safety of RE03 in PTSD Patients With Sleep Disturbances</t>
  </si>
  <si>
    <t>Reconnect Labs</t>
  </si>
  <si>
    <t>NCT07151937</t>
  </si>
  <si>
    <t>A Study of LAD191 in Adults With Hidradenitis Suppurativa</t>
  </si>
  <si>
    <t>NCT07121101</t>
  </si>
  <si>
    <t>To Evaluate the Safety, Efficacy and Kinetic Characteristics of TRD205 Tablets for Postoperative Analgesia After Unilateral Hip Arthroplasty</t>
  </si>
  <si>
    <t>NCT06973187</t>
  </si>
  <si>
    <t>A Study to Evaluate the Safety and Efficacy of BGB-16673 Compared to Pirtobrutinib in Adults With Relapsed/Refractory Chronic Lymphocytic Leukemia or Small Lymphocytic Lymphoma</t>
  </si>
  <si>
    <t>NCT07186946</t>
  </si>
  <si>
    <t>Phase 1, Single Ascending Dose Study to Evaluate the Safety, Tolerability, PK, PD, and Comparative Bioavailability of THRV-1268 in Obese Adult Participants</t>
  </si>
  <si>
    <t>NCT07115745</t>
  </si>
  <si>
    <t>A Study of Healthy Donor CD19-targeted Allogeneic CAR T Cells in Participants With Severe, Refractory Autoimmune Diseases</t>
  </si>
  <si>
    <t>NCT07123779</t>
  </si>
  <si>
    <t>Study of HS235 in Obese Patients With Pulmonary Hypertension and Heart Failure With Preserved Ejection Fraction (HFpEF)</t>
  </si>
  <si>
    <t>NCT07102719</t>
  </si>
  <si>
    <t>NCT07029737</t>
  </si>
  <si>
    <t>A Study to Evaluate Acalabrutinib, in Combination With the R-CHOP Standard of Care, for Previously Untreated Mantle Cell Lymphoma in Spain</t>
  </si>
  <si>
    <t>NCT07122401</t>
  </si>
  <si>
    <t>Study of MT1013 for the Treatment of Patients With Secondary Hyperparathyroidism</t>
  </si>
  <si>
    <t>NCT07110194</t>
  </si>
  <si>
    <t>Phase I Clinical Trial of TQB2825 Subcutaneous Injection in CD20-positive Hematological Malignancies</t>
  </si>
  <si>
    <t>NCT07008456</t>
  </si>
  <si>
    <t>A Study to Investigate the Efficacy and Safety of Two Different Doses of Twice Daily Distal Jejunal-release Dextrose Beads Formulations Combined With a Gel Composition Compared to Placebos in Obese Subjects With Weight Related Comorbidities</t>
  </si>
  <si>
    <t>Aphaia Pharma US LLC</t>
  </si>
  <si>
    <t>NCT05159453</t>
  </si>
  <si>
    <t>Dose Response Study of Transdermal Human Insulin in Patients</t>
  </si>
  <si>
    <t>Transdermal Delivery Solutions Corp</t>
  </si>
  <si>
    <t>NCT05062902</t>
  </si>
  <si>
    <t>A Novel Medical System for Quantitative Diagnosis and Personalized Precision Botulinum Neurotoxin Injection in Chronic Pelvic Pain Management</t>
  </si>
  <si>
    <t>HillMed Inc.</t>
  </si>
  <si>
    <t>NCT07222878</t>
  </si>
  <si>
    <t>Study to Evaluate the Relative Bioavailability of a New Formulation of NPT 2042 Soft-Gelatin Capsules Compared to the Original Formulation of NPT 2042</t>
  </si>
  <si>
    <t>NCT07115485</t>
  </si>
  <si>
    <t>Phase II, Open-label, Multicenter Study to Evaluate the Efficacy and Safety of HLX43 (an Anti-PD-L1 ADC) in Subjects With Advanced Gastric or Gastroesophageal Junction Adenocarcinoma</t>
  </si>
  <si>
    <t>NCT07043725</t>
  </si>
  <si>
    <t>A Clinical Study of Neoadjuvant Treatment With TQB2102 for Injection for Human Epidermal Growth Factor Receptor 2 (HER2) Positive Breast Cancer</t>
  </si>
  <si>
    <t>NCT07135986</t>
  </si>
  <si>
    <t>Immunogenicity and Safety Study of an Investigational Quadrivalent Meningococcal Conjugate Vaccine Administered in Healthy Children and Adolescents in China</t>
  </si>
  <si>
    <t>NCT07151872</t>
  </si>
  <si>
    <t>Combination of QLS31905 and Chemotherapy ± QL2107 in Patients With CLDN18.2-positive Advanced Biliary Tract Cancer</t>
  </si>
  <si>
    <t>NCT07118241</t>
  </si>
  <si>
    <t>A PHASE II PROSPECTIVE RANDOMIZED DOUBLE-MASKED CONTROLLED STUDY ASSESSING THE SAFETY &amp; EFFICACY OF RHPRG4 (450 µG/ML RECOMBINANT HUMAN PROTEOGLYCAN 4) COMPARED TO VEHICLE FOR THE TREATMENT OF SJÖGREN'S RELATED DRY EYE DISEASE</t>
  </si>
  <si>
    <t>NCT07170800</t>
  </si>
  <si>
    <t>A Phase 2b Clinical Study of JDB0131 Benzenesulfonate Tablets</t>
  </si>
  <si>
    <t>NCT05660863</t>
  </si>
  <si>
    <t>A Multiple Dose Study to Investigate Safety, Tolerability and Pharmacokinetics of MN-08 Tablets</t>
  </si>
  <si>
    <t>NCT07128654</t>
  </si>
  <si>
    <t>A Bioequivalence Study of CT-L02 Compared to Co-administration (CTL0201 and CTL0202) in Healthy Volunteers</t>
  </si>
  <si>
    <t>NCT06946797</t>
  </si>
  <si>
    <t>A Study to Evaluate Two Dosing Regimens of Subcutaneous Nivolumab in Combination With Intravenous Ipilimumab and Chemotherapy in Participants With Previously Untreated Metastatic or Recurrent Non-Small Cell Lung Cancer (NSCLC)</t>
  </si>
  <si>
    <t>NCT05361915</t>
  </si>
  <si>
    <t>Study to Assess Abivertinib in Combination With Abiraterone in Metastatic Castration Resistant Prostate Cancer</t>
  </si>
  <si>
    <t>NCT07152444</t>
  </si>
  <si>
    <t>A Phase I Trial of QLS1410 in Healthy Chinese Adults and Participants With Mild Essential Hypertension</t>
  </si>
  <si>
    <t>NCT07114315</t>
  </si>
  <si>
    <t>A Study of AK130 in Combination With AK112 for the Treatment of Advanced Pancreatic Cancer</t>
  </si>
  <si>
    <t>NCT07112443</t>
  </si>
  <si>
    <t>A Study to Assess How Effective and Safe NVD003 is for Treating Patients With Congenital Pseudarthrosis of the Tibia.</t>
  </si>
  <si>
    <t>NCT07158840</t>
  </si>
  <si>
    <t>AK112 in Non-squamous Non-small Cell Lung Cancer (NSCLC)Patients With Actionable Genomic Alterations (AGA) Who Have Failed to Previous Tyrosine Kinase Inhibitor (TKI) Treatment</t>
  </si>
  <si>
    <t>NCT07157787</t>
  </si>
  <si>
    <t>Study of ALXN1920 in Adult Participants With Primary Membranous Nephropathy (PMN)</t>
  </si>
  <si>
    <t>NCT07243379</t>
  </si>
  <si>
    <t>A Prospective Real-World Observational Study of Nanocrystalline Megestrol Acetate in Patients With Cancer Cachexia</t>
  </si>
  <si>
    <t>NCT07190196</t>
  </si>
  <si>
    <t>A 52-week Study of Rilzabrutinib Efficacy and Safety Compared to Placebo in Adults Diagnosed With IgG4-related Disease</t>
  </si>
  <si>
    <t>NCT07130383</t>
  </si>
  <si>
    <t>A Study of MHB036C Combined With MHB039A in Patients With Advanced Breast Cancer or Other Advanced Malignant Solid Tumors</t>
  </si>
  <si>
    <t>NCT06919354</t>
  </si>
  <si>
    <t>A Study of GNTI-122 in Adults Recently Diagnosed With T1D</t>
  </si>
  <si>
    <t>GentiBio, Inc</t>
  </si>
  <si>
    <t>NCT06396091</t>
  </si>
  <si>
    <t>A Study of Zolbetuximab With Chemotherapy in Adults With Pancreatic Cancer</t>
  </si>
  <si>
    <t>NCT07129993</t>
  </si>
  <si>
    <t>Study of Datopotamab Deruxtecan Plus Carboplatin or Cisplatin Versus Gemcitabine Plus Carboplatin or Cisplatin in Participants With Locally Advanced or Metastatic Urothelial Carcinoma</t>
  </si>
  <si>
    <t>NCT07141706</t>
  </si>
  <si>
    <t>A Study of DB-1317 in Selected Advanced/Metastatic Solid Tumors</t>
  </si>
  <si>
    <t>NCT07187713</t>
  </si>
  <si>
    <t>ACE Reno, Pico Cell Matrix and Its Effect on eGFR in Chronic Kidney Diseases</t>
  </si>
  <si>
    <t>NCT07190222</t>
  </si>
  <si>
    <t>Efficacy, Safety, and Tolerability Study of Lunsekimig Compared With Placebo in Adult Participants With Inadequately Controlled Chronic Obstructive Pulmonary Disease (COPD), Characterized by an Eosinophilic Phenotype</t>
  </si>
  <si>
    <t>NCT06919965</t>
  </si>
  <si>
    <t>A Study to Evaluate TAR-210 Versus Intravesical Chemotherapy Treatment in Participants With High Risk Non-Muscle-Invasive Bladder Cancer</t>
  </si>
  <si>
    <t>NCT07106892</t>
  </si>
  <si>
    <t>Phase II, Open-label, Multicenter Study to Evaluate the Efficacy and Safety of HLX43 (an Anti-PD-L1 ADC) in Subjects With Advanced Colorectal Cancer</t>
  </si>
  <si>
    <t>NCT07211607</t>
  </si>
  <si>
    <t>I.V. Selonabant in Healthy Adult Subjects</t>
  </si>
  <si>
    <t>Anebulo Pharmaceuticals</t>
  </si>
  <si>
    <t>NCT06926868</t>
  </si>
  <si>
    <t>A Study of Izalontamab Brengitecan Versus Chemotherapy in Participants With Previously Untreated, Locally Advanced, Recurrent Inoperable, or Metastatic Triple-negative Breast Cancer Ineligible for Anti-PD(L)1 Drugs (IZABRIGHT-Breast01)</t>
  </si>
  <si>
    <t>NCT07116967</t>
  </si>
  <si>
    <t>Long-Term Safety Study of Deucravacitinib Versus Ustekinumab in Participants With Psoriasis (PRAGMATYK)</t>
  </si>
  <si>
    <t>NCT07333352</t>
  </si>
  <si>
    <t>PCV24 Clinical Trial in Infants and Young Children Aged 2 Months (Minimum 6 Weeks) to 71 Months</t>
  </si>
  <si>
    <t>NCT07205887</t>
  </si>
  <si>
    <t>A Dose-masked Study of Intravitreal EYE103 in Participants With NVAMD or Macular Edema Following BRVO</t>
  </si>
  <si>
    <t>NCT07128615</t>
  </si>
  <si>
    <t>A Phase I/II Study on Safety AND Immunogenicity of AZD4117 and AZD5315 Vaccines (PANDA)</t>
  </si>
  <si>
    <t>NCT07111520</t>
  </si>
  <si>
    <t>A Clinical Trial to Test if an Investigational Combination Therapy With BNT326 and BNT327 is Safe and Potentially Beneficial for People With Advanced Non-small Cell Lung Cancer (NSCLC)</t>
  </si>
  <si>
    <t>NCT07215650</t>
  </si>
  <si>
    <t>Clinical Study of Cizutamig in Generalized Myasthenia Gravis (gMG)</t>
  </si>
  <si>
    <t>NCT07216313</t>
  </si>
  <si>
    <t>A Drug-Drug Interaction Study of Denifanstat and Resmetirom in Healthy Adult Participants</t>
  </si>
  <si>
    <t>NCT07124468</t>
  </si>
  <si>
    <t>Assess the Plasma, Epithelial Lining, and Alveolar Macrophage Concentrations of Intravenous Meropenem-Pralubactam (Meropenem/FL058) in China Healthy Adult Participants</t>
  </si>
  <si>
    <t>NCT07126665</t>
  </si>
  <si>
    <t>A Study of MHB088C Combined With MHB039A in Patients With Advanced Malignant Solid Tumors</t>
  </si>
  <si>
    <t>NCT07240116</t>
  </si>
  <si>
    <t>Study Evaluating the Bioavailability of Miricorilant With Optional Food Effect Assessment in Healthy Adult Subjects</t>
  </si>
  <si>
    <t>NCT07140809</t>
  </si>
  <si>
    <t>a Phase 1b/2a Study of JMT202 Injection in Participants With Hypertriglyceridemia</t>
  </si>
  <si>
    <t>NCT07156500</t>
  </si>
  <si>
    <t>A Phase 3 Study of HS-20094 in Patients With T2DM Inadequately Controlled With Diet and Exercise Alone</t>
  </si>
  <si>
    <t>NCT07080216</t>
  </si>
  <si>
    <t>Study of ZG005 in Combination With Gecacitinib in Participants With Advanced Cervical Cancer</t>
  </si>
  <si>
    <t>NCT07186452</t>
  </si>
  <si>
    <t>Evaluation of the Effect of Itraconazole on the Pharmacokinetics of HS-20093 in Patients With Advanced Solid Tumors</t>
  </si>
  <si>
    <t>NCT07256743</t>
  </si>
  <si>
    <t>Efficacy of SALI-10 Oral Probiotics in Experimental Gingivitis</t>
  </si>
  <si>
    <t>NCT07179640</t>
  </si>
  <si>
    <t>A Study to Assess Safety, Tolerability, Pharmacokinetics and Pharmacodynamics of ALE1 in Healthy Adults and Adults With Hypophosphatasia in Order to Identify Suitable Doses of ALE1</t>
  </si>
  <si>
    <t>Alesta Therapeutics</t>
  </si>
  <si>
    <t>NCT07201584</t>
  </si>
  <si>
    <t>A Comparative Bioavailability Study of Two Torasemide 10 mg Tablets Formulations in Healthy Adult Participants Under Fasting Conditions:</t>
  </si>
  <si>
    <t>NCT06984627</t>
  </si>
  <si>
    <t>A Study to Investigate the Efficacy and Safety of Rilzabrutinib in Adult Participants With Graves' Disease</t>
  </si>
  <si>
    <t>NCT07178327</t>
  </si>
  <si>
    <t>Phase I Clinical Study to Assess Safety, Tolerability, Pharmacokinetics, and Pharmacodynamics of Single and Multiple Doses of LYN101</t>
  </si>
  <si>
    <t>Shanghai TTM-Bio Technology Co., Ltd</t>
  </si>
  <si>
    <t>NCT06886139</t>
  </si>
  <si>
    <t>A Phase 2 Study of TRS005 in Patients With CD20-positive R/R DLBCL.</t>
  </si>
  <si>
    <t>NCT07025551</t>
  </si>
  <si>
    <t>A Clinical Study of MK-8527 in Participants With Mild and Moderate Hepatic Impairment (MK-8527-015)</t>
  </si>
  <si>
    <t>NCT07465705</t>
  </si>
  <si>
    <t>Clinical Trial on Bowel Preparation Comparing Mannitol 100g to Plenvu Both in a Same Day Regimen (CLEARWAY)</t>
  </si>
  <si>
    <t>NTC srl</t>
  </si>
  <si>
    <t>NCT07192666</t>
  </si>
  <si>
    <t>Exosomes in Patients With Ocular Involvement of Sjögren's Syndrome</t>
  </si>
  <si>
    <t>NCT07136779</t>
  </si>
  <si>
    <t>First-in-Human Trial of VBC101 in Participants With Advanced Solid Tumor Malignancies</t>
  </si>
  <si>
    <t>VelaVigo Bio Inc</t>
  </si>
  <si>
    <t>NCT07028853</t>
  </si>
  <si>
    <t>This Study Will Explore Whether a Combination of the Investigational Drug Mevrometostat (PF-06821497) and Enzalutamide Will Work Better Than Taking Enzalutamide Alone in Participants With mCSPC Who Are ARPI naïve.</t>
  </si>
  <si>
    <t>NCT07118254</t>
  </si>
  <si>
    <t>A PHASE II PROSPECTIVE RANDOMIZED DOUBLE-MASKED CROSSOVER STUDY ASSESSING THE SAFETY &amp; EFFICACY OF RHPRG4 (450 μG/ML RECOMBINANT HUMAN PROTEOGLYCAN 4) COMPARED TO VEHICLE FOR THE TREATMENT OF OCULAR GRAFT-VERSUS-HOST DISEASE (OGVHD)</t>
  </si>
  <si>
    <t>NCT07185113</t>
  </si>
  <si>
    <t>A Study to Assess the Pharmacokinetics of GEn-1124 After Single Oral Dosing in Healthy Subjects</t>
  </si>
  <si>
    <t>GEn1E Lifesciences</t>
  </si>
  <si>
    <t>NCT07230353</t>
  </si>
  <si>
    <t>A Phase 1b Open-label Study to Evaluate Safety in Participants With Rheumatoid Arthritis</t>
  </si>
  <si>
    <t>NCT06851559</t>
  </si>
  <si>
    <t>A Study in Adult Participants With EoE to Evaluate Vonoprazan 20 mg Compared to Placebo After 12 Weeks and to Evaluate Vonoprazan 20 mg Up to 24 Weeks</t>
  </si>
  <si>
    <t>NCT06988488</t>
  </si>
  <si>
    <t>A Study to Determine the Recommended Dose and Schedule, and Evaluate the Safety and Preliminary Efficacy of Mezigdomide in Combination With Elranatamab in Participants With Relapsed and/or Refractory Multiple Myeloma</t>
  </si>
  <si>
    <t>NCT07304791</t>
  </si>
  <si>
    <t>This is a Phase 1, Randomized, Single-blind, Placebo-controlled Study to Assess the Safety, Pharmacokinetics (PK), and Pharmacodynamics (PD) of BEAM-103 in Healthy Subjects</t>
  </si>
  <si>
    <t>NCT07301203</t>
  </si>
  <si>
    <t>Phase I Study of CPD704 Inhalation Suspension in Healthy Subjects</t>
  </si>
  <si>
    <t>NCT07184632</t>
  </si>
  <si>
    <t>A Research Study on How Well Different Doses of the Medicine NNC0662-0419 Help People Living With Overweight or Obesity</t>
  </si>
  <si>
    <t>NCT07220629</t>
  </si>
  <si>
    <t>Study to Explore the Safety and Efficacy of NT-0796 as an Adjunct to Semaglutide in Participants With Obesity (RESOLVE-2)</t>
  </si>
  <si>
    <t>NCT06710431</t>
  </si>
  <si>
    <t>A Study of the Safety and Exploratory Efficacy of Oral AFA-281 in Patients with Alcohol Use Disorder</t>
  </si>
  <si>
    <t>NCT07281872</t>
  </si>
  <si>
    <t>Bioequivalence Study of WP205 in Healthy Participants</t>
  </si>
  <si>
    <t>NCT07377045</t>
  </si>
  <si>
    <t>Clinical Trial of OMTX705 in Combination With Gemcitabine/Nab-Paclitaxel and Tislelizumab in Patients With Advanced/Metastatic Pancreatic Adenocarcinoma</t>
  </si>
  <si>
    <t>Oncomatryx Biopharma S.L.</t>
  </si>
  <si>
    <t>NCT07303465</t>
  </si>
  <si>
    <t>To Evaluate the Safety and Efficacy of RNK08954 in Patients With Metastatic Pancreatic Ductal Adenocarcinoma.</t>
  </si>
  <si>
    <t>NCT07165028</t>
  </si>
  <si>
    <t>A Master Protocol of Multiple Agents in Adults With Metabolic Dysfunction-Associated Steatotic Liver Disease (SYNERGY-Outcomes)</t>
  </si>
  <si>
    <t>NCT07107204</t>
  </si>
  <si>
    <t>A Clinical Study of BT02 in Patients With Relapsed or Refractory Hematologic Malignancies</t>
  </si>
  <si>
    <t>NCT07226778</t>
  </si>
  <si>
    <t>Comparing the Extent to Which Maridebart Cafraglutide (AMG 133) is Made Available in the Body When Administered Using Two Subcutaneous (SC) Presentations</t>
  </si>
  <si>
    <t>NCT07177339</t>
  </si>
  <si>
    <t>eValuating the Efficacy and Safety of InitiatinG depemokImab earLy therApy iN Chronic Obstructive Pulmonary Disorder (COPD) With Type 2 Inflammation</t>
  </si>
  <si>
    <t>NCT07029932</t>
  </si>
  <si>
    <t>A Phase 1 Study of the Safety and Tolerability of Single and Multiple Ascending Doses of BWC0977 in Healthy Volunteers</t>
  </si>
  <si>
    <t>Bugworks Research Inc.</t>
  </si>
  <si>
    <t>NCT07190430</t>
  </si>
  <si>
    <t>A Study to Learn If the Study Medicine Called PF-08049820 Changes How the Body Processes the Other Study Medicines Called Oral Contraceptives, Midazolam, and Dabigatran in Healthy Adult Female Participants</t>
  </si>
  <si>
    <t>NCT07219121</t>
  </si>
  <si>
    <t>Sparsentan in Posttransplant Immunoglobulin A Nephropathy or Focal Segmental Glomerulosclerosis</t>
  </si>
  <si>
    <t>NCT07178249</t>
  </si>
  <si>
    <t>Evaluating the Safety and Preliminary Efficacy of EXG202 Gene Therapy for Neovascular AMD</t>
  </si>
  <si>
    <t>NCT07216079</t>
  </si>
  <si>
    <t>Rilzabrutinib for the Adult Participants With Chronic ITP Who Have Completed Phase 3 Study in Japan</t>
  </si>
  <si>
    <t>NCT07266805</t>
  </si>
  <si>
    <t>Study of Oral Deucrictibant XR Tablet for Prophylaxis and Deucrictibant IR Capsule for On-Demand Treatment of Angioedema Attacks in Adults With Acquired Angioedema Due to C1 Inhibitor Deficiency</t>
  </si>
  <si>
    <t>NCT07121244</t>
  </si>
  <si>
    <t>A Phase 1 Study of 68Ga-R11228 and 177Lu-R11228 in Breast Cancer</t>
  </si>
  <si>
    <t>NCT07181148</t>
  </si>
  <si>
    <t>A Study to Evaluate the Safety and Effectiveness of MSP01-T for Bowel Cleansing Before a Colonoscopy</t>
  </si>
  <si>
    <t>Mather's Pharm. Co., Ltd.</t>
  </si>
  <si>
    <t>NCT07218796</t>
  </si>
  <si>
    <t>Evaluation of the Safety and Efficacy of the Bimatoprost Implant System Used in Combination With the SpyGlass IOL Compared to Timolol Ophthalmic Solution (Rhone)</t>
  </si>
  <si>
    <t>SpyGlass Pharma, Inc.</t>
  </si>
  <si>
    <t>NCT07205198</t>
  </si>
  <si>
    <t>A Clinical Trial of SIBP-A10 Injection in the Treatment of Advanced Malignant Tumor Subjects.</t>
  </si>
  <si>
    <t>NCT07208773</t>
  </si>
  <si>
    <t>A Study of YL201 and Ivonescimab (AK112) in Advanced Solid Tumors</t>
  </si>
  <si>
    <t>NCT07221084</t>
  </si>
  <si>
    <t>A Study to Assess Pharmacokinetics, Safety, and Tolerability of Atumelnant in Healthy Japanese and Caucasian Participants</t>
  </si>
  <si>
    <t>NCT07150013</t>
  </si>
  <si>
    <t>Rett REVOLUTION Trial: An Exploratory Evaluation of the Safety and Efficacy of Vorinostat in Rett Syndrome</t>
  </si>
  <si>
    <t>Unravel Biosciences, Inc.</t>
  </si>
  <si>
    <t>NCT07222059</t>
  </si>
  <si>
    <t>Phase 3 Single Arm, Open Study on vYF in Adults</t>
  </si>
  <si>
    <t>NCT07073638</t>
  </si>
  <si>
    <t>Phase 2 Trial to Evaluate the Safety and Tolerability and Early Bactericidal Activity of RESP30TB in Tuberculosis</t>
  </si>
  <si>
    <t>NCT06678984</t>
  </si>
  <si>
    <t>Treated Umbilical Vein Allograft (UVT) Versus Autologous Fascial Pubovaginal Sling in the Treatment of Female Stress Urinary Incontinence</t>
  </si>
  <si>
    <t>NCT07330440</t>
  </si>
  <si>
    <t>A Phase I Study to Evaluate the Safety, Tolerability, and Immunogenicity of an mRNA Vaccine Against Herpes Simplex Virus Type 2 (HSV-2) Post-Vaccination</t>
  </si>
  <si>
    <t>NCT03686657</t>
  </si>
  <si>
    <t>Evaluation of Superiority of Valsartan+Celecoxib+Metformin Over Metformin Alone in Type 2 Diabetes Patients</t>
  </si>
  <si>
    <t>ARKAY Therapeutics</t>
  </si>
  <si>
    <t>NCT07216781</t>
  </si>
  <si>
    <t>Safety and Efficacy of Injectable Klotho Plasmid Gene Therapy in Humans</t>
  </si>
  <si>
    <t>Minicircle</t>
  </si>
  <si>
    <t>NCT07132983</t>
  </si>
  <si>
    <t>A Phase II Study to Assess the Pharmacokinetics, Pharmacodynamics, and Safety of Single Inhaled Doses of Ensifentrine-glycopyrrolate Fixed Dose Combination, Ensifentrine, and Glycopyrrolate in Subjects With Chronic Obstructive Pulmonary Disease</t>
  </si>
  <si>
    <t>NCT07209761</t>
  </si>
  <si>
    <t>A Study of Quabodepistat-containing Regimens for the Treatment of Drug-resistant Pulmonary Tuberculosis</t>
  </si>
  <si>
    <t>NCT07199218</t>
  </si>
  <si>
    <t>Placebo-Controlled Study of Terpenes-Enriched Cannabis Oil T1/C28 for Children With Autism</t>
  </si>
  <si>
    <t>NCT07153146</t>
  </si>
  <si>
    <t>Safety, Tolerability, Pharmacokinetics, and Pharmacodynamics of PN-881 in Healthy Subjects.</t>
  </si>
  <si>
    <t>NCT07207369</t>
  </si>
  <si>
    <t>A Study to Assess the Safety and Effectiveness of ELAPR002f Injectable Gel in Adult Participants With Atrophic Acne Scars</t>
  </si>
  <si>
    <t>NCT07173933</t>
  </si>
  <si>
    <t>Phase I/II Clinical Study to Evaluate the Safety, Tolerability, and Efficacy of GC310 Injection in Patients With Wilson's Disease (WD)</t>
  </si>
  <si>
    <t>NCT07208136</t>
  </si>
  <si>
    <t>A Study of JMKX005425 in Patients With MSI-H/dMMR Advanced Solid Tumors</t>
  </si>
  <si>
    <t>NCT07196644</t>
  </si>
  <si>
    <t>A Study to Assess Adverse Events and Change in Disease Activity in Participants 12 Years of Age or Older With Locally Advanced or Metastatic Solid Tumors That Harbor MET Amplification Receiving Intravenously Infused Telisotuzumab Adizutecan</t>
  </si>
  <si>
    <t>NCT07109986</t>
  </si>
  <si>
    <t>UB-VV410 in Subjects With Active Refractory Systemic Lupus Erythematosus or Lupus Nephritis</t>
  </si>
  <si>
    <t>NCT07310264</t>
  </si>
  <si>
    <t>Research Into the Safety of a New Agent (VT-5006) in People With and Without Parkinson's Disease</t>
  </si>
  <si>
    <t>Vertero Therapeutics</t>
  </si>
  <si>
    <t>NCT07221565</t>
  </si>
  <si>
    <t>Quantum-Synaptic Immunotherapy Mapping Using Low-Frequency Electromagnetic Resonance and Machine Learning-Based Cytokine Forecasting</t>
  </si>
  <si>
    <t>Truway Health, Inc.</t>
  </si>
  <si>
    <t>NCT06606561</t>
  </si>
  <si>
    <t>NANOVAE to Treat Knee Osteoarthritis (KOA)</t>
  </si>
  <si>
    <t>Nova Vita Laboratory</t>
  </si>
  <si>
    <t>NCT07246161</t>
  </si>
  <si>
    <t>Vaginal Detection of Orally Delivered Probiotic Strains in Healthy Women</t>
  </si>
  <si>
    <t>NCT07217860</t>
  </si>
  <si>
    <t>An Open-label Study of Azetukalner in Bipolar I or II Depression (X-CEED-OLE)</t>
  </si>
  <si>
    <t>NCT07219771</t>
  </si>
  <si>
    <t>A Study to Evaluate the Efficacy and Safey of PTP-001 (MOTYS™) in Knee Osteoarthritis Patients</t>
  </si>
  <si>
    <t>Doron Therapeutics Inc.</t>
  </si>
  <si>
    <t>NCT07215078</t>
  </si>
  <si>
    <t>Study About Whether Atirmociclib/PF-07220060 Proportionally Increases Exposure as Dose Increases in Healthy Participants</t>
  </si>
  <si>
    <t>NCT07110584</t>
  </si>
  <si>
    <t>Dose Escalation and Dose Expansion Study of MDX2004 in Participants With Advanced Tumors</t>
  </si>
  <si>
    <t>NCT07196748</t>
  </si>
  <si>
    <t>A Protocol of Icotrokinra Therapy in Adult and Adolescent Participants With Moderately to Severely Active Ulcerative Colitis</t>
  </si>
  <si>
    <t>NCT07265167</t>
  </si>
  <si>
    <t>Bioequivalence Study Between YHP2406 and YHR2501 in Healthy Subjects</t>
  </si>
  <si>
    <t>NCT07133191</t>
  </si>
  <si>
    <t>A Trial to Compare What the Body Does to Selatogrel and the Effect of Selatogrel in Japanese and Caucasian Healthy Participants</t>
  </si>
  <si>
    <t>NCT06431776</t>
  </si>
  <si>
    <t>Inhaled Molgramostim in Pediatric Participants With Autoimmune Pulmonary Alveolar Proteinosis (aPAP).</t>
  </si>
  <si>
    <t>Savara Inc.</t>
  </si>
  <si>
    <t>NCT07180355</t>
  </si>
  <si>
    <t>A Study of SGT-212 Gene Therapy in Friedreich's Ataxia</t>
  </si>
  <si>
    <t>NCT07093255</t>
  </si>
  <si>
    <t>Safety, PK and PD of FLQ-101 in Premature Neonates</t>
  </si>
  <si>
    <t>FELIQS INC.</t>
  </si>
  <si>
    <t>NCT07081555</t>
  </si>
  <si>
    <t>A First-in-Human Phase 1 Safety and Biodistribution of [177Lu]Lu-ABY-271 in Subjects With HER2-positive Metastatic Breast Cancer</t>
  </si>
  <si>
    <t>Affibody</t>
  </si>
  <si>
    <t>NCT07281326</t>
  </si>
  <si>
    <t>A Study of AK138D1 in Advanced Malignant Tumors</t>
  </si>
  <si>
    <t>NCT07204639</t>
  </si>
  <si>
    <t>Safety and Efficacy of RAP-103 to Improve Severity and Quality of Life on Moderate to Severe Psoriasis in Subjects</t>
  </si>
  <si>
    <t>Clarent Biopharma, Inc.</t>
  </si>
  <si>
    <t>NCT07251153</t>
  </si>
  <si>
    <t>Pharmacokinetic Comparison of Vonafexor Acid and Its Lysine Salt and Evaluation of Potential Drug-Drug Interactions</t>
  </si>
  <si>
    <t>NCT07306949</t>
  </si>
  <si>
    <t>Real-Life Clinical Efficacy of Acoramidis in Participants With ATTR-CM and Association With Cardiac Biomarkers</t>
  </si>
  <si>
    <t>NCT07123155</t>
  </si>
  <si>
    <t>Study of S-606001 as an Add-on to Enzyme Replacement Therapy (ERT) in Participants With Late-onset Pompe Disease (LOPD)</t>
  </si>
  <si>
    <t>NCT07159126</t>
  </si>
  <si>
    <t>A Study of DS3610a in Participants With Advanced Solid Tumor</t>
  </si>
  <si>
    <t>NCT07232758</t>
  </si>
  <si>
    <t>Safety, Tolerability and Pharmacokinetic Studies of HRS-2183 for Injection in Healthy Chinese Subjects After Single and Multiple Administration</t>
  </si>
  <si>
    <t>NCT07215637</t>
  </si>
  <si>
    <t>Phase Ia/Ib Study of CKD-512 Alone and in Combination With Pembrolizumab in Subjects With Advanced or Metastatic Solid Tumors</t>
  </si>
  <si>
    <t>NCT07165223</t>
  </si>
  <si>
    <t>A Phase IIIb Clinical Study to Assess the Efficacy and Safety of GZR4 in Subjects With Type 2 Diabetes Mellitus Treated With Basal Insulin</t>
  </si>
  <si>
    <t>NCT07114861</t>
  </si>
  <si>
    <t>The KN510713 Study in Combination With mFOLFIRINOX</t>
  </si>
  <si>
    <t>New Cancer Cure-Bio Co.,Ltd.</t>
  </si>
  <si>
    <t>NCT07192107</t>
  </si>
  <si>
    <t>A Study of MHB042C in Patients With Advanced Solid Tumors</t>
  </si>
  <si>
    <t>NCT07272434</t>
  </si>
  <si>
    <t>Phase III Clinical Trial of the Recombinant Respiratory Syncytial Virus Vaccine ( CHO Cell)</t>
  </si>
  <si>
    <t>NCT07168434</t>
  </si>
  <si>
    <t>Saccharomyces Boulardii CNCM I-745 in Irritable Bowel Syndrome</t>
  </si>
  <si>
    <t>NCT07308548</t>
  </si>
  <si>
    <t>A Trial to Evaluate the Efficacy, Safety, PK, and PD of HP515 in Non - Alcoholic Fatty Liver Disease ( NASH/MASH )</t>
  </si>
  <si>
    <t>NCT07231081</t>
  </si>
  <si>
    <t>Phase I Study of TX103 CAR-T Cells in Participants With Advanced Solid Tumors</t>
  </si>
  <si>
    <t>NCT07184996</t>
  </si>
  <si>
    <t>An Induction Study to Investigate the Efficacy and Safety of Duvakitug in Participants With Moderately to Severely Active Ulcerative Colitis</t>
  </si>
  <si>
    <t>NCT06655883</t>
  </si>
  <si>
    <t>A Study of Suvorexant (MK-4305) for the Treatment of Insomnia Disorder in Participants With Opioid Use Disorder (MK-4305-098)</t>
  </si>
  <si>
    <t>NCT06891885</t>
  </si>
  <si>
    <t>A Study to Investigate the Safety of DSP-3077 After a Unilateral Eye Injection in Male and Female Participants 18 Years of Age or Older With Retinitis Pigmentosa</t>
  </si>
  <si>
    <t>NCT06990984</t>
  </si>
  <si>
    <t>A Dose-ranging Study of TTI-0102 in Adults and Children With Leigh Syndrome Spectrum (LSS)</t>
  </si>
  <si>
    <t>NCT07231458</t>
  </si>
  <si>
    <t>A Study to Test a New Immunotherapy, ABX-001, Alone and in Combination With the Marketed Drug, Pembrolizumab, for the Treatment of Tumors Previously Treated With Other Therapies</t>
  </si>
  <si>
    <t>Abalos Therapeutics GmbH</t>
  </si>
  <si>
    <t>NCT07205926</t>
  </si>
  <si>
    <t>First in Human Dose Escalation Study Evaluating the Safety and Immunogenicity of IVT's Shigella-04 Vaccine in Healthy Young Adults</t>
  </si>
  <si>
    <t>NCT07252921</t>
  </si>
  <si>
    <t>Safety and Efficacy of HRS-9190 Compared to Rocuronium for Tracheal Intubation in Adults</t>
  </si>
  <si>
    <t>NCT07205081</t>
  </si>
  <si>
    <t>Safety, Tolerability and PK of ATTO-3712 in Healthy Volunteers and Patients With Atopic Dermatitis</t>
  </si>
  <si>
    <t>NCT07160634</t>
  </si>
  <si>
    <t>A Study of SGT-003 Gene Therapy in Ambulant Males With Duchenne Muscular Dystrophy (IMPACT DUCHENNE)</t>
  </si>
  <si>
    <t>NCT07214896</t>
  </si>
  <si>
    <t>Deployment and Evaluation of Humanoid Robotics in Coalition-Aligned Clinical Care Settings</t>
  </si>
  <si>
    <t>NCT06659445</t>
  </si>
  <si>
    <t>Study to Evaluate Efficacy and Safety of ONL1204 in Patients With GA Associated With AMD</t>
  </si>
  <si>
    <t>ONL Therapeutics</t>
  </si>
  <si>
    <t>NCT07201545</t>
  </si>
  <si>
    <t>Evaluating Bioequivalence of a Fixed Dose Combination Versus Tablets of Bempedoic Acid / Ezetimibe and Rosuvastatin</t>
  </si>
  <si>
    <t>NCT07246863</t>
  </si>
  <si>
    <t>Trial Investigating Visugromab and Nivolumab With or Without Docetaxel in 2L Treatment of Participants With Metastatic NSCLC</t>
  </si>
  <si>
    <t>NCT06934967</t>
  </si>
  <si>
    <t>Study to Assess the Pharmacokinetics, Safety, and Tolerability of Iptacopan in Pediatric PNH Patients</t>
  </si>
  <si>
    <t>NCT07169331</t>
  </si>
  <si>
    <t>A Study to Evaluate the Efficacy and Safety of Zanubrutinib in Chinese Adults With Treatment-Naive Waldenström Macroglobulinemia</t>
  </si>
  <si>
    <t>NCT07165132</t>
  </si>
  <si>
    <t>Study of RYZ401 in Subjects With Solid Tumors Expressing SSTRs.</t>
  </si>
  <si>
    <t>NCT06980948</t>
  </si>
  <si>
    <t>Safety and Tolerability Study of ST-503 for Refractory Pain Due to Peripheral Neuropathy (Small Fiber Predominant, SFN)</t>
  </si>
  <si>
    <t>Sangamo Therapeutics</t>
  </si>
  <si>
    <t>NCT07181837</t>
  </si>
  <si>
    <t>A Phase 1/2 Study of the Safety and Efficacy of MVX-220 in Angelman Syndrome</t>
  </si>
  <si>
    <t>MavriX Bio, LLC</t>
  </si>
  <si>
    <t>NCT07291037</t>
  </si>
  <si>
    <t>Phase III Study of Datopotamab Deruxtecan Versus Docetaxel in Previously Treated TROP2-positive Advanced or Metastatic Non-squamous NSCLC Without Actionable Genomic Alterations</t>
  </si>
  <si>
    <t>NCT07235748</t>
  </si>
  <si>
    <t>Drug-drug Interaction Study of Vorasidenib With Bupropion, Repaglinide, Flurbiprofen, Omeprazole, Midazolam, and Rosuvastatin in Healthy Adult Participants</t>
  </si>
  <si>
    <t>Institut de Recherches Internationales Servier (I.R.I.S.)</t>
  </si>
  <si>
    <t>NCT07160725</t>
  </si>
  <si>
    <t>A Phase 1/2a, First-in-human, Study of BMS-986517 in Participants With Advanced Solid Tumors</t>
  </si>
  <si>
    <t>NCT07222969</t>
  </si>
  <si>
    <t>A Clinical Study to Evaluate the Safety of VIB305 in Patients With Advanced Solid Tumors</t>
  </si>
  <si>
    <t>Vibrant Sciences Limited</t>
  </si>
  <si>
    <t>NCT06840496</t>
  </si>
  <si>
    <t>To Investigate the Efficacy of Treatment With Oral NA-921 (Bionetide) Versus Placebo in Females With Rett Syndrome</t>
  </si>
  <si>
    <t>NCT07224828</t>
  </si>
  <si>
    <t>The Efficacy of a Battery Toothbrush in the Reduction of Established Plaque and Gingivitis</t>
  </si>
  <si>
    <t>NCT06640413</t>
  </si>
  <si>
    <t>A Study to Evaluate the Safety and Preliminary Signs of Efficacy of [177Lu]Lu-OncoFAP-23 Alone or in Combination With L19-IL2 as a Treatment of Metastatic FAP-positive Solid Tumors</t>
  </si>
  <si>
    <t>NCT07142356</t>
  </si>
  <si>
    <t>A Study of Modified Release RTN-001 In Patients With Uncontrolled Hypertension</t>
  </si>
  <si>
    <t>Retension Pharmaceuticals. Inc.</t>
  </si>
  <si>
    <t>NCT07300189</t>
  </si>
  <si>
    <t>A Study to Evaluate Single and Multiple Doses of TLC-1180 in Healthy Subjects</t>
  </si>
  <si>
    <t>NCT07104110</t>
  </si>
  <si>
    <t>Study of QLH12016 in Combination With Novel Hormonal Agent in Subjects With Advanced Prostate Cancer</t>
  </si>
  <si>
    <t>NCT07226635</t>
  </si>
  <si>
    <t>Pharmacokinetic Interaction Trial of Clofutriben With Midazolam and Prednisolone</t>
  </si>
  <si>
    <t>Sparrow Pharmaceuticals</t>
  </si>
  <si>
    <t>NCT07204418</t>
  </si>
  <si>
    <t>A Study to Evaluate the Effects of CYP2D6 Phenotypes on the Pharmacokinetics of Xanomeline Following KarXT Administration in Healthy Adult Participants</t>
  </si>
  <si>
    <t>NCT07229950</t>
  </si>
  <si>
    <t>A Phase 2 Clinical Study to Evaluate the Efficacy, Safety, and Pharmacokinetics of HRS-7085 Tablets in Patients With Inflammatory Bowel Disease</t>
  </si>
  <si>
    <t>NCT07220109</t>
  </si>
  <si>
    <t>A Study on the Immune Response and Safety of Vaccine Against Respiratory Syncytial Virus Given to Chinese Adults 18 to 59 Years of Age at Increased Risk of Respiratory Syncytial Virus Disease</t>
  </si>
  <si>
    <t>NCT06620692</t>
  </si>
  <si>
    <t>A Study to Investigate the Efficacy and Safety Profile of GM-XANTHO [GM-XAN003] in Patients with Psoriasis</t>
  </si>
  <si>
    <t>Xantho Biotechnology Co., LTD</t>
  </si>
  <si>
    <t>NCT07176390</t>
  </si>
  <si>
    <t>A Clinical Study of Tulisokibart (MK-7240) to Treat Rheumatoid Arthritis (RA) (MK-7240-014)</t>
  </si>
  <si>
    <t>NCT07225959</t>
  </si>
  <si>
    <t>A Study to Evaluate the Safety, Pharmacokinetics, and Occurrence of Anti-Drug Antibodies Following Annual Doses of CD388</t>
  </si>
  <si>
    <t>NCT07175428</t>
  </si>
  <si>
    <t>Safety in Adult Participants With Atrial Fibrillation Who Are Treated With Anticoagulation</t>
  </si>
  <si>
    <t>NCT07041099</t>
  </si>
  <si>
    <t>A Study of CLN-978, a Subcutaneously Administered CD19-directed T Cell Engager, in Subjects With Sjogren's Disease</t>
  </si>
  <si>
    <t>NCT07423286</t>
  </si>
  <si>
    <t>A Study to Understand What the Body Does to the Study Medicine Called PF-07248144 When Taken by Healthy Adults</t>
  </si>
  <si>
    <t>NCT07245446</t>
  </si>
  <si>
    <t>A Study of Ivonescimab in First-Line ES-SCLC</t>
  </si>
  <si>
    <t>NCT07214727</t>
  </si>
  <si>
    <t>A Study to Evaluate ALN-5288 in Patients With Alzheimer's Disease</t>
  </si>
  <si>
    <t>NCT06859788</t>
  </si>
  <si>
    <t>SPI-1005 for the Treatment of Meniere's Disease (Open Label)</t>
  </si>
  <si>
    <t>NCT07176923</t>
  </si>
  <si>
    <t>CS-121 APOC3 Base Editing in FCS</t>
  </si>
  <si>
    <t>NCT06989437</t>
  </si>
  <si>
    <t>A Study to Learn About the Medicine Ponsegromab in Adults With Cancer of the Pancreas Which Has Spread and Caused Significant Body Weight Loss and Fatigue</t>
  </si>
  <si>
    <t>NCT07249788</t>
  </si>
  <si>
    <t>Resmiterom Efficacy &amp; Safety in Patients With MASH</t>
  </si>
  <si>
    <t>NCT07220551</t>
  </si>
  <si>
    <t>A Phase 1 Relative Bioavailability Study of UCB0022 Tablets in Healthy Participants</t>
  </si>
  <si>
    <t>NCT07324707</t>
  </si>
  <si>
    <t>Study on the Safety and Efficacy of PA9159 Inhalation Aerosol for the Treatment of Adult Bronchial Asthma</t>
  </si>
  <si>
    <t>NCT07215312</t>
  </si>
  <si>
    <t>A Study of LY3938577 in Participants With Type 2 Diabetes Previously Treated With Basal Insulin</t>
  </si>
  <si>
    <t>NCT07128628</t>
  </si>
  <si>
    <t>A Study Evaluating the Safety and Efficacy of a Fixed-Dose Combination for Dry Eye Disease</t>
  </si>
  <si>
    <t>NCT07181265</t>
  </si>
  <si>
    <t>Drug-Drug Interaction of JMKX003142 With Amiodarone and Febuxostat in Healthy Subjects</t>
  </si>
  <si>
    <t>NCT07254481</t>
  </si>
  <si>
    <t>VB19055 Safety, Tolerability, Pharmacokinetic and Pharmacodynamic Study in a Healthy Chinese Population</t>
  </si>
  <si>
    <t>NCT06903741</t>
  </si>
  <si>
    <t>New Preservative-free Combination of Trehalose, Sodium Hyaluronate and N-acetyl-aspartyl-glutamate (NAAGA) in Dry Eye</t>
  </si>
  <si>
    <t>NCT07217067</t>
  </si>
  <si>
    <t>A Study to Investigate the Efficacy, Safety, Tolerability and Pharmacokinetics of PKN605 in Participants With Atrial Fibrillation</t>
  </si>
  <si>
    <t>NCT07138014</t>
  </si>
  <si>
    <t>FHND1002 for ALS Treatment: Phase 2</t>
  </si>
  <si>
    <t>NCT07045428</t>
  </si>
  <si>
    <t>68Ga-GP-01 Injection in Solid Tumors Participants</t>
  </si>
  <si>
    <t>NCT07072728</t>
  </si>
  <si>
    <t>Psilocybin-Assisted Psychotherapy in Cancer Patients With Adjustment Disorder</t>
  </si>
  <si>
    <t>Psyence Australia Pty Ltd</t>
  </si>
  <si>
    <t>NCT06961383</t>
  </si>
  <si>
    <t>Study of NG01 Cell Therapy in Secondary Progressive Multiple Sclerosis</t>
  </si>
  <si>
    <t>NeuroGenesis Ltd.</t>
  </si>
  <si>
    <t>NCT07024615</t>
  </si>
  <si>
    <t>A Study of ASP2138 Given Before Surgery, Then Chemotherapy After Surgery, in People With Pancreatic Ductal Cancer</t>
  </si>
  <si>
    <t>NCT07161999</t>
  </si>
  <si>
    <t>Study of COYA 302 for the Treatment of ALS</t>
  </si>
  <si>
    <t>Coya Therapeutics</t>
  </si>
  <si>
    <t>NCT07023614</t>
  </si>
  <si>
    <t>A Trial to Evaluate the Efficacy and Safety of Ninerafaxstat in Patients With Symptomatic Non-obstructive Hypertrophic Cardiomyopathy</t>
  </si>
  <si>
    <t>Imbria Pharmaceuticals, Inc.</t>
  </si>
  <si>
    <t>NCT07192939</t>
  </si>
  <si>
    <t>Multicenter, Randomized, Double-blind, Placebo-controlled Phase II Trial to Evaluate the Efficacy and Safety of HRS-9813 in Subjects With Pulmonary Fibrosis</t>
  </si>
  <si>
    <t>NCT06997588</t>
  </si>
  <si>
    <t>EPIK-P4: A Phase II Single-arm Study to Assess the Efficacy, Safety and Pharmacokinetics of Alpelisib (BYL719) in Pediatric and Adult Patients With PIK3CA-related Overgrowth Spectrum (PROS)</t>
  </si>
  <si>
    <t>NCT07095257</t>
  </si>
  <si>
    <t>Study to Assess the Safety and Efficacy of ZX-7101A for Oral Suspension in Chinese Pediatric Participants 2 to 11 Years of Age With Influenza</t>
  </si>
  <si>
    <t>NCT07205159</t>
  </si>
  <si>
    <t>A Study to Evaluate the Safety and Efficacy of FB102 in Patients With Severe to Very Severe Alopecia Areata.</t>
  </si>
  <si>
    <t>NCT07136805</t>
  </si>
  <si>
    <t>A Phase 3 Study of VVN461 Ophthalmic Solution for Noninfectious Anterior Uveitis</t>
  </si>
  <si>
    <t>NCT07331194</t>
  </si>
  <si>
    <t>Pharmacokinetics and Bioequivalence Study of HMPL-523 Acetate Tablets in Humans</t>
  </si>
  <si>
    <t>NCT07327840</t>
  </si>
  <si>
    <t>Phase 2 Study of Kylo-11 in ASCVD Patients With Elevated Lp(a)</t>
  </si>
  <si>
    <t>NCT07229157</t>
  </si>
  <si>
    <t>Effect of Maridebart Cafraglutide on the Heart's Electrical Activity</t>
  </si>
  <si>
    <t>NCT06517797</t>
  </si>
  <si>
    <t>One-Year Study of S1B-509 vs Placebo for Weight Loss</t>
  </si>
  <si>
    <t>NCT07140913</t>
  </si>
  <si>
    <t>A Study to Evaluate the Efficacy and Safety of Adjunctive KarXT for the Treatment of Mania, With or Without Mixed Features, in Participants With Bipolar-I Disorder Taking Lithium, Valproate, or Lamotrigine</t>
  </si>
  <si>
    <t>NCT07211152</t>
  </si>
  <si>
    <t>Influenza Vaccine (Split Virion), Inactivated, Quadrivalent in Pregnant Women</t>
  </si>
  <si>
    <t>NCT07143448</t>
  </si>
  <si>
    <t>A Study of HS235 for Treatment of Pulmonary Arterial Hypertension (PAH) in Adults</t>
  </si>
  <si>
    <t>NCT06993233</t>
  </si>
  <si>
    <t>A Study With CIT-013 in HS Patients</t>
  </si>
  <si>
    <t>NCT07172347</t>
  </si>
  <si>
    <t>Efficacy and Safety Phase II Study of VC005 Tablets in Subjects With Non-segmental Vitiligo</t>
  </si>
  <si>
    <t>NCT07225478</t>
  </si>
  <si>
    <t>Clinical Study to Evaluate the Tooth Whitening Efficacy of a New NextGen In-office Whitening System</t>
  </si>
  <si>
    <t>NCT07150026</t>
  </si>
  <si>
    <t>An Exploratory Evaluation of the Safety and Efficacy of Vorinostat in Pitt Hopkins Syndrome</t>
  </si>
  <si>
    <t>NCT07214740</t>
  </si>
  <si>
    <t>Study to Evaluate a Pegcetacoplan (Syfovre®) Prefilled Syringe</t>
  </si>
  <si>
    <t>NCT07215923</t>
  </si>
  <si>
    <t>A First in Human Single Ascending Dose (SAD) Study of ATI-1013 in Healthy Smokers</t>
  </si>
  <si>
    <t>Antidote Therapeutics, Inc</t>
  </si>
  <si>
    <t>NCT07219173</t>
  </si>
  <si>
    <t>A Study to Evaluate Brenipatide Compared With Placebo in Adult Participants With Uncontrolled Moderate to Severe Asthma</t>
  </si>
  <si>
    <t>NCT07219966</t>
  </si>
  <si>
    <t>A Study of Brenipatide in Participants With Moderate-to-Severe Alcohol Use Disorder</t>
  </si>
  <si>
    <t>NCT07221227</t>
  </si>
  <si>
    <t>A Pivotal Clinical Study to Investigate Efimosfermin Alfa in Participants With Biopsy-confirmed F2- or F3-stage MASH</t>
  </si>
  <si>
    <t>NCT07174583</t>
  </si>
  <si>
    <t>A Study of IDE849 in Patients With DLL3 Expressing Tumors Including Small Cell Lung Cancer</t>
  </si>
  <si>
    <t>IDEAYA Biosciences</t>
  </si>
  <si>
    <t>NCT07134205</t>
  </si>
  <si>
    <t>The Study of JMT101 Combined With Irinotecan as a ≥3rd-Line Treatment in Metastatic Colorectal Cancer</t>
  </si>
  <si>
    <t>NCT07246031</t>
  </si>
  <si>
    <t>BPC2001 for the Prevention of Acute Graft-Versus-Host Disease Following Haploidentical Stem Cell Transplantation</t>
  </si>
  <si>
    <t>BioPhoenix Co., Ltd.</t>
  </si>
  <si>
    <t>NCT07177937</t>
  </si>
  <si>
    <t>A Study of DXC014 in Patients With Advanced Solid Tumors.</t>
  </si>
  <si>
    <t>NCT07171606</t>
  </si>
  <si>
    <t>A Phase II Study of SSGJ-706 Monotherapy and Combination Therapy in Advanced Non-Small Cell Lung Cancer（NSCLC） Patients</t>
  </si>
  <si>
    <t>NCT07179575</t>
  </si>
  <si>
    <t>Study of LW231 in Participants With Chronic Hepatitis B</t>
  </si>
  <si>
    <t>Shanghai Longwood Biopharmaceuticals Co., Ltd.</t>
  </si>
  <si>
    <t>NCT07220564</t>
  </si>
  <si>
    <t>A Research Study Looking at How Different Doses of Study Medicine (Inno8) Work in the Body of People With Haemophilia A</t>
  </si>
  <si>
    <t>NCT07215559</t>
  </si>
  <si>
    <t>A Study of Macupatide (LY3532226) and Eloralintide (LY3841136), Alone or in Combination, in Adults With Obesity or Overweight and With Type 2 Diabetes</t>
  </si>
  <si>
    <t>NCT07192120</t>
  </si>
  <si>
    <t>A Study of MHB048C in Patients With Advanced Solid Tumors</t>
  </si>
  <si>
    <t>NCT07165002</t>
  </si>
  <si>
    <t>A Study of the Pharmacokinetics and Safety of LY3537031 in Participants With Normal Liver Function and With Mild, Moderate, or Severe Liver Impairment</t>
  </si>
  <si>
    <t>NCT07051486</t>
  </si>
  <si>
    <t>A Phase II Trial of SHR-A1811 in HER2-Expressing Recurrent/Metastatic Cervical Cancer</t>
  </si>
  <si>
    <t>NCT07166354</t>
  </si>
  <si>
    <t>Clinical Study of mTOR Inhibitor as a Treatment for Grey Hair (Canities)</t>
  </si>
  <si>
    <t>NCT07218627</t>
  </si>
  <si>
    <t>A Research Study on the Effects of NNC0537-1482 in Participants With Heart Failure</t>
  </si>
  <si>
    <t>NCT07322991</t>
  </si>
  <si>
    <t>Study to Evaluate the Drug-drug Interaction Between IY001 and IY002 in Healthy Adult Male Subjects.</t>
  </si>
  <si>
    <t>NCT07006727</t>
  </si>
  <si>
    <t>Phase I Study of [225Ac]Ac-ETN029 in Patients With Advanced DLL3-expressing Solid Tumors</t>
  </si>
  <si>
    <t>NCT07217886</t>
  </si>
  <si>
    <t>A Study of S-892216-PO in Participants With Renal Impairment and Matched Controls</t>
  </si>
  <si>
    <t>NCT07256782</t>
  </si>
  <si>
    <t>A Study of QLC5508 Combinations in Patients With Advanced Solid Tumors</t>
  </si>
  <si>
    <t>NCT07164170</t>
  </si>
  <si>
    <t>A Phase 2 Clinical Study of Combination Therapy With ABSK043 and Glecirasib</t>
  </si>
  <si>
    <t>NCT07185594</t>
  </si>
  <si>
    <t>A Phase Ⅱ/Ⅲ Study of HRS-2129 for Postsurgical Pain Management in Abdominal Surgery</t>
  </si>
  <si>
    <t>NCT07164313</t>
  </si>
  <si>
    <t>A Study of ZW251 in Participants With Advanced Solid Tumors</t>
  </si>
  <si>
    <t>NCT07304726</t>
  </si>
  <si>
    <t>Clinical Study to Evaluate the Pharmacokinetics and Safety of CKD-383 0.25/12.5/1000mg in Healthy Volunteers</t>
  </si>
  <si>
    <t>NCT07311148</t>
  </si>
  <si>
    <t>A Immunogenicity and Safety Trial of the Recombinant Zoster Vaccine （CHO Cell）, LYB004 in Adults Aged 40 Years and Older</t>
  </si>
  <si>
    <t>NCT06899126</t>
  </si>
  <si>
    <t>Study of Trastuzumab Deruxtecan, Pembrolizumab, and Platinum-based Chemotherapy in First-line HER2 Overexpressing Non-small Cell Lung Cancer</t>
  </si>
  <si>
    <t>NCT07242664</t>
  </si>
  <si>
    <t>Clamp Study to Estimate the Relative Potency of GZR33 Versus Insulin Degludec at Steady State</t>
  </si>
  <si>
    <t>NCT07182149</t>
  </si>
  <si>
    <t>A Phase 1 Study of NRM-823 in Participants With Locally Advanced or Metastatic Refractory Solid Tumors</t>
  </si>
  <si>
    <t>Normunity AccelCo, Inc.</t>
  </si>
  <si>
    <t>NCT07210320</t>
  </si>
  <si>
    <t>PK/PD Study of IN-001 Sublingual Spray in Healthy Adults</t>
  </si>
  <si>
    <t>Insignis Therapeutics, Inc.</t>
  </si>
  <si>
    <t>NCT07213609</t>
  </si>
  <si>
    <t>A Study to Investigate the Safety and Preliminary Efficacy of GSK5460025 Alone or in Combination With Other Anti-cancer Agents in Participants With Solid Tumors</t>
  </si>
  <si>
    <t>NCT07074977</t>
  </si>
  <si>
    <t>Proof of Concept Study to Assess the Pharmacokinetics/Pharmacodynamics of Nemolizumab in Adults With Chronic Pruritus of Unknown Origin (CPUO)</t>
  </si>
  <si>
    <t>NCT07381829</t>
  </si>
  <si>
    <t>A Phase Ib Clinical Study on the Safety and Efficacy of HC010 Combined With Chemotherapy in Lung Cancer</t>
  </si>
  <si>
    <t>NCT07158398</t>
  </si>
  <si>
    <t>Evaluate the Effect of Vimseltinib on the Pharmacokinetics of a BCRP and OATP1B1 Substrate</t>
  </si>
  <si>
    <t>NCT07304700</t>
  </si>
  <si>
    <t>Clinical Study to Evaluate the Pharmacokinetics and Safety of CKD-383 0.5/10/1000mg in Healthy Volunteers</t>
  </si>
  <si>
    <t>NCT07156175</t>
  </si>
  <si>
    <t>A Study to Investigate the Efficacy and Safety of SAR444336 in Adults With Microscopic Colitis in Clinical Remission</t>
  </si>
  <si>
    <t>NCT07228559</t>
  </si>
  <si>
    <t>A Study of Avoralstat In Participants With Diabetic Macular Edema</t>
  </si>
  <si>
    <t>NCT07190248</t>
  </si>
  <si>
    <t>A Clinical Study of Calderasib (MK-1084) and Other Treatments for Participants With Non-Small Cell Lung Cancer (MK-1084-007/KANDLELIT-007)</t>
  </si>
  <si>
    <t>NCT04750252</t>
  </si>
  <si>
    <t>Safety and Tolerability of StroMel™ in Subjects with Moderate to Severe Osteoarthritis of the Knee Joint</t>
  </si>
  <si>
    <t>Akan Biosciences, LLC</t>
  </si>
  <si>
    <t>NCT07224399</t>
  </si>
  <si>
    <t>Evaluate the Pharmacokinetics, Pharmacodynamics, Safety and Tolerability of BGM1812 Injection Following Single and Multiple Subcutaneous Administration in Normal to Overweight or Obese But Otherwise Healthy Men and Women</t>
  </si>
  <si>
    <t>NCT07134231</t>
  </si>
  <si>
    <t>Clinical Study to Evaluate the Anti-cavity Efficacy of Three Dentifrices: An In Situ Model</t>
  </si>
  <si>
    <t>NCT07251608</t>
  </si>
  <si>
    <t>Randomized, Open-label, Safety Study of Subcutaneous and Intramuscular Injections of Niagen® Plus</t>
  </si>
  <si>
    <t>ChromaDex, Inc.</t>
  </si>
  <si>
    <t>NCT04435249</t>
  </si>
  <si>
    <t>ENgineered Tissue Repair of BronchopleUral FiSTula</t>
  </si>
  <si>
    <t>Videregen Limited</t>
  </si>
  <si>
    <t>NCT07115004</t>
  </si>
  <si>
    <t>Study to Evaluate Subcutaneous (SC) VGA039 in Patients With Von Willebrand Disease (VWD)</t>
  </si>
  <si>
    <t>Vega Therapeutics, Inc</t>
  </si>
  <si>
    <t>NCT07190716</t>
  </si>
  <si>
    <t>A Study to Evaluate the Safety of GR2301 Injection in Healthy Volunteers.</t>
  </si>
  <si>
    <t>NCT07232732</t>
  </si>
  <si>
    <t>A Study of LY3549492 in Healthy Participants and Participants With Overweight or Obesity</t>
  </si>
  <si>
    <t>NCT07181161</t>
  </si>
  <si>
    <t>Study of AZD0516 as Monotherapy and in Combination in Participants With Metastatic Prostate Cancer</t>
  </si>
  <si>
    <t>NCT07420985</t>
  </si>
  <si>
    <t>Study to Evaluate the Efficacy, Safety, and Tolerability of the Ingavirin Forte Capsules (Valenta Pharm JSC) at Different Doses in Subjects With Influenza and Other Acute Respiratory Viral Infections.</t>
  </si>
  <si>
    <t>NCT07259590</t>
  </si>
  <si>
    <t>A Study of GFH375 Combined With Cetuximab or Chemotherapy in Participants With Solid Tumors Harboring KRAS G12D Mutation</t>
  </si>
  <si>
    <t>NCT07205289</t>
  </si>
  <si>
    <t>Serum Collection Study for Assay Development</t>
  </si>
  <si>
    <t>NCT06921317</t>
  </si>
  <si>
    <t>GVB-2001 Gene Therapy Via Intracameral Injection for the Treatment of Primary Open Angle Glaucoma</t>
  </si>
  <si>
    <t>NCT07213791</t>
  </si>
  <si>
    <t>A Study of LY4337713 in Participants With FAP-Positive Solid Tumors</t>
  </si>
  <si>
    <t>NCT07082842</t>
  </si>
  <si>
    <t>Confirmatory Clinical Study of HEC585 Tablets in Patients With IPF</t>
  </si>
  <si>
    <t>NCT07170995</t>
  </si>
  <si>
    <t>Phase III Study of SHR-8068 Combined With Adebrelimab and Chemotherapy Versus Tislelizumab Combined With Chemotherapy in the Treatment of Locally Advanced or Metastatic Non-small Cell Lung Cancer</t>
  </si>
  <si>
    <t>NCT07219953</t>
  </si>
  <si>
    <t>A Study of Brenipatide in Participants With Alcohol Use Disorder</t>
  </si>
  <si>
    <t>NCT05276011</t>
  </si>
  <si>
    <t>A Study to Determine the Safety and Efficacy of TG-C in Subjects with Symptomatic Early Hip Osteoarthritis</t>
  </si>
  <si>
    <t>Kolon TissueGene, Inc.</t>
  </si>
  <si>
    <t>NCT07207811</t>
  </si>
  <si>
    <t>CLEOPATTRA: A Research Study to Look at the Effects of Treatment With a Medicine Called Coramitug (NNC6019-0001) in People With Heart Failure Due to Transthyretin Amyloid (ATTR) Amyloidosis</t>
  </si>
  <si>
    <t>NCT07209813</t>
  </si>
  <si>
    <t>GKL-006 Combined With TACE in Treatment of Unresectable Hepatocellular Carcinoma</t>
  </si>
  <si>
    <t>Beijing Gene Key Life Technology Co., Ltd</t>
  </si>
  <si>
    <t>NCT07279194</t>
  </si>
  <si>
    <t>Efficacy and Safety of HDM1005 in Chinese Obesity or Overweight Patients Without Diabetes</t>
  </si>
  <si>
    <t>NCT07223125</t>
  </si>
  <si>
    <t>A Study of JNJ-89862175 for Treatment of Advanced Solid Tumors</t>
  </si>
  <si>
    <t>NCT07196124</t>
  </si>
  <si>
    <t>BCMA/GPRC5D CAR-T Therapy for Multiple Myeloma</t>
  </si>
  <si>
    <t>NCT07076121</t>
  </si>
  <si>
    <t>A Study Comparing BMS-986504 in Combination With Nab-paclitaxel and Gemcitabine Versus Placebo in Combination With Nab-paclitaxel and Gemcitabine in Participants With Untreated Metastatic Pancreatic Ductal Adenocarcinoma With Homozygous MTAP Deletion (MountainTAP-30)</t>
  </si>
  <si>
    <t>NCT07223593</t>
  </si>
  <si>
    <t>Efficacy and Safety of Orforglipron in Participants With Peripheral Artery Disease</t>
  </si>
  <si>
    <t>NCT07189949</t>
  </si>
  <si>
    <t>A Study of HRS-2329 in Participants With Advanced Solid Tumors Harboring RAS Mutations or Amplifications</t>
  </si>
  <si>
    <t>NCT07218887</t>
  </si>
  <si>
    <t>ALXN2350 in Adult Participants With BAG3-Associated Dilated Cardiomyopathy</t>
  </si>
  <si>
    <t>NCT07198633</t>
  </si>
  <si>
    <t>A Clinical Study of QLC5508 and/or QLH12016 in Combination With Other Anti-tumor Therapies in Subjects With Advanced Prostate Cancer</t>
  </si>
  <si>
    <t>NCT07213804</t>
  </si>
  <si>
    <t>A Two-Part Phase 3 Study of Sofetabart Mipitecan (LY4170156) in Participants With Platinum-Resistant (Part A) and Platinum-Sensitive (Part B) Ovarian Cancer</t>
  </si>
  <si>
    <t>NCT07211425</t>
  </si>
  <si>
    <t>A Study in Healthy People to Test How Itraconazole Influences the Amount of BI 3031185 in the Blood</t>
  </si>
  <si>
    <t>NCT07185776</t>
  </si>
  <si>
    <t>A Study of HRS-5632 in Adult Participants With Elevated Lipoprotein(a) at High Risk for Cardiovascular Events</t>
  </si>
  <si>
    <t>NCT06666179</t>
  </si>
  <si>
    <t>Safety and Immunogenicity Study of SCB-1019T in Children</t>
  </si>
  <si>
    <t>NCT07181369</t>
  </si>
  <si>
    <t>A Phase 1 Study of GTX-B001 in Healthy Subjects and Patients With Chronic Inducible Urticaria</t>
  </si>
  <si>
    <t>Granular Therapeutics Limited</t>
  </si>
  <si>
    <t>NCT07086105</t>
  </si>
  <si>
    <t>A Study to Evaluate Adze1.C in Participants With Metastatic Melanoma</t>
  </si>
  <si>
    <t>Adze Biotechnology Australia Pty Ltd</t>
  </si>
  <si>
    <t>NCT07218783</t>
  </si>
  <si>
    <t>Evaluation of the Safety and Efficacy of the Bimatoprost Implant System Used in Combination With the SpyGlass IOL Compared to Timolol Ophthalmic Solution (Rhine)</t>
  </si>
  <si>
    <t>NCT07171099</t>
  </si>
  <si>
    <t>Efficacy and Safety of Rengalin in the Treatment of ARVI Cough in Children</t>
  </si>
  <si>
    <t>NCT06947928</t>
  </si>
  <si>
    <t>Placebo-Controlled Trial of IFx-Hu2.0 Followed By Pembrolizumab In Checkpoint Inhibitor Naïve Participants With Advanced Or Metastatic Merkel Cell Carcinoma</t>
  </si>
  <si>
    <t>TuHURA Biosciences, Inc.</t>
  </si>
  <si>
    <t>NCT07196722</t>
  </si>
  <si>
    <t>A Study of Icotrokinra in Participants With Moderately to Severely Active Crohn's Disease</t>
  </si>
  <si>
    <t>NCT07260669</t>
  </si>
  <si>
    <t>A Phase 2 Trial to Investigate Efficacy and Safety of Vipoglanstat in Women With Endometriosis</t>
  </si>
  <si>
    <t>Gesynta Pharma AB</t>
  </si>
  <si>
    <t>NCT07210463</t>
  </si>
  <si>
    <t>A Study of NT 201 in Adults With Moderate to Severe Platysma Prominence in Europe (PLATINUM EU)</t>
  </si>
  <si>
    <t>Merz Aesthetics GmbH</t>
  </si>
  <si>
    <t>NCT07193511</t>
  </si>
  <si>
    <t>BEACON-1: Study of AVZO-103 as a Single Agent and in Combination Therapy in Patients With Locally Advanced or Metastatic Urothelial Cancer or Other Solid Tumors (AVZO-103-1001)</t>
  </si>
  <si>
    <t>NCT07179055</t>
  </si>
  <si>
    <t>An Eight-Week Study to Evaluate the Safety and Efficacy of VSJ-110 Compared to Placebo in the Treatment of Dry Eye</t>
  </si>
  <si>
    <t>NCT07304687</t>
  </si>
  <si>
    <t>Clinical Study to Evaluate the Pharmacokinetics and Safety of CKD-383 0.5/25/1000mg in Healthy Volunteers</t>
  </si>
  <si>
    <t>NCT07466940</t>
  </si>
  <si>
    <t>A Clinical Study to Evaluate SM17 in Healthy Participants</t>
  </si>
  <si>
    <t>SinoMab BioScience Ltd</t>
  </si>
  <si>
    <t>NCT07220408</t>
  </si>
  <si>
    <t>Evaluation of TL-925 for the Treatment of Seasonal Allergic Conjunctivitis</t>
  </si>
  <si>
    <t>NCT07204938</t>
  </si>
  <si>
    <t>A Long-Term Study of Navenibart in Participants With Hereditary Angioedema</t>
  </si>
  <si>
    <t>NCT06953934</t>
  </si>
  <si>
    <t>A Mass Balance Study of Oral [14C] ABBV-932 in Healthy Adult Male Participants</t>
  </si>
  <si>
    <t>NCT07223216</t>
  </si>
  <si>
    <t>Study of BMF-650 in Otherwise Healthy Overweight or Obese Adult Participants</t>
  </si>
  <si>
    <t>NCT07070219</t>
  </si>
  <si>
    <t>A Study of CTD402 in T-ALL/LBL Patients</t>
  </si>
  <si>
    <t>BIOHENG THERAPEUTICS US LLC</t>
  </si>
  <si>
    <t>NCT07218003</t>
  </si>
  <si>
    <t>A Phase 1/1b of RNDO-564 Single Agent or in Combination With Pembrolizumab in Bladder Cancer and Other Solid Tumors Associated With Nectin-4</t>
  </si>
  <si>
    <t>Rondo Therapeutics</t>
  </si>
  <si>
    <t>NCT07215234</t>
  </si>
  <si>
    <t>A Safety and Efficacy Study of a One-time Intravitreal Injection of SAR446597 in Participants With Geographic Atrophy Secondary to Age-related Macular Degeneration</t>
  </si>
  <si>
    <t>NCT07442006</t>
  </si>
  <si>
    <t>Glycemic Variability of Combination Therapies in T2DM</t>
  </si>
  <si>
    <t>NCT07204964</t>
  </si>
  <si>
    <t>A Study to Evaluate the Immune Response and Safety of an Influenza Vaccine in Adults 18 Years of Age and Above</t>
  </si>
  <si>
    <t>NCT07166601</t>
  </si>
  <si>
    <t>M0324 as Monotherapy and in Combination With Pembrolizumab or Chemotherapy in Participants With Selected Advanced Solid Tumors</t>
  </si>
  <si>
    <t>NCT06745908</t>
  </si>
  <si>
    <t>ResQ201A: Clinical Trial Of N-803 Plus TISLELIZUMAB And DOCETAXEL Versus DOCETAXEL Monotherapy In Participants With Advanced Or Metastatic Non-Small Cell Lung Cancer</t>
  </si>
  <si>
    <t>NCT07175220</t>
  </si>
  <si>
    <t>Phase II Clinical Study of SHR2554 Tablets Combined With Other Anti-tumor Treatments in Non-small Cell Lung Cancer Subjects</t>
  </si>
  <si>
    <t>NCT07239973</t>
  </si>
  <si>
    <t>A Study of BGM0504 Tablets in Healthy and Non-diabetic Overweight or Obese Chinese Subjects</t>
  </si>
  <si>
    <t>NCT07008118</t>
  </si>
  <si>
    <t>A Study to Evaluate INCA035784 in Participants With Myeloproliferative Neoplasms</t>
  </si>
  <si>
    <t>NCT07305987</t>
  </si>
  <si>
    <t>PRO-232 in Patients Subjected to Cataract Surgery</t>
  </si>
  <si>
    <t>NCT06968481</t>
  </si>
  <si>
    <t>Sublingual Oxytocin for the Prevention of Post-partum Hemorrhage</t>
  </si>
  <si>
    <t>NCT06878560</t>
  </si>
  <si>
    <t>Study to Evaluate the Safety and Efficacy of the 10 GE Xenokidney in Patients With ESRD</t>
  </si>
  <si>
    <t>United Therapeutics</t>
  </si>
  <si>
    <t>NCT07107490</t>
  </si>
  <si>
    <t>A PHASE I STUDY OF ALPS12 IN PATIENTS WITH EXTENSIVE STAGE SMALL CELL LUNG CANCER</t>
  </si>
  <si>
    <t>NCT07108036</t>
  </si>
  <si>
    <t>A Study to Assess Anktiva in Patients With Long Covid-19.</t>
  </si>
  <si>
    <t>NCT07221500</t>
  </si>
  <si>
    <t>A Study of NX-5948 in Adults With CLL/SLL Previously Treated With a Bruton's Tyrosine Kinase Inhibitor and a B-cell Lymphoma-2 Inhibitor (DAYBreak CLL-201)</t>
  </si>
  <si>
    <t>NCT07200596</t>
  </si>
  <si>
    <t>The Safety, Tolerability, Pharmacokinetics, and Pharmacodynamics Study of SHR-3045 in Healthy Subjects</t>
  </si>
  <si>
    <t>NCT07214766</t>
  </si>
  <si>
    <t>A Study to Assess the Bioequivalence of Trastuzumab Via Different Subcutaneous Delivery Platforms in Healthy Male Participants</t>
  </si>
  <si>
    <t>NCT04480619</t>
  </si>
  <si>
    <t>Safety and Efficacy of Ga68-IAC PET/CT for Diagnosis and Clinical Management in Metastatic Breast Cancer Patients</t>
  </si>
  <si>
    <t>NCT07102628</t>
  </si>
  <si>
    <t>Evaluation of Efficacy and Safety of Early in Hospital Initiation of Inclisiran Treatment in Patients With Acute Coronary Syndromes</t>
  </si>
  <si>
    <t>NCT07173751</t>
  </si>
  <si>
    <t>ROSETTA Breast-01: The Effects and Safety of Pumitamig in Patients With Triple-Negative Breast Cancer</t>
  </si>
  <si>
    <t>NCT07168902</t>
  </si>
  <si>
    <t>Phase 2 Study of BL1107 Eye Drops vs. Timolol in Adults With Primary Open Angle Glaucoma or Ocular Hypertension</t>
  </si>
  <si>
    <t>NCT07241377</t>
  </si>
  <si>
    <t>A Study in Healthy Adults to Compare the Bioavailability of EPA + DHA From Two Microalgal Sources to One Fish Source and Placebo</t>
  </si>
  <si>
    <t>NCT07233070</t>
  </si>
  <si>
    <t>HRS-7450 Injection Phase II Clinical Trial for Acute Ischemic Stroke.</t>
  </si>
  <si>
    <t>NCT07332000</t>
  </si>
  <si>
    <t>A Biomarker Study in Men With Localized Prostate Cancer Treated With Aglatimagene Besadenovec</t>
  </si>
  <si>
    <t>Candel Therapeutics, Inc.</t>
  </si>
  <si>
    <t>NCT07198087</t>
  </si>
  <si>
    <t>A Study to Investigate the Pharmacokinetics of Tirabrutinib in Participants With Mild, Moderate, and Severe Hepatic Impairment Compared to Healthy Participants</t>
  </si>
  <si>
    <t>NCT07008378</t>
  </si>
  <si>
    <t>A Study to Evaluate the Safety, Tolerability, Cellular Kinetics, and Pharmacodynamics of P-CD19CD20-ALLO1 in Participants With Multiple Sclerosis</t>
  </si>
  <si>
    <t>NCT07150962</t>
  </si>
  <si>
    <t>Relative Bioavailability of First vs Second-Generation Formulations of HRS9531 Tablets in Obese or Overweight Subjects</t>
  </si>
  <si>
    <t>NCT07219615</t>
  </si>
  <si>
    <t>A Study to Learn About Ritlecitinib for the Potential Treatment of Chronic Spontaneous Urticaria in Adults.</t>
  </si>
  <si>
    <t>NCT06790394</t>
  </si>
  <si>
    <t>Test-retest Study With [18F]FBB in Cardiac Amyloidosis</t>
  </si>
  <si>
    <t>Life Molecular Imaging GmbH</t>
  </si>
  <si>
    <t>NCT07111546</t>
  </si>
  <si>
    <t>A Clinical Trial of LBL-024 Combination Drug in Patients With Advanced Solid Tumours[Substudy 02(BTC&amp;HCC)]</t>
  </si>
  <si>
    <t>NCT07428096</t>
  </si>
  <si>
    <t>A Study of PALI-2108 in Healthy Volunteers, Patients With Ulcerative Colitis, and Patients With Fibrostenosing Crohn's Disease</t>
  </si>
  <si>
    <t>NCT06736288</t>
  </si>
  <si>
    <t>Post Authorization Efficacy and Safety Study (PAES) to Confirm and Collect More Clinical Data of Buccalin® Tablets In the Prophylaxis of Recurrent Lower Respiratory Tract Infections (RLRTIs).</t>
  </si>
  <si>
    <t>Laboratorio Farmaceutico SIT srl</t>
  </si>
  <si>
    <t>NCT07196111</t>
  </si>
  <si>
    <t>BAFFR CAR-T Treatment for Relapsed/Refractory B-cell Tumors</t>
  </si>
  <si>
    <t>NCT07097831</t>
  </si>
  <si>
    <t>A Clinical Trial of HRS-1301 on the Pharmacokinetics of Rosuvastatin Calcium Tablets in Healthy Subjects</t>
  </si>
  <si>
    <t>NCT07100106</t>
  </si>
  <si>
    <t>A Study to Evaluate the Effect of GDC-4198 Alone and in Combination With Giredestrant Versus Abemaciclib and Giredestrant in Participants With Locally Advanced or Metastatic Estrogen Receptor-Positive (ER+), Human Epidermal Growth Factor Receptor-Negative (HER2-) Breast Cancer</t>
  </si>
  <si>
    <t>NCT06966492</t>
  </si>
  <si>
    <t>Investigation of the Interplay Between Local Oral Inflammation, Microbiota and Systemic Immune Responses.</t>
  </si>
  <si>
    <t>NCT06793215</t>
  </si>
  <si>
    <t>A Study Evaluating the Efficacy and Safety of Divarasib and Pembrolizumab Versus Pembrolizumab and Pemetrexed and Carboplatin or Cisplatin in Participants With Previously Untreated, KRAS G12C-Mutated, Advanced or Metastatic Non-Squamous Non-Small Cell Lung Cancer</t>
  </si>
  <si>
    <t>NCT07184502</t>
  </si>
  <si>
    <t>Study to Evaluate the Safety, Tolerability, and Pharmacokinetics of ZT003 Injection Following Single and Multiple Subcutaneous Administration in Healthy Volunteers/Overweight or Obese Volunteers</t>
  </si>
  <si>
    <t>NCT07219030</t>
  </si>
  <si>
    <t>A Study to Assess the Adverse Events and How Oral Emraclidine Moves Through the Body of Healthy Elderly Adult Participants</t>
  </si>
  <si>
    <t>NCT07344948</t>
  </si>
  <si>
    <t>Single and Multiple Ascending Doses of NTX-253 in Healthy Participants and Participants With Stable Schizophrenia</t>
  </si>
  <si>
    <t>Neurosterix</t>
  </si>
  <si>
    <t>NCT07170189</t>
  </si>
  <si>
    <t>Phase 1, Open-Label, Randomized, Study of the Safety and Pharmacokinetics of HU6</t>
  </si>
  <si>
    <t>NCT07196579</t>
  </si>
  <si>
    <t>Personalized KXV01 TCR Lentinvivo Injection as the Therapy for Advanced Solid Tumors</t>
  </si>
  <si>
    <t>NCT07209527</t>
  </si>
  <si>
    <t>Truway Diagnostic Tools in Primary Care</t>
  </si>
  <si>
    <t>NCT06940440</t>
  </si>
  <si>
    <t>IFx-Hu2.0 As An Adjunctive Therapy To Pembrolizumab In Advanced Or Metastatic Merkel Cell Carcinoma (MCC)</t>
  </si>
  <si>
    <t>NCT07129343</t>
  </si>
  <si>
    <t>A Study of Recombinant Von Willebrand Factor (rVWF) in Chinese Participants With Von Willebrand Disease (vWD)</t>
  </si>
  <si>
    <t>NCT07174297</t>
  </si>
  <si>
    <t>Acotiamide vs Itopride in Postprandial Distress Syndrome</t>
  </si>
  <si>
    <t>NCT07077434</t>
  </si>
  <si>
    <t>A Study to Assess Safety, Tolerability and Drug Levels of BMS-986504 in Participants With Advanced Solid Tumors</t>
  </si>
  <si>
    <t>NCT06992258</t>
  </si>
  <si>
    <t>A Randomized Phase 2 Trial of Fruquintinib and TAS-102 as Compared to Fruquintinib in Patients With Refractory Advanced/Metastatic Colorectal Cancer</t>
  </si>
  <si>
    <t>NCT06534528</t>
  </si>
  <si>
    <t>Human Umbilical Cord Mesenchymal Stem Cell Injection for the Treatment of Interstitial Lung Disease</t>
  </si>
  <si>
    <t>NCT07142044</t>
  </si>
  <si>
    <t>Safety, Tolerability and Exploratory Efficacy of EC5026 in Parkinson's Disease (STEP Study)</t>
  </si>
  <si>
    <t>EicOsis Human Health Inc.</t>
  </si>
  <si>
    <t>NCT07161258</t>
  </si>
  <si>
    <t>A Pharmacokinetics (PK), Pharmacodynamics (PD), Safety and Tolerability Study of Fenebrutinib in Children and Adolescents With Relapsing Multiple Sclerosis (RMS)</t>
  </si>
  <si>
    <t>NCT06762548</t>
  </si>
  <si>
    <t>Clinical Study of DA-007 for the Treatment of Chemotherapy Induced Alopecia</t>
  </si>
  <si>
    <t>NCT07384104</t>
  </si>
  <si>
    <t>Compare the Pharmacokinetics, Pharmacodynamics, Safety and Immunogenicity of SAL023 and Italy-Manufactured Evenity in Healthy Subjects</t>
  </si>
  <si>
    <t>NCT07165652</t>
  </si>
  <si>
    <t>Study to Demonstrate Pharmacokinetic and Pharmacodynamic Similarity Between NKF-INS(L), US-Humalog®, and EU-Humalog®</t>
  </si>
  <si>
    <t>NCT07206498</t>
  </si>
  <si>
    <t>A Study to Evaluate Safety and Efficacy of WSD0922-FU Combo With Osimertinib for NSCLC</t>
  </si>
  <si>
    <t>NCT07173478</t>
  </si>
  <si>
    <t>A Phase 3 Trial to Demonstrate the Superiority of 1% OPA-15406 Foam to the Vehicle in Adult Patients With Atopic Dermatitis</t>
  </si>
  <si>
    <t>NCT04716452</t>
  </si>
  <si>
    <t>Study of C6 Ceramide NanoLiposome (CNL) in Patients With Relapsed/Refractory Acute Myeloid Leukemia</t>
  </si>
  <si>
    <t>Keystone Nano, Inc</t>
  </si>
  <si>
    <t>NCT07095075</t>
  </si>
  <si>
    <t>A Study of LUCAR-DKS1 in Subjects With Relapsed/Refractory Autoimmune Diseases</t>
  </si>
  <si>
    <t>NCT07292402</t>
  </si>
  <si>
    <t>JSKN022 in Subjects With Advanced Malignant Solid Tumors</t>
  </si>
  <si>
    <t>NCT06813651</t>
  </si>
  <si>
    <t>Safety, Tolerability and Efficacy of Adjunctive TBO-309 in Reperfusion for Stroke With Tandem Occlusion</t>
  </si>
  <si>
    <t>ThromBio Pty. Ltd.</t>
  </si>
  <si>
    <t>NCT07149857</t>
  </si>
  <si>
    <t>A Study to Evaluate Efficacy and Safety of Ciltacabtagene Autoleucel</t>
  </si>
  <si>
    <t>NCT07206056</t>
  </si>
  <si>
    <t>An Open-label Dose Escalation and Expansion, Followed by a Phase II Study of Tulmimetostat (DZR123) and JSB462 (Luxdegalutamide) in Patients With Progressive Metastatic Castrate Resistant Prostate Cancer (mCRPC) (TulmiSTAR-01)</t>
  </si>
  <si>
    <t>NCT07079956</t>
  </si>
  <si>
    <t>Study to Evaluate the TUBE Device Ability to Treat Unruptured, Wide-neck or Fusiform Aneurysms</t>
  </si>
  <si>
    <t>NVMedTech</t>
  </si>
  <si>
    <t>NCT06971731</t>
  </si>
  <si>
    <t>A Study to Evaluate the Safety and Efficacy of JNT-517 in Participants With Phenylketonuria (PKU)</t>
  </si>
  <si>
    <t>NCT07221240</t>
  </si>
  <si>
    <t>Study to Evaluate Safety, Tolerability, and Pharmacokinetics of Amisodin in Healthy Adult Subjects With Amyotrophic Lateral Sclerosis</t>
  </si>
  <si>
    <t>NCT07208461</t>
  </si>
  <si>
    <t>A Study to Evaluate the Immunogenicity and Safety of a Recombinant Respiratory Syncytial Virus Vaccine in Older Adults Aged 60 Years and Older</t>
  </si>
  <si>
    <t>NCT07157254</t>
  </si>
  <si>
    <t>A Safety and Efficacy Study of GTX-102 in Subjects With Deletion- or Nondeletion-type Angelman Syndrome (AS)</t>
  </si>
  <si>
    <t>NCT07214870</t>
  </si>
  <si>
    <t>A Research Study of a Potential New Medicine (NNC4005-0001) for Liver Disease in Adult Participants With Increased Body Weight and Liver Fat</t>
  </si>
  <si>
    <t>NCT07191912</t>
  </si>
  <si>
    <t>Confirmatory Study of Govorestat in CMT-SORD</t>
  </si>
  <si>
    <t>Applied Therapeutics, Inc.</t>
  </si>
  <si>
    <t>NCT07168200</t>
  </si>
  <si>
    <t>A Phase III Clinical Study of Adebrelimab Combined With Concurrent Chemoradiotherapy Versus Placebo Combined With Concurrent Chemoradiotherapy for the Treatment of Locally Advanced Cervical Cancer</t>
  </si>
  <si>
    <t>NCT06701656</t>
  </si>
  <si>
    <t>JUST BREATHE, Breathing Life Into Innovative Therapies for ARDS- Cohort C: Bevacizumab</t>
  </si>
  <si>
    <t>NCT07100873</t>
  </si>
  <si>
    <t>A Phase 1 Study of ADI-001 in Rheumatoid Arthritis</t>
  </si>
  <si>
    <t>NCT07140393</t>
  </si>
  <si>
    <t>A Study of HRS-4508 in Combination With Other Anti-tumor Therapy for Solid Tumor</t>
  </si>
  <si>
    <t>NCT07198555</t>
  </si>
  <si>
    <t>A Clinical Study to Evaluate the Safety, Tolerability and Efficacy of BBM-A101 in the Treatment of Knee Osteoarthritis.</t>
  </si>
  <si>
    <t>NCT07175038</t>
  </si>
  <si>
    <t>A Study of ROC-101 in Patients With Pulmonary Arterial Hypertension (PAH) and Pulmonary Hypertension Associated With Interstitial Lung Disease (ILD-PH) (ROCSTAR STUDY)</t>
  </si>
  <si>
    <t>AllRock Bio, Inc.</t>
  </si>
  <si>
    <t>NCT06405087</t>
  </si>
  <si>
    <t>A Long-Term Extension Study of Vedolizumab in Children and Teenagers With Ulcerative Colitis (UC) or Crohn's Disease (CD)</t>
  </si>
  <si>
    <t>NCT07199452</t>
  </si>
  <si>
    <t>A Study of Rifabutin and MK-4646 in Healthy Participants (MK-4646-004)</t>
  </si>
  <si>
    <t>NCT07194850</t>
  </si>
  <si>
    <t>A Study of Efgartigimod IV in Participants From 12 Years to Less Than 18 Years of Age With Chronic Immune Thrombocytopenia (ITP)</t>
  </si>
  <si>
    <t>NCT07267949</t>
  </si>
  <si>
    <t>Clinical Randomised Phase 2 Trial of AP31969 Versus Placebo for Rhythm Control of Atrial Fibrillation</t>
  </si>
  <si>
    <t>Acesion Pharma</t>
  </si>
  <si>
    <t>NCT07205822</t>
  </si>
  <si>
    <t>A Study of Dato-DXd in Inoperable or Metastatic Hormone Receptor-positive, HER2 IHC 0 Breast Cancer</t>
  </si>
  <si>
    <t>NCT07265232</t>
  </si>
  <si>
    <t>Real World Clinical Effectiveness &amp; Safety of Vesemnogene Lantuparvovec for Spinal Muscular Atrophy (SMA) in Low-middle Income Countries (LMIC).</t>
  </si>
  <si>
    <t>NCT07219849</t>
  </si>
  <si>
    <t>A Study to Determine the Optimal Dose and Frequency of ALDP001 Nasal Spray in Adults With Seasonal Allergic Rhinitis Under Allergen Exposure</t>
  </si>
  <si>
    <t>Alixer Nexgen Therapeutics Limited</t>
  </si>
  <si>
    <t>NCT07168915</t>
  </si>
  <si>
    <t>A Study of V118E in Healthy Participants (V118E-003)</t>
  </si>
  <si>
    <t>NCT07247357</t>
  </si>
  <si>
    <t>A Study of LY4064809 in Healthy Adult Chinese Participants</t>
  </si>
  <si>
    <t>NCT06866236</t>
  </si>
  <si>
    <t>Use of New Drug QRX-3 for Prevention and Treatment of Chronic Kidney Disease Progression</t>
  </si>
  <si>
    <t>Ebima Clifford Okundaye</t>
  </si>
  <si>
    <t>NCT07007962</t>
  </si>
  <si>
    <t>Study to Evaluate the Efficacy and Safety of Oral Rilzabrutinib in Adults With Immune Thrombocytopenia (ITP) Who Failed First-line Treatment</t>
  </si>
  <si>
    <t>NCT07140900</t>
  </si>
  <si>
    <t>Study Evaluating the Safety, Tolerability, and Efficacy of Xaluritamig in Combination With Androgen Receptor Pathway Inhibitors in Participants With Metastatic Hormone-sensitive Prostate Cancer</t>
  </si>
  <si>
    <t>NCT07183189</t>
  </si>
  <si>
    <t>A Study of SHR-A2009 Combined With Aumolertinib Versus Aumolertinib for First-line Treatment in EGFR-mutated, Advanced or Metastatic NSCLC</t>
  </si>
  <si>
    <t>NCT07341152</t>
  </si>
  <si>
    <t>A Study Comparing LTG-001 SDD Formulation To LTG-001 Crystalline Immediate Release Tablets In Healthy Participants</t>
  </si>
  <si>
    <t>NCT07175233</t>
  </si>
  <si>
    <t>A Phase 2 Study to Evaluate the Efficacy, Safety of SIM0278 in Subjects With Moderate to Severe Atopic Dermatitis</t>
  </si>
  <si>
    <t>NCT07204314</t>
  </si>
  <si>
    <t>A Study of Vortioxetine in Japanese Pediatric Patients With Major Depressive Disorder</t>
  </si>
  <si>
    <t>NCT07371065</t>
  </si>
  <si>
    <t>To Evaluate the Safety, Tolerability, Pharmacokinetic Characteristics and Food Effects of LY03021 in Healthy Chinese Subjects</t>
  </si>
  <si>
    <t>NCT07219017</t>
  </si>
  <si>
    <t>A Study to Assess the Mass Balance of Oral ABBV-1354 in Healthy Adult Male Participants</t>
  </si>
  <si>
    <t>NCT07182591</t>
  </si>
  <si>
    <t>A Study of DS5361b in Participants With Advanced Solid Tumors</t>
  </si>
  <si>
    <t>NCT07072468</t>
  </si>
  <si>
    <t>Analgesic Efficacy and Safety of Topical VMD-3866 Gel in Management of Pain Induced by Chemotherapy</t>
  </si>
  <si>
    <t>VM Therapeutics LLC</t>
  </si>
  <si>
    <t>NCT07208591</t>
  </si>
  <si>
    <t>To Evaluate The Safety and Efficacy of STSA-1002 Injection in Patients With Acute Respiratory Distress Syndrome</t>
  </si>
  <si>
    <t>NCT07222709</t>
  </si>
  <si>
    <t>A Study to Assess the Adverse Events and How Oral ABBV-1042 Moves Through the Body of Healthy Adult Participants</t>
  </si>
  <si>
    <t>NCT07287163</t>
  </si>
  <si>
    <t>Clinical Trial of Vormatrigine in Adult Patients With Epilepsy</t>
  </si>
  <si>
    <t>NCT07148557</t>
  </si>
  <si>
    <t>A Study of Single Dose of LP-003 in Adolescent Subjects</t>
  </si>
  <si>
    <t>NCT07219368</t>
  </si>
  <si>
    <t>A First-in-Human Single and Multiple Ascending Dose Study of MT-201</t>
  </si>
  <si>
    <t>NCT07037420</t>
  </si>
  <si>
    <t>ALXN2420 Versus Placebo in Combination With Somatostatin Analogs in Participants With Acromegaly</t>
  </si>
  <si>
    <t>NCT07235137</t>
  </si>
  <si>
    <t>A Study to Learn How the Study Medicine Called Ibuzatrelvir is Taken up Into the Blood in Healthy Chinese Adults</t>
  </si>
  <si>
    <t>NCT07184931</t>
  </si>
  <si>
    <t>An Induction Study to Investigate the Efficacy and Safety of Duvakitug in Participants With Moderately to Severely Active Crohn's Disease</t>
  </si>
  <si>
    <t>NCT07220811</t>
  </si>
  <si>
    <t>Phase 2b Study of RPT904 as Monotherapy in Participants With IgE-Mediated Food Allergy</t>
  </si>
  <si>
    <t>RAPT Therapeutics, Inc.</t>
  </si>
  <si>
    <t>NCT07222384</t>
  </si>
  <si>
    <t>A Study to Learn About BNT162b2 (LP.8.1)-Adapted Vaccine Against SARS-CoV-2 in Children 5 Through 11 Years of Age That Are Considered at Higher Risk of Severe COVID-19</t>
  </si>
  <si>
    <t>NCT07177716</t>
  </si>
  <si>
    <t>Efficacy and Safety of LB1410 Plus Lenvatinib With or Without LB4330 in Advanced Recurrent/Metastatic Cervical Cancer</t>
  </si>
  <si>
    <t>NCT07235189</t>
  </si>
  <si>
    <t>A Study Evaluating Bioequivalence of a Fixed Dose Combination Versus Individual Tablets of Bempedoic Acid, Ezetimibe, and Atorvastatin</t>
  </si>
  <si>
    <t>NCT07220733</t>
  </si>
  <si>
    <t>Safety and Feasibility of a Self-Balancing Exoskeleton for Rehabilitation in the Thoracic Surgical Intensive Care Unit: a Pilot Trial</t>
  </si>
  <si>
    <t>Wandercraft</t>
  </si>
  <si>
    <t>NCT07196774</t>
  </si>
  <si>
    <t>A Trial of SHR-A1811 Compared to Other Antitumor Therapies as Neoadjuvant Treatments in Early-stage or Locally Advanced HER2-positive Breast Cancer</t>
  </si>
  <si>
    <t>NCT07027514</t>
  </si>
  <si>
    <t>A Study of Tolododekin Alfa (ANK-101) in Combination With an Anti-PD-1/PD-L1 Antibody in Participants With Advanced Non-Small Cell Lung Cancer</t>
  </si>
  <si>
    <t>NCT07205328</t>
  </si>
  <si>
    <t>A Clinical Trial of MT200605 for the Treatment of Acute Ischemic Stroke</t>
  </si>
  <si>
    <t>NCT07193147</t>
  </si>
  <si>
    <t>Pharmacokinetic and Safety Study of GZR4 Injection in Subjects With Hepatic Impairment</t>
  </si>
  <si>
    <t>NCT07079670</t>
  </si>
  <si>
    <t>Safety and Immunogenicity of NVX-CoV2705</t>
  </si>
  <si>
    <t>NCT07180862</t>
  </si>
  <si>
    <t>A Study Evaluating BAT3306 Compared With Keytruda® in NSCLC Cancer Participants</t>
  </si>
  <si>
    <t>NCT07369895</t>
  </si>
  <si>
    <t>Clinical Study of O&amp;D-001 Injection in the Treatment of Relapsed or Refractory Multiple Myeloma</t>
  </si>
  <si>
    <t>O&amp;D BioTech Group CO., Limited</t>
  </si>
  <si>
    <t>NCT06504966</t>
  </si>
  <si>
    <t>Study to Compare the Efficacy, Pharmacokinetics, Pharmacodynamics, Safety, and Immunogenicity of MAB-22 Versus Prolia®</t>
  </si>
  <si>
    <t>NCT07250269</t>
  </si>
  <si>
    <t>Study of GC012F, CAR-T Therapy Targeting CD19 and BCMA in Chinese Participants With Relapsed or Refractory AL Amyloidosis</t>
  </si>
  <si>
    <t>NCT07207954</t>
  </si>
  <si>
    <t>Study of LFD-200 in Healthy Adults and Adults With Moderate to Severe Rheumatoid Arthritis</t>
  </si>
  <si>
    <t>Lifordi Immunotherapeutics, Inc.</t>
  </si>
  <si>
    <t>NCT07197645</t>
  </si>
  <si>
    <t>Samarium Optimized for Long-lasting Analgesia in Cancerous End-stage Bone Pain</t>
  </si>
  <si>
    <t>NCT07231679</t>
  </si>
  <si>
    <t>A Study to Investigate IGT-303 in Healthy Volunteers and Participants With Chronic Kidney Disease</t>
  </si>
  <si>
    <t>Ingenia Therapeutics INC</t>
  </si>
  <si>
    <t>NCT07199569</t>
  </si>
  <si>
    <t>Comparability Trial of the MVA-BN Vaccine Manufactured in Different Production Cells</t>
  </si>
  <si>
    <t>NCT07239453</t>
  </si>
  <si>
    <t>Clinical Trial of Comparing DA-2902 and DA-2902-R in Healthy Adult Subjects</t>
  </si>
  <si>
    <t>NCT07155031</t>
  </si>
  <si>
    <t>Biotin-Acridine Red Cell Exchange Kinetics</t>
  </si>
  <si>
    <t>NCT07333118</t>
  </si>
  <si>
    <t>A Clinical Study to Evaluate the Safety and Efficacy of GT801 Injection in the Treatment of Moderate-to-Severe Refractory Autoimmune Diseases</t>
  </si>
  <si>
    <t>NCT07189065</t>
  </si>
  <si>
    <t>A Study of Rocbrutinib in Participants With Relapse or Refractory Non-GCB Diffuse Large B-Cell Lymphoma</t>
  </si>
  <si>
    <t>NCT07218146</t>
  </si>
  <si>
    <t>A Study of ZL-1310 Versus Investigator's Choice of Therapy in Participants With Relapsed Small Cell Lung Cancer (DLLEVATE)</t>
  </si>
  <si>
    <t>NCT07074886</t>
  </si>
  <si>
    <t>A Study to Assess Bioequivalence of Two Subcutaneous (SC) Formulations of Ocrelizumab in Participants With Multiple Sclerosis (MS)</t>
  </si>
  <si>
    <t>NCT07230977</t>
  </si>
  <si>
    <t>GenSci139 in Patients With Advanced Solid Tumors</t>
  </si>
  <si>
    <t>NCT07266558</t>
  </si>
  <si>
    <t>A Study to Evaluate the Efficacy and Safety of mRNA-1283 and mRNA-1273 in Participants 50 to 64 Years of Age Without High-Risk Conditions for Severe Coronavirus Disease 2019 (COVID-19)</t>
  </si>
  <si>
    <t>NCT07211958</t>
  </si>
  <si>
    <t>Study of Revumenib in Combination With Intensive Chemotherapy in Newly Diagnosed Acute Myeloid Leukemia (AML) With a NPM1 Mutation</t>
  </si>
  <si>
    <t>NCT07236762</t>
  </si>
  <si>
    <t>An Exploratory Clinical Study of YTS109 Cell for R/R Autoimmune Diseases</t>
  </si>
  <si>
    <t>NCT07128888</t>
  </si>
  <si>
    <t>Study on Gastric Emptying Effect and Drug-Drug Interactions of GZR18 Injection</t>
  </si>
  <si>
    <t>NCT07225816</t>
  </si>
  <si>
    <t>Examination of How the Duration of Fasting and Temporary Stopping of GLP-1 Medications Affect the Amount of Food Left in the Stomach in People Using Liraglutide (Injected), Semaglutide (Taken by Mouth) or Semaglutide (Injected)</t>
  </si>
  <si>
    <t>NCT07095868</t>
  </si>
  <si>
    <t>Evaluate the Safety, Tolerability, and Preliminary Efficacy of EVM14 Alone and in Combination in Patients With Selected Solid Tumors</t>
  </si>
  <si>
    <t>Everest Medicines (Beijing) Co., Ltd.</t>
  </si>
  <si>
    <t>NCT07275918</t>
  </si>
  <si>
    <t>SA1211 Injection Phase 1 Study</t>
  </si>
  <si>
    <t>Suzhou Siran Biotechnology Co.,Ltd.</t>
  </si>
  <si>
    <t>NCT07261631</t>
  </si>
  <si>
    <t>Phase I Study of [177Lu]Lu-DFC413 in Patients With Solid Tumors</t>
  </si>
  <si>
    <t>NCT07229937</t>
  </si>
  <si>
    <t>A Phase II Study To Evaluate the Efficacy And Safety Of HRS-1301 In Participants With Dyslipidemia</t>
  </si>
  <si>
    <t>NCT07161037</t>
  </si>
  <si>
    <t>Phase 2a Study of VX-407 in Participants With ADPKD Who Have a Subset of PKD1 Gene Variants (AGLOW)</t>
  </si>
  <si>
    <t>NCT07202871</t>
  </si>
  <si>
    <t>A Study of How the Body Absorbs LY3537031</t>
  </si>
  <si>
    <t>NCT07261371</t>
  </si>
  <si>
    <t>A Study to Compare Blood Levels of Different Dosage Formulations of the Study Medicine That Is a CGRP Receptor Antagonist in Healthy Adults</t>
  </si>
  <si>
    <t>NCT07243171</t>
  </si>
  <si>
    <t>A Phase Ib/IIa Study to Evaluate the Safety, Tolerability, Pharmacokinetics and Pharmacodynamics of Oral Ecnoglutide Tablets in Chinese Participants With Overweight or Obesity</t>
  </si>
  <si>
    <t>NCT07085767</t>
  </si>
  <si>
    <t>Palazestrant in Combination With Ribociclib for the First-line Treatment of ER+/HER2- Advanced Breast Cancer</t>
  </si>
  <si>
    <t>NCT07357051</t>
  </si>
  <si>
    <t>Phase III Clinical Study Evaluating the Safety, Pharmacokinetics, and Efficacy of JKN2301 Dry Suspension in Pediatric Patients Aged 2 to Under 12 Years With Influenza</t>
  </si>
  <si>
    <t>NCT07205601</t>
  </si>
  <si>
    <t>Study of Intracerebroventricular Injections of Autologous Adipose-Derived Stem Cells (RB-ADSCs) in Participants With Mild-Moderate Alzheimer's Disease</t>
  </si>
  <si>
    <t>Regeneration Biomedical, Inc.</t>
  </si>
  <si>
    <t>NCT07207070</t>
  </si>
  <si>
    <t>A Randomised, Open-label, Multicentre Phase III Clinical Study to Evaluate the Efficacy and Safety of JS105 Combined With Dalpiciclib and Fulvestrant Compared With Dalpiciclib and Fulvestrant in Patients With PIK3CA-mutated, HR-positive, HER2-negative Recurrent or Metastatic Breast Cancer.</t>
  </si>
  <si>
    <t>NCT07084909</t>
  </si>
  <si>
    <t>Piflufolastat F 18 PET/CT in Patients With Suspected, or at High Risk for Metastatic ccRCC</t>
  </si>
  <si>
    <t>NCT07479576</t>
  </si>
  <si>
    <t>A Comparative Phase 1 Study to Evaluate the Pharmacokinetic and Safety of QL2106 vs Tremfye® in Healthy Subjects</t>
  </si>
  <si>
    <t>NCT07206758</t>
  </si>
  <si>
    <t>Phase I Study of SHR-2173 Injection in Patients With Primary Immune Thrombocytopenia</t>
  </si>
  <si>
    <t>NCT07241923</t>
  </si>
  <si>
    <t>A Single Ascending Dose Study to Evaluate the Safety, Tolerability, Pharmacokinetics and Pharmacodynamics of SYH2070 Injection</t>
  </si>
  <si>
    <t>NCT07217704</t>
  </si>
  <si>
    <t>Using 18F-FAPI PET to Detect Metastatic Disease in Patients That Have Gastric or Esophageal Cancer.</t>
  </si>
  <si>
    <t>SOFIE</t>
  </si>
  <si>
    <t>NCT07288203</t>
  </si>
  <si>
    <t>A Study of Lifileucel (Tumor-infiltrating Lymphocytes) in Adults With Advanced Melanoma</t>
  </si>
  <si>
    <t>NCT06965621</t>
  </si>
  <si>
    <t>18F-mFBG Imaging for Myocardial Sympathetic Innervation</t>
  </si>
  <si>
    <t>NCT07228390</t>
  </si>
  <si>
    <t>A 16-Week Study to Learn About the Study Medicine Called Ritlecitinib in Adults With Long Lasting Painful Red Skin Lumps, Known by the Medical Term, Hidradenitis Suppurativa, or HS.</t>
  </si>
  <si>
    <t>NCT07235059</t>
  </si>
  <si>
    <t>Safety, Tolerability, Pharmacokinetics and Pharmacodynamics of OJR520 in Healthy Volunteers and Participants With Chronic Kidney Disease</t>
  </si>
  <si>
    <t>NCT07168161</t>
  </si>
  <si>
    <t>BDB-001 Phase III Trial in ANCA-Associated Vasculitis</t>
  </si>
  <si>
    <t>NCT07286175</t>
  </si>
  <si>
    <t>A Study of Brenipatide in Adult Participants With Bipolar Disorder (RENEW-Bipolar-1)</t>
  </si>
  <si>
    <t>NCT07229729</t>
  </si>
  <si>
    <t>A Study of SHR-A2102 in Combination With Other Anti-tumor Therapies for Resectable Non-small Cell Lung Cancer</t>
  </si>
  <si>
    <t>NCT07281079</t>
  </si>
  <si>
    <t>A Study of NNZ-2591 in Pediatric Participants With Phelan-McDermid Syndrome</t>
  </si>
  <si>
    <t>Neuren Pharmaceuticals Limited</t>
  </si>
  <si>
    <t>NCT07169279</t>
  </si>
  <si>
    <t>Interventional Study of Infigratinib in Children &lt; 3 Years Old With Achondroplasia (ACH)</t>
  </si>
  <si>
    <t>NCT06750588</t>
  </si>
  <si>
    <t>Safety and Tolerability of NTR-101 in Patients With Acute Alcohol-Associated Hepatitis</t>
  </si>
  <si>
    <t>Nterica Bio inc</t>
  </si>
  <si>
    <t>NCT07220642</t>
  </si>
  <si>
    <t>Weight Loss in People Living With Overweight or Obesity Following Treatment With Cagrilintide</t>
  </si>
  <si>
    <t>NCT06990269</t>
  </si>
  <si>
    <t>Phase 2 Study of ADX-038 in Participants With Geographic Atrophy</t>
  </si>
  <si>
    <t>NCT07229612</t>
  </si>
  <si>
    <t>A Phase I/II Clinical Study of SHR-4298 Injection in Patients With Malignant Solid Tumors</t>
  </si>
  <si>
    <t>NCT07229144</t>
  </si>
  <si>
    <t>OM336 in Seropositive Autoimmune Diseases</t>
  </si>
  <si>
    <t>NCT06926075</t>
  </si>
  <si>
    <t>Early Phase Study of KESONOTIDE™in Participants With Solid Tumours</t>
  </si>
  <si>
    <t>Filamon LTD</t>
  </si>
  <si>
    <t>NCT07291232</t>
  </si>
  <si>
    <t>A Study of ABBV-295 Subcutaneous Injections to Assess Adverse Events and Pharmacokinetics in Adult Participants With Obesity</t>
  </si>
  <si>
    <t>NCT07228364</t>
  </si>
  <si>
    <t>Safety, Tolerability and Pharmacokinetics of AZD1613 in Adults With Autosomal Dominant Polycystic Kidney Disease</t>
  </si>
  <si>
    <t>NCT07100730</t>
  </si>
  <si>
    <t>Study of TLX101-Tx Plus Standard of Care (SoC) Versus SoC Alone for the Treatment of Patients With Recurrent Glioblastoma</t>
  </si>
  <si>
    <t>NCT07265466</t>
  </si>
  <si>
    <t>to Evaluate the Safety and the Pharmacokinetic and Pharmacodynamic Interactions Between JP-1366 and Clopidogrel, Aspirin, Atorvastatin and Apixaban</t>
  </si>
  <si>
    <t>NCT07258745</t>
  </si>
  <si>
    <t>Pharmacokinetic, Safety, Tolerability, and Immunogenicity Comparison of CKD-704 (Risankizumab Biosimilar), With EU-approved Skyrizi®, and US-licensed Skyrizi® in Healthy Adult Participants</t>
  </si>
  <si>
    <t>NCT07285278</t>
  </si>
  <si>
    <t>Phase II Clinical Trial of Lyophilized Herpes Zoster mRNA Vaccine in Adults Aged 40 Years or Above</t>
  </si>
  <si>
    <t>NCT07259538</t>
  </si>
  <si>
    <t>A Phase I Study Evaluating the Safety, Tolerability, and Pharmacokinetics of VVN432 Nasal Spray</t>
  </si>
  <si>
    <t>NCT07213310</t>
  </si>
  <si>
    <t>Drug-Drug Interaction Study to Evaluate the Effect of DWC202511 or DWC202512 With DWP16001 in Healthy Adults</t>
  </si>
  <si>
    <t>NCT07187089</t>
  </si>
  <si>
    <t>Study of Growth and Bone Mineral Density in Children With Atopic Dermatitis (AD) Treated With Dupilumab</t>
  </si>
  <si>
    <t>NCT07086222</t>
  </si>
  <si>
    <t>Efficacy and Safety of NVX-CoV2705</t>
  </si>
  <si>
    <t>NCT07284173</t>
  </si>
  <si>
    <t>A Study to Learn if a Medicine That Reduces Stomach Acid Affects the Blood Level of Study Medicine PF-08049820 in Healthy Chinese Adults.</t>
  </si>
  <si>
    <t>NCT07095465</t>
  </si>
  <si>
    <t>Phase 3, Open Label Extension Study of ACP-204 in Lewy Body Dementia Psychosis</t>
  </si>
  <si>
    <t>NCT07234864</t>
  </si>
  <si>
    <t>Study to Assess Safety, Tolerability, PK, and PD of Multiple Doses of ZE63-0302 Administrated Orally in T2DM Patients.</t>
  </si>
  <si>
    <t>NCT07237425</t>
  </si>
  <si>
    <t>Intralesional Ronkyla Plus Injection for the Treatment of Superficial Lipoma</t>
  </si>
  <si>
    <t>Glonova Pharma Co., Ltd</t>
  </si>
  <si>
    <t>NCT07229404</t>
  </si>
  <si>
    <t>A Study to Investigate Relative Bioavailability, Safety and Tolerability of Single- and Multiple-doses of Elinzanetant in Healthy Female Participants</t>
  </si>
  <si>
    <t>NCT07181681</t>
  </si>
  <si>
    <t>A First-in-Human Study of BG-C0902 Alone and in Combination With Other Therapeutic Agents in Patients With Advanced Solid Tumors</t>
  </si>
  <si>
    <t>NCT07239440</t>
  </si>
  <si>
    <t>Clinical Trial to Evaluate the Efficacy and Safety of DA-2811 When Added to Ongoing BT-1 and BT-2 Combination Therapy in Patients With Type 2 Diabetes Who Have Inadequate Glycemic Control</t>
  </si>
  <si>
    <t>NCT07208058</t>
  </si>
  <si>
    <t>A Phase III Clinical Study to Evaluate the Efficacy, Safety, and Tolerability of Plonmarlimab in Subjects With Relapsed/Refractory Rheumatic and Immunologic Disease-associated Haemophagocytic Lymphohistiocytosis (Also Known as Macrophage Activation Syndrome [MAS])</t>
  </si>
  <si>
    <t>NCT07228832</t>
  </si>
  <si>
    <t>Phase III Study of Ivonescimab or Bevacizumab Combined With FOLFOX in Patients With Metastatic Colorectal Cancer</t>
  </si>
  <si>
    <t>NCT07351734</t>
  </si>
  <si>
    <t>A Phase IIa, Randomized, Double-Blind, Placebo-Controlled Trial of JKN2403 in COPD</t>
  </si>
  <si>
    <t>NCT07260851</t>
  </si>
  <si>
    <t>Bioequivalence Study for the Safety and the Pharmacokinetics of DWJ1622, DWC202313, and DWC202314 in Healthy Volunteers Under Fasting Conditions</t>
  </si>
  <si>
    <t>NCT06847542</t>
  </si>
  <si>
    <t>A Study of 36-Week Refill Exchanges of Port Delivery System (PDS) With Ranibizumab in nAMD</t>
  </si>
  <si>
    <t>NCT07116928</t>
  </si>
  <si>
    <t>Ganagliflozin on the Progression of Kidney Disease in Subjects With Type 2 Diabetes Mellitus and Chronic Kidney Disease</t>
  </si>
  <si>
    <t>NCT05647811</t>
  </si>
  <si>
    <t>Study of NM8074 in Adult C3 Glomerulopathy Patients</t>
  </si>
  <si>
    <t>NCT07125872</t>
  </si>
  <si>
    <t>Study of Relapsed/ Refractory B-cell Non- Hodgkin Lymphoma</t>
  </si>
  <si>
    <t>NCT07214961</t>
  </si>
  <si>
    <t>Study of Alpha Radioligand Therapy AB001 in Patients With Metastatic Castration Resistant Prostate Cancer (mCRPC)</t>
  </si>
  <si>
    <t>ARTBIO Inc.</t>
  </si>
  <si>
    <t>NCT07231991</t>
  </si>
  <si>
    <t>A Study to Learn How the Body Processes the Study Medicine Called Vepdegestrant in People With Loss of Liver Function</t>
  </si>
  <si>
    <t>NCT07160608</t>
  </si>
  <si>
    <t>Safety and Efficacy of Tarperprumig in Adult Participants With Anti-Neutrophil Cytoplasmic Antibody (ANCA)-Associated Vasculitis</t>
  </si>
  <si>
    <t>NCT07321093</t>
  </si>
  <si>
    <t>A Study of the Efficacy and Safety of BCD-281 in Patients With Relapsing-Remitting Multiple Sclerosis</t>
  </si>
  <si>
    <t>NCT07087054</t>
  </si>
  <si>
    <t>Carcinoid Syndrome Efficacy Study Featuring an Oral Daily Paltusotine Regimen</t>
  </si>
  <si>
    <t>NCT07158411</t>
  </si>
  <si>
    <t>Evaluate the Effect of Vimseltinib on Organic Cation Transporter 2 (OCT2)</t>
  </si>
  <si>
    <t>NCT07236606</t>
  </si>
  <si>
    <t>RGX-121-3102 Gene Therapy in Participants With MPS II (Hunter Syndrome)</t>
  </si>
  <si>
    <t>REGENXBIO Inc.</t>
  </si>
  <si>
    <t>NCT07219589</t>
  </si>
  <si>
    <t>A Single Ascending Dose Study of HM17321 in Healthy Adult Participants</t>
  </si>
  <si>
    <t>NCT06887803</t>
  </si>
  <si>
    <t>A Study of Roginolisib in Combination With Ruxolitinib in Patients With Myelofibrosis (MF) Who Are Unresponsive to JAK Inhibitors</t>
  </si>
  <si>
    <t>NCT07235774</t>
  </si>
  <si>
    <t>A Drug-drug Interaction Study of Vorasidenib and a Combined Oral Contraceptive in Healthy Female Participants</t>
  </si>
  <si>
    <t>NCT07100080</t>
  </si>
  <si>
    <t>Study of Izalontamab Brengitecan (BMS-986507) Versus Platinum-Pemetrexed for EGFR-mutated Non-small Cell Lung Cancer After Failure of EGFR TKI Therapy (IZABRIGHT-Lung01)</t>
  </si>
  <si>
    <t>NCT07073820</t>
  </si>
  <si>
    <t>A Study to Learn About the Study Medicine (Called PF-07868489) in People With Pulmonary Arterial Hypertension Who Have Previously Participated in a Clinical Study With PF-07868489</t>
  </si>
  <si>
    <t>NCT07076550</t>
  </si>
  <si>
    <t>A Phase 1-1b Study to Evaluate the Safety, Efficacy and Dosimetry of Study Drug A9-3408 in Subjects With Metastatic Melanoma</t>
  </si>
  <si>
    <t>Alpha-9 Oncology USA Inc.</t>
  </si>
  <si>
    <t>NCT07110415</t>
  </si>
  <si>
    <t>Efficacy and Safety Trials of Yangxinshi Tablets in the Treatment of Patients With Coronary Heart Disease Complicated by Cardiac Dysfunction</t>
  </si>
  <si>
    <t>SPH Qingdao Growful Pharmacetical Co.,Ltd</t>
  </si>
  <si>
    <t>NCT07219654</t>
  </si>
  <si>
    <t>Efficacy and Safety Study of TPX-115 on Partial-thickness Rotator Cuff Tear</t>
  </si>
  <si>
    <t>NCT07286656</t>
  </si>
  <si>
    <t>A Study of GensSci098 in Subjects With Graves' Disease</t>
  </si>
  <si>
    <t>NCT07245771</t>
  </si>
  <si>
    <t>Phase 1/2a Study to Evaluate the Safety, Tolerability, Pharmacokinetics, Pharmacodynamics and Effect on Body Weight of RN3161 as Monotherapy and in Combination With Tirzepatide in Adults With Overweight and Obesity</t>
  </si>
  <si>
    <t>NCT07169851</t>
  </si>
  <si>
    <t>A Study to Evaluate LY3537021 for the Treatment of Nausea and Vomiting Caused by Chemotherapy in Adults With Cancer</t>
  </si>
  <si>
    <t>NCT07215260</t>
  </si>
  <si>
    <t>A Study in Healthy People to Test Whether BI 3000202 Affects How 2 Other Medicines (Rosuvastatin and Digoxin) Are Taken up in the Body</t>
  </si>
  <si>
    <t>NCT07220889</t>
  </si>
  <si>
    <t>Single Ascending Dose and Multiple Ascending Dose Evaluation of Safety, Tolerability, Pharmacokinetics, and Pharmacodynamics of MDI-2517 in Healthy Participants</t>
  </si>
  <si>
    <t>NCT07144345</t>
  </si>
  <si>
    <t>Study of Reformulated Levulan Kerastick Plus PDT for Actinic Keratosis on Face and Scalp</t>
  </si>
  <si>
    <t>NCT07230418</t>
  </si>
  <si>
    <t>A Study to Evaluate the Safety, Tolerability, Pharmacokinetics, Pharmacodynamics, and Food Effect of Single and Multiple Doses of HRS-3095 Oral Administration in Healthy Subjects, as Well as the Effect of HRS-3095 on CYP3A4 Metabolic Enzymes</t>
  </si>
  <si>
    <t>NCT07229560</t>
  </si>
  <si>
    <t>A Trial of Itraconazole Effect on HRS-8080 Pharmacokinetics in Healthy Participants</t>
  </si>
  <si>
    <t>NCT07216131</t>
  </si>
  <si>
    <t>A Study to Investigate the Effect of AZD0780 on Metformin Pharmacokinetics in Healthy Adult Volunteers Aged 18 to 55 Years</t>
  </si>
  <si>
    <t>NCT07176286</t>
  </si>
  <si>
    <t>18F-mFBG Cardiac Uptake With Lewy Body Dementia</t>
  </si>
  <si>
    <t>NCT07368478</t>
  </si>
  <si>
    <t>A Study to Evaluate the Safety, Tolerability, Pharmacokinetics (PK), and Preliminary Efficacy of BC2027 in Patients With Advanced Solid Malignancies</t>
  </si>
  <si>
    <t>NCT07187531</t>
  </si>
  <si>
    <t>SAFety and Efficacy of Human Anti-thymocyte ImmunoGlobUlin SAB-142 ARresting Progression of Type 1 Diabetes</t>
  </si>
  <si>
    <t>NCT07241039</t>
  </si>
  <si>
    <t>A Study to Assess the Adverse Events, Change in Disease Activity, and How Oral ABBV-711 Tablets Move Through the Body as a Monotherapy and in Combination With Intravenously Infused Budigalimab (ABBV-181), in Adults With Advanced Squamous Tumors</t>
  </si>
  <si>
    <t>NCT07229807</t>
  </si>
  <si>
    <t>Efficacy and Safety of ZSP1273 in Children 2-11 Years Old With Influenza A</t>
  </si>
  <si>
    <t>NCT07265622</t>
  </si>
  <si>
    <t>First-in-human Study of 7MW4911 in Patients With Advanced Solid Tumors</t>
  </si>
  <si>
    <t>NCT07136181</t>
  </si>
  <si>
    <t>Evaluation of the Safety, Efficacy, and Pharmacokinetics of NBM-BMX in Patients With Metastatic Uveal Melanoma</t>
  </si>
  <si>
    <t>Novelwise Pharmaceutical Corporation</t>
  </si>
  <si>
    <t>NCT07225504</t>
  </si>
  <si>
    <t>A Study to Evaluate the Efficacy and Safety of Remibrutinib in Secondary Progressive Multiple Sclerosis</t>
  </si>
  <si>
    <t>NCT06930625</t>
  </si>
  <si>
    <t>A Study to Assess the Efficacy and Safety of Debio 4126 in Participants With Acromegaly Previously Treated With Somatostatin Analogs</t>
  </si>
  <si>
    <t>NCT06708455</t>
  </si>
  <si>
    <t>Phase 2b of RAPA-201 Cell Therapy in Post-PD-(L)-1 Melanoma</t>
  </si>
  <si>
    <t>NCT07238816</t>
  </si>
  <si>
    <t>A Research Study Looking at How Food Intake Affects Inno8 in the Body of Healthy People</t>
  </si>
  <si>
    <t>NCT07226765</t>
  </si>
  <si>
    <t>Maridebart Cafraglutide Versus Placebo in Adult Participants With Obstructive Sleep Apnea Not on Positive Airway Pressure (PAP) Therapy</t>
  </si>
  <si>
    <t>NCT07226258</t>
  </si>
  <si>
    <t>Phase III Study to Assess the Safety and Efficacy of SL1002 for Osteoarthritis Knee Pain</t>
  </si>
  <si>
    <t>Saol Therapeutics Inc</t>
  </si>
  <si>
    <t>NCT07396376</t>
  </si>
  <si>
    <t>Evaluation of ELU42 Topical Spray for the Treatment of Diabetic Foot Ulcers</t>
  </si>
  <si>
    <t>Eluciderm Inc</t>
  </si>
  <si>
    <t>NCT07209462</t>
  </si>
  <si>
    <t>Study of MRM-3379 in Male Participants With Fragile X Syndrome (BLOOM)</t>
  </si>
  <si>
    <t>NCT07232420</t>
  </si>
  <si>
    <t>A Study of BL-M24D1 in Patients With Locally Advanced or Metastatic Non-Small Cell Lung Cancer and Other Solid Tumors</t>
  </si>
  <si>
    <t>NCT07221591</t>
  </si>
  <si>
    <t>A Study in Healthy People to Compare How 2 Different Formulations of Survodutide Are Taken up by the Body</t>
  </si>
  <si>
    <t>NCT07220759</t>
  </si>
  <si>
    <t>Weight Loss in People Living With Overweight or Obesity and Type 2 Diabetes Following Treatment With Cagrilintide</t>
  </si>
  <si>
    <t>NCT06904274</t>
  </si>
  <si>
    <t>Mirena for the Treatment of Nonatypical Endometrial Hyperplasia for 6 Months</t>
  </si>
  <si>
    <t>NCT06996782</t>
  </si>
  <si>
    <t>A Platform Study in Non-Small Cell Lung Cancer (NSCLC)</t>
  </si>
  <si>
    <t>NCT07243366</t>
  </si>
  <si>
    <t>Allogeneic CD19-CAR-NK Cells in Patients With Refractory Myasthenia Gravis</t>
  </si>
  <si>
    <t>NCT07230145</t>
  </si>
  <si>
    <t>A Trial of SHR-4658 in Healthy Volunteers or Volunteers With Elevated Blood Pressure</t>
  </si>
  <si>
    <t>NCT06644573</t>
  </si>
  <si>
    <t>Evaluating the Efficacy and Safety of PROSOMNIA Sleep Therapy™ in Patients With Sleep Deprivation and Chronic Insomnia</t>
  </si>
  <si>
    <t>Nyree Penn</t>
  </si>
  <si>
    <t>NCT07187960</t>
  </si>
  <si>
    <t>Evaluation of the Efficacy and Safety of TQB2825 Injection Compared to Immunotherapy in the Treatment of Recurrent/Refractory Follicular Lymphoma</t>
  </si>
  <si>
    <t>NCT06454110</t>
  </si>
  <si>
    <t>Study of NM8074 in Patients With Immunoglobulin A Nephropathy (IgAN)</t>
  </si>
  <si>
    <t>NCT07225296</t>
  </si>
  <si>
    <t>A Single and Multiple Ascending Dose Study to Evaluate the Safety, Tolerability, Pharmacokinetics and Pharmacodynamics of GNS-3545 in Healthy Participants</t>
  </si>
  <si>
    <t>Genosco Inc.</t>
  </si>
  <si>
    <t>NCT07226817</t>
  </si>
  <si>
    <t>A Study to Assess the Relative Bioavailability of BMS-986435 and Food Effect on the BMS-986435 in Healthy Adult Participants</t>
  </si>
  <si>
    <t>NCT07223047</t>
  </si>
  <si>
    <t>A Study to Evaluate the Safety, Tolerability, and Efficacy of BMS-986523 Alone and in Combination With Anti-Cancer Agents in Participants With Advanced Solid Malignancies</t>
  </si>
  <si>
    <t>NCT07296484</t>
  </si>
  <si>
    <t>Trial Against INtractable Type 2 Diabetes (CAPTAIN-T2D)</t>
  </si>
  <si>
    <t>NCT07229118</t>
  </si>
  <si>
    <t>A Study to Evaluate COR-1004 in Adult Volunteers.</t>
  </si>
  <si>
    <t>Corsera Health</t>
  </si>
  <si>
    <t>NCT07047521</t>
  </si>
  <si>
    <t>A Study on a New Tetravalent Dengue Vaccine (TDV) Formulation in Healthy Adults</t>
  </si>
  <si>
    <t>NCT07174063</t>
  </si>
  <si>
    <t>A Phase I Study of JSB462 (Luxdegalutamide) in Japanese Patients With Metastatic Prostate Cancer</t>
  </si>
  <si>
    <t>NCT07244510</t>
  </si>
  <si>
    <t>Efficacy and Safety of SCT650C in Participants With Moderate to Severe Hidradenitis Suppurativa</t>
  </si>
  <si>
    <t>NCT06829823</t>
  </si>
  <si>
    <t>Clinical Trial of Ablation Therapy in Participants With Intermediate-Risk Non-Muscle Invasive Papillary Bladder Cancer</t>
  </si>
  <si>
    <t>NCT07233850</t>
  </si>
  <si>
    <t>A Phase II Clinical Study Evaluating SSGJ-706 in Combination Therapy for Advanced Gastrointestinal Cancers</t>
  </si>
  <si>
    <t>NCT07185880</t>
  </si>
  <si>
    <t>A Phase 1 Study of the Safety and Tolerability of MT-125 in GBM Patients</t>
  </si>
  <si>
    <t>Myosin Therapeutics Inc.</t>
  </si>
  <si>
    <t>NCT07175662</t>
  </si>
  <si>
    <t>Evaluation of NWRD08 for HPV-16 and/or HPV-18 Related Cervical HSIL</t>
  </si>
  <si>
    <t>NCT07295028</t>
  </si>
  <si>
    <t>Study of an RSV-hMPV-PIV3 Trivalent Vaccine Candidate VXB-251 in Older Adults</t>
  </si>
  <si>
    <t>NCT07270731</t>
  </si>
  <si>
    <t>A Research Study of a New Medicine, NNC9733-0001, in Healthy Participants and Participants With Type 2 Diabetes</t>
  </si>
  <si>
    <t>NCT07258979</t>
  </si>
  <si>
    <t>A Study of YL201 in Combination With Toripalimab and With or Without Cisplatin in Nasopharyngeal Carcinoma.</t>
  </si>
  <si>
    <t>NCT07036523</t>
  </si>
  <si>
    <t>A Study to Find Out Whether BI 765423 Has an Effect on Lung Function in People With Idiopathic Pulmonary Fibrosis (IPF) With or Without Standard Treatment</t>
  </si>
  <si>
    <t>NCT07267130</t>
  </si>
  <si>
    <t>A Clinical Study to Evaluate the Safety, Tolerability and Pharmacokinetic Profile of TQC3302 Inhalation Spray in Healthy Adult Subjects</t>
  </si>
  <si>
    <t>NCT07220577</t>
  </si>
  <si>
    <t>Phase 2a Study to Assess the Efficacy,Safety and Tolerability of GIA632 in Adult Participants With Moderate to Severe Atopic Dermatitis</t>
  </si>
  <si>
    <t>NCT07475663</t>
  </si>
  <si>
    <t>Counterpain PXM Versus Diclofenac Versus Piroxicam</t>
  </si>
  <si>
    <t>Taisho Pharmaceutical Indonesia</t>
  </si>
  <si>
    <t>NCT07228325</t>
  </si>
  <si>
    <t>Comparative PK/PD of FMXIN002 and EpiPen, in Healthy Adults With Allergic Rhinitis</t>
  </si>
  <si>
    <t>NCT07279493</t>
  </si>
  <si>
    <t>Efficacy and Safety of the KPCXM18 Injection in Patients With Acute Ischemic Stroke</t>
  </si>
  <si>
    <t>NCT06804811</t>
  </si>
  <si>
    <t>A Study to Evaluate the Efficacy and Safety of Ruxolitinib Cream in Children (6 to &lt; 12 Years Old) With Nonsegmental Vitiligo</t>
  </si>
  <si>
    <t>NCT07222748</t>
  </si>
  <si>
    <t>A Study of TLC590 for Postsurgical Pain Following Bunionectomy</t>
  </si>
  <si>
    <t>NCT07231120</t>
  </si>
  <si>
    <t>A Phase I Clinical Study Evaluating the Safety, Tolerability, Pharmacokinetic Characteristics, and Preliminary Efficacy of SXRN Injection in Patients With Cancer Cachexia</t>
  </si>
  <si>
    <t>NCT07216105</t>
  </si>
  <si>
    <t>FT836 With or Without Chemotherapy and/or Monoclonal Antibodies, in Participants With Advanced Solid Tumors</t>
  </si>
  <si>
    <t>NCT07236099</t>
  </si>
  <si>
    <t>Study of the Efficacy and Safety of ICP-332 in Participants With Prurigo Nodularis</t>
  </si>
  <si>
    <t>NCT07166094</t>
  </si>
  <si>
    <t>Study to Assess the Efficacy and Safety of Rina-S Compared to Treatment of Investigator's Choice in Participants With Endometrial Cancer</t>
  </si>
  <si>
    <t>NCT07241767</t>
  </si>
  <si>
    <t>A Phase II Clinical Study of FH-006 for Injection Combined With Other Anticancer Therapies in Subjects With Lung Cancer</t>
  </si>
  <si>
    <t>NCT07227922</t>
  </si>
  <si>
    <t>Clofutriben Pharmacokinetics in Patients With Impaired Renal Function</t>
  </si>
  <si>
    <t>NCT07205718</t>
  </si>
  <si>
    <t>A Study of TAK-188 in Adults With Advanced or Spreading Solid Tumors</t>
  </si>
  <si>
    <t>NCT07457060</t>
  </si>
  <si>
    <t>Phase IV Clinical Study of Sequential Vaccination of Sabin Strain and Wild Strain Inactivated Poliovirus Vaccine</t>
  </si>
  <si>
    <t>NCT06144970</t>
  </si>
  <si>
    <t>Study to Determine the Safety and Tolerability of TG-C in Subjects with Back Pain Due to Degenerative Disc Disease</t>
  </si>
  <si>
    <t>NCT07177859</t>
  </si>
  <si>
    <t>A Phase III Study of NTQ5082 Capsules in the Treatment of Paroxysmal Nocturnal Hemoglobinuria Patients</t>
  </si>
  <si>
    <t>NCT07216482</t>
  </si>
  <si>
    <t>A Clinical Study of Enlicitide in Participants With High Cholesterol (MK-0616-037)</t>
  </si>
  <si>
    <t>NCT07287644</t>
  </si>
  <si>
    <t>A Study Evaluating BFB759 in Moderate to Severe Hidradenitis Suppurativa</t>
  </si>
  <si>
    <t>NCT07232719</t>
  </si>
  <si>
    <t>A Study of Retatrutide (LY3437943) in Participants With Obesity or Overweight</t>
  </si>
  <si>
    <t>NCT07175493</t>
  </si>
  <si>
    <t>A Study of CM336 in Patients With Relapsed or Refractory Autoimmune Cytopenia</t>
  </si>
  <si>
    <t>NCT06699121</t>
  </si>
  <si>
    <t>A Study to Assess the Safety and Efficacy of LB-P8 in Patients With PSC</t>
  </si>
  <si>
    <t>LISCure Biosciences</t>
  </si>
  <si>
    <t>NCT06704347</t>
  </si>
  <si>
    <t>Safety Study of XT-150 in Participants With ALS</t>
  </si>
  <si>
    <t>Xalud Therapeutics, Inc.</t>
  </si>
  <si>
    <t>NCT07126704</t>
  </si>
  <si>
    <t>A Phase 1, SAD and MAD to Evaluate the Safety, Tolerability, Pharmacokinetics, and Pharmacodynamics of Oral FB-101 in Healthy Adult Male Subjects</t>
  </si>
  <si>
    <t>1ST Biotherapeutics, Inc.</t>
  </si>
  <si>
    <t>NCT07231978</t>
  </si>
  <si>
    <t>A Study to Learn How Different Forms of the Study Medicine Called Prazosin Are Taken up Into the Blood in Healthy Adults</t>
  </si>
  <si>
    <t>NCT07059845</t>
  </si>
  <si>
    <t>A Study to Assess Adverse Events and Change in Disease Activity of Multiple Treatment Combinations With Intravenous Mirvetuximab Soravtansine in Adult Participants With Ovarian Cancer</t>
  </si>
  <si>
    <t>NCT06567119</t>
  </si>
  <si>
    <t>Preliminary Evaluation of the Safety and Tolerability of SPOT-mRNA01 Subcutaneously Administered in Healthy Subjects</t>
  </si>
  <si>
    <t>SIPO Biotechnology Co. Ltd.</t>
  </si>
  <si>
    <t>NCT07300644</t>
  </si>
  <si>
    <t>Clinical Trial of PCV24 in Infants and Children Aged 2 Months to 5 Years</t>
  </si>
  <si>
    <t>NCT07015242</t>
  </si>
  <si>
    <t>A Study of the Efficacy and Safety of Lisocabtagene Maraleucel (Liso-cel) as First-Line Therapy in Adults With Transplant-Ineligible Primary Central Nervous System Lymphoma</t>
  </si>
  <si>
    <t>NCT07188805</t>
  </si>
  <si>
    <t>A Study to Learn More About How Well Finerenone Works, How Safe it is, and How it Moves Into, Through, and Out of the Body Compared to Placebo When Taken With Standard Treatment in Children With Heart Failure and Left Ventricular Systolic Dysfunction</t>
  </si>
  <si>
    <t>NCT07244380</t>
  </si>
  <si>
    <t>Phase II Trial of S101 Autologous Anti-CD7 CAR-T Cells in Patients With R/R T-LBL/ALL.</t>
  </si>
  <si>
    <t>NCT07232004</t>
  </si>
  <si>
    <t>A Study to Evaluate How the Study Drug Moves Through the Body, Adverse Events, and How the Body Tolerates ABBV-547 Injections</t>
  </si>
  <si>
    <t>NCT07265921</t>
  </si>
  <si>
    <t>A Phase I Study of SIM0609 in Adult Participants With Locally Advanced/Metastatic Solid Tumors</t>
  </si>
  <si>
    <t>NCT07156578</t>
  </si>
  <si>
    <t>A Long-Term Study of Bivamelagon in Participants With Hypothalamic Obesity (HO)</t>
  </si>
  <si>
    <t>NCT07071623</t>
  </si>
  <si>
    <t>A Study of MK-8527 to Prevent Human Immunodeficiency Virus Type 1 (HIV-1) (MK-8527-010)</t>
  </si>
  <si>
    <t>NCT07269327</t>
  </si>
  <si>
    <t>An Ethno-bridging Study of Pergoveris in Healthy Premenopausal Participants of Japanese or Caucasian Origin</t>
  </si>
  <si>
    <t>NCT07220954</t>
  </si>
  <si>
    <t>A Study to Assess the Relative Bioavailability of Different Subcutaneous Formulations ofAZD6234</t>
  </si>
  <si>
    <t>NCT07278336</t>
  </si>
  <si>
    <t>A Study to Assess Adverse Events, Change in Disease Activity and How Intravenous (IV) ABBV901 Moves Through the Body Alone or in Combination With Bevacizumab in Adult Participants With Ovarian Cancer</t>
  </si>
  <si>
    <t>NCT07222098</t>
  </si>
  <si>
    <t>A Clinical Study of Calderasib (MK-1084) With Rosuvastatin and Metformin in Healthy People (MK-1084-016)</t>
  </si>
  <si>
    <t>NCT07192432</t>
  </si>
  <si>
    <t>Gene Therapy for HER-Positive Cancer (SENTRY-HER2)</t>
  </si>
  <si>
    <t>NCT07274085</t>
  </si>
  <si>
    <t>A Phase 1 Study of HDM2017 in Advanced Solid Tumors</t>
  </si>
  <si>
    <t>NCT07223138</t>
  </si>
  <si>
    <t>A Study to Evaluate the Long-term Safety, Tolerability, and Efficacy of Subcutaneous Sonelokimab in Participants With Psoriatic Arthritis</t>
  </si>
  <si>
    <t>NCT07219550</t>
  </si>
  <si>
    <t>A Study of Calderasib (MK-1084) in Participants With Hepatic Impairment and Healthy Volunteers (MK-1084-017)</t>
  </si>
  <si>
    <t>NCT07300150</t>
  </si>
  <si>
    <t>A Study of PT0511 in Participants With KRAS Mutated or Amplified Advanced Solid Tumors</t>
  </si>
  <si>
    <t>NCT07261644</t>
  </si>
  <si>
    <t>A Study to Evaluate the Efficacy and Safety of 608 in Adult Subjects With Active Ankylosing Spondylitis(AS)</t>
  </si>
  <si>
    <t>NCT07259330</t>
  </si>
  <si>
    <t>To Determine the Effect of CYP Induction Following Administration of Nirogacestat in Healthy Adult Male Participants</t>
  </si>
  <si>
    <t>NCT07236801</t>
  </si>
  <si>
    <t>Exploratory Clinical Study on YTS109 Cell Therapy for Autoimmune Diseases</t>
  </si>
  <si>
    <t>NCT07203001</t>
  </si>
  <si>
    <t>A Phase II Trial to Evaluate the Clinical Efficacy, Safety and Tolerability of MAS825 in Pediatric and Adult Participants With Still's Disease</t>
  </si>
  <si>
    <t>NCT07259928</t>
  </si>
  <si>
    <t>Safety and Proof of Concept Study of ANXV (Annexin A5) in Patients With Diabetic Retinopathy or Retinal Vein Occlusion</t>
  </si>
  <si>
    <t>Annexin Pharmaceuticals AB</t>
  </si>
  <si>
    <t>NCT07284667</t>
  </si>
  <si>
    <t>ACP-211 Monotherapy for Major Depressive Disorder With Inadequate Antidepressant Response</t>
  </si>
  <si>
    <t>NCT07350577</t>
  </si>
  <si>
    <t>Evaluate the Safety, Tolerability, PK and PD of SAD of Intravenously Adminsterted ALTB-268 in Healthy Participants</t>
  </si>
  <si>
    <t>AltruBio Inc.</t>
  </si>
  <si>
    <t>NCT07439133</t>
  </si>
  <si>
    <t>Comparison of Diagnostic Accuracy Between XTR004 PET MPI and the Composite Index of Quantitative Coronary Angiography (QCA) and Fractional Flow Reserve (FFR)</t>
  </si>
  <si>
    <t>NCT07225647</t>
  </si>
  <si>
    <t>A Study to Assess the Effect of Food on the Drug Levels of Admilparant</t>
  </si>
  <si>
    <t>NCT07170917</t>
  </si>
  <si>
    <t>Brivekimig for the Treatment of Moderate to Severe Hidradenitis Suppurativa</t>
  </si>
  <si>
    <t>NCT07220538</t>
  </si>
  <si>
    <t>A Study Testing How Well the Drug Extract of Ginkgo Biloba Leaves Tablets Works for People With Memory or Thinking Problems After a Stroke When Added to Standard Treatment</t>
  </si>
  <si>
    <t>Dr. Willmar Schwabe GmbH &amp; Co. KG</t>
  </si>
  <si>
    <t>NCT07284043</t>
  </si>
  <si>
    <t>A Mass Balance Study of [14C] MT1013 in Hemodialysis Subjects With Secondary Hyperparathyroidism</t>
  </si>
  <si>
    <t>NCT07166263</t>
  </si>
  <si>
    <t>Safety and Efficacy of NK510 to Treat Gastric Cancer and Colorectal Cancer</t>
  </si>
  <si>
    <t>NCT06890338</t>
  </si>
  <si>
    <t>A Study to Assess Anti-Tumor Activity of Intravenously (IV) Infused Carboplatin With Mirvetuximab Soravtansine in Participants With Newly Diagnosed Folate Receptor Alpha (FRα)Expressing Advanced-Stage Serous Epithelial Ovarian, Fallopian Tube or Primary Peritoneal Cancer.</t>
  </si>
  <si>
    <t>NCT07034690</t>
  </si>
  <si>
    <t>Study to Evaluate the Impact of a Targeted Lipid Optimization Program on LDL-C Control in At-risk Adult Patients With Dyslipidemia</t>
  </si>
  <si>
    <t>NCT07189403</t>
  </si>
  <si>
    <t>A Study of DS9051b in Participants With Advanced or Metastatic Adrenocortical Carcinoma and Metastatic Castration-resistant Prostate Cancer</t>
  </si>
  <si>
    <t>NCT07116473</t>
  </si>
  <si>
    <t>To Evaluate the Long-term Safety and Tolerability of Acoramidis in Participants With Newly Diagnosed ATTR-CM (ACT-EARLY OLE)</t>
  </si>
  <si>
    <t>NCT07363460</t>
  </si>
  <si>
    <t>Study to Assess Efficacy and Safety of HSK39297 Tablets in Patients With LN</t>
  </si>
  <si>
    <t>NCT07232407</t>
  </si>
  <si>
    <t>A Study of Lutetium [177Lu] BL-ARC001 in Patients With Locally Advanced or Metastatic Gastrointestinal Tumors and Other Solid Tumors</t>
  </si>
  <si>
    <t>NCT07229820</t>
  </si>
  <si>
    <t>Efficacy and Safety of ZSP1273 in Children 12-17 Years Old With Influenza A</t>
  </si>
  <si>
    <t>NCT07218900</t>
  </si>
  <si>
    <t>A Study to Investigate the Effect of AZD0780 Tablets in Combination With Rosuvastatin Tablets on Low Density Lipoprotein Cholesterol Levels (LDL-C) in Adult Participants With Dyslipidaemia</t>
  </si>
  <si>
    <t>NCT07255664</t>
  </si>
  <si>
    <t>A FIH, Phase I/IIa, Trial Assessing Feasibility of Administrations of TIL-based Immunotherapy in Patients With Metastatic CRC and PC</t>
  </si>
  <si>
    <t>Curacell Holding AB</t>
  </si>
  <si>
    <t>NCT07231419</t>
  </si>
  <si>
    <t>Evaluation of Efficacy and Safety of Suzetrigine (SUZ) for Pain Associated With Diabetic Peripheral Neuropathy</t>
  </si>
  <si>
    <t>NCT07233239</t>
  </si>
  <si>
    <t>A Study to Evaluate the Efficacy and Safety of Cannabidiol Oral Solution (CBD-OS [GWP42003-P, JZP926]) for the Treatment of Focal-Onset Seizures</t>
  </si>
  <si>
    <t>NCT07362940</t>
  </si>
  <si>
    <t>A Phase Ⅰ/Ⅱa Clinical Study of GEN-725 in Combination With Dositinib</t>
  </si>
  <si>
    <t>NCT07256600</t>
  </si>
  <si>
    <t>PK and Safety Comparison of DWJ445 and DWC202506 in Healthy Volunteers</t>
  </si>
  <si>
    <t>NCT07231211</t>
  </si>
  <si>
    <t>A Study of SHR-4610 Injection in Patients With Advanced Solid Tumors</t>
  </si>
  <si>
    <t>NCT07421011</t>
  </si>
  <si>
    <t>Pharmacokinetics, Bioequivalence, and Safety Study of Trimedat® 76,95 mg Orally Disintegrating Tablets and Trimedat® 100 mg Tablets in Healthy Volunteers.</t>
  </si>
  <si>
    <t>NCT07155980</t>
  </si>
  <si>
    <t>A Clinical Trial to Study Single- and Multiple- Doses of GSM-779690T in Healthy Participants</t>
  </si>
  <si>
    <t>Acta Pharmaceuticals, Inc</t>
  </si>
  <si>
    <t>NCT07361003</t>
  </si>
  <si>
    <t>A Phase Ib/III Study of Suvemcitug Plus FTD/TPI in Participants With Refractory Metastatic Colorectal Cancer</t>
  </si>
  <si>
    <t>NCT07138209</t>
  </si>
  <si>
    <t>A Study Comparing QLS32015 Monotherapy Versus Pomalidomide, Dexamethasone (Pd) or Selinexor, Dexamethasone (Sd) in Participants With Relapsed or Refractory Multiple Myeloma</t>
  </si>
  <si>
    <t>NCT07245953</t>
  </si>
  <si>
    <t>A Clinical Study of HT-101 and HT-102 in Patients With Chronic Hepatitis B Virus Infection</t>
  </si>
  <si>
    <t>NCT07308041</t>
  </si>
  <si>
    <t>A Study to Investigate the Effect of Linaprazan Glurate on the Pharmacokinetics of Amoxicillin</t>
  </si>
  <si>
    <t>NCT06732583</t>
  </si>
  <si>
    <t>A Study to Evaluate the Safety and Immunogenicity of Ad5-105K in Adults Aged 18 to 49 Years</t>
  </si>
  <si>
    <t>NCT07108270</t>
  </si>
  <si>
    <t>A Study of Dostarlimab in Combination With Carboplatin-paclitaxel in Chinese Participants With Primary Advanced or Recurrent Endometrial Cancer (EC)</t>
  </si>
  <si>
    <t>NCT07246941</t>
  </si>
  <si>
    <t>A Study to Evaluate the Safety, Tolerability, Pharmacokinetics, and Pharmacodynamics of RG6496 in Huntington's Disease</t>
  </si>
  <si>
    <t>NCT07007065</t>
  </si>
  <si>
    <t>Study to Assess the Injection Burden, Adverse Events, Change in Disease Activity, and Long-Term Preservation of Visual Acuity of Surabgene Lomparvovec in Adult Participants With Neovascular Age-Related Macular Degeneration (nAMD)</t>
  </si>
  <si>
    <t>NCT07256392</t>
  </si>
  <si>
    <t>Long-term Efficacy and Safety Extension (LTE) Study of Barzolvolimab in Participants With Chronic Spontaneous Urticaria</t>
  </si>
  <si>
    <t>NCT07239895</t>
  </si>
  <si>
    <t>Treatment of Pediatric Bronchiolitis Obliterans by Airway Basal Stem Cells</t>
  </si>
  <si>
    <t>Regend Therapeutics</t>
  </si>
  <si>
    <t>NCT07213674</t>
  </si>
  <si>
    <t>A Study of Xaluritamig Plus Abiraterone Versus Investigator's Choice in Participants With Chemotherapy-naïve Metastatic Castration-resistant Prostate Cancer</t>
  </si>
  <si>
    <t>NCT07329972</t>
  </si>
  <si>
    <t>A Study to Evaluate the Effect of Food and Proton Pump Inhibitor on the Pharmacokinetics of ZN-A-1041 in Healthy Participants</t>
  </si>
  <si>
    <t>NCT07064122</t>
  </si>
  <si>
    <t>A Study of AZD2962, an IRAK4 Inhibitor (IRAK4 [a Body Protein] Blocker), in Participants With Haematologic Neoplasms (Blood Cancers)</t>
  </si>
  <si>
    <t>NCT07112378</t>
  </si>
  <si>
    <t>A Study of Dupilumab in Small Children With an Allergic Condition of the Esophagus (Food Pipe): Eosinophilic Esophagitis</t>
  </si>
  <si>
    <t>NCT07260500</t>
  </si>
  <si>
    <t>A Phase II Study of PEG-rhGH Injection for Short Children Born Small for Gestational Age: Efficacy, Safety, and Pharmacokinetics</t>
  </si>
  <si>
    <t>NCT07317063</t>
  </si>
  <si>
    <t>A Trial to Investigate Safety and Pharmacokinetics of GRT6019, Including Food Effect, in Healthy Male Participants</t>
  </si>
  <si>
    <t>Grünenthal GmbH</t>
  </si>
  <si>
    <t>NCT06936943</t>
  </si>
  <si>
    <t>ONO-4538 Study in Patients With Richter's Transformation</t>
  </si>
  <si>
    <t>NCT07229534</t>
  </si>
  <si>
    <t>Clinical Trial to Evaluate the Efficacy and Safety of DA-5218 in Patients With Type 2 Diabetes</t>
  </si>
  <si>
    <t>NCT07142278</t>
  </si>
  <si>
    <t>DUVAX: A Phase 1 Alzheimer's Vaccine Study Targeting Amyloid-Beta and Tau</t>
  </si>
  <si>
    <t>NCT06938347</t>
  </si>
  <si>
    <t>Comparing the Safety and Efficacy of ASI-02 to Agitated Saline for Suspected Right-to-left Shunt</t>
  </si>
  <si>
    <t>Agitated Solutions, Inc.</t>
  </si>
  <si>
    <t>NCT07253116</t>
  </si>
  <si>
    <t>A Phase I/II Clinical Study of WJ22096 Tablets in Patients With Advanced Tumors</t>
  </si>
  <si>
    <t>Nanjing Jingao biomidical technology Co. Ltd.</t>
  </si>
  <si>
    <t>NCT07007520</t>
  </si>
  <si>
    <t>A Study to Evaluate the Food Effect on the Pharmacokinetics of DA-5223 in Healthy Adult Subjects</t>
  </si>
  <si>
    <t>NCT07106229</t>
  </si>
  <si>
    <t>A Study to Investigate the Effectiveness, Safety, and Tolerability of MAG200 Solution for Intra-articular Injection Compared With Placebo in Participants Aged 35 to 75 Years of Age With Symptomatic Osteoarthritis of the Knee.</t>
  </si>
  <si>
    <t>Magellan Stem Cells</t>
  </si>
  <si>
    <t>NCT07206225</t>
  </si>
  <si>
    <t>A Study to Learn About the Study Medicine PF-08052667 in People With Bladder Cancer</t>
  </si>
  <si>
    <t>NCT07121413</t>
  </si>
  <si>
    <t>A Clinical Study to Evaluate the Safety, Tolerability, Pharmacokinetics and Immunogenicity of SV001 in Patients With Idiopathic Pulmonary Fibrosis</t>
  </si>
  <si>
    <t>NCT07235085</t>
  </si>
  <si>
    <t>A Study to Evaluate the Efficacy and Safety of OTX-TKI (Axitinib Implant) in Participants With Non-Proliferative Diabetic Retinopathy</t>
  </si>
  <si>
    <t>NCT07216742</t>
  </si>
  <si>
    <t>Human Menopausal Gonadotropin Research in Infertility Assessing Cumulative Live Birth With Frozen Embryo Transfer.</t>
  </si>
  <si>
    <t>Granata Bio Corporation</t>
  </si>
  <si>
    <t>NCT07186842</t>
  </si>
  <si>
    <t>A Clinical Trial to Test if the Investigational Drug BNT329 is Safe and Potentially Beneficial for People With Advanced Solid Tumors Known to Express the Tumor Marker CA19-9</t>
  </si>
  <si>
    <t>NCT07190833</t>
  </si>
  <si>
    <t>A Phase 1 Study of OTS-412 (Recombinant Oncolytic Vaccinia Virus) in Treatment-refractory Solid Tumor Patients (South Korea)</t>
  </si>
  <si>
    <t>Bionoxx Inc.</t>
  </si>
  <si>
    <t>NCT06952998</t>
  </si>
  <si>
    <t>Efficacy of Plasma Rich in Growth Factors (PRGF) in the Treatment of Foot Ulcers in Diabetic Patients With Peripheral Arterial Disease</t>
  </si>
  <si>
    <t>NCT07246291</t>
  </si>
  <si>
    <t>Comparative Study of EnliTuo® Before and After Technology Change in Healthy Male Volunteers</t>
  </si>
  <si>
    <t>NCT06911489</t>
  </si>
  <si>
    <t>Safety Trial of 68Ga/177Lu-NRT6020 in FAP-Positive Advanced Solid Tumor Patients</t>
  </si>
  <si>
    <t>NCT07264517</t>
  </si>
  <si>
    <t>Evaluating the Safety, Tolerability, and Efficacy of GRF312 5% in Participants With Dry Eye Disease (DED).</t>
  </si>
  <si>
    <t>Instituto Grifols, S.A.</t>
  </si>
  <si>
    <t>NCT07295951</t>
  </si>
  <si>
    <t>A Study of 14C-Bleximenib (Radiolabeled) in Participants With Acute Leukemia</t>
  </si>
  <si>
    <t>NCT07448194</t>
  </si>
  <si>
    <t>A Phase Ia Clinical Trial of HW241045</t>
  </si>
  <si>
    <t>Hubei Bio-Pharmaceutical Industrial Technological Institute Inc.</t>
  </si>
  <si>
    <t>NCT07108283</t>
  </si>
  <si>
    <t>A Study of Zasocitinib in Adults With Nonsegmental Vitiligo</t>
  </si>
  <si>
    <t>NCT07225556</t>
  </si>
  <si>
    <t>A Study of LY4167586 in Participants With Obesity or Overweight Who Are Otherwise Healthy</t>
  </si>
  <si>
    <t>NCT07108153</t>
  </si>
  <si>
    <t>Proof-of-concept Study to Evaluate the Safety, Tolerability, Pharmacodynamics, and Pharmacokinetics of SION-719 When Added to Trikafta</t>
  </si>
  <si>
    <t>NCT07240675</t>
  </si>
  <si>
    <t>Single-dose,First-in-human of KLA478</t>
  </si>
  <si>
    <t>NCT07213778</t>
  </si>
  <si>
    <t>REGN7508 Versus Acetylsalicylic Acid (ASA) for Venous Thromboprophylaxis After Total Knee Arthroplasty in Adult Participants</t>
  </si>
  <si>
    <t>NCT07226427</t>
  </si>
  <si>
    <t>A First-in-Human Study of MEN2501 in Participants With Platinum-Resistant Ovarian Cancer</t>
  </si>
  <si>
    <t>NCT07226882</t>
  </si>
  <si>
    <t>A Study to Learn About Different Dosing Schedules of a Lyme Disease Vaccine in Healthy Adults</t>
  </si>
  <si>
    <t>NCT07197580</t>
  </si>
  <si>
    <t>Study of 177Lu-TLX250 in Advanced Relapsed or Recurrent ccRCC</t>
  </si>
  <si>
    <t>NCT07244705</t>
  </si>
  <si>
    <t>A Study of ABT-301 Plus Tislelizumab With Bevacizumab in pMMR/Non-MSI-H Locally Advanced or mCRC</t>
  </si>
  <si>
    <t>Anbogen Therapeutics, Inc.</t>
  </si>
  <si>
    <t>NCT07300085</t>
  </si>
  <si>
    <t>A Trial to Evaluate the Effect of CD388 on the Immunogenicity of Fluzone® HD Vaccine</t>
  </si>
  <si>
    <t>NCT07174310</t>
  </si>
  <si>
    <t>A Study to Evaluate the Efficacy and Safety of Intravenous (IV) Prasinezumab in Participants With Early-Stage Parkinson's Disease</t>
  </si>
  <si>
    <t>NCT07155174</t>
  </si>
  <si>
    <t>A Study to Evaluate the Optimal Dose, Adverse Events and Change in Disease Activity of Intravenous ABBV-706 in Combination With Atezolizumab Versus Standard of Care as First-Line Treatment in Adult Participants With Previously Untreated Extensive Stage Small Cell Lung Cancer</t>
  </si>
  <si>
    <t>NCT06948448</t>
  </si>
  <si>
    <t>A Study to Evaluate the Safety and Efficacy of Two Dose Levels of ONO-4578 With Opdivo®, in Combination With mFOLFOX6 and Bevacizumab Versus Standard of Care in Participants With Non-MSI-H/dMMR, PD-L1 Positive Advanced Colorectal Cancer</t>
  </si>
  <si>
    <t>NCT07281937</t>
  </si>
  <si>
    <t>A Study of Weekly Oral Ecnoglutide (VRB-101) in Participants Who Have Obesity or Overweight With Weight-Related Comorbidities</t>
  </si>
  <si>
    <t>Verdiva Bio Dev Limited</t>
  </si>
  <si>
    <t>NCT06994845</t>
  </si>
  <si>
    <t>Study to Assess the Efficacy, Pharmacokinetics, Safety and Tolerability of Iptacopan in Pediatric Patients With Primary IgAN</t>
  </si>
  <si>
    <t>NCT07186101</t>
  </si>
  <si>
    <t>LY4268989 (MORF-057) Co-Administered With Mirikizumab in Adults With Moderately to Severely Active Ulcerative Colitis:</t>
  </si>
  <si>
    <t>NCT07276672</t>
  </si>
  <si>
    <t>Efficacy of a Toothpaste Containing Hydrogen Peroxide as Compared to a Regular Fluoride Toothpaste Without Hydrogen Peroxide in the Immediate Removal of Tooth Stains After a Single Brushing.</t>
  </si>
  <si>
    <t>NCT07217015</t>
  </si>
  <si>
    <t>A Study of KT-621 Administered Orally to Participants With Moderate to Severe Atopic Dermatitis</t>
  </si>
  <si>
    <t>NCT07198347</t>
  </si>
  <si>
    <t>Efficacy and Safety of AG2001 in Patients With Acute Bronchitis</t>
  </si>
  <si>
    <t>NCT04008121</t>
  </si>
  <si>
    <t>Feasibility and Safety of MB-102 in Ocular Angiography as Compared to Fluorescein Sodium</t>
  </si>
  <si>
    <t>MediBeacon</t>
  </si>
  <si>
    <t>NCT06888193</t>
  </si>
  <si>
    <t>A Study to Assess the Concentration of Bimekizumab in Mature Breast Milk From Mothers Receiving Treatment With Bimzelx® (Bimekizumab)</t>
  </si>
  <si>
    <t>NCT07017777</t>
  </si>
  <si>
    <t>A Study to Evaluate the Immunogenicity and Safety of 13-valent Pneumococcal Conjugate Vaccine (PCV13i) in Healthy Infants Aged 2 Months (Minimum 6 Weeks)</t>
  </si>
  <si>
    <t>NCT07217301</t>
  </si>
  <si>
    <t>IBI363 vs Docetaxel in Patients With Advanced Squamous Lung Cancer After Standard Treatments Have Failed</t>
  </si>
  <si>
    <t>NCT07049575</t>
  </si>
  <si>
    <t>Study to Evaluate the Maximal Use of Ruxolitinib Cream in Adult and Adolescent Participants With Hidradenitis Suppurativa</t>
  </si>
  <si>
    <t>NCT07085104</t>
  </si>
  <si>
    <t>A Study to Investigate the Safety and Preliminary Efficacy of ALLO-329, an Allogeneic CAR T-cell Therapy, in Adults With Autoimmune Disease</t>
  </si>
  <si>
    <t>NCT07275723</t>
  </si>
  <si>
    <t>A Study of a Gadolinium-Based Contrast Agent (GBCA) for Adults Undergoing Magnetic Resonance Imaging (MRI) for Known or Highly Suspected Body Parts (Non-Central Nervous System) Lesions</t>
  </si>
  <si>
    <t>NCT07216027</t>
  </si>
  <si>
    <t>A Study to Learn About Study Medicine Called PF-08049820 in People With Eczema</t>
  </si>
  <si>
    <t>NCT07251023</t>
  </si>
  <si>
    <t>Efficacy and Safety of DMB-I (INN: Latrepirdine) in Patients With Alzheimer Type Dementia</t>
  </si>
  <si>
    <t>Bigespas LTD</t>
  </si>
  <si>
    <t>NCT05454566</t>
  </si>
  <si>
    <t>A Study Evaluating the Safety, Tolerability, and Activity of ICM-203 in Subjects With Knee Osteoarthritis.</t>
  </si>
  <si>
    <t>ICM Co. Ltd.</t>
  </si>
  <si>
    <t>NCT07281495</t>
  </si>
  <si>
    <t>Taldefgrobep Alfa in Adults With Overweight and Obesity</t>
  </si>
  <si>
    <t>NCT06720896</t>
  </si>
  <si>
    <t>A Phase 2, Controlled, Double Blind, Randomized and Multicenter Study to Compare Efficacy and Safety of a Novel Topical Therapy (APT-001, Spinosad 1.8%) in Patients With Blepharitis.</t>
  </si>
  <si>
    <t>Aperta Biosciences, LLC</t>
  </si>
  <si>
    <t>NCT07218744</t>
  </si>
  <si>
    <t>Study Assessing the Mass Balance, Pharmacokinetics, and Metabolite Profiles of a Single Oral Dose of [14C]-INCB123667 in Healthy Male Participants</t>
  </si>
  <si>
    <t>NCT07240636</t>
  </si>
  <si>
    <t>Study of Food Effects of VV119 Capsules in Chinese Healthy Volunteers</t>
  </si>
  <si>
    <t>NCT07144852</t>
  </si>
  <si>
    <t>Study of Reformulated Levulan Kerastick Plus PDT for Actinic Keratosis on Upper Extremities</t>
  </si>
  <si>
    <t>NCT07247084</t>
  </si>
  <si>
    <t>A Study of Tirzepatide (LY3298176) Compared With Standard of Care in Adult Participants With Obesity and Without Diabetes (SURMOUNT-REAL UK)</t>
  </si>
  <si>
    <t>NCT07201688</t>
  </si>
  <si>
    <t>Phase III Clinical Trial of rhTNK-tPA in Treating Acute Ischemic Stroke With Extended Time Window.</t>
  </si>
  <si>
    <t>CSPC Mingfule Pharmaceutical (Guangzhou) Co., Ltd.</t>
  </si>
  <si>
    <t>NCT07202663</t>
  </si>
  <si>
    <t>Study of BB-025, Alone and After BB-031, in Healthy Volunteers</t>
  </si>
  <si>
    <t>NCT07230626</t>
  </si>
  <si>
    <t>SYS6002 vs Chemotherapy in Recurrent or Metastatic Cervical Cancer</t>
  </si>
  <si>
    <t>NCT07088926</t>
  </si>
  <si>
    <t>A Study to Evaluate the Efficacy, Safety, and PK of AZD0292 Administered IV in Participants 12 Years of Age and Older With Bronchiectasis and Chronic Pseudomonas Aeruginosa Colonization</t>
  </si>
  <si>
    <t>NCT07245368</t>
  </si>
  <si>
    <t>Study of PRA-216 in Healthy Participants and Participants With Mild-to-Moderate Asthma</t>
  </si>
  <si>
    <t>Prana Therapies Inc</t>
  </si>
  <si>
    <t>NCT07215585</t>
  </si>
  <si>
    <t>AZD0486 1L Therapy for Elderly or Unfit Participants With LBCL</t>
  </si>
  <si>
    <t>NCT07176650</t>
  </si>
  <si>
    <t>Phase I Clinical Study To Evaluate Pharmacokinetic Profile, Safety, Efficacy and Immunogenicity Of Ipilimumab Biosimilar HLX13 Vs. YERVOY® (US-Sourced YERVOY®) As A First-Line Treatment For Patients With Unresectable Hepatocellular Carcinoma</t>
  </si>
  <si>
    <t>NCT07244835</t>
  </si>
  <si>
    <t>A Study of DEG6498 in Participants With Solid Tumors</t>
  </si>
  <si>
    <t>Degron Therapeutics Co.</t>
  </si>
  <si>
    <t>NCT07282093</t>
  </si>
  <si>
    <t>Pharmacokinetics of Olverembatinib in Participants With Hepatic Impairment</t>
  </si>
  <si>
    <t>NCT06632912</t>
  </si>
  <si>
    <t>Phase IIIb Clinical Trial of Quadrivalent Recombinant Human Papillomavirus Vaccine (Hansenulapolymorpha) for Age/Immunization Schedule Bridging</t>
  </si>
  <si>
    <t>National Vaccine and Serum Institute, China</t>
  </si>
  <si>
    <t>NCT07241936</t>
  </si>
  <si>
    <t>A Study of Sirolimus (Albumin-Bound) in Combination With Different ADCs Treatment of Advanced Solid Tumors</t>
  </si>
  <si>
    <t>NCT07215520</t>
  </si>
  <si>
    <t>Safety and Tolerability of a Newcastle Disease Virus-Based Mucosal COVID-19 Vaccine in Previously Vaccinated Adults</t>
  </si>
  <si>
    <t>CastleVax Inc.</t>
  </si>
  <si>
    <t>NCT07229742</t>
  </si>
  <si>
    <t>A Phase II Clinical Study on the Efficacy and Safety of SHR-2173 Injection in the Treatment of Patients With Active Lupus Nephritis</t>
  </si>
  <si>
    <t>NCT07249892</t>
  </si>
  <si>
    <t>A Study of BPR-6023021 in Advanced Solid Tumors With Bone Metastases</t>
  </si>
  <si>
    <t>Chengdu Syncor Pharmaceutical Co., Ltd.</t>
  </si>
  <si>
    <t>NCT07256509</t>
  </si>
  <si>
    <t>A Study of SYS6010 Combined With Osimertinib Versus Osimertinib Alone as Neoadjuvant Therapy for Patients With EGFR Mutation-positive Resectable Non-squamous Non-small Cell Lung Cancer</t>
  </si>
  <si>
    <t>NCT07219420</t>
  </si>
  <si>
    <t>A Study to Evaluate the Efficacy and Safety of Bimekizumab in Study Participants With Palmoplantar Pustulosis</t>
  </si>
  <si>
    <t>NCT07156565</t>
  </si>
  <si>
    <t>Actinium Therapy for Late-stage Aggressive Sarcomas</t>
  </si>
  <si>
    <t>Ratio Therapeutics, Inc.</t>
  </si>
  <si>
    <t>NCT07246304</t>
  </si>
  <si>
    <t>TC-D101 Cell Therapy for Patients With DLL3-Positive SCLC</t>
  </si>
  <si>
    <t>NCT07223840</t>
  </si>
  <si>
    <t>A Study of Brenipatide in Adults Who Quit Smoking Cigarettes and Want to Avoid Relapse</t>
  </si>
  <si>
    <t>NCT07275814</t>
  </si>
  <si>
    <t>A Study of a Gadolinium-Based Contrast Agent (GBCA) for Adults Undergoing Magnetic Resonance Imaging (MRI) for Known or Highly Suspected Central Nervous System (CNS) Lesions</t>
  </si>
  <si>
    <t>NCT07211542</t>
  </si>
  <si>
    <t>A Study to Investigate the Efficacy and Safety of SHR-1905 in Patients With Moderate-to-severe Atopic Dermatitis</t>
  </si>
  <si>
    <t>NCT07229716</t>
  </si>
  <si>
    <t>Study on the Drug Interactions of HRS-9813, Pirfenidone and Nintedanib in Healthy Subjects</t>
  </si>
  <si>
    <t>NCT07103018</t>
  </si>
  <si>
    <t>A Clinical Study of KTX-2001 in Subjects With Metastatic Castration-Resistant Prostate Cancer (STRIKE-001)</t>
  </si>
  <si>
    <t>K36 Therapeutics, Inc.</t>
  </si>
  <si>
    <t>NCT07227402</t>
  </si>
  <si>
    <t>A Clinical Study of Belzutifan and Zanzalintinib in People With Recurrent Kidney Cancer Following Adjuvant Therapy (MK-6482-033)</t>
  </si>
  <si>
    <t>NCT07190885</t>
  </si>
  <si>
    <t>A Pharmacokinetic Study of YN001 in Healthy Participants</t>
  </si>
  <si>
    <t>Beijing Inno Medicine Co., Ltd.</t>
  </si>
  <si>
    <t>NCT07217171</t>
  </si>
  <si>
    <t>A Study Evaluating the Safety, Efficacy, and Pharmacokinetics (PK) of EVOLVE104 in Participants With Advanced Urothelial and Squamous Cell Carcinomas</t>
  </si>
  <si>
    <t>EvolveImmune United, Inc</t>
  </si>
  <si>
    <t>NCT07129252</t>
  </si>
  <si>
    <t>A Study to Investigate Safety and Effectiveness of CRN09682 in Participants With SST2-Expressing NENs and Other Solid Tumors</t>
  </si>
  <si>
    <t>NCT07250048</t>
  </si>
  <si>
    <t>A Study in Healthy Men to Find Out How Different Doses of BI 3009947 Are Tolerated and How Different Formulations or Food Influence How BI 3009947 is Taken up Into the Blood</t>
  </si>
  <si>
    <t>NCT07227168</t>
  </si>
  <si>
    <t>A Study of STRO-004 in Adults With Refractory/Recurrent Metastatic Cancer</t>
  </si>
  <si>
    <t>NCT07073950</t>
  </si>
  <si>
    <t>A Study to Investigate the Effect of Budesonide/Glycopyrronium/Formoterol Fumarate Metered Dose Inhaler (BGF MDI) Compared With Placebo MDI on Heart and Lung Function in Participants With Chronic Obstructive Pulmonary Disease (COPD) and Hyperinflation</t>
  </si>
  <si>
    <t>NCT07229313</t>
  </si>
  <si>
    <t>A Study of KIVU-107 in Participants With Locally Advanced or Metastatic Solid Tumors</t>
  </si>
  <si>
    <t>Kivu Bioscience Inc.</t>
  </si>
  <si>
    <t>NCT07233213</t>
  </si>
  <si>
    <t>An Open-label Study of Intravenous Immunoglobulin (5%) for the Treatment of Primary Immune Thrombocytopenia</t>
  </si>
  <si>
    <t>Grand Shuyang Life Sciences (Chengdu) Co., Ltd.</t>
  </si>
  <si>
    <t>NCT07219511</t>
  </si>
  <si>
    <t>A Safety, Tolerability, and Biomarker Trial of VS-041 in Participants With Heart Failure With Preserved Ejection Fraction (HFpEF)</t>
  </si>
  <si>
    <t>Vasa Therapeutics</t>
  </si>
  <si>
    <t>NCT07334119</t>
  </si>
  <si>
    <t>Safety, Pharmacokinetics, Pharmacodynamics and Preliminary Efficacy of MT-304 in Adults With Advanced HER2-Expressing Solid Tumors</t>
  </si>
  <si>
    <t>NCT07109219</t>
  </si>
  <si>
    <t>Study of AZD4512 Monotherapy or in Combination With Anticancer Agents in Participants With Acute Lymphoblastic Leukemia</t>
  </si>
  <si>
    <t>NCT07161414</t>
  </si>
  <si>
    <t>A Study to Investigate the Pharmacokinetics and Safety of Subcutaneous Rilvegostomig in Adult Participants With Advanced Solid Tumors Previously Treated With Standard of Care Therapy</t>
  </si>
  <si>
    <t>NCT07221344</t>
  </si>
  <si>
    <t>Study of ARO-MAPT-SC in Healthy Subjects and Subjects With Early Alzheimer's Disease</t>
  </si>
  <si>
    <t>NCT07081984</t>
  </si>
  <si>
    <t>Study of TI-0093 Injection With Recurrent/Metastatic HPV-16 Positive Solid Tumors</t>
  </si>
  <si>
    <t>Therorna</t>
  </si>
  <si>
    <t>NCT07170150</t>
  </si>
  <si>
    <t>A Clinical Trial of Trontinemab in Participants With Early Symptomatic Alzheimer's Disease</t>
  </si>
  <si>
    <t>NCT07142291</t>
  </si>
  <si>
    <t>PHENOGENE-1A (Cromolyn) Treatment in Patients With Mild to Moderate ALS</t>
  </si>
  <si>
    <t>PhenoNet, Inc.</t>
  </si>
  <si>
    <t>NCT07241910</t>
  </si>
  <si>
    <t>A Single Ascending Dose Study to Evaluate the Safety, Tolerability, Pharmacokinetics and Pharmacodynamics of SYH2061</t>
  </si>
  <si>
    <t>NCT07329101</t>
  </si>
  <si>
    <t>Clinical Study to Evaluate the Safety, Pharmacokinetics and Efficacy of VC005 in Adolescent Subjects With Mild to Moderate Atopic Dermatitis</t>
  </si>
  <si>
    <t>NCT07199777</t>
  </si>
  <si>
    <t>A Phase 2a Study to Evaluate the Safety, Tolerability, and Efficacy of SNP318 in DME Patients</t>
  </si>
  <si>
    <t>SciNeuro</t>
  </si>
  <si>
    <t>NCT07444294</t>
  </si>
  <si>
    <t>A Single- and Multiple-Ascending Dose Study of SRK-439 in Healthy Adults</t>
  </si>
  <si>
    <t>NCT06981741</t>
  </si>
  <si>
    <t>Safety and Efficacy of hUC-MSC for the Treatment of Cartilage Damage in the Knee Joint</t>
  </si>
  <si>
    <t>BIONCaRT GmbH</t>
  </si>
  <si>
    <t>NCT05987956</t>
  </si>
  <si>
    <t>Pharmacogenomics IND EXEMPT SNP Clinical Study - Alectinib and Single Nucleotide Polymorphisms</t>
  </si>
  <si>
    <t>NCT06181630</t>
  </si>
  <si>
    <t>A Lactation Study in Women Receiving Treatment With Ozanimod</t>
  </si>
  <si>
    <t>NCT07308782</t>
  </si>
  <si>
    <t>A Phase Ⅱa Clinical Study of CL-197 Capsules</t>
  </si>
  <si>
    <t>NCT06668896</t>
  </si>
  <si>
    <t>Comparing the Pharmacokinetics of a Progesterone Ring Versus a Progesterone Vaginal Insert</t>
  </si>
  <si>
    <t>Daré Bioscience, Inc.</t>
  </si>
  <si>
    <t>NCT07023627</t>
  </si>
  <si>
    <t>A Study of INCB123667 in Participants With Platinum-Resistant Ovarian Cancer With Cyclin E1 Overexpression</t>
  </si>
  <si>
    <t>NCT07210554</t>
  </si>
  <si>
    <t>Study of Stapokibart Injection in Subjects With Moderate to Severe Bullous Pemphigoid</t>
  </si>
  <si>
    <t>Chengdu Kangnuoxing Biopharma,Inc.</t>
  </si>
  <si>
    <t>NCT06656351</t>
  </si>
  <si>
    <t>B-FREE Chronic Babesiosis Study</t>
  </si>
  <si>
    <t>NCT07388069</t>
  </si>
  <si>
    <t>Study of TN-001 Topical Eyedrops for Keratoconus</t>
  </si>
  <si>
    <t>TheiaNova Ltd.</t>
  </si>
  <si>
    <t>NCT07116746</t>
  </si>
  <si>
    <t>Evaluation of Efficacy and Safety of AR882 and XOI Co-administration in Uricase Treatment Failed Patients</t>
  </si>
  <si>
    <t>NCT07295873</t>
  </si>
  <si>
    <t>Drug-Drug Interaction Study Between Hydronidone and Entecavir, Tenofovir Disoproxil Fumarate, Tenofovir Alafenamide, and Tenofovir Amibufenamide</t>
  </si>
  <si>
    <t>NCT07280936</t>
  </si>
  <si>
    <t>A Phase I Study of SHR-2906 Injection in Healthy Subjects With a Single Dose and in Obese Patients With Multiple Doses</t>
  </si>
  <si>
    <t>NCT05570422</t>
  </si>
  <si>
    <t>A Study to Evaluate the Safety, Tolerability, Preliminary Efficacy of KRC-01</t>
  </si>
  <si>
    <t>Kortuc, Inc.</t>
  </si>
  <si>
    <t>NCT07222254</t>
  </si>
  <si>
    <t>A Study to Assess the Safety, Tolerability, and Pharmacokinetics of a Single Ascending Dose of AZD0292 in Healthy Japanese Participants</t>
  </si>
  <si>
    <t>NCT07276802</t>
  </si>
  <si>
    <t>The TRIBECA Study (TRIessence/Byqlovi for Easier CAtaract Surgery)</t>
  </si>
  <si>
    <t>Research Insight LLC</t>
  </si>
  <si>
    <t>NCT06602271</t>
  </si>
  <si>
    <t>PF614 Analgesic Activity in Acute Postoperative Pain (PF614-301)</t>
  </si>
  <si>
    <t>NCT07265258</t>
  </si>
  <si>
    <t>A Study of Teprotumumab N01 in Subjects With Active Thyroid Eye Disease</t>
  </si>
  <si>
    <t>NCT07299747</t>
  </si>
  <si>
    <t>Clinical Trial of VBC103 in Patients With Advanced Malignant Solid Tumors</t>
  </si>
  <si>
    <t>NCT07291050</t>
  </si>
  <si>
    <t>A Clinical Study to Evaluate the Safety, Tolerability, Pharmacokinetics, and Preliminary Efficacy of TQB3217 Tablets in Subjects With Advanced Malignant Tumors</t>
  </si>
  <si>
    <t>NCT07371624</t>
  </si>
  <si>
    <t>A Study of the Safety, Tolerability and Preliminary Efficacy of B2065 in Patients With Acute Ischemic Stroke.</t>
  </si>
  <si>
    <t>NCT07340216</t>
  </si>
  <si>
    <t>Maximal Usage Pharmacokinetics and Safety Study of ARQ-154 Foam 0.3% in Pediatric Participants With Scalp and Body Psoriasis</t>
  </si>
  <si>
    <t>NCT06646016</t>
  </si>
  <si>
    <t>EPIC- Extracorporeal Photopheresis (ECP) for Immune-related Colitis</t>
  </si>
  <si>
    <t>Therakos LLC</t>
  </si>
  <si>
    <t>NCT07047690</t>
  </si>
  <si>
    <t>A Study of Nemolizumab for the Treatment of Adults With Systemic Sclerosis</t>
  </si>
  <si>
    <t>NCT07219602</t>
  </si>
  <si>
    <t>A Study to Evaluate the Effect of Obicetrapib/Ezetimibe 10 mg Fixed-Dose Combination or Obicetrapib 10 mg Daily on Top of Guideline-Recommended Lipid-Lowering Therapy in Participants With Type 2 Diabetes and/or Metabolic Syndrome</t>
  </si>
  <si>
    <t>NCT07400588</t>
  </si>
  <si>
    <t>Aleniglipron Phase 2 in Type 2 Diabetes Mellitus</t>
  </si>
  <si>
    <t>NCT07301736</t>
  </si>
  <si>
    <t>Therapeutic Equivalence of CHF5993 pMDI 100/6/12.5 µg HFA-152a in Subjects With Mild to Moderate Asthma</t>
  </si>
  <si>
    <t>NCT07232875</t>
  </si>
  <si>
    <t>HRS 4642 Injection Combined With AG Versus Placebo Combined With AG Therapy in First-Line Advanced or Metastatic Pancreatic Cancer</t>
  </si>
  <si>
    <t>NCT07317505</t>
  </si>
  <si>
    <t>A Phase 1 Study of JMT108 in Participants With Advanced Solid Tumors</t>
  </si>
  <si>
    <t>Conjupro Biotherapeutics, Inc.</t>
  </si>
  <si>
    <t>NCT07266337</t>
  </si>
  <si>
    <t>CD19/BCMA CAR-T for SLE</t>
  </si>
  <si>
    <t>NCT07262567</t>
  </si>
  <si>
    <t>Phase III Study to Compare GFH375 and Chemotherapy in Patients With KRAS G12D-Mutant Metastatic Pancreatic Cancer</t>
  </si>
  <si>
    <t>NCT06845839</t>
  </si>
  <si>
    <t>Study to Evaluate CAY001 in Healthy Volunteers</t>
  </si>
  <si>
    <t>Cayuga Biotech, Inc.</t>
  </si>
  <si>
    <t>NCT07266311</t>
  </si>
  <si>
    <t>CAR-T for Claudin18.2 Positive Solid Tumors</t>
  </si>
  <si>
    <t>NCT07400965</t>
  </si>
  <si>
    <t>Evaluation of the Safety and Efficacy of GLK-321 in Subjects With Demodex Blepharitis</t>
  </si>
  <si>
    <t>NCT07275853</t>
  </si>
  <si>
    <t>Personalized KXV01 Lentinvivo (TCR) Injection as the Therapy for Advanced Solid Tumors</t>
  </si>
  <si>
    <t>NCT07251166</t>
  </si>
  <si>
    <t>A Study to Evaluate the Safety, Tolerability, Pharmacokinetics and Preliminary Efficacy of GenSci140 in Participants With Advanced Solid Tumors</t>
  </si>
  <si>
    <t>NCT07369505</t>
  </si>
  <si>
    <t>Sapu003 in Advanced mTOR-sensitive Solid Tumors</t>
  </si>
  <si>
    <t>SAPU NANO (US) LLC</t>
  </si>
  <si>
    <t>NCT03186456</t>
  </si>
  <si>
    <t>The Safety and Efficacy of Human Umbilical Cord Mesenchymal Stem Cells (19#iSCLife®-ACI) in the Treatment of Acute Cerebral Infarction</t>
  </si>
  <si>
    <t>Sclnow Biotechnology Co., Ltd.</t>
  </si>
  <si>
    <t>NCT07285304</t>
  </si>
  <si>
    <t>A Long-term Study of TS-172 in Hyperphosphatemia Patients on Hemodialysis</t>
  </si>
  <si>
    <t>NCT07344558</t>
  </si>
  <si>
    <t>A Study to Evaluate Safety, Tolerability and Pharmacokinetics of MNKD-201 in Patients With Idiopathic Pulmonary Fibrosis</t>
  </si>
  <si>
    <t>NCT07169552</t>
  </si>
  <si>
    <t>HC010 in First-line PD-L1 Positive Advanced NSCLC Patients</t>
  </si>
  <si>
    <t>NCT06658899</t>
  </si>
  <si>
    <t>A Phase 2 Study of CRD-4730 in CPVT</t>
  </si>
  <si>
    <t>NCT07209332</t>
  </si>
  <si>
    <t>Open-Label Extension Study of WVE-N531 in Patients With Duchenne Muscular Dystrophy</t>
  </si>
  <si>
    <t>NCT07310901</t>
  </si>
  <si>
    <t>A 2-part, Phase 1b Clinical Study Designed to Evaluate the Safety, PK, and Efficacy of CRB-913 in Participants With Obesity</t>
  </si>
  <si>
    <t>NCT07223671</t>
  </si>
  <si>
    <t>Study to Evaluate the Effect of Repotrectinib on the Drug Levels of Transporter and CYP P450 Probe Substrates in Healthy Adult Participants</t>
  </si>
  <si>
    <t>NCT07295509</t>
  </si>
  <si>
    <t>A Study of Picankibart in Patients With Active Psoriatic Arthritis</t>
  </si>
  <si>
    <t>NCT07266116</t>
  </si>
  <si>
    <t>Assessment of the Efficacy and Safety of Injectable TQB2934 (Subcutaneous Injection) in Systemic Light Chain Amyloidosis Patients</t>
  </si>
  <si>
    <t>NCT07282249</t>
  </si>
  <si>
    <t>Clinical Trial to Evaluate the Efficacy and Safety of TVAX-008 Injection in the Treatment of Chronic Hepatitis B</t>
  </si>
  <si>
    <t>NCT06020235</t>
  </si>
  <si>
    <t>Nu-3 Gel for Infected Diabetic Foot Ulcers</t>
  </si>
  <si>
    <t>Lakewood-Amedex Inc</t>
  </si>
  <si>
    <t>NCT07274852</t>
  </si>
  <si>
    <t>A Study of Lutetium [177Lu]-BL-ARC001 in Patients With Locally Advanced or Metastatic Lung Cancer, Breast Cancer, Head and Neck Squamous Cell Carcinoma and Other Solid Tumors</t>
  </si>
  <si>
    <t>NCT07273474</t>
  </si>
  <si>
    <t>A Study in Healthy Men and Women to Test How BI 3000202 is Taken up and Processed by the Body</t>
  </si>
  <si>
    <t>NCT07434271</t>
  </si>
  <si>
    <t>Study to Evaluate the Potential Effects of KH-001 on Intravaginal Ejaculatory Latency Time (IELT), Patient-Reported Outcomes, and Safety in Men With Lifelong Premature Ejaculation (LPE)</t>
  </si>
  <si>
    <t>Kadence Bio</t>
  </si>
  <si>
    <t>NCT07308184</t>
  </si>
  <si>
    <t>Bridge Study to Evaluate the Efficacy and Safety of IN-B00009 Injection in Patients With T2DM Inadequately Controlled by Diet and Exercise Alone</t>
  </si>
  <si>
    <t>NCT07287033</t>
  </si>
  <si>
    <t>Study to Evaluate the Safety, Pharmacokinetic, and Pharmacodynamic Effects of MY006 in Healthy Volunteers and Patients With Peanut Allergy</t>
  </si>
  <si>
    <t>Mabylon AG</t>
  </si>
  <si>
    <t>NCT07257185</t>
  </si>
  <si>
    <t>MHB018A Treatment in Patients With Chronic Thyroid Eye Disease</t>
  </si>
  <si>
    <t>NCT07049458</t>
  </si>
  <si>
    <t>Study of CHO-A04 in Advanced Solid Tumors</t>
  </si>
  <si>
    <t>NCT04052191</t>
  </si>
  <si>
    <t>MCRcI® Stem Cell Treatment for Diffuse Coronary Artery Disease</t>
  </si>
  <si>
    <t>Honya Medical Inc</t>
  </si>
  <si>
    <t>NCT07263152</t>
  </si>
  <si>
    <t>QTc Assessment in a Single-Dose Study of Hydronidone Capsules</t>
  </si>
  <si>
    <t>NCT07279233</t>
  </si>
  <si>
    <t>To Assess the Enzyme Inducing Effects of Carbamazepine on the PK of Mirdametinib in Healthy Participants</t>
  </si>
  <si>
    <t>NCT07255404</t>
  </si>
  <si>
    <t>A Clinical Trial Testing the Safety of BNT327 (an Investigational Drug) and How Well it Works When Combined With Chemotherapy for People Who Have Not Been Treated Yet for Pancreatic Cancer</t>
  </si>
  <si>
    <t>NCT07211776</t>
  </si>
  <si>
    <t>A Study to Assess the Efficacy and Safety of ZL-1109 in Chinese Participants With Active Thyroid Eye Disease</t>
  </si>
  <si>
    <t>NCT07231861</t>
  </si>
  <si>
    <t>Bioequivalence Study of AJU-R713 and R713R in Healthy Adult Volunteers</t>
  </si>
  <si>
    <t>NCT07223723</t>
  </si>
  <si>
    <t>A Study to Learn More About the Long-Term Safety of Tofersen (Qalsody) in Chinese Participants With SOD-1 Amyotrophic Lateral Sclerosis (ALS)</t>
  </si>
  <si>
    <t>NCT07230496</t>
  </si>
  <si>
    <t>A Study to Investigate Safety, Tolerability and Pharmacokinetics of LAE103 or LAE103 in Combination With LAE102 in Healthy Overweight/Obese Participants</t>
  </si>
  <si>
    <t>NCT06395688</t>
  </si>
  <si>
    <t>Drug-Drug Interaction Between THC and AEF0117</t>
  </si>
  <si>
    <t>Aelis Farma</t>
  </si>
  <si>
    <t>NCT07316088</t>
  </si>
  <si>
    <t>Determining the Potential for Efficacy of OTX-601 in Reducing PTSD Symptoms</t>
  </si>
  <si>
    <t>NCT07211685</t>
  </si>
  <si>
    <t>BAY3401016; Biomarker Study Alport</t>
  </si>
  <si>
    <t>NCT07078955</t>
  </si>
  <si>
    <t>A Dose Regimen Study of BRM421 Ophthalmic Solution in Patients With Dry Eye Disease</t>
  </si>
  <si>
    <t>NCT07310355</t>
  </si>
  <si>
    <t>68Ga-PSMA-0057 and 177Lu-PSMA-0057 in Patients With PSMA-Positive Metastatic Castration-Resistant Prostate Cancer</t>
  </si>
  <si>
    <t>Chengdu StarRay Therapeutics Co., Ltd</t>
  </si>
  <si>
    <t>NCT07297199</t>
  </si>
  <si>
    <t>A Study to Learn How the Body Processes BIIB141 (Omaveloxolone) When Taken as a Capsule or as a Tablet Dissolved in Liquid, and to Learn About Its Safety in Healthy Adults Ages 18 to 55</t>
  </si>
  <si>
    <t>NCT07218809</t>
  </si>
  <si>
    <t>AZD5335 vs. Mirvetuximab Soravtansine in FRα-high and AZD5335 vs. Chemotherapy in FRα-low Platinum-resistant Ovarian Cancer</t>
  </si>
  <si>
    <t>NCT07128199</t>
  </si>
  <si>
    <t>A Study to Assess the Efficacy and Safety of Zipalertinib Versus Placebo for Adjuvant Treatment in Participants With Stage IB-IIIA NSCLC With Uncommon EGFR Mutations, Following Complete Tumor Resection</t>
  </si>
  <si>
    <t>NCT07137598</t>
  </si>
  <si>
    <t>A Study to Assess the Efficacy and Safety of RO7790121 in Participants With Moderate to Severe Rheumatoid Arthritis Who Have Not Responded to or Who Cannot Tolerate Tumor Necrosis Factor (TNF) and/or Janus Kinase (JAK Inhibitors)</t>
  </si>
  <si>
    <t>NCT07152873</t>
  </si>
  <si>
    <t>A Study to Compare to PK Characteristics and Safety Profiles Between AD-117 and AD-117A</t>
  </si>
  <si>
    <t>NCT07052929</t>
  </si>
  <si>
    <t>Study of ASP2957 in Male Participants With X-linked Myotubular Myopathy Who Need Ventilators</t>
  </si>
  <si>
    <t>NCT05750589</t>
  </si>
  <si>
    <t>Safety and Tolerability of IRX-101 in Patients Receiving Intravitreal Injections</t>
  </si>
  <si>
    <t>iRenix Medical, Inc.</t>
  </si>
  <si>
    <t>NCT07318103</t>
  </si>
  <si>
    <t>Phase II Clinical Study of HRS-9057 Injection in Patients With Heart Failure-induced Fluid Retention</t>
  </si>
  <si>
    <t>NCT07287982</t>
  </si>
  <si>
    <t>A Study to Assess the Safety, Tolerability, Efficacy, Pharmacokinetics, and Immunogenicity of Intravenous Administration of ARGX-119 in Pediatric Participants Aged 5 to Less Than 18 Years With Spinal Muscular Atrophy</t>
  </si>
  <si>
    <t>NCT07252414</t>
  </si>
  <si>
    <t>GenSci143 in Participants With Advanced Solid Tumors</t>
  </si>
  <si>
    <t>NCT07226999</t>
  </si>
  <si>
    <t>A Study to Learn About the Study Medicine Called PF-08634404 in Combination With Chemotherapy in Adult Participants With Extensive-Stage Small Cell Lung Cancer</t>
  </si>
  <si>
    <t>NCT07284381</t>
  </si>
  <si>
    <t>A Clinical Study to Evaluate the Effect and Side Effect of a New Artificial Tear Formulation (ABBV-444) Compared to Refresh Optive Unit Dose in Adult Participants With Dry Eye Disease</t>
  </si>
  <si>
    <t>NCT06593392</t>
  </si>
  <si>
    <t>Safety and Tolerability of Difelikefalin in Adolescents on Haemodialysis With Moderate-to-Severe Pruritus</t>
  </si>
  <si>
    <t>Vifor Fresenius Medical Care Renal Pharma</t>
  </si>
  <si>
    <t>NCT07222267</t>
  </si>
  <si>
    <t>An Investigational Study of BG-75202 Alone and in Combination With Other Therapeutic Agents in Adults With Advanced Solid Tumors</t>
  </si>
  <si>
    <t>NCT07246590</t>
  </si>
  <si>
    <t>Cantharidin Application in Patients With Common Warts (Verruca Vulgaris) (COVE-2)</t>
  </si>
  <si>
    <t>Verrica Pharmaceuticals Inc.</t>
  </si>
  <si>
    <t>NCT06589271</t>
  </si>
  <si>
    <t>SCLife®-LDD hUC-MSCs Injection Therapy for Patients With Lumbar Intervertebral Disc Degeneration</t>
  </si>
  <si>
    <t>NCT07249463</t>
  </si>
  <si>
    <t>Study Testing the Efficacy, Safety, and Tolerability of EDI048 in Cryptosporidium Infection Model in Healthy Adults</t>
  </si>
  <si>
    <t>NCT07174336</t>
  </si>
  <si>
    <t>A Study of Tersolisib (LY4064809/STX-478) With Other Anti-Cancer Treatments in Participants With Advanced Breast Cancer With a Genetic Change (PIK3CA)</t>
  </si>
  <si>
    <t>NCT07054593</t>
  </si>
  <si>
    <t>Effect of Proton Pump Inhibitors on Gut Microbiota Composition and Metabolites in Healthy Subjects Using CapScan</t>
  </si>
  <si>
    <t>NCT07227012</t>
  </si>
  <si>
    <t>A Study to Learn About Study Medicine Called PF-08634404 as a Single Treatment and Combination Treatment in Adult Participants With a Liver Cancer Called Hepatocellular Carcinoma, That is Too Advanced to be Removed by Surgery and May Have Spread to Other Parts of the Body.</t>
  </si>
  <si>
    <t>NCT07289477</t>
  </si>
  <si>
    <t>A Phase I/III Clinical Study to Evaluate NouvNeu001 Injection for Multiple System Atrophy</t>
  </si>
  <si>
    <t>NCT07219940</t>
  </si>
  <si>
    <t>A Study to Investigate HLA-G Targeted Exosome (SOB100) in Healthy Subjects</t>
  </si>
  <si>
    <t>NCT07268040</t>
  </si>
  <si>
    <t>A Trial of SHR-7787 Injection Combined With Other Anti-tumor Drugs in Patients With Malignant Solid Tumors</t>
  </si>
  <si>
    <t>NCT07203547</t>
  </si>
  <si>
    <t>Phase 4 Study of Laybon Tab. in Knee Osteoarthritis</t>
  </si>
  <si>
    <t>NCT06908304</t>
  </si>
  <si>
    <t>A Phase III Study With THIO + Cemiplimab vs Chemotherapy as 3rd Line Treatment in Advanced/Metastatic NSCLC</t>
  </si>
  <si>
    <t>Maia Biotechnology</t>
  </si>
  <si>
    <t>NCT07301333</t>
  </si>
  <si>
    <t>A Study of Single and Multiple Doses of HRS-6257 in Healthy Subjects</t>
  </si>
  <si>
    <t>NCT07222917</t>
  </si>
  <si>
    <t>A Phase IIb Study to Evaluate the Effect of Dapagliflozin in Combination With Baxdrostat Compared With Baxdrostat on Albuminuria in Participants With Chronic Kidney Disease and High Blood Pressure.</t>
  </si>
  <si>
    <t>NCT07315061</t>
  </si>
  <si>
    <t>A Phase II Study to Evaluate the Efficacy and Safety of D-2570 in Subjects With Active Psoriatic Arthritis</t>
  </si>
  <si>
    <t>NCT07222670</t>
  </si>
  <si>
    <t>A Study Assessing Safety, Tolerability, and Efficacy of INNA-051 in Preventing Respiratory Illness Due to Viral Infections in Healthy Adults 18 to 45 Years of Age</t>
  </si>
  <si>
    <t>ENA Respiratory Pty Ltd</t>
  </si>
  <si>
    <t>NCT07218523</t>
  </si>
  <si>
    <t>A Study to Investigate Bowel Cleansing With PLENVU® Compared to Sodium Picosulfate in Participants Aged 1 to &lt; 18 Years of Age in Preparation for Colonoscopy</t>
  </si>
  <si>
    <t>Norgine</t>
  </si>
  <si>
    <t>NCT07251998</t>
  </si>
  <si>
    <t>Efficacy and Safety of ICP-332 Versus Placebo in Participants With Moderate to Severe Plaque Psoriasis</t>
  </si>
  <si>
    <t>NCT07254325</t>
  </si>
  <si>
    <t>Pharmacokinetic, Safety and Immunogenicity Study of New Process CMAB015 and Cosentyx in Healthy Volunteers</t>
  </si>
  <si>
    <t>NCT05263739</t>
  </si>
  <si>
    <t>A First-in-Human Phase I Study of ESG206 in Subjects With B-cell Lymphoid Malignancies</t>
  </si>
  <si>
    <t>NCT07317544</t>
  </si>
  <si>
    <t>Study of ABS-201 Evaluating Single and Multiple Ascending Doses in Healthy Adults With and Without Androgenetic Alopecia</t>
  </si>
  <si>
    <t>Absci Pty Ltd.</t>
  </si>
  <si>
    <t>NCT07283367</t>
  </si>
  <si>
    <t>A Phase Ib/II Trial of HS-20110 Combination Therapies in Advanced Colorectal Cancer Patients.</t>
  </si>
  <si>
    <t>NCT07225569</t>
  </si>
  <si>
    <t>A Study to Investigate Efficacy and Safety With SAR445399 in Adult Participants With Moderate to Severe Hidradenitis Suppurativa</t>
  </si>
  <si>
    <t>NCT07288879</t>
  </si>
  <si>
    <t>DALY II Japan/MB-CART2019.1 for DLBCL</t>
  </si>
  <si>
    <t>NCT07311564</t>
  </si>
  <si>
    <t>A Study of LAD603 in Adults With Alopecia Areata</t>
  </si>
  <si>
    <t>NCT07327281</t>
  </si>
  <si>
    <t>A Clinical Trial Evaluating TQF3250 Capsules in Healthy Adult Subjects</t>
  </si>
  <si>
    <t>NCT04662164</t>
  </si>
  <si>
    <t>A Study to Access the Efficacy in Type 2 Diabetes Mellitus on Stable Metformin</t>
  </si>
  <si>
    <t>NCT07400952</t>
  </si>
  <si>
    <t>Placebo-controlled Study to Evaluate the Safety and Efficacy of GLK-221 Ophthalmic Solution in Subjects With Keratoconus</t>
  </si>
  <si>
    <t>NCT07221253</t>
  </si>
  <si>
    <t>A Study of Rilvegostomig or Durvalumab Plus Chemotherapy for First-Line Treatment of Biliary Tract Cancer (ARTEMIDE-Biliary02)</t>
  </si>
  <si>
    <t>NCT07235046</t>
  </si>
  <si>
    <t>A Study of DII235 in Adults With Elevated Lipoprotein(a)</t>
  </si>
  <si>
    <t>NCT07218770</t>
  </si>
  <si>
    <t>A Study of REGN7041 for Active Noninfectious Uveitis in Adult Participants</t>
  </si>
  <si>
    <t>NCT07250594</t>
  </si>
  <si>
    <t>A Multi-dose Study on the Safety and Efficacy of Self-administered Intranasal AD17002 Treatment for Eosinophilic Asthma</t>
  </si>
  <si>
    <t>Advagene Biopharma Co. Ltd.</t>
  </si>
  <si>
    <t>NCT07335601</t>
  </si>
  <si>
    <t>Study to Evaluate Resmetirom in Post-Liver Transplant Patients With MASH</t>
  </si>
  <si>
    <t>NCT04792034</t>
  </si>
  <si>
    <t>Pharmacokinetics, Safety, and Tolerability Study of GOPRELTO® Nasal Solution and NUMBRINO™ Nasal Solution</t>
  </si>
  <si>
    <t>Noden Pharma</t>
  </si>
  <si>
    <t>NCT07277712</t>
  </si>
  <si>
    <t>A Study to Evaluate the Pharmacokinetics and Food-effect of IN-M00002 Tablet in Healthy Adult Volunteers</t>
  </si>
  <si>
    <t>NCT07268625</t>
  </si>
  <si>
    <t>Evaluating Bioequivalence of a Fixed Dose Combination Versus Individual Tablets of Bempedoic Acid / Ezetimibe, and Atorvastatin</t>
  </si>
  <si>
    <t>NCT07265206</t>
  </si>
  <si>
    <t>A Study of HY001N in the Treatment of Relapsed or Refractory Neurological Autoimmune Diseases</t>
  </si>
  <si>
    <t>NCT07107126</t>
  </si>
  <si>
    <t>Safety and Proof-of-Concept Study of RPT1G in Adults With Acute Myeloid Leukemia and High-Risk Myelodysplastic Syndromes</t>
  </si>
  <si>
    <t>NCT07308574</t>
  </si>
  <si>
    <t>Post-Marketing Clinical Study of Ravulizumab in Participants With Clinical aHUS</t>
  </si>
  <si>
    <t>NCT07260708</t>
  </si>
  <si>
    <t>Clinical Trial of TQB2922 Injection (Subcutaneous Injection) in Patients With Advanced Cancers</t>
  </si>
  <si>
    <t>NCT07361562</t>
  </si>
  <si>
    <t>A Study of a Selective ERBB2 Inhibitor (CGT4255), in Patients With Advanced Solid Tumors</t>
  </si>
  <si>
    <t>NCT07294898</t>
  </si>
  <si>
    <t>A Study to Investigate the Effect of a Low-fat Meal and Evening Dosing on KAI-7535 in Participants Living With Obesity or Overweight</t>
  </si>
  <si>
    <t>NCT07413367</t>
  </si>
  <si>
    <t>A Phase 1, Open-Label, Parallel-Group, Single-Dose Study To Compare The Pharmakokinetics Of TNX-102 SL (Cyclobenzaprine Hydrochloride Sublingual Tablet) In Non-Elderly Versus Elderly Participants</t>
  </si>
  <si>
    <t>NCT07255209</t>
  </si>
  <si>
    <t>A Study of IBI362 in Chinese Adolescents With Obesity or Overweight</t>
  </si>
  <si>
    <t>NCT07362459</t>
  </si>
  <si>
    <t>A Study to Evaluate the Safety and Tolerability of SCTB14 as First-Line Therapy in Non-Small Cell Lung Cancer.</t>
  </si>
  <si>
    <t>NCT06793397</t>
  </si>
  <si>
    <t>A Study of a Deuterated Psilocin Analog (CYB003) in Humans With Major Depressive Disorder</t>
  </si>
  <si>
    <t>NCT07282171</t>
  </si>
  <si>
    <t>A Study to Investigate the Safety, Pharmacodynamic and Pharmacokinetic Characteristics of CBP-4888 in Hospitalized Participants With Preterm Preeclampsia and Their Children up to 24 Months</t>
  </si>
  <si>
    <t>Comanche Biopharma</t>
  </si>
  <si>
    <t>NCT07392255</t>
  </si>
  <si>
    <t>An Optimised GA Interventional Trial (Opti-GAIN) to Test if Treatment With CTx001 is Safe and Works for People With Geographic Atrophy (GA)</t>
  </si>
  <si>
    <t>Complement Therapeutics</t>
  </si>
  <si>
    <t>NCT06514508</t>
  </si>
  <si>
    <t>Mobilization of Stem Cells With Motixafortide (BL-8040) in Combination With G-CSF in Multiple Myeloma Patients</t>
  </si>
  <si>
    <t>Guangzhou Gloria Biosciences Co., Ltd.</t>
  </si>
  <si>
    <t>NCT07275840</t>
  </si>
  <si>
    <t>A Study to Evaluate the Efficacy and Safety of IBI302inSubjects With nAMD</t>
  </si>
  <si>
    <t>NCT07191028</t>
  </si>
  <si>
    <t>Alzheimer's Disease THErapy With NEuroaid II</t>
  </si>
  <si>
    <t>NCT07322432</t>
  </si>
  <si>
    <t>The CONQUER Trial - Cessation Of Nicotine, QUitting With E-cigarette Reduction</t>
  </si>
  <si>
    <t>VapeAway</t>
  </si>
  <si>
    <t>NCT07395232</t>
  </si>
  <si>
    <t>An Efficacy and Safety Study of DFL24498 in the Treatment of AKC</t>
  </si>
  <si>
    <t>NCT07067463</t>
  </si>
  <si>
    <t>A Study of Orelabrutinib in Patients With Primary Progressive Multiple Sclerosis</t>
  </si>
  <si>
    <t>NCT07266818</t>
  </si>
  <si>
    <t>A Clinical Trial of MK-1167 in Healthy Adults (MK-1167-010)</t>
  </si>
  <si>
    <t>NCT07264270</t>
  </si>
  <si>
    <t>Study to Evaluate Safety of C-1101 Versus Sterile Saline in Adults With Chronic Painful Lumbosacral Radiculopathy</t>
  </si>
  <si>
    <t>Consano Bio</t>
  </si>
  <si>
    <t>NCT07225946</t>
  </si>
  <si>
    <t>A Study of Pasritamig With Docetaxel Versus Docetaxel in Participants With Metastatic Castration-Resistant Prostate Cancer</t>
  </si>
  <si>
    <t>NCT07169175</t>
  </si>
  <si>
    <t>A Phase Ⅰ/Ⅱa Study of SNUG01 in Adult Subjects With ALS</t>
  </si>
  <si>
    <t>SineuGene Therapeutics Co., Ltd.</t>
  </si>
  <si>
    <t>NCT07301723</t>
  </si>
  <si>
    <t>A Trial to Evaluate the Absolute Bioavailability of Cenerimod in Healthy Male Participants</t>
  </si>
  <si>
    <t>NCT07284186</t>
  </si>
  <si>
    <t>First-in-Human Study of PLX-61639 in Locally Advanced or Metastatic Solid Tumors</t>
  </si>
  <si>
    <t>Plexium, Inc.</t>
  </si>
  <si>
    <t>NCT07395128</t>
  </si>
  <si>
    <t>Lateral Plantar Artery Embolization For Plantar Fasciitis</t>
  </si>
  <si>
    <t>Joint &amp; Vascular Institute</t>
  </si>
  <si>
    <t>NCT07301502</t>
  </si>
  <si>
    <t>A Clinical Trial of AK152 in Healthy Volunteers and Patients With Alzheimer' s Disease</t>
  </si>
  <si>
    <t>NCT07326553</t>
  </si>
  <si>
    <t>Efficacy of Placental Membrane Dressings in Accelerating Diabetic Foot Healing</t>
  </si>
  <si>
    <t>BioXTek</t>
  </si>
  <si>
    <t>NCT07252739</t>
  </si>
  <si>
    <t>KEYMAKER-U01 Substudy 01J: A Study of Pembrolizumab Plus MK-1084 in Participants With Non-Small Cell Lung Cancer (NSCLC) With Kirsten Rat Sarcoma Viral Oncogene Homolog (KRAS) G12C Mutations (MK-3475-01J/KEYMAKER-U01J)</t>
  </si>
  <si>
    <t>NCT07393334</t>
  </si>
  <si>
    <t>Effects of NLS-133, a Potential Non-Hormonal "On-Demand" Male Contraceptive</t>
  </si>
  <si>
    <t>Next Life Sciences</t>
  </si>
  <si>
    <t>NCT03180463</t>
  </si>
  <si>
    <t>The Study of Early Stage Osteonecrosis of Femoral Head With Human Umbilical Cord Mesenchymal Stem Cells (19#iSCLife®-ONFH)</t>
  </si>
  <si>
    <t>NCT07262645</t>
  </si>
  <si>
    <t>Near-infrared Light Therapy Device for Mild-Moderate Alzheimer's Disease (NirsCure-03A)</t>
  </si>
  <si>
    <t>Danyang Huichuang Medical Equipment Co., Ltd.</t>
  </si>
  <si>
    <t>NCT07294235</t>
  </si>
  <si>
    <t>A Study of BGM1812 Injection in Healthy and Non-diabetic Overweight or Obese Chinese Participants</t>
  </si>
  <si>
    <t>NCT06970496</t>
  </si>
  <si>
    <t>A Clinical Trial of B019 Injection in Patients With Relapsed or Refractory B-cell Non-Hodgkin's Lymphoma.</t>
  </si>
  <si>
    <t>NCT07311850</t>
  </si>
  <si>
    <t>Efficacy and Safety of MET097 Once-Weekly in People With Overweight or Obesity</t>
  </si>
  <si>
    <t>NCT07265479</t>
  </si>
  <si>
    <t>A Study to Investigate Safety and Efficacy of Tapinarof Cream, 1% in Participants Ages 3 Months to &lt; 24 Months With Atopic Dermatitis</t>
  </si>
  <si>
    <t>Organon and Co</t>
  </si>
  <si>
    <t>NCT07274813</t>
  </si>
  <si>
    <t>A Phase I Study to Evaluate the Safety, Tolerability, and PK of HLX37 in Advanced/Metastatic Solid Tumors</t>
  </si>
  <si>
    <t>NCT07241390</t>
  </si>
  <si>
    <t>A Study of Orforglipron (LY3502970) on Cardiovascular Outcomes in Adults With Atherosclerotic Cardiovascular Disease and/or Chronic Kidney Disease (ATTAIN-Outcomes)</t>
  </si>
  <si>
    <t>NCT07315113</t>
  </si>
  <si>
    <t>Study of NXP900 With Osimertinib in Subjects With Advanced, EGFR-Mutated Non-Small Cell Lung Cancer</t>
  </si>
  <si>
    <t>Nuvectis Pharma, Inc.</t>
  </si>
  <si>
    <t>NCT07242274</t>
  </si>
  <si>
    <t>Phase 3 Trial of JMKX001899 Versus Docetaxel in Previously Treated Advanced or Metastatic KRAS G12C-Mutant NSCLC</t>
  </si>
  <si>
    <t>NCT07443696</t>
  </si>
  <si>
    <t>PET Myocardial Fatty-acid Metabolic Imaging With XTR003 Injection and 18F-FDG to Assess Myocardial Viability in Ischemic Cardiomyopathy</t>
  </si>
  <si>
    <t>NCT05060705</t>
  </si>
  <si>
    <t>"Efesovir" (FS-1) for COVID-19, Phase 2</t>
  </si>
  <si>
    <t>Scientific Center for Anti-infectious Drugs, Kazakhstan</t>
  </si>
  <si>
    <t>NCT07308769</t>
  </si>
  <si>
    <t>Efficacy and Tolerability of Sucrosomial® Iron vs Ferric Maltol in Iron Deficient Women</t>
  </si>
  <si>
    <t>Pharmanutra S.p.a.</t>
  </si>
  <si>
    <t>NCT07221188</t>
  </si>
  <si>
    <t>A Clinical Study to Investigate the Safety and Tolerability of Efimosfermin Alfa Injection in Participants With Known or Suspected F2- or F3-stage MASH</t>
  </si>
  <si>
    <t>NCT07347808</t>
  </si>
  <si>
    <t>A Pharmacokinetic Study of VCT220 With Moderate Renal Impairment Patients</t>
  </si>
  <si>
    <t>NCT07195825</t>
  </si>
  <si>
    <t>A Clinical Study to Evaluate the Safety, and Tolerability of BBM-P002 in the Treatment of Parkinson's Disease</t>
  </si>
  <si>
    <t>NCT07297940</t>
  </si>
  <si>
    <t>Pharmacokinetics and Safety Profiles of DA-1229_01 in Healthy Subjects at Fasting State</t>
  </si>
  <si>
    <t>NCT07272889</t>
  </si>
  <si>
    <t>Drug-drug Interaction Study of Bemnifosbuvir/Ruzasvir (BEM/RZR) and Ethinyl Estradiol/Levonorgestrel (EE/LNG)</t>
  </si>
  <si>
    <t>NCT07305805</t>
  </si>
  <si>
    <t>A Research Study of a New Medicine NNC0363-1063 in Participants With Type 1 Diabetes</t>
  </si>
  <si>
    <t>NCT07303907</t>
  </si>
  <si>
    <t>A Phase 2A Trial of MM402 for Autism Spectrum Disorder</t>
  </si>
  <si>
    <t>NCT06922539</t>
  </si>
  <si>
    <t>ST-001 nanoFenretinide in Relapsed/ Refractory Small Cell Lung Cancer</t>
  </si>
  <si>
    <t>SciTech Development, Inc.</t>
  </si>
  <si>
    <t>NCT07306754</t>
  </si>
  <si>
    <t>A Phase 1 Study to Evaluate the Safety and Pharmacokinetics of ABBV-243 in Healthy Adults.</t>
  </si>
  <si>
    <t>NCT07242781</t>
  </si>
  <si>
    <t>A Study to Evaluate the Effect of Itraconazole and Rifampin on the Drug Levels of AR-LDD (BMS-986365) in Healthy Adult Male Participants</t>
  </si>
  <si>
    <t>NCT07136922</t>
  </si>
  <si>
    <t>First in Human Safety and Ease of Use Assessment of 400mg Progesterone Callavid in Women With Luteal Phase Insufficiency</t>
  </si>
  <si>
    <t>Calla Lily Clinical Care Ltd</t>
  </si>
  <si>
    <t>NCT07418736</t>
  </si>
  <si>
    <t>A Phase II Study of CM326 in Subjects With Moderate to Severe Chronic Obstructive Pulmonary Disease</t>
  </si>
  <si>
    <t>NCT07334262</t>
  </si>
  <si>
    <t>A Study to Evaluate the Food Effect on RNK08954 in Healthy Participants, and the Mass Balance Study of [14C]RNK08954 in Healthy Adult Male Subjects</t>
  </si>
  <si>
    <t>NCT07221474</t>
  </si>
  <si>
    <t>A Study of V940/Placebo + Pembrolizumab and Chemotherapy in Metastatic Squamous Non-Small Cell Lung Cancer (V940-013)</t>
  </si>
  <si>
    <t>NCT07254585</t>
  </si>
  <si>
    <t>SYS6010 Combined With Enlonstobart In Recurrent Or Metastatic Head And Neck Squamous Cell Carcinoma</t>
  </si>
  <si>
    <t>NCT07266285</t>
  </si>
  <si>
    <t>BTM-3566 in Advanced Solid Tumors</t>
  </si>
  <si>
    <t>NCT07122648</t>
  </si>
  <si>
    <t>Phase 2 Trial to Evaluate the Efficacy, Safety of Allogeneic Mitochondria (PN-101) in Patients With Refractory Polymyositis or Dermatomyositis</t>
  </si>
  <si>
    <t>Paean Biotechnology Inc.</t>
  </si>
  <si>
    <t>NCT07307768</t>
  </si>
  <si>
    <t>Ketamine Biomarker Validation</t>
  </si>
  <si>
    <t>Soterix Medical</t>
  </si>
  <si>
    <t>NCT07300241</t>
  </si>
  <si>
    <t>Open-Label Phase 1/2 Study of NEO-811 in Subjects With Locally Advanced or Metastatic Non-Resectable Clear Cell Renal Cell Carcinoma</t>
  </si>
  <si>
    <t>Neomorph, Inc</t>
  </si>
  <si>
    <t>NCT07232524</t>
  </si>
  <si>
    <t>A Study of BL-M24D1 in Patients With Locally Advanced or Metastatic Head and Neck Squamous Cell Carcinoma and Other Solid Tumors</t>
  </si>
  <si>
    <t>NCT07270783</t>
  </si>
  <si>
    <t>Healthy Volunteer Study</t>
  </si>
  <si>
    <t>NCT06933524</t>
  </si>
  <si>
    <t>Evaluation of Safety and Tolerability of ATB-320 in Participants With Progressive or Metastatic Solid Tumors</t>
  </si>
  <si>
    <t>Autotelicbio</t>
  </si>
  <si>
    <t>NCT07276997</t>
  </si>
  <si>
    <t>A Study to Assess Change in Disease Activity and Adverse Events of Oral Icalcaprant in Adult Participants With Major Depressive Disorder</t>
  </si>
  <si>
    <t>NCT07100925</t>
  </si>
  <si>
    <t>A Study of Tolododekin Alfa (ANK-101) in Renal Allograft Recipients With High Risk Cutaneous Squamous Cell Carcinoma</t>
  </si>
  <si>
    <t>NCT07255846</t>
  </si>
  <si>
    <t>A Trial of TER-1754 in Patients With Hereditary Hemorrhagic Telangiectasia</t>
  </si>
  <si>
    <t>NCT07091370</t>
  </si>
  <si>
    <t>Inaticabtagene Autoleucel Injection in the Treatment of Autoimmune Hemolytic Anemia After Three or More Lines of Therapy</t>
  </si>
  <si>
    <t>NCT06669403</t>
  </si>
  <si>
    <t>OPT101 in Patients With Community Acquired Pneumonia (CAP) With Sepsis</t>
  </si>
  <si>
    <t>NCT07253259</t>
  </si>
  <si>
    <t>A Clinical Study Evaluating the Safety and Efficacy of GT729 Universal Cell Injection in the Treatment of Refractory or Relapsed Chronic Graft-versus-host Disease (cGVHD)</t>
  </si>
  <si>
    <t>NCT07228403</t>
  </si>
  <si>
    <t>Efficacy and Safety Evaluation of Glepaglutide in Treatment of Short Bowel Syndrome</t>
  </si>
  <si>
    <t>NCT07321574</t>
  </si>
  <si>
    <t>A Study Evaluating the Efficacy and Safety of ABP1011T Tablets in Patients With Advanced Solid Tumors</t>
  </si>
  <si>
    <t>Shanghai AB PharmaTech Ltd.</t>
  </si>
  <si>
    <t>NCT07322094</t>
  </si>
  <si>
    <t>CATALINA-4: A Study to Investigate the Safety and Efficacy of TORL-1-23 With Chemotherapy Given Before Initial Surgery in Women With Advanced Stage Ovarian Cancer</t>
  </si>
  <si>
    <t>NCT07262346</t>
  </si>
  <si>
    <t>The Phase Ⅰd Clinical Trial of Hydronidone Capsules</t>
  </si>
  <si>
    <t>NCT07333183</t>
  </si>
  <si>
    <t>A Study of Mosliciguat in Combination With Inhaled Treprostinil in PH-ILD</t>
  </si>
  <si>
    <t>NCT07189455</t>
  </si>
  <si>
    <t>Study Comparing ZG006 With Investigator-Selected Chemotherapy in Participants With Relapsed Small Cell Lung Cancer</t>
  </si>
  <si>
    <t>NCT07365904</t>
  </si>
  <si>
    <t>Investigating Ovulation Inhibition for Use as a Contraceptive</t>
  </si>
  <si>
    <t>NCT07062588</t>
  </si>
  <si>
    <t>Osteogenesis Imperfecta Trial of AGA2115 for ADUlts With COL1A1 and/or COL1A2 GeNetic Variations (IDUN)</t>
  </si>
  <si>
    <t>Angitia Incorporated Limited</t>
  </si>
  <si>
    <t>NCT07229586</t>
  </si>
  <si>
    <t>A Study of SHR-7367 With Anti-tumor Agents in Patients With Solid Tumors</t>
  </si>
  <si>
    <t>NCT07235150</t>
  </si>
  <si>
    <t>A Study to Learn How Different Amounts of the Study Medicine Called PF-07985631 Are Tolerated and Act in the Body in Healthy Adults</t>
  </si>
  <si>
    <t>NCT07252908</t>
  </si>
  <si>
    <t>A Phase II Clinical Trial on the Efficacy and Safety of TQC3721 Inhalation Powder</t>
  </si>
  <si>
    <t>NCT07235384</t>
  </si>
  <si>
    <t>A Phase 1/1b Study to Evaluate Safety, Tolerability and Pharmacokinetics of ZL-1503 in Healthy Volunteers and Participants With Moderate to Severe Atopic Dermatitis</t>
  </si>
  <si>
    <t>NCT07265284</t>
  </si>
  <si>
    <t>A Study to Evaluate Efficacy and Safety of IBI112 in Adolescent Participants With Moderate to Severe Plaque Psoriasis</t>
  </si>
  <si>
    <t>NCT07340476</t>
  </si>
  <si>
    <t>A Study to Evaluate the PK Similarity of AK112 in Healthy Chinese Male Subjects</t>
  </si>
  <si>
    <t>NCT07358806</t>
  </si>
  <si>
    <t>Study to Assess the Effect of OCT-598 in Patients With Advanced Solid Tumors</t>
  </si>
  <si>
    <t>Oscotec Inc.</t>
  </si>
  <si>
    <t>NCT07244393</t>
  </si>
  <si>
    <t>Lutetium (177Lu) DGUL Combined With Pembrolizumab in Metastatic Castration-Resistant Prostate Cancer</t>
  </si>
  <si>
    <t>Cellbion Co., Ltd.</t>
  </si>
  <si>
    <t>NCT07444814</t>
  </si>
  <si>
    <t>Study Evaluating the Safety and Efficacy of HWK-007, a PTK7-directed Antibody Drug Conjugate in Participants With Advanced Solid Tumors</t>
  </si>
  <si>
    <t>Whitehawk Therapeutics, Inc.</t>
  </si>
  <si>
    <t>NCT07399678</t>
  </si>
  <si>
    <t>Study of ALV-100 to Assess Safety, Tolerability, and PK/PD in Overweight/Obese Participants With or Without T2D</t>
  </si>
  <si>
    <t>Alveus Therapeutics, Inc.</t>
  </si>
  <si>
    <t>NCT07260058</t>
  </si>
  <si>
    <t>Immune Cell Therapy for Advanced Solid Tumors</t>
  </si>
  <si>
    <t>Liaoning Medical Diagnosis and Treatment Technology Research and Development Co., Ltd.</t>
  </si>
  <si>
    <t>NCT07283835</t>
  </si>
  <si>
    <t>Study of Cretostimogene Given in Patients With Non-Muscle Invasive Bladder Cancer ,Unresponsive to Bacillus-Calmette-Guerin</t>
  </si>
  <si>
    <t>NCT07240896</t>
  </si>
  <si>
    <t>A Clinical Study on the Treatment of Wilson Disease With ATP7B mRNA/LNP (DSL101)</t>
  </si>
  <si>
    <t>DSciLab Co., Ltd.</t>
  </si>
  <si>
    <t>NCT07283770</t>
  </si>
  <si>
    <t>Dose Escalation Study Evaluating the Safety and Pharmacokinetics of VX-581 in Healthy Participants</t>
  </si>
  <si>
    <t>NCT07300280</t>
  </si>
  <si>
    <t>A Clinical Trial of Enlicitide and Rosuvastatin in Healthy Adults (MK-0616-039)</t>
  </si>
  <si>
    <t>NCT07239986</t>
  </si>
  <si>
    <t>A Phase 2 Study of BB102 in Patients With Hepatocellular Carcinoma</t>
  </si>
  <si>
    <t>Broadenbio Ltd., Co.</t>
  </si>
  <si>
    <t>NCT07272330</t>
  </si>
  <si>
    <t>A Phase I Trial on the Relative Bioavailability and Food Effect of HRS-1893 Tablets in Healthy Subjects</t>
  </si>
  <si>
    <t>NCT07251712</t>
  </si>
  <si>
    <t>Single and Multiple Dose Pharmacokinetics (PK) of Aramchol From an Aramchol Meglumine Tablet</t>
  </si>
  <si>
    <t>NCT07311369</t>
  </si>
  <si>
    <t>Evaluate the Safety and Efficacy of HL-1186 Tablet for Postoperative Pain Management in Abdominal Surgery</t>
  </si>
  <si>
    <t>NCT05521087</t>
  </si>
  <si>
    <t>A Study of JNJ-75276617 in Combination With Conventional Chemotherapy for Pediatric and Young Adult Participants With Relapsed/Refractory Acute Leukemias</t>
  </si>
  <si>
    <t>NCT07343245</t>
  </si>
  <si>
    <t>A Phase 1 Clinical Trial to Evaluate the Safety and DDI of DW4421 and 3 NSAIDs</t>
  </si>
  <si>
    <t>NCT07218926</t>
  </si>
  <si>
    <t>A Study of IDRX-42 (GSK6042981) Versus (vs) Sunitinib in Participants With Gastrointestinal Stromal Tumors After Imatinib Therapy</t>
  </si>
  <si>
    <t>NCT07305818</t>
  </si>
  <si>
    <t>NEXUS Study: A Study to Test Single and Multiple Doses of MER511 Given to Adults With Graves' Disease</t>
  </si>
  <si>
    <t>Merida Biosciences</t>
  </si>
  <si>
    <t>NCT07287189</t>
  </si>
  <si>
    <t>Phase 2 Study of SAT-3247 in Pediatric Ambulatory Patients</t>
  </si>
  <si>
    <t>NCT07290036</t>
  </si>
  <si>
    <t>A Study to Learn if Bimekizumab Given in Different Ways is Safe and Moves Similarly Throughout the Body Over Time in Adults</t>
  </si>
  <si>
    <t>NCT07293065</t>
  </si>
  <si>
    <t>A Phase III Clinical Trial to Evaluate Long-Term Protective Efficacy of Recombinant Zoster Vaccine (CHO Cell)</t>
  </si>
  <si>
    <t>NCT07321834</t>
  </si>
  <si>
    <t>A Study to Evaluate AI-09 In Participants With Glabellar Lines</t>
  </si>
  <si>
    <t>Eirion Therapeutics Inc.</t>
  </si>
  <si>
    <t>NCT07232576</t>
  </si>
  <si>
    <t>A Phase 2 Study to Evaluate the Efficacy, Safety and Pharmacokinetics of SHR-1139 in Patients With Moderate-to-severe Active Ulcerative Colitis</t>
  </si>
  <si>
    <t>NCT07197554</t>
  </si>
  <si>
    <t>A Phase 1/1B Study of ST-01156, a Small Molecule RBM39 Degrader, in Patients With Advanced Solid Malignancies</t>
  </si>
  <si>
    <t>SEED Therapeutics, Inc.</t>
  </si>
  <si>
    <t>NCT07255898</t>
  </si>
  <si>
    <t>A Study of BL-M24D1 in Patients With Relapsed or Refractory Multiple Myeloma and Other Hematologic Malignancies</t>
  </si>
  <si>
    <t>NCT07371663</t>
  </si>
  <si>
    <t>An Phase Ib/II Clinical Trial of TCC1727 Combination Therapy in Advanced Solid Tumors</t>
  </si>
  <si>
    <t>NCT07297329</t>
  </si>
  <si>
    <t>A Study to Evaluate the Safety and Efficacy of SCTC21C in Combination With Bortezomib, Lenalidomide and Dexamethasone in Patients With Newly Diagnosed Multiple Myeloma Not Eligible for Transplant</t>
  </si>
  <si>
    <t>NCT07116031</t>
  </si>
  <si>
    <t>A Study of Belumosudil in Children With Chronic Graft Versus Host Disease (schoolROCK)</t>
  </si>
  <si>
    <t>NCT07221357</t>
  </si>
  <si>
    <t>A Study to Evaluate the Safety and Efficacy of Pumitamig in Combination With Chemotherapy Versus Bevacizumab in Combination With Chemotherapy in Participants With Previously Untreated, Unresectable, or Metastatic Colorectal Cancer</t>
  </si>
  <si>
    <t>NCT07285629</t>
  </si>
  <si>
    <t>Safety and Efficacy of Klotho and Follistatin Gene Therapy</t>
  </si>
  <si>
    <t>NCT04294875</t>
  </si>
  <si>
    <t>Phase I, FIH, MTD for MPT0B640, Multi-centre, Open-label, Subject With Locally Advanced or Metastatic Solid Malignancies</t>
  </si>
  <si>
    <t>J Ints Bio</t>
  </si>
  <si>
    <t>NCT07309042</t>
  </si>
  <si>
    <t>Phase 1 Study of the Safety and Pharmacokinetics of YN001 With Rosuvastatin in Healthy Chinese Subjects</t>
  </si>
  <si>
    <t>NCT07376642</t>
  </si>
  <si>
    <t>A Phase I/IIa, Open-label, Single-center, Dose-escalation and Dose-expansion Study to Evaluate the Safety, Tolerability, and Preliminary Efficacy of IMV101 as a Single Agent in Subjects With Relapsed/Refractory B-cell Non-Hodgkin Lymphoma</t>
  </si>
  <si>
    <t>NCT07225686</t>
  </si>
  <si>
    <t>Maridebart Cafraglutide Versus Placebo in Adult Participants With Obstructive Sleep Apnea on Positive Airway Pressure Therapy</t>
  </si>
  <si>
    <t>NCT07300969</t>
  </si>
  <si>
    <t>A Study to Evaluate the Effectiveness of DT-101 in Patients With Depression</t>
  </si>
  <si>
    <t>Draig Therapeutics Ltd</t>
  </si>
  <si>
    <t>NCT07244341</t>
  </si>
  <si>
    <t>A Study of Valemetostat (DS-3201b) in Combination With Darolutamide in Metastatic Castration Resistant Prostate Cancer (mCRPC)</t>
  </si>
  <si>
    <t>NCT07314346</t>
  </si>
  <si>
    <t>Drug-drug Interaction Study of Bemnifosbuvir/Ruzasvir (BEM/RZR) and Buprenorphine/Naloxone or Methadone</t>
  </si>
  <si>
    <t>NCT07313761</t>
  </si>
  <si>
    <t>A Trial to Compare the Extent to Which Maridebart Cafraglutide (AMG 133) is Made Available in the Body When Administered Using Two Subcutaneous Presentations</t>
  </si>
  <si>
    <t>NCT07213960</t>
  </si>
  <si>
    <t>A Sequential Phase 2/3 Study of APL2 in Patients With Focal Segmental Glomerulosclerosis</t>
  </si>
  <si>
    <t>NCT07272590</t>
  </si>
  <si>
    <t>Study of QLC5513 in Combination With Epalolimab Tovolimab (QL1706) ± Platinum in Patients With Advanced or Metastatic Malignant Solid Tumors</t>
  </si>
  <si>
    <t>NCT07292038</t>
  </si>
  <si>
    <t>Safety and Pharmacokinetics of NM6603 in Chinese Patients With Advanced Solid Tumors</t>
  </si>
  <si>
    <t>NucMito Pharmaceuticals Co. Ltd.</t>
  </si>
  <si>
    <t>NCT07248865</t>
  </si>
  <si>
    <t>A Phase 1 Study of CLYM116 in Normal Healthy Volunteers</t>
  </si>
  <si>
    <t>NCT03176498</t>
  </si>
  <si>
    <t>Human Umbilical Cord Mesenchymal Stem Cell Therapy (19#iSCLife®-CI) for Cerebral Infarction Patients in Convalescent Period.</t>
  </si>
  <si>
    <t>NCT07266298</t>
  </si>
  <si>
    <t>TCR-engineered T Cells (NW-101C) in Patients With Solid Malignant Tumors</t>
  </si>
  <si>
    <t>Neowise Biotechnology</t>
  </si>
  <si>
    <t>NCT07195591</t>
  </si>
  <si>
    <t>Beginning Radiation Immediately With GammaTile at GBM Excision Versus Standard of Care</t>
  </si>
  <si>
    <t>NCT07218380</t>
  </si>
  <si>
    <t>A Study of Vepugratinib (LY3866288) in Participants With Cancer in the Urinary Tract</t>
  </si>
  <si>
    <t>NCT07227818</t>
  </si>
  <si>
    <t>Efficacy of NBI-1117568 in Preventing Relapse in Adults With Schizophrenia</t>
  </si>
  <si>
    <t>NCT07228247</t>
  </si>
  <si>
    <t>A Phase Ⅰ/Ⅱa Study of HMPL-A251 in Participants With Advanced or Metastatic HER2-expressing Solid Tumors</t>
  </si>
  <si>
    <t>NCT07266428</t>
  </si>
  <si>
    <t>A Study of OTP-01, a Dual Paratopic PD-1/VEGFR2 Antibody, in Patients With Advanced Solid Tumors</t>
  </si>
  <si>
    <t>Ottimo Pharma Limited</t>
  </si>
  <si>
    <t>NCT07263698</t>
  </si>
  <si>
    <t>Investigation of Clinical Efficacy of a New Mouthwash on Reducing Dental Plaque and Helping Prevent Gum Problems as Compared to a Control Mouthwash</t>
  </si>
  <si>
    <t>NCT07330934</t>
  </si>
  <si>
    <t>A Study to Evaluate Efficacy and Safety of IBI356 in Participants With Moderate to Severe Atopic Dermatitis</t>
  </si>
  <si>
    <t>NCT07338604</t>
  </si>
  <si>
    <t>Clinical Study of UTAA07 Injection in the Treatment of Hematologic and Lymphatic Systemic Malignancies</t>
  </si>
  <si>
    <t>NCT07309055</t>
  </si>
  <si>
    <t>A Phase III Study of SHR-1819 Injection in Adolescents With Severe Atopic Dermatitis</t>
  </si>
  <si>
    <t>NCT07312643</t>
  </si>
  <si>
    <t>Study in Healthy Subjects to Investigate the Relative Bioavailability and Safety of Pasireotide After Single Subcutaneous Dose Administration Using a Reusable ServoPen With Cartridge as Compared to Administration Using a Syringe Drawn From an Ampule</t>
  </si>
  <si>
    <t>NCT07283263</t>
  </si>
  <si>
    <t>A Study to Evaluate the Safety, Tolerability, and Drug Levels of BMS-986521 in Healthy Participants.</t>
  </si>
  <si>
    <t>NCT07284979</t>
  </si>
  <si>
    <t>Efficacy and Safety of KAI-9531 Administered Once Weekly Compared With Semaglutide and Placebo in Participants Living With Obesity Who Do Not Have Diabetes</t>
  </si>
  <si>
    <t>NCT07297875</t>
  </si>
  <si>
    <t>A Study of ABSK061 to Assess Safety, Tolerability, Pharmacokinetics, and Efficacy in Children With Achondroplasia</t>
  </si>
  <si>
    <t>NCT07236411</t>
  </si>
  <si>
    <t>Absolute Bioavailability Study of Cizutamig in Healthy Adult Participants</t>
  </si>
  <si>
    <t>NCT07221734</t>
  </si>
  <si>
    <t>Study to Compare Pharmacokinetics, Efficacy, Safety, and Immunogenicity of MB11 Versus EU-/US-Opdivo® in Subjects With Previously Untreated Advanced [Unresectable or Metastatic] Melanoma</t>
  </si>
  <si>
    <t>NCT07114367</t>
  </si>
  <si>
    <t>NB02(POSELTINIB) Monotherapy in R/R Non-Hodgkin's Lymphoma</t>
  </si>
  <si>
    <t>NCT05275374</t>
  </si>
  <si>
    <t>XP-102 and XP-102 in Combination With Trametinib in Advanced Solid Tumor Patients With a BRAF V600 Mutation</t>
  </si>
  <si>
    <t>Xynomic Pharmaceuticals, Inc.</t>
  </si>
  <si>
    <t>NCT07265570</t>
  </si>
  <si>
    <t>Study Evaluating ISM5411 Administered Orally to Subjects With Active Ulcerative Colitis (BETHESDA)</t>
  </si>
  <si>
    <t>NCT07201558</t>
  </si>
  <si>
    <t>Study Evaluating Safety, Tolerability, PK/PD of Surovatamig in Adult RA or SLE Participants</t>
  </si>
  <si>
    <t>NCT06680258</t>
  </si>
  <si>
    <t>A Study of TPST-1120 With Atezolizumab Plus Bevacizumab in Patients With Unresectable or Metastatic HCC Not Previously Treated With Systemic Therapy</t>
  </si>
  <si>
    <t>Tempest Therapeutics</t>
  </si>
  <si>
    <t>NCT07310134</t>
  </si>
  <si>
    <t>Study to Evaluate Safety, Tolerability, Pharmacokinetics, Pharmacodynamics and Efficacy of ZX-8177 in Patients With Advanced Solid Tumors</t>
  </si>
  <si>
    <t>NCT07314294</t>
  </si>
  <si>
    <t>Phase II Study of EMB-01 in Recurrent/Metastatic Colorectal Cancer Patients</t>
  </si>
  <si>
    <t>Shanghai EpimAb Biotherapeutics Co., Ltd.</t>
  </si>
  <si>
    <t>NCT07310784</t>
  </si>
  <si>
    <t>A Phase II Trial of LM103 in Advanced Melanoma</t>
  </si>
  <si>
    <t>NCT07042802</t>
  </si>
  <si>
    <t>A Phase Ib/Ⅱ Clinical Trial of LBL-024 Combined With Paclitaxel in Patients With Platinum-resistant Ovarian Cancer</t>
  </si>
  <si>
    <t>NCT07242469</t>
  </si>
  <si>
    <t>A Clinical Trial of MK-1403 in Participants With Type 2 Diabetes Mellitus (MK-1403-006)</t>
  </si>
  <si>
    <t>NCT07311993</t>
  </si>
  <si>
    <t>Phase 1 Study of CLR 125 in Triple Negative Breast Cancer</t>
  </si>
  <si>
    <t>Cellectar Biosciences, Inc.</t>
  </si>
  <si>
    <t>NCT07271693</t>
  </si>
  <si>
    <t>A Study to Determine the Safety, Tolerability, Pharmacokinetics, and Pharmacodynamics of RO7806881 in Healthy Participants</t>
  </si>
  <si>
    <t>NCT07262333</t>
  </si>
  <si>
    <t>A Trial of Hydroxynidone Capsules in Single-dose Administration for Patients With Renal Insufficiency</t>
  </si>
  <si>
    <t>NCT07390500</t>
  </si>
  <si>
    <t>Assessment of the Efficacy and Safety of a DYnaMic Peripheral DegradatiON Myopia Disorder Control in Myopic Children ״DYMOND Study״</t>
  </si>
  <si>
    <t>NovaSight</t>
  </si>
  <si>
    <t>NCT06975787</t>
  </si>
  <si>
    <t>Dose Escalation Study With Bispecific Antibodies in Adult Patients With Lupus Nephritis</t>
  </si>
  <si>
    <t>NCT07481058</t>
  </si>
  <si>
    <t>A Study of KC1036 in Combination With PD-1 Antibody and Platinum-based Chemotherapy as First-line Treatment in Patients With Advanced Esophageal Cancer</t>
  </si>
  <si>
    <t>NCT07308236</t>
  </si>
  <si>
    <t>A Study to Determine the Metabolism and Excretion of [14C]E2086 in Healthy Male Participants</t>
  </si>
  <si>
    <t>NCT07282600</t>
  </si>
  <si>
    <t>A Study of Eloralintide (LY3841136) in Participants With Obesity or Overweight, and Type 2 Diabetes</t>
  </si>
  <si>
    <t>NCT07282509</t>
  </si>
  <si>
    <t>Safety and Efficacy of Paclitaxel Liposome Arterial Infusion Combined With Systemic Therapy for Second-Line Treatment of Advanced Liver Cancer</t>
  </si>
  <si>
    <t>NCT07258121</t>
  </si>
  <si>
    <t>Study of ZGGS34 in Participants With Advanced Solid Tumors</t>
  </si>
  <si>
    <t>NCT07287397</t>
  </si>
  <si>
    <t>Study is to Assess the Safety and Tolerability of VTx-002 in Participants With ALS</t>
  </si>
  <si>
    <t>Vector Y Therapeutics</t>
  </si>
  <si>
    <t>NCT06987058</t>
  </si>
  <si>
    <t>RVU120 Rollover Study</t>
  </si>
  <si>
    <t>NCT07252440</t>
  </si>
  <si>
    <t>A Study to Evaluate the Efficacy and Safety of TTYP01 Tablets in Early Symptomatic Alzheimer's Disease</t>
  </si>
  <si>
    <t>NCT07241520</t>
  </si>
  <si>
    <t>Phase III Clinical Trial of SHPL-49 Injection in the Treatment of Acute Ischemic Stroke</t>
  </si>
  <si>
    <t>NCT07299422</t>
  </si>
  <si>
    <t>A Study of SHR-2173 in Participants With Systemic Lupus Erythematosus</t>
  </si>
  <si>
    <t>NCT07254806</t>
  </si>
  <si>
    <t>A Study to Evaluate the Effectiveness of IDCT (Intradiscal Cell Therapy) in Subjects With One Level, Symptomatic Mild to Moderate Lumbar Degenerative Disc Disease</t>
  </si>
  <si>
    <t>DiscGenics, Inc.</t>
  </si>
  <si>
    <t>NCT07225712</t>
  </si>
  <si>
    <t>A Long-term Administration Trial of SEP-363856 in Patients With Schizophrenia</t>
  </si>
  <si>
    <t>NCT07115329</t>
  </si>
  <si>
    <t>GATE-251 or Placebo for the Reduction of Symptoms of Major Depressive Disorder With Comorbid Anxiety and Insomnia</t>
  </si>
  <si>
    <t>NCT06534502</t>
  </si>
  <si>
    <t>Study of the Pharmacokinetics, Safety, and Tolerability of ZONISADE in Children 1 Month to 17 Years of Age With Partial-onset Seizures</t>
  </si>
  <si>
    <t>Azurity Pharmaceuticals</t>
  </si>
  <si>
    <t>NCT07254845</t>
  </si>
  <si>
    <t>A PROSPECTIVE, SINGLE-CENTERED, ASSESSOR-BLINDED STUDY TO EVALUATE THE CLINICAL EFFICACY OF THE PROPOSED CELL/TISSUE HISTOPATHOLOGY PROCESSOR CCELL (CONFOCAL FLUORESCENCE ENDOMICROSCOPY) FOR INTRAOPERATIVE DIAGNOSIS IN BRAIN TUMORS</t>
  </si>
  <si>
    <t>NCT07282665</t>
  </si>
  <si>
    <t>A Study to Learn About a Clostridioides Difficile Vaccine in People 65 Years of Age and Older</t>
  </si>
  <si>
    <t>NCT07264595</t>
  </si>
  <si>
    <t>A Study (Phase 1b/2) of GS3-007a Oral Treatment in Children With Growth Hormone Deficiency (PGHD)</t>
  </si>
  <si>
    <t>NCT07239336</t>
  </si>
  <si>
    <t>Study of DONQ52 in Active Celiac Disease</t>
  </si>
  <si>
    <t>NCT07232147</t>
  </si>
  <si>
    <t>Clinical Research on Stem Cell Therapy for Parkinson's Disease</t>
  </si>
  <si>
    <t>NCT05241067</t>
  </si>
  <si>
    <t>Multicentric, Randomized Study to Assess Safety and Efficacy of Centhaquine in Patients With ARDS</t>
  </si>
  <si>
    <t>NCT07276581</t>
  </si>
  <si>
    <t>A Study to Investigate Efficacy and Safety of AZD1163 in Participants With Rheumatoid Arthritis</t>
  </si>
  <si>
    <t>NCT06405230</t>
  </si>
  <si>
    <t>Evaluation of Programmed Death Ligand 1 (PDL1) Response to Treatment in Extracellular Vesicles (EVs), Patient-derived Organoid (PDOs)s and Immune-marker Positron Emission Tomography (PET) Scanning in Non-small Cell Lung Cancer (NSCLC)</t>
  </si>
  <si>
    <t>NCT07104565</t>
  </si>
  <si>
    <t>Study to Assess the Safety and Tolerability of Tafasitamab in Adult Participants With Primary Autoimmune Blood Cell Disorders</t>
  </si>
  <si>
    <t>NCT07346859</t>
  </si>
  <si>
    <t>Study of BP-SCIG 20% in Patients With Primary Immunodeficiency (PID)</t>
  </si>
  <si>
    <t>Biopharma Plasma LLC</t>
  </si>
  <si>
    <t>NCT07103278</t>
  </si>
  <si>
    <t>A Clinical Trial to Evaluate the Safety and the Pharmacokinetics of AD-116 Compared to AD-1161 in Healthy Adult Male Volunteers</t>
  </si>
  <si>
    <t>NCT07225517</t>
  </si>
  <si>
    <t>A Study to Learn More About the Safety of BIIB145 and How it is Processed in the Body of Healthy Adult Participants</t>
  </si>
  <si>
    <t>NCT07297693</t>
  </si>
  <si>
    <t>A Study to Evaluate the Pharmacokinetics and Safety Between HIP2503 and HCP1306 in Healthy Volunteers</t>
  </si>
  <si>
    <t>NCT07241104</t>
  </si>
  <si>
    <t>A Study of AZD4063 in PLN R14del Dilated Cardiomyopathy</t>
  </si>
  <si>
    <t>NCT07334249</t>
  </si>
  <si>
    <t>First-In-Human (FIH), Single Ascending Dose (SAD) Study and Multiple Ascending Dose (MAD) Study of SP-101 Injection</t>
  </si>
  <si>
    <t>Synphatec (Shanghai) Biopharmaceutical Technology Co., Ltd.</t>
  </si>
  <si>
    <t>NCT07323784</t>
  </si>
  <si>
    <t>A Study of NTX-1472 in Social Anxiety Disorder</t>
  </si>
  <si>
    <t>Newleos Therapeutics, Inc.</t>
  </si>
  <si>
    <t>NCT07364877</t>
  </si>
  <si>
    <t>A Phase 1 Clinical Trial to Evaluate the Safety and Pharmacokinetics of DW4421 and DW4421S in Healthy Adult Volunteers</t>
  </si>
  <si>
    <t>NCT06503471</t>
  </si>
  <si>
    <t>SCLife®-UT hUC-MSCs Advanced Therapy Medicinal Products (hUC-MSCs ATMPs) for Patients With Thin Endometrial Infertility</t>
  </si>
  <si>
    <t>NCT07214571</t>
  </si>
  <si>
    <t>A Study of S-337395 in Symptomatic Nonhospitalized Adults With Respiratory Syncytial Virus (RSV) Who Are at High Risk of Progression to Severe Disease</t>
  </si>
  <si>
    <t>NCT07280832</t>
  </si>
  <si>
    <t>Phase I/II Clinical Study of JMT108 Injection for the Treatment of Advanced Malignant Melanoma</t>
  </si>
  <si>
    <t>NCT07334912</t>
  </si>
  <si>
    <t>AEF0217 in Participants With Down Syndrome</t>
  </si>
  <si>
    <t>NCT07265349</t>
  </si>
  <si>
    <t>A Phase I/II Clinical Trial of Intramyocardial Injection of HucMSCs for the Treatment of Chronic Heart Failure</t>
  </si>
  <si>
    <t>NCT07269717</t>
  </si>
  <si>
    <t>A Phase II Clinical Trial of HRS-1893 in the Treatment of Heart Failure With Preserved Ejection Fraction</t>
  </si>
  <si>
    <t>NCT06531798</t>
  </si>
  <si>
    <t>Post-marketing Phase 4 Safety &amp; Tolerability Study of Breztri aerosphereTM in Indian Patients With Chronic Obstructive Pulmonary Disease</t>
  </si>
  <si>
    <t>NCT07285213</t>
  </si>
  <si>
    <t>Prevention of Recurrent C. Difficile Infection Study With AZD5148 Monoclonal Antibody</t>
  </si>
  <si>
    <t>NCT07033689</t>
  </si>
  <si>
    <t>Feasibility Study of Suizenji, in Patients With Unresectable Pancreatic Ductal Adenocarcinoma (SUNRISE-II)</t>
  </si>
  <si>
    <t>SONIRE Therapeutics Inc.</t>
  </si>
  <si>
    <t>NCT07214779</t>
  </si>
  <si>
    <t>Study to Evaluate INCB123667 Versus Investigator's Choice of Chemotherapy in Participants With Platinum-Resistant Ovarian Cancer With Cyclin E1 Overexpression</t>
  </si>
  <si>
    <t>NCT07138196</t>
  </si>
  <si>
    <t>A Study to Evaluate Adrixetinib (Q702) in Adults With Active Chronic Graft-Versus-Host Disease</t>
  </si>
  <si>
    <t>Qurient Co., Ltd.</t>
  </si>
  <si>
    <t>NCT07318805</t>
  </si>
  <si>
    <t>A Study to Learn About the Study Medicine Called PF-08032562 in People With Advanced or Metastatic Solid Tumors</t>
  </si>
  <si>
    <t>NCT07172893</t>
  </si>
  <si>
    <t>A Non-Randomized Open Label Clinical Trial Evaluating DermaBind TL</t>
  </si>
  <si>
    <t>HealthTech Wound Care</t>
  </si>
  <si>
    <t>NCT07265947</t>
  </si>
  <si>
    <t>Phase 2A/B Efficacy and Safety of Dabogratinib in Participants With Low Grade Upper Tract Urothelial Carcinoma</t>
  </si>
  <si>
    <t>NCT07223658</t>
  </si>
  <si>
    <t>Study of ARO-DIMERPA in Adult Participants With Mixed Hyperlipidemia</t>
  </si>
  <si>
    <t>NCT07137104</t>
  </si>
  <si>
    <t>Safety and Preliminary Effectiveness Study of Mesenchymal Stem Cells, HeXell-2020, in Patients With Stable Coronary Artery Disease</t>
  </si>
  <si>
    <t>Hexun Biosciences Co., LTD.</t>
  </si>
  <si>
    <t>NCT07268638</t>
  </si>
  <si>
    <t>A Study of Praliciguat in Participants With Focal Segmental Glomerulosclerosis (FSGS)</t>
  </si>
  <si>
    <t>NCT07464912</t>
  </si>
  <si>
    <t>A Adaptive Design Clinical Trial to Evaluate the Efficacy and Safety of TDI01 Suspension in the Treatment of Idiopathic Pulmonary Fibrosis (IPF)</t>
  </si>
  <si>
    <t>NCT07137637</t>
  </si>
  <si>
    <t>HPB-092 for the Treatment of Relapsed and Refractory Acute Myeloid Leukemia</t>
  </si>
  <si>
    <t>Hangzhou Polymed Biopharmaceuticals, Inc.</t>
  </si>
  <si>
    <t>NCT07216066</t>
  </si>
  <si>
    <t>First-in-Human Study of ALN-SNCA in Adult Participants With Early Parkinson's Disease (PD)</t>
  </si>
  <si>
    <t>NCT07223502</t>
  </si>
  <si>
    <t>A Study Comparing the Clinical Benefit of Finerenone Versus a Fixed Dose Combination (FDC) of Extended-Release Torsemide and Spironolactone in Patients With Hypertension and Chronic Kidney Disease</t>
  </si>
  <si>
    <t>NCT07224373</t>
  </si>
  <si>
    <t>An Open-label Study of AZD0120 in Adults With Multiple Sclerosis</t>
  </si>
  <si>
    <t>NCT07276399</t>
  </si>
  <si>
    <t>A Study of Amivantamab in Addition to Standard of Care Agents (SOC) Compared With SOC Alone in Participants With Recurrent/Metastatic Head and Neck Cancer</t>
  </si>
  <si>
    <t>NCT07222800</t>
  </si>
  <si>
    <t>A Study to Learn About the Study Medicine Called PF-08634404 in Combination With Chemotherapy in Adult Participants With Metastatic Colorectal Cancer</t>
  </si>
  <si>
    <t>NCT07318909</t>
  </si>
  <si>
    <t>To Evaluate the Safety and Efficacy of GS1168 Injection in Adult Phenylketonuria</t>
  </si>
  <si>
    <t>NCT07348133</t>
  </si>
  <si>
    <t>Study of Food Effect on Pharmacokinetics of HMPL-523 Acetate Tablets</t>
  </si>
  <si>
    <t>NCT07289763</t>
  </si>
  <si>
    <t>Phase II Randomized, Open-label, Multicenter Clinical Study Evaluating the Safety, Efficacy, Pharmacokinetics, and Pharmacodynamics of SHR-2173 Injection in Patients With Primary Membranous Nephropathy</t>
  </si>
  <si>
    <t>NCT07144163</t>
  </si>
  <si>
    <t>A Study to Evaluate Atumelnant in Adults With Congenital Adrenal Hyperplasia</t>
  </si>
  <si>
    <t>NCT07296809</t>
  </si>
  <si>
    <t>SKB500 Combinations in Patients With Small Cell Lung Cancer</t>
  </si>
  <si>
    <t>NCT07200193</t>
  </si>
  <si>
    <t>A Phase 1/2, Open-Label, Single and Multiple Ascending Dose Study of CRMA-1001 in Adults With Chronic Hepatitis B</t>
  </si>
  <si>
    <t>nChroma Bio</t>
  </si>
  <si>
    <t>NCT07446816</t>
  </si>
  <si>
    <t>A Clinical Study Evaluating the Preliminary Anti-tumor Efficacy and Safety of Hemay181</t>
  </si>
  <si>
    <t>NCT07220915</t>
  </si>
  <si>
    <t>Supporting Weak Immune System During Autoimmune Therapy: Testing Panzyga to Prevent Infections</t>
  </si>
  <si>
    <t>NCT06910943</t>
  </si>
  <si>
    <t>Study of Choline Chloride for Injection in Adolescent and Adult Patients With Intestinal Failure Receiving Long Term Parenteral Support</t>
  </si>
  <si>
    <t>Protara Therapeutics</t>
  </si>
  <si>
    <t>NCT07301229</t>
  </si>
  <si>
    <t>A Phase II Clinical Study to Evaluate HLX43 in Subjects With Advanced Pancreatic Cancer</t>
  </si>
  <si>
    <t>NCT07227883</t>
  </si>
  <si>
    <t>Secretome Treatment for Facial Rejuvenation</t>
  </si>
  <si>
    <t>Acorn Biolabs Inc.</t>
  </si>
  <si>
    <t>NCT07231029</t>
  </si>
  <si>
    <t>A Pharmacokinetic Study of TS-172 in Patients With Hepatic Impairment</t>
  </si>
  <si>
    <t>NCT07258849</t>
  </si>
  <si>
    <t>A Study of LY4213663 in Healthy Participants and Participants With Rheumatoid Arthritis</t>
  </si>
  <si>
    <t>NCT07259564</t>
  </si>
  <si>
    <t>A Study of GS3-007a for Oral Suspension in the Diagnosis of Adult Growth Hormone Deficiency (AGHD)</t>
  </si>
  <si>
    <t>NCT07227207</t>
  </si>
  <si>
    <t>A Study of TSRA-196 in Adults With PiZZ Alpha-1 Antitrypsin Deficiency (AATD)</t>
  </si>
  <si>
    <t>Tessera Therapeutics, Inc.</t>
  </si>
  <si>
    <t>NCT06731075</t>
  </si>
  <si>
    <t>A Phase 3 Study to Evaluate the Efficacy and Safety of ORMD-0801 in Subjects With Type 2 Diabetes Mellitus.</t>
  </si>
  <si>
    <t>Oramed, Ltd.</t>
  </si>
  <si>
    <t>NCT07277270</t>
  </si>
  <si>
    <t>A Study of GSK5764227 in Combination With Standard of Care (SoC) or Other Agents in Participants With Advanced Solid Tumors</t>
  </si>
  <si>
    <t>NCT06807281</t>
  </si>
  <si>
    <t>A Long-term Study of the Medicine Called Abrocitinib in Children Aged 2 Years and Older With Moderate to Severe Eczema</t>
  </si>
  <si>
    <t>NCT07263594</t>
  </si>
  <si>
    <t>A Study of DB-1324 in Advanced/Metastatic Gastrointestinal Tumors</t>
  </si>
  <si>
    <t>NCT03180450</t>
  </si>
  <si>
    <t>The Study of Heart Failure With Human Umbilical Cord Mesenchymal Stem Cells (19#iSCLife®-HF)</t>
  </si>
  <si>
    <t>NCT07313813</t>
  </si>
  <si>
    <t>A Study to Evaluate the Effect of Fasting Duration and Dulaglutide (LY2189265) Withholding on Gastric Retention in Participants With Type 2 Diabetes Mellitus</t>
  </si>
  <si>
    <t>NCT07284420</t>
  </si>
  <si>
    <t>ADAPT Forward 1 - ISA1 - a Study to Evaluate Empasiprubart IV as add-on Therapy to Efgartigimod IV in Participants With AChR-Ab Seropositive Generalized Myasthenia Gravis With a Partial Clinical Response to Efgartigimod</t>
  </si>
  <si>
    <t>NCT07241546</t>
  </si>
  <si>
    <t>Study of Inhaled ARO-RAGE in Allergen-induced Mild Asthma</t>
  </si>
  <si>
    <t>NCT07134088</t>
  </si>
  <si>
    <t>A Study of Subcutaneous Blinatumomab in Children With R/R and and MRD+ B-Cell Precursor Acute Lymphoblastic Leukemia</t>
  </si>
  <si>
    <t>NCT07287839</t>
  </si>
  <si>
    <t>Parcel-guided rTMS for Major Depressive Disorder</t>
  </si>
  <si>
    <t>NCT06682234</t>
  </si>
  <si>
    <t>Study of Obeldesivir as Postexposure Prophylaxis for Filovirus Diseases Virus Disease</t>
  </si>
  <si>
    <t>NCT07298395</t>
  </si>
  <si>
    <t>Study of ENV-294 in Adults With Moderate-to-Severe Atopic Dermatitis</t>
  </si>
  <si>
    <t>NCT07371650</t>
  </si>
  <si>
    <t>This is an Early-stage Clinical Trial to Determine a Safe and Effective Dose for Tivoxavir Marboxil in Patients With Mild to Moderate Influenza</t>
  </si>
  <si>
    <t>NCT07241416</t>
  </si>
  <si>
    <t>A Phase III Clinical Study of Rezvilutamide in Patients With Metastatic Hormone-Sensitive Prostate Cancer</t>
  </si>
  <si>
    <t>NCT06956690</t>
  </si>
  <si>
    <t>A Phase 1/2 Clinical Trial to Assess the Safety, Tolerability, Pharmacokinetics and Preliminary Efficacy of HMBD-501 in Patients With HER3-Expressing Solid Tumors</t>
  </si>
  <si>
    <t>NCT06281847</t>
  </si>
  <si>
    <t>An Adaptive Open-label Multicentre Phase 1/2 Trial, to Determine the Recommended Phase 2 Dose of CCTx-001, and to Assess Safety, Tolerability, and Clinical Activity in Patients With Relapsed/Refractory Acute Myeloid Leukaemia</t>
  </si>
  <si>
    <t>Advesya SAS</t>
  </si>
  <si>
    <t>NCT07226349</t>
  </si>
  <si>
    <t>A Study of BG-75098 Alone and in Combination With Other Agents in Adults With Advanced Solid Tumors</t>
  </si>
  <si>
    <t>NCT07253675</t>
  </si>
  <si>
    <t>Evaluate the Safety and Immunogenicity of the MVA-SIBP Vaccine in the Democratic Republic of the Congo</t>
  </si>
  <si>
    <t>NCT07275242</t>
  </si>
  <si>
    <t>A Clinical Study of SHR-A1811(sc) Subcutaneous Injection in Patients With Solid Tumor</t>
  </si>
  <si>
    <t>NCT07357831</t>
  </si>
  <si>
    <t>A Phase III Trial To Evaluate The Efficacy And Safety Of MC2-01 Cream Compared To CAL/BDP Gel and Vehicle In Plaque Psoriasis Subjects</t>
  </si>
  <si>
    <t>NCT07226986</t>
  </si>
  <si>
    <t>A Phase Ib/II Open-label Study of AMO959 With Lutetium (177Lu) Vipivotide Tetraxetan (AAA617) in Combination With ARPI in Adult Participants With PSMA-positive mCRPC</t>
  </si>
  <si>
    <t>NCT07221851</t>
  </si>
  <si>
    <t>Trial Investigating the Efficacy and Safety of Weekly Lonapegsomatropin Compared to Daily Somatropin in Children and Adolescents With Short Stature or Growth Failure Due to Growth Hormone Sufficient Disorders</t>
  </si>
  <si>
    <t>NCT07444307</t>
  </si>
  <si>
    <t>A Clinical Study of Dual-Target, Universal CAR-T Cell Therapy for Refractory Systemic Lupus Erythematosus</t>
  </si>
  <si>
    <t>Hangzhou Qihan Biotech Co., Ltd.</t>
  </si>
  <si>
    <t>NCT03378414</t>
  </si>
  <si>
    <t>Umbilical Cord Mesenchymal Stem Cells Therapy (19#iSCLife®-SA) for Patients With Spinocerebellar Ataxia</t>
  </si>
  <si>
    <t>NCT07213817</t>
  </si>
  <si>
    <t>A Study to Assess the Safety, Tolerability, Pharmacokinetic, Pharmacodynamic, Immunogenicity and Antitumour Activity of IPN60300 in Adults With Locally Advanced or Metastatic Solid Tumours</t>
  </si>
  <si>
    <t>NCT07288359</t>
  </si>
  <si>
    <t>Study of GVV858 as a Single Agent or in Combination With Endocrine Therapy in Patients With HR+/HER2- Breast Cancer and Other Advanced Solid Tumors</t>
  </si>
  <si>
    <t>NCT07216443</t>
  </si>
  <si>
    <t>Trial of Orca-T Following Reduced Intensity or Nonmyeloablative Conditioning in Patients With Acute Myeloid Leukemia or Myelodysplastic Syndrome</t>
  </si>
  <si>
    <t>Orca Biosystems, Inc.</t>
  </si>
  <si>
    <t>NCT07230483</t>
  </si>
  <si>
    <t>A Long-term Safety and Efficacy Study Evaluating CM512 in Atopic Dermatitis.</t>
  </si>
  <si>
    <t>NCT07298772</t>
  </si>
  <si>
    <t>A Study of SHR-4375 Injection in Combination With Other Antitumor Therapies in Patients With Solid Tumors</t>
  </si>
  <si>
    <t>NCT07310095</t>
  </si>
  <si>
    <t>A Study to Evaluate the Efficacy of Guselkumab in Chinese Participants With Crohn's Disease (CD)</t>
  </si>
  <si>
    <t>Xian-Janssen Pharmaceutical Ltd.</t>
  </si>
  <si>
    <t>NCT07302256</t>
  </si>
  <si>
    <t>A Clinical Trial of Influenza Virus Split Vaccine for Individuals Aged 60 Years and Above</t>
  </si>
  <si>
    <t>NCT07276724</t>
  </si>
  <si>
    <t>A Study to Investigate GB-0895 Adjunctive Therapy in Adults and Adolescents With Severe Uncontrolled Asthma (SOLAIRIA-1)</t>
  </si>
  <si>
    <t>NCT07269210</t>
  </si>
  <si>
    <t>A Study of Solbinsiran (LY3561774) in Participants With Severe Hypertriglyceridemia</t>
  </si>
  <si>
    <t>NCT07300839</t>
  </si>
  <si>
    <t>A Study to Learn About a COVID-19 Vaccine in Healthy Adults 50 Through 64 Years of Age</t>
  </si>
  <si>
    <t>NCT07252232</t>
  </si>
  <si>
    <t>Study of Daraxonrasib (RMC-6236) in Patients With Resected Pancreatic Ductal Adenocarcinoma (PDAC)</t>
  </si>
  <si>
    <t>NCT07431398</t>
  </si>
  <si>
    <t>Single-dose Pharmacokinetics of Pociredir in Participants With Sickle Cell Disease</t>
  </si>
  <si>
    <t>Fulcrum Therapeutics</t>
  </si>
  <si>
    <t>NCT07267026</t>
  </si>
  <si>
    <t>A Study to Evaluate the Safety, Tolerability and PK of SK-09</t>
  </si>
  <si>
    <t>NCT07288138</t>
  </si>
  <si>
    <t>A Study of a Thyroid Hormone Receptor Beta Isoform (THRβ) Agonist and an Semicarbazide Sensitive Amine Oxidase (SSAO) Inhibitor, Alone and in Combination, in Adults With Presumed Metabolic Dysfunction-associated Steatohepatitis (MASH)</t>
  </si>
  <si>
    <t>NCT07232849</t>
  </si>
  <si>
    <t>A Trial of HRS-4508 Combined With Other Antitumor Therapies in Subjects With Locally Advanced or Metastatic Non-small Cell Lung Cancer</t>
  </si>
  <si>
    <t>NCT07232589</t>
  </si>
  <si>
    <t>A Study of the Effect of Diltiazem on the Plasma Levels of Nemtabrutinib (MK-1026-022)</t>
  </si>
  <si>
    <t>NCT07266155</t>
  </si>
  <si>
    <t>Efficacy, Safety, and Pharmacokinetics of LP-005 Injection in Patients With Paroxysmal Nocturnal Hemoglobinuria (PNH)</t>
  </si>
  <si>
    <t>NCT07266831</t>
  </si>
  <si>
    <t>A Clinical Study of Islatravir and Ulonivirine for People With HIV-1 Who Have Not Been Treated Before (MK-8591B-062)</t>
  </si>
  <si>
    <t>NCT07314541</t>
  </si>
  <si>
    <t>A Phase Ia Study of KMY Tablets in Healthy Subjects</t>
  </si>
  <si>
    <t>Lei Yunshang Group</t>
  </si>
  <si>
    <t>NCT07290569</t>
  </si>
  <si>
    <t>Dose Ranging Study of ORKA-001 in Patients With Moderate-to-Severe Plaque Psoriasis</t>
  </si>
  <si>
    <t>NCT07263919</t>
  </si>
  <si>
    <t>Perioperative Cadonilimab Combined With Neoadjuvant Chemotherapy in Resectable Esophageal Squamous Cell Carcinoma (ESCC)</t>
  </si>
  <si>
    <t>NCT07323173</t>
  </si>
  <si>
    <t>A Phase I Study to Assess LBL-047 in Healthy Adults and Patients With Systemic Lupus Erythematosus</t>
  </si>
  <si>
    <t>NCT07306585</t>
  </si>
  <si>
    <t>The Safety, Tolerability, Pharmacokinetics, Immunogenicity and Preliminary Efficacy of HC022 Injection in Subjects With SLE/CLE</t>
  </si>
  <si>
    <t>NCT07135050</t>
  </si>
  <si>
    <t>Phase 1/2 Study of MZ-1866, an AAV-9 Gene Therapy Delivered by Intracerebroventricular Injection to Participants With Pitt Hopkins Syndrome</t>
  </si>
  <si>
    <t>Mahzi Therapeutics</t>
  </si>
  <si>
    <t>NCT07382908</t>
  </si>
  <si>
    <t>Bioequivalence Study of BGM0504 Injection</t>
  </si>
  <si>
    <t>NCT07203755</t>
  </si>
  <si>
    <t>Clinical Trial of the Adsorbed Acellular Pertussis (Tricomponent) DTaP-Haemophilus Influenzae Type b (Conjugate)-ACYW135 Group Meningococcal (Conjugate) Combined Vaccine</t>
  </si>
  <si>
    <t>NCT06379685</t>
  </si>
  <si>
    <t>Study to Evaluate the Safety and Tolerability of PRO-190 Ophthalmic Solution Compared to Systane Ultra® on the Ocular Surface.</t>
  </si>
  <si>
    <t>NCT07276789</t>
  </si>
  <si>
    <t>Efficacy and Safety of a Single Dose of LS301-IT for Fluorescence Intraoperative Molecular Imaging (IMI) for Patients Undergoing Lung Cancer Resection for Non Small Cell Lung Cancer</t>
  </si>
  <si>
    <t>NCT07277660</t>
  </si>
  <si>
    <t>A Dose-ranging Study to Evaluate the Efficacy, Safety, Pharmacokinetics, and Pharmacodynamics of Galvokimig in Adult Study Participants With Atopic Dermatitis</t>
  </si>
  <si>
    <t>NCT07264335</t>
  </si>
  <si>
    <t>A Study on the Bioavailability of SHR-1819 Injection Administered Subcutaneously Using Different Injection Devices in Healthy Subjects</t>
  </si>
  <si>
    <t>NCT07276282</t>
  </si>
  <si>
    <t>Effects of Ziltivekimab on Coronary Atherosclerotic Burden in Patients With Acute Myocardial Infarction</t>
  </si>
  <si>
    <t>ECRI bv</t>
  </si>
  <si>
    <t>NCT07258836</t>
  </si>
  <si>
    <t>A Study of [18F]LY4214835 in Healthy Volunteers and Participants With Cancer</t>
  </si>
  <si>
    <t>NCT06789302</t>
  </si>
  <si>
    <t>A Double-Blind, Randomized, Placebo-Controlled Phase IIa Clinical Trial to Evaluate the Safety and Efficacy of DT2-SCT in Subjects With Type 2 Diabetes Mellitus</t>
  </si>
  <si>
    <t>Global Institute of Stem Cell Therapy and Research</t>
  </si>
  <si>
    <t>NCT07235202</t>
  </si>
  <si>
    <t>A Study of MR001 Combined With Chemotherapy in Patients With Locally Advanced or Metastatic Pancreatic Ductal Adenocarcinoma (PDAC) After First-line Therapy</t>
  </si>
  <si>
    <t>Shenzhen Majory Biotechnology Co., Ltd.</t>
  </si>
  <si>
    <t>NCT07311538</t>
  </si>
  <si>
    <t>Phase IIa Study of BRY812 Monotherapy in Advanced Gynecological Malignancies</t>
  </si>
  <si>
    <t>NCT07311226</t>
  </si>
  <si>
    <t>A First-in-human, Single-ascending-dose Study of IBI3033 in Healthy Participants</t>
  </si>
  <si>
    <t>NCT07219407</t>
  </si>
  <si>
    <t>A Long-term Study of the Safety and Effectiveness of RAP-219 in Adults With Focal Onset Seizures</t>
  </si>
  <si>
    <t>NCT06605963</t>
  </si>
  <si>
    <t>PPV-06 Vaccine in Inflammatory Knee Osteoarthritis</t>
  </si>
  <si>
    <t>Peptinov SAS</t>
  </si>
  <si>
    <t>NCT07267221</t>
  </si>
  <si>
    <t>Bioequivalence Study for the Safety and the Pharmacokinetics of DWC202313, DWC202314, and DWJ1622 in Healthy Volunteers Under Fed Condition.</t>
  </si>
  <si>
    <t>NCT06937229</t>
  </si>
  <si>
    <t>A Study to Evaluate the Long-term Efficacy and Safety of KarXT + KarX-EC for Agitation in Alzheimer's Disease (ADAGIO-3)</t>
  </si>
  <si>
    <t>NCT07345130</t>
  </si>
  <si>
    <t>A Bioequivalence Study of Advil Tablet (Mini) (Ibuprofen 200 mg) Versus Advil Tablet (Ibuprofen 200 mg) in Healthy Adult Subjects Under Fasted Conditions and Bioavailability Assessment of Advil Tablet (Mini) Under Fed Conditions</t>
  </si>
  <si>
    <t>NCT07443202</t>
  </si>
  <si>
    <t>Study of Lotilaner Ophthalmic Gel in Patients With Ocular Rosacea (KORE)</t>
  </si>
  <si>
    <t>Tarsus Pharmaceuticals, Inc.</t>
  </si>
  <si>
    <t>NCT07251595</t>
  </si>
  <si>
    <t>A Trial of SHR0302 Tablets and SHR0302 Base Gel in Patients With Non-segmental Vitiligo</t>
  </si>
  <si>
    <t>NCT06979453</t>
  </si>
  <si>
    <t>A Study to Evaluate the Efficacy, Safety, and Drug Levels of Deucravacitinib (BMS-986165) in Adolescent Participants With Moderate to Severe Plaque Psoriasis</t>
  </si>
  <si>
    <t>NCT07250802</t>
  </si>
  <si>
    <t>A Long-Term Study of Zasocitinib in Children and Teenagers With Plaque Psoriasis</t>
  </si>
  <si>
    <t>NCT07220603</t>
  </si>
  <si>
    <t>An Open-Label Extension Study of PGN-EDODM1 in People With Myotonic Dystrophy Type 1 (FREEDOM-OLE)</t>
  </si>
  <si>
    <t>NCT07277933</t>
  </si>
  <si>
    <t>Efficacy and Safety of KHN702 Tablets in Moderate to Severe Post-operative Pain Subjects</t>
  </si>
  <si>
    <t>NCT07238283</t>
  </si>
  <si>
    <t>Irinotecan Hydrochloride Liposome Injection (II)in Combination With Oxaliplatin, 5-FU/LV Versus AG for First-line Treatment of Metastatic Pancreatic Cancer</t>
  </si>
  <si>
    <t>NCT07327359</t>
  </si>
  <si>
    <t>A Study to Evaluate Safety and Efficacy of OLX72021 in Healthy Males With Androgenetic Alopecia</t>
  </si>
  <si>
    <t>Olix Pharmaceuticals, Inc.</t>
  </si>
  <si>
    <t>NCT07288320</t>
  </si>
  <si>
    <t>An Assessment of Efficacy, Safety, and Pharmacokinetics of NBI-1117568 in Adults With Bipolar I Disorder With Current Mania</t>
  </si>
  <si>
    <t>NCT07393022</t>
  </si>
  <si>
    <t>Bioequivalence Study of Levetiracetam 1500 mg Coated Granules in Healthy, Male Subjects</t>
  </si>
  <si>
    <t>Desitin Arzneimittel GmbH</t>
  </si>
  <si>
    <t>NCT07110337</t>
  </si>
  <si>
    <t>Diagnosing Epilepsy To EffeCT Change</t>
  </si>
  <si>
    <t>Epiminder America, Inc.</t>
  </si>
  <si>
    <t>NCT07269301</t>
  </si>
  <si>
    <t>A Study to Learn How the Body Processes the Study Medicine PF-07328948 in People With and Without Reduced Liver Function</t>
  </si>
  <si>
    <t>NCT06134414</t>
  </si>
  <si>
    <t>Study of Safety and Efficacy of MY008211A in in Patients With Paroxysmal Nocturnal Hemoglobinuria (PNH)</t>
  </si>
  <si>
    <t>NCT07109414</t>
  </si>
  <si>
    <t>Trial of NP-G2-044 (Prilukae) Combined With PLD for Treatment of Platinum-Resistant Ovarian Cancer (ULTIMUS-1)</t>
  </si>
  <si>
    <t>Novita Pharmaceuticals, Inc.</t>
  </si>
  <si>
    <t>NCT07155187</t>
  </si>
  <si>
    <t>A Study to Assess Adverse Events and Change in Disease Activity of Intravenous (IV) Telisotuzumab Adizutecan Compared to Standard of Care in Adult Participants With Locally Advanced or Metastatic EGFR-Mutated Non-Squamous Non-Small Cell Lung Cancer</t>
  </si>
  <si>
    <t>NCT07205900</t>
  </si>
  <si>
    <t>Study to Evaluate HM15275 in Obese or Overweight Subjects Without Diabetes Mellitus</t>
  </si>
  <si>
    <t>NCT07246564</t>
  </si>
  <si>
    <t>Phase 4 Study Evaluating Efficacy and Safety of Rozanolixizumab in Adult Chinese Participants With Generalized Myasthenia Gravis</t>
  </si>
  <si>
    <t>NCT07086521</t>
  </si>
  <si>
    <t>Safety and Preliminary Efficacy of ULSC in Facioscapulohumeral Muscular Dystrophy (FSHD)</t>
  </si>
  <si>
    <t>Restem, LLC.</t>
  </si>
  <si>
    <t>NCT07222488</t>
  </si>
  <si>
    <t>A Clinical Study of MK-3120 in People With Bladder Cancer (MK-3120-003)</t>
  </si>
  <si>
    <t>NCT07293754</t>
  </si>
  <si>
    <t>An Early Phase Trial of RPTR-1-201 in Advanced Solid Tumors</t>
  </si>
  <si>
    <t>Repertoire Immune Medicines</t>
  </si>
  <si>
    <t>NCT07269756</t>
  </si>
  <si>
    <t>A Study to Evaluate the Drug Interactions of HRS-7535 With Acetaminophen, Digoxin, Rosuvastatin, and Omeprazole in Obese or Overweight Subjects</t>
  </si>
  <si>
    <t>NCT07230132</t>
  </si>
  <si>
    <t>Efficacy and Safety of ZT006 in Overweight and Obese Participants</t>
  </si>
  <si>
    <t>NCT07285902</t>
  </si>
  <si>
    <t>A Study Comparing the Efficacy and Safety of HRS9531 Injection With Semaglutide Injection in Subjects With Obesity</t>
  </si>
  <si>
    <t>NCT03184935</t>
  </si>
  <si>
    <t>Research for Human Umbilical Cord Mesenchymal Stem Cells (19#iSCLife®-MDS) in the Treatment of Myelodysplastic Syndrome (MDS)</t>
  </si>
  <si>
    <t>NCT07172360</t>
  </si>
  <si>
    <t>Efficacy and Safety Phase III Clinical Study of VC005 Tablets in Subjects With Active Ankylosing Spondylitis.</t>
  </si>
  <si>
    <t>NCT07223229</t>
  </si>
  <si>
    <t>Phase 2 Study to Evaluate EI-001 in Non-segmental Vitiligo Patients</t>
  </si>
  <si>
    <t>NCT07260877</t>
  </si>
  <si>
    <t>A Multicenter, Randomized, Double-Blind, Placebo-Controlled, Phase 2a Study With an Open-Label Extension Evaluating the Efficacy and Safety of VENT-03 in Adult Participants With Active Cutaneous Lupus Erythematosus With or Without Systemic Lupus Erythematosus</t>
  </si>
  <si>
    <t>NCT07209111</t>
  </si>
  <si>
    <t>A Clinical Study of Calderasib (MK-1084) in People With Advanced Solid Tumors (MK-1084-014)</t>
  </si>
  <si>
    <t>NCT07301034</t>
  </si>
  <si>
    <t>A Research Study to Look at the Effect of Ziltivekimab on Plaque in the Blood Vessels of the Heart, Compared to Placebo, in People With a Heart Attack</t>
  </si>
  <si>
    <t>NCT07248839</t>
  </si>
  <si>
    <t>A Study to Assess the Drug Levels and Safety of BMS-986435 in Participants With Normal Hepatic Function and Participants With Different Degrees of Hepatic Impairment</t>
  </si>
  <si>
    <t>NCT07170592</t>
  </si>
  <si>
    <t>A Phase 1 Study of OTS-412 (Recombinant Oncolytic Vaccinia Virus) in Treatment-refractory Solid Tumor Patients</t>
  </si>
  <si>
    <t>NCT05107934</t>
  </si>
  <si>
    <t>Efficacy and Safety of RPH-104 Treatment in Patients With Recurrent Pericarditis</t>
  </si>
  <si>
    <t>R-Pharm Overseas, Inc.</t>
  </si>
  <si>
    <t>NCT07182682</t>
  </si>
  <si>
    <t>A Phase 3 Study of Sunvozertinib Versus Placebo as Adjuvant Therapy in Patients With Early-Stage Non-Small Cell Lung Cancer Harboring EGFR Exon 20 Insertion Mutations or PACC Mutations After Radical Surgery</t>
  </si>
  <si>
    <t>NCT07111013</t>
  </si>
  <si>
    <t>A Study to Assess the Long-Term Safety of Lifitegrast/Perfluorohexyloctane Fixed-Dose Combination in Subjects With Dry Eye Disease</t>
  </si>
  <si>
    <t>NCT07295496</t>
  </si>
  <si>
    <t>A Study to Evaluate the Safety, Tolerability, and Pharmacokinetic of IBI3011</t>
  </si>
  <si>
    <t>NCT07179679</t>
  </si>
  <si>
    <t>A Clinical Study Assessing the Subcutaneous Formulation of TQB2934 for Injection in Subjects With Malignant Plasma Cell Tumors</t>
  </si>
  <si>
    <t>NCT06807021</t>
  </si>
  <si>
    <t>Post-Operative Use of FS2 to Mitigate Scarring in Burn Patients</t>
  </si>
  <si>
    <t>Birch BioMed Inc</t>
  </si>
  <si>
    <t>NCT07272629</t>
  </si>
  <si>
    <t>A Study to Evaluate the Effect of Single Oral Dose of Balinatunfib on Cardiac Repolarization in Healthy Adult Participants.</t>
  </si>
  <si>
    <t>NCT07387081</t>
  </si>
  <si>
    <t>Phase II Study of LM-24C5</t>
  </si>
  <si>
    <t>NCT07285460</t>
  </si>
  <si>
    <t>A Study to Investigate the Efficacy and Safety of Fitusiran Prophylaxis in Male Participants Aged 1 to Less Than 12 Years With Hemophilia A or B</t>
  </si>
  <si>
    <t>NCT07251062</t>
  </si>
  <si>
    <t>A Study of SYS6010, Enlonstobart, and Chemotherapy for First-Line Treatment of Esophageal Squamous Cell Carcinoma.</t>
  </si>
  <si>
    <t>NCT07302035</t>
  </si>
  <si>
    <t>A First-in-Human Safety and Pharmacokinetic Trial of GenSci142 Administered as Single Ascending Doses in Healthy Chinese Women</t>
  </si>
  <si>
    <t>NCT07302516</t>
  </si>
  <si>
    <t>Compare the Efficacy and Safety of QL2302 Versus Tezspire® in Severe Asthma</t>
  </si>
  <si>
    <t>NCT07243340</t>
  </si>
  <si>
    <t>A Phase I/IIa Study of C5252 in Patients With Intracranial Tumor</t>
  </si>
  <si>
    <t>NCT07284875</t>
  </si>
  <si>
    <t>Efficacy and Safety of KAI-9531 in Participants Living With Obesity or Overweight With Weight-Related Comorbidities Who Do Not Have Diabetes</t>
  </si>
  <si>
    <t>NCT07324304</t>
  </si>
  <si>
    <t>NWRD06 DNA Plasmid for HCC After Curative Resection.</t>
  </si>
  <si>
    <t>NCT07324434</t>
  </si>
  <si>
    <t>A Study to Evaluate the Safety, Tolerability and Pharmacokinetics of Oral F-02-2-Na Tablets in Adult Subjects</t>
  </si>
  <si>
    <t>Guangdong Hengqin Novagains Biopharmaceutical Co., Ltd.</t>
  </si>
  <si>
    <t>NCT07283198</t>
  </si>
  <si>
    <t>A Phase II Clinical Study to Evaluate the Safety, Efficacy, Pharmacokinetics/Pharmacodynamics of JSKN033 in Patients With Advanced Non-Small Cell Lung Cancer</t>
  </si>
  <si>
    <t>NCT07327697</t>
  </si>
  <si>
    <t>A Comparative Phase 1 Study to Evaluate the Pharmacokinetic and Safety of QL2302 vs. Tezspire® in Healthy Subjects</t>
  </si>
  <si>
    <t>NCT07230106</t>
  </si>
  <si>
    <t>A Study of SHR3680, HS-20093 and SHR2554 in Subjects With Prostate Cancer</t>
  </si>
  <si>
    <t>NCT07332533</t>
  </si>
  <si>
    <t>A Study of KN026-based Combination Therapy in HER2-positive Gastric Cancer</t>
  </si>
  <si>
    <t>NCT07247110</t>
  </si>
  <si>
    <t>A Clinical Study of MK-4716 in People With Certain Solid Tumors (MK-4716-001)</t>
  </si>
  <si>
    <t>NCT07215468</t>
  </si>
  <si>
    <t>HIV-1 Virologic Suppression With TMB-365 and TMB-380 Antibodies Study</t>
  </si>
  <si>
    <t>TaiMed Biologics Inc.</t>
  </si>
  <si>
    <t>NCT07217717</t>
  </si>
  <si>
    <t>Using 18F-FAPI PET to Detect Metastatic Disease in Patients That Have Pancreatic Ductal Adenocarcinoma (PDAC)</t>
  </si>
  <si>
    <t>NCT07173595</t>
  </si>
  <si>
    <t>A Phase I Study of QLS2309 Injection in Patients With CD70+ Relapsed/Refractory Hematologic Malignancies</t>
  </si>
  <si>
    <t>NCT07318675</t>
  </si>
  <si>
    <t>A Phase Ib Study of HW211026 Ointment in Patients With Actinic Keratosis.</t>
  </si>
  <si>
    <t>NCT07321028</t>
  </si>
  <si>
    <t>Evaluation of In-Vitro Cryo Therapeutic Protocols on Human Cell Samples (TWH-CRYO-001)</t>
  </si>
  <si>
    <t>NCT07300111</t>
  </si>
  <si>
    <t>A Study to Evaluate Efficacy and Safety of QLG1218(Daprodustat) in Chinese Hemodialysis (HD)-Dependent Subjects With Anemia Associated With Chronic Kidney Disease (CKD)</t>
  </si>
  <si>
    <t>NCT07338214</t>
  </si>
  <si>
    <t>Investigating the Pharmacokinetics of Petrelintide Using Different Drug Product Concentrations</t>
  </si>
  <si>
    <t>NCT07295717</t>
  </si>
  <si>
    <t>A Study to Evaluate ALN-4285 in Adult Healthy Volunteers</t>
  </si>
  <si>
    <t>NCT06861088</t>
  </si>
  <si>
    <t>The Effect of Kinisoquin™ on Thromboembolic Events in Patients With Metastatic or Locally Advanced Pancreatic Cancer</t>
  </si>
  <si>
    <t>Quercis Pharma AG</t>
  </si>
  <si>
    <t>NCT07185997</t>
  </si>
  <si>
    <t>Study to Evaluate Efficacy and Safety of Firmonertinib Compared With Investigator's Choice of EGFR Inhibitor as First-Line Treatment in Participants Who Have Locally Advanced or Metastatic NSCLC With EGFR P-Loop and Alpha C-Helix Compressing (PACC) Uncommon Mutations</t>
  </si>
  <si>
    <t>NCT07107945</t>
  </si>
  <si>
    <t>A Study to Find Out How EMPAgliflozin is Tolerated and if it Helps Children and Adolescents With Chronic KIDNEY Disease (EMPA-KIDNEY® Kids)</t>
  </si>
  <si>
    <t>NCT07284654</t>
  </si>
  <si>
    <t>Safety, Tolerability, and Immunogenicity of VAX-31 in Adults ≥50 Years With Immunobridging to Adults 18-49</t>
  </si>
  <si>
    <t>NCT07271251</t>
  </si>
  <si>
    <t>A Research Study to See if Two Different Formulations of Oral Semaglutide Are Equally Safe and Effective in Reducing the Blood Sugar Level in Japanese People With Type 2 Diabetes</t>
  </si>
  <si>
    <t>NCT07221513</t>
  </si>
  <si>
    <t>Study of JK07 in Patients With Heart Failure and WHO Group 2 Combined Post- and Pre-Capillary Pulmonary Hypertension</t>
  </si>
  <si>
    <t>NCT07353957</t>
  </si>
  <si>
    <t>Study to Investigate Petosemtamab in Adults With Metastatic Non-Small Cell Lung Cancer</t>
  </si>
  <si>
    <t>NCT05482282</t>
  </si>
  <si>
    <t>Immunogenicity and Safety of DTP-HB-Hib Using New Hepatitis B Bulk (Bio Farma)</t>
  </si>
  <si>
    <t>NCT07280156</t>
  </si>
  <si>
    <t>A Study to Investigate the Clinical Effect and the Safety of PRX-115 Infused Intravenously at Different Dosing Regimens, With and Without Methotrexate, Versus Placebo in Adults Gout Patients (RELEASE)</t>
  </si>
  <si>
    <t>Protalix</t>
  </si>
  <si>
    <t>NCT07284927</t>
  </si>
  <si>
    <t>Clinical Study of LV009 Injection for the Treatment of Hematologic and Lymphoid Malignancies</t>
  </si>
  <si>
    <t>NCT07286682</t>
  </si>
  <si>
    <t>A Study to Investigate the Safety, Tolerability, and Pharmacokinetics of UCB5285 in Healthy Study Participants</t>
  </si>
  <si>
    <t>NCT07391241</t>
  </si>
  <si>
    <t>A Phase 2 Study to Evaluate the Efficacy and Safety of Pudafensine in Vulvodynia (Provoked Vestibulodynia)</t>
  </si>
  <si>
    <t>Initiator Pharma</t>
  </si>
  <si>
    <t>NCT07290283</t>
  </si>
  <si>
    <t>A Study to Investigate Safety, Tolerability, and Pharmacokinetics of AZD3974 in Healthy Participants</t>
  </si>
  <si>
    <t>NCT07165951</t>
  </si>
  <si>
    <t>Clinical Trial Comparing TQB2868 Injection Combined With Anlotinib Hydrochloride Capsules With Placebo Combined With Chemotherapy as First-line Treatment for Metastatic Pancreatic Ductal Adenocarcinoma (mPDAC)</t>
  </si>
  <si>
    <t>NCT07465224</t>
  </si>
  <si>
    <t>A Study to Evaluate ALN-4324 on Insulin Sensitivity in Adults With Type 2 Diabetes Mellitus</t>
  </si>
  <si>
    <t>NCT02802423</t>
  </si>
  <si>
    <t>Phase I/II, Evaluate the Safety and Efficacy of BLEX 404 With Docetaxel in Patients With Advanced/Metastatic Triple Negative Breast Cancer.</t>
  </si>
  <si>
    <t>BioLite, Inc.</t>
  </si>
  <si>
    <t>NCT04901741</t>
  </si>
  <si>
    <t>Olaptesed With Pembrolizumab and Nanoliposomal Irinotecan or Gemcitabine/Nab-Paclitaxel in MSS Pancreatic Cancer</t>
  </si>
  <si>
    <t>TME Pharma AG</t>
  </si>
  <si>
    <t>NCT07361354</t>
  </si>
  <si>
    <t>A Phase 1 Ethnobridging TriaL of AGA2118 in Healthy Japanese, Chinese, and Caucasian ParticipantS (ATLAS)</t>
  </si>
  <si>
    <t>NCT07328451</t>
  </si>
  <si>
    <t>A Study to Evaluate the Safety, Tolerability, Pharmacokinetics, and Pharmacodynamics of DNL628 in Participants With Early Alzheimer's Disease</t>
  </si>
  <si>
    <t>NCT07430397</t>
  </si>
  <si>
    <t>A Single Ascending Dose Study to Assess the Safety, Tolerability, Pharmacokinetics and Pharmacodynamics of CITY-FXI in Healthy Adults and Adults With FV Leiden or Prothrombin G20210A Mutation</t>
  </si>
  <si>
    <t>City Therapeutics</t>
  </si>
  <si>
    <t>NCT07374510</t>
  </si>
  <si>
    <t>Phase Ia Clinical Trial of Group ACYW135X Meningococcal Conjugate Vaccine</t>
  </si>
  <si>
    <t>NCT07305831</t>
  </si>
  <si>
    <t>A Clinical Trial to Evaluate the Effect of Ulonivirine (MK-8507) on Heart Rhythm in Healthy Adults (MK-8507-012)</t>
  </si>
  <si>
    <t>NCT07311200</t>
  </si>
  <si>
    <t>A Study of D-2570 in Patients With Active Systemic Lupus Erythematosus (SLE)</t>
  </si>
  <si>
    <t>NCT07347249</t>
  </si>
  <si>
    <t>A Clinical Study to Assess Sutacimig in Participants With Congenital Factor VII Deficiency</t>
  </si>
  <si>
    <t>NCT06448143</t>
  </si>
  <si>
    <t>Indigotindisulfonate Sodium Injection, USP as an Aid in the Determination of Ureteral Patency in Pediatric Patients</t>
  </si>
  <si>
    <t>Prove pharm</t>
  </si>
  <si>
    <t>NCT07343960</t>
  </si>
  <si>
    <t>A Phase I Study to Investigate the Pharmacokinetics and Safety of Capivasertib in Participants With Moderate Hepatic Impairment</t>
  </si>
  <si>
    <t>NCT07230340</t>
  </si>
  <si>
    <t>Nonhealing Venous Leg Ulcers Treated With a Standard of Care (SoC) Alone or Standard of Care and Dehydrated Human Placenta Tissue (dHPT) With Crossover</t>
  </si>
  <si>
    <t>NCT07259317</t>
  </si>
  <si>
    <t>Relacorilant With Nab-Paclitaxel and Gemcitabine in Patients With Metastatic Pancreatic Adenocarcinoma</t>
  </si>
  <si>
    <t>NCT07349394</t>
  </si>
  <si>
    <t>Effect of Vanzacaftor/Tezacaftor/Deutivacaftor (VNZ/TEZ/D-IVA) on the PK of Rosuvastatin in Healthy Participants</t>
  </si>
  <si>
    <t>NCT07328919</t>
  </si>
  <si>
    <t>Efficacy and Safety of TT-00420 (Tinengotinib) Tablets Versus Chemotherapy in Patients With Advanced Intrahepatic Cholangiocarcinoma Harboring FGFR2 Fusions/Rearrangements or Mutations</t>
  </si>
  <si>
    <t>TransThera Sciences (Nanjing), Inc.</t>
  </si>
  <si>
    <t>NCT07325292</t>
  </si>
  <si>
    <t>Non-inferiority Study of Frexalimab Subcutaneous Administration Compared to Intravenous Administration in Adult Participants With Multiple Sclerosis</t>
  </si>
  <si>
    <t>NCT07335211</t>
  </si>
  <si>
    <t>Efficacy and Safety of HUC3-637 in Patients With Primary Open Angle Glaucoma or Ocular Hypertension</t>
  </si>
  <si>
    <t>NCT07223203</t>
  </si>
  <si>
    <t>TRITON-PN: A Study to Evaluate the Efficacy and Safety of Nucresiran in Patients With Hereditary Transthyretin Amyloidosis With Polyneuropathy</t>
  </si>
  <si>
    <t>NCT07288177</t>
  </si>
  <si>
    <t>Study to Assess the Efficacy and Safety of Rina-S in Participants With Non-small Cell Lung Cancer</t>
  </si>
  <si>
    <t>NCT07321106</t>
  </si>
  <si>
    <t>A Study to Investigate the Safety, Tolerability, Pharmacokinetics, and Anti-tumor Activity of CBI-1214 T Cell Engager in Participants With Advanced or Metastatic MSS/MSI-L Colorectal Cancer</t>
  </si>
  <si>
    <t>Cartography Biosciences</t>
  </si>
  <si>
    <t>NCT05361733</t>
  </si>
  <si>
    <t>A First in Human Study of the Safety, Tolerability, and the Physiologically Based Pharmacokinetics of XFB19 in Healthy Adult Volunteers.</t>
  </si>
  <si>
    <t>Xfibra, Inc.</t>
  </si>
  <si>
    <t>NCT07419698</t>
  </si>
  <si>
    <t>Evaluate the Safety, Tolerability, PK, and PD of JMT206 Injection in Healthy Participants</t>
  </si>
  <si>
    <t>NCT07450911</t>
  </si>
  <si>
    <t>A Clinical Study Evaluating the Replacement of the Native Mitral Valve Using the ReValve System</t>
  </si>
  <si>
    <t>ReValve Solutions Inc.</t>
  </si>
  <si>
    <t>NCT07222020</t>
  </si>
  <si>
    <t>Phase 1 Study of Intravaginal KB15A</t>
  </si>
  <si>
    <t>ZabBio Inc.</t>
  </si>
  <si>
    <t>NCT07324850</t>
  </si>
  <si>
    <t>A Study of SGB-7342 in Subjects With Obesity or Overweight</t>
  </si>
  <si>
    <t>NCT06579755</t>
  </si>
  <si>
    <t>A Study of Dengue Tetravalent Vaccine (TDV) in Adults (Age 45 to 60 and &gt;60 to 79 Years)</t>
  </si>
  <si>
    <t>NCT07378098</t>
  </si>
  <si>
    <t>to Evaluate the Efficacy and Safety of KLH-2109 in Patients With Uterine Fibroids and Menorrhagia</t>
  </si>
  <si>
    <t>NCT07336732</t>
  </si>
  <si>
    <t>Andamertinib as First-line Treatment for NSCLC With EGFR PACC or EGFR L861Q Mutation</t>
  </si>
  <si>
    <t>NCT07462923</t>
  </si>
  <si>
    <t>HS-20093 in Patients With Advanced Gastric and Gastroesophageal Junction Adenocarcinoma</t>
  </si>
  <si>
    <t>NCT07336823</t>
  </si>
  <si>
    <t>JY232(JY232) Injection in Relapsed/Refractory Multiple Myeloma</t>
  </si>
  <si>
    <t>Shenzhen Genocury Biotech Co., Ltd.</t>
  </si>
  <si>
    <t>NCT07121946</t>
  </si>
  <si>
    <t>This is a Phase 1 Study to Evaluate the Safety of LTZ-301 in Patients With Non-Hodgkin Lymphoma</t>
  </si>
  <si>
    <t>LTZ Therapeutics, Inc.</t>
  </si>
  <si>
    <t>NCT07195682</t>
  </si>
  <si>
    <t>A First-in-Human Study of BMS-986506 in Participants With Advanced Clear Cell Renal Cell Carcinoma (ccRCC)</t>
  </si>
  <si>
    <t>NCT07225621</t>
  </si>
  <si>
    <t>Adjuvant Temozolomide ± 5-Aminolevulinic Acid + Low Intensity Diffuse Ultrasound Sonodynamic Therapy System for Newly Diagnosed Glioblastoma</t>
  </si>
  <si>
    <t>Alpheus Medical, Inc.</t>
  </si>
  <si>
    <t>NCT07476144</t>
  </si>
  <si>
    <t>Nordic Spirit Pouch Nicotine Pharmacokinetics Abuse Liability</t>
  </si>
  <si>
    <t>JT International SA</t>
  </si>
  <si>
    <t>NCT07385235</t>
  </si>
  <si>
    <t>Compare and Evaluate the Safety and PK Data of a Single Dose Administration of 'AD-115A' or 'AD-1151'</t>
  </si>
  <si>
    <t>NCT07328217</t>
  </si>
  <si>
    <t>A Phase 1/2 Study of GW5282 in Participants With Advanced Solid Tumors</t>
  </si>
  <si>
    <t>NCT07365462</t>
  </si>
  <si>
    <t>Efficacy, Safety, and Tolerability of NBI-1065890 Versus Placebo in Adults With Tardive Dyskinesia</t>
  </si>
  <si>
    <t>NCT07359066</t>
  </si>
  <si>
    <t>An Open-label, First-in-Human, Dose-Escalation and Dose-Expansion Phase I/II Study to Evaluate the Safety, Tolerability, Pharmacokinetics, and Preliminary Efficacy of SPR1020 in Patients With Advanced Solid Tumors</t>
  </si>
  <si>
    <t>Shanghai SciBrunch Therapeutics Co., Ltd.</t>
  </si>
  <si>
    <t>NCT07417566</t>
  </si>
  <si>
    <t>A Study of DC6001 Tablet in Healthy Chinese Adult Subjects</t>
  </si>
  <si>
    <t>NCT05491681</t>
  </si>
  <si>
    <t>AllogeneiC Expanded Human MSC Therapy in Patients Recovering From COVID-19 Acute Respiratory Distress Trial</t>
  </si>
  <si>
    <t>BioCardia, Inc.</t>
  </si>
  <si>
    <t>NCT07224581</t>
  </si>
  <si>
    <t>Beeline: A Phase 3 Study in GRIN-related Neurodevelopmental Disorder</t>
  </si>
  <si>
    <t>NCT07396337</t>
  </si>
  <si>
    <t>Study to Assess the Efficacy and Safety of QHRD106 Injection in Acute Ischemic Stroke.</t>
  </si>
  <si>
    <t>Changzhou Qianhong Bio-pharma Co., Ltd.</t>
  </si>
  <si>
    <t>NCT07342868</t>
  </si>
  <si>
    <t>Single-Dose Study to Evaluate the Pharmacokinetics, Safety, and Tolerability of Pevifoscorvir Sodium (ALG-000184) in Subjects With Moderate Hepatic Impairment and in Healthy Subjects With Normal Hepatic Function</t>
  </si>
  <si>
    <t>NCT07339722</t>
  </si>
  <si>
    <t>A Study of LY4515100 in Healthy Participants</t>
  </si>
  <si>
    <t>NCT07233655</t>
  </si>
  <si>
    <t>A Phase II Trial of SHR-3045 Injection in Patients With Rheumatoid Arthritis</t>
  </si>
  <si>
    <t>NCT07299084</t>
  </si>
  <si>
    <t>A Study to Evaluate the Effect of Fasting Duration and Tirzepatide Withholding on the Amount of Food and Fluid in the Stomach in Participants With Type 2 Diabetes Mellitus and Participants With Overweight or Obesity Without Type 2 Diabetes Mellitus</t>
  </si>
  <si>
    <t>NCT07322016</t>
  </si>
  <si>
    <t>A Study of HRS-1301 Tablets in Healthy Subjects and Those With Impaired Kidney Function</t>
  </si>
  <si>
    <t>NCT07320716</t>
  </si>
  <si>
    <t>Long-Term Immunogenicity of the altSonflex1-2-3 Shigella Vaccine in African Children</t>
  </si>
  <si>
    <t>NCT07241065</t>
  </si>
  <si>
    <t>A Study to Investigate the Effect of Capivasertib on the Pharmacokinetics of Oral Dextromethorphan (CYP2D6 Substrate) in Healthy Participants</t>
  </si>
  <si>
    <t>NCT07266324</t>
  </si>
  <si>
    <t>A 2-Part Study to Assess Efficacy, Safety and Tolerability of BMB-101 for the Treatment of Patients With Prader-Willi Syndrome.</t>
  </si>
  <si>
    <t>NCT07080385</t>
  </si>
  <si>
    <t>Pharmacokinetics, Efficacy, and Safety of Encaleret in Pediatric Participants With Autosomal Dominant Hypocalcemia Type 1 (ADH1)</t>
  </si>
  <si>
    <t>Calcilytix Therapeutics, Inc., a BridgeBio company</t>
  </si>
  <si>
    <t>NCT07284459</t>
  </si>
  <si>
    <t>Study to Evaluate the Efficacy, Safety, and Tolerability of PIPE 791 in Subjects With Idiopathic Pulmonary Fibrosis</t>
  </si>
  <si>
    <t>NCT07223697</t>
  </si>
  <si>
    <t>A Long Term Extension Study to Evaluate the Safety and Efficacy of Afimkibart (RO7790121) in Participants With Atopic Dermatitis</t>
  </si>
  <si>
    <t>NCT07336758</t>
  </si>
  <si>
    <t>A Study in Healthy Men to Test How BI 1584862 is Processed in the Body</t>
  </si>
  <si>
    <t>NCT07383116</t>
  </si>
  <si>
    <t>Phase III Clinical Study of HB0025 Combined With Chemotherapy Versus Tislelizumab Combined With Chemotherapy as First-Line Treatment for Advanced Nonsquamous Non-Small Cell Lung Cancer</t>
  </si>
  <si>
    <t>NCT07300267</t>
  </si>
  <si>
    <t>A Clinical Study of Novel Pneumococcal Vaccine V118C in Children (V118C-002)</t>
  </si>
  <si>
    <t>NCT07364630</t>
  </si>
  <si>
    <t>A Multicenter, Prospective, Controlled Modified Multi-Platform Trial Assessing the Efficacy of Human Placental Membrane Products and Standard of Care in the Management of Nonhealing Diabetic Foot Ulcers and Venous Leg Ulcers.</t>
  </si>
  <si>
    <t>NCT07341100</t>
  </si>
  <si>
    <t>Study to Evaluate the Preliminary Efficacy of SKB264 and the Effect of Clarithromycin on the PK of SKB264 in OC</t>
  </si>
  <si>
    <t>NCT07249632</t>
  </si>
  <si>
    <t>A Study of Telitacicept in Patients With Ocular Myasthenia Gravis (OMG)</t>
  </si>
  <si>
    <t>NCT07315360</t>
  </si>
  <si>
    <t>A Study to Learn How the Body Processes the Study Medicine PF-07328948 in People With Reduced Kidney Function</t>
  </si>
  <si>
    <t>NCT07354711</t>
  </si>
  <si>
    <t>A First-in-human Study of 3H-10000 in Patients With Unresectable or Metastatic Solid Tumors</t>
  </si>
  <si>
    <t>3H Pharmaceuticals Co., Ltd.</t>
  </si>
  <si>
    <t>NCT07284784</t>
  </si>
  <si>
    <t>A Study of Buntanetap in Participants With PD</t>
  </si>
  <si>
    <t>NCT07294534</t>
  </si>
  <si>
    <t>A Phase II/III Clinical Study to Evaluate the Efficacy and Safety of HLX87in Combination With HLX22 or Pertuzumab in the Neoadjuvant Therapy of HER2-Positive Bresat Cancer</t>
  </si>
  <si>
    <t>NCT07338838</t>
  </si>
  <si>
    <t>To Evaluate the Tolerability and Pharmacokinetics of TQB3142 for Injection in Patients With Advanced Malignant Tumors</t>
  </si>
  <si>
    <t>NCT02944955</t>
  </si>
  <si>
    <t>A Study of BLEX 404 Oral Liquid in Patients With International Prognostic Scoring System (IPSS) Intermediate-1, Intermediate-2 or High-Risk Myelodysplastic Syndrome (MDS) and Chronic Myelomonocytic Leukemia (CMML)</t>
  </si>
  <si>
    <t>NCT07229625</t>
  </si>
  <si>
    <t>A Phase III Study of SHR-8068 in Combination With Adebrelimab and Platinum-Containing Chemotherapy Versus Durvalumab in Combination With Platinum-Containing Chemotherapy as First-line Treatment for Advanced Biliary Tract Cancer (BTC)</t>
  </si>
  <si>
    <t>NCT07398378</t>
  </si>
  <si>
    <t>Clinical Investigation of Oral Malodor for Max Fresh Toothpaste Containing Zinc Citrate Versus a Commercially Available Regular Fluoride Toothpaste</t>
  </si>
  <si>
    <t>NCT07341373</t>
  </si>
  <si>
    <t>A Single Bolus, 12-hour Euglycemic Clamp Study of the Safety, Pharmacokinetics (PK) and Glucodynamics (GD) of Intraperitoneal (IP) Portal Insulin U-500</t>
  </si>
  <si>
    <t>Portal Diabetes, Inc.</t>
  </si>
  <si>
    <t>NCT07222761</t>
  </si>
  <si>
    <t>A Study to Compare Linvoseltamab Monotherapy and Linvoseltamab + Carfilzomib Combination Therapy With Standard-of-Care Combination Regimens in Adult Participants With Relapsed/Refractory Multiple Myeloma (RRMM)</t>
  </si>
  <si>
    <t>NCT07336420</t>
  </si>
  <si>
    <t>Treatment Patterns Among US Veterans Using Remote Electrical Neuromodulation (REN) for Migraine Treatment</t>
  </si>
  <si>
    <t>NCT07063745</t>
  </si>
  <si>
    <t>A Study to Compare the Combination of BMS-986504 With Pembrolizumab and Chemotherapy Versus Placebo Plus Pembrolizumab and Chemotherapy in First-line Metastatic Non-small Cell Lung Cancer Participants With Homozygous MTAP Deletion</t>
  </si>
  <si>
    <t>NCT07429253</t>
  </si>
  <si>
    <t>Secretome vs. PRP Injections for Hair Density and Growth in Androgenetic Alopecia Patients</t>
  </si>
  <si>
    <t>PT. Prodia Stem Cell Indonesia</t>
  </si>
  <si>
    <t>NCT07339267</t>
  </si>
  <si>
    <t>A Study to Evaluate the Safety and Drug Levels of ASP5541 in Chinese Participants With Prostate Cancer</t>
  </si>
  <si>
    <t>NCT07363694</t>
  </si>
  <si>
    <t>A Study to Learn About the Study Medicine Called PF-07275315 in People With Moderate to Severe Chronic Obstructive Pulmonary Disease</t>
  </si>
  <si>
    <t>NCT07112196</t>
  </si>
  <si>
    <t>Visugromab in Cachexia International Trial</t>
  </si>
  <si>
    <t>NCT07191535</t>
  </si>
  <si>
    <t>Effect of Linvemastat in Patients With Partially Controlled Asthma (syMMPonia)</t>
  </si>
  <si>
    <t>NCT07252661</t>
  </si>
  <si>
    <t>Study of ACC-1898 in Adult Participants With Advanced Solid Tumors</t>
  </si>
  <si>
    <t>AccSalus Biosciences, Inc.</t>
  </si>
  <si>
    <t>NCT07296354</t>
  </si>
  <si>
    <t>Evaluation of an ATP-Containing Parenteral Vitamin B Complex in Patients With Symptomatic Diabetic Polyneuropathy</t>
  </si>
  <si>
    <t>Egyptian International Pharmaceutical Industries Co</t>
  </si>
  <si>
    <t>NCT07319871</t>
  </si>
  <si>
    <t>A Study of Pasritamig (JNJ-78278343) in Combination With JNJ-86974680 for Treatment of Prostate Cancer</t>
  </si>
  <si>
    <t>NCT07286006</t>
  </si>
  <si>
    <t>A Long-Term Extension Study of IMVT-1402 in Adult Participants With Graves' Disease (GD)</t>
  </si>
  <si>
    <t>NCT07318792</t>
  </si>
  <si>
    <t>Using TropoCells(R) Autologous Platelet-Rich Fibrin (PRF) to Treat Chronic Non-Healing Wounds</t>
  </si>
  <si>
    <t>NCT07306832</t>
  </si>
  <si>
    <t>A Study to Assess Adverse Events and How Intravenous (IV) Pivekimab Sunirine Moves Through the Body in Pediatric Participants With Relapsed or Refractory Acute Myeloid Leukemia (AML)</t>
  </si>
  <si>
    <t>NCT07439653</t>
  </si>
  <si>
    <t>A Study of TORL-5-700 in Relapsed/Refractory Non Hodgkin's Lymphoma</t>
  </si>
  <si>
    <t>NCT07195695</t>
  </si>
  <si>
    <t>Beamion LUNG-3: A Study to Test Whether Zongertinib Helps People With Surgically Removed, Non-small Cell Lung Cancer With HER2 Mutations Compared With Standard Treatment</t>
  </si>
  <si>
    <t>NCT07331467</t>
  </si>
  <si>
    <t>Study of Ultra-Fast CD19 CAR-T Therapy for Refractory SLE</t>
  </si>
  <si>
    <t>NCT07245992</t>
  </si>
  <si>
    <t>A Study of F8IL10 Intra-articular Treatment in Rheumatoid Arthritis</t>
  </si>
  <si>
    <t>NCT07289776</t>
  </si>
  <si>
    <t>A First-in-human Trial of GRT7041 in Healthy Participants</t>
  </si>
  <si>
    <t>NCT07463196</t>
  </si>
  <si>
    <t>A Study Investigating the Safety, Absorption, Elimination, and the Effect on the Immune System of ACI-19764 in Healthy Participants</t>
  </si>
  <si>
    <t>NCT07423299</t>
  </si>
  <si>
    <t>A First-in-Human Single and Multiple Ascending Dose Study of MT-251</t>
  </si>
  <si>
    <t>NCT07284433</t>
  </si>
  <si>
    <t>Study of Allo-QuadCAR01-T, an Allogeneic CAR-T Targeting CD19/CD20, in Patients With Relapsed or Refractory B-Cell Malignancies</t>
  </si>
  <si>
    <t>AvenCell Therapeutics, Inc.</t>
  </si>
  <si>
    <t>NCT07269145</t>
  </si>
  <si>
    <t>A Phase I Clinical Study to Evaluate the Safety, Tolerability, Pharmacokinetics, and Preliminary Efficacy of TQB3122 Capsules in Subjects With Advanced Malignant Tumors</t>
  </si>
  <si>
    <t>NCT07402915</t>
  </si>
  <si>
    <t>Drug-drug Interaction Study With AZD5335 and Itraconazole in Participants With Ovarian, Primary Peritoneal, or Fallopian Tube Cancer</t>
  </si>
  <si>
    <t>NCT06594393</t>
  </si>
  <si>
    <t>A Phase 2 Study of TCP-25 Gel in Patients With Epidermolysis Bullosa, STEP-study</t>
  </si>
  <si>
    <t>Xinnate AB</t>
  </si>
  <si>
    <t>NCT07230405</t>
  </si>
  <si>
    <t>A Phase II Study of SKB571 in Patients With Lung Cancer</t>
  </si>
  <si>
    <t>NCT07181382</t>
  </si>
  <si>
    <t>Efficacy and Safety of Seralutinib in Adult Subjects With Pulmonary Hypertension Associated With Interstitial Lung Disease (PH-ILD)</t>
  </si>
  <si>
    <t>NCT07336446</t>
  </si>
  <si>
    <t>A Trial to Learn How Safe AZD9750 is and How Well it Works in People With Metastatic Prostate Cancer When Given With or Without Other Anticancer Drugs</t>
  </si>
  <si>
    <t>NCT07352800</t>
  </si>
  <si>
    <t>Safety of Antithrombotic Heparin Proteoglycan Mimetic APAC in Peripheral Arterial Occlusive Disease and Chronic Limb-threatening Ischemia</t>
  </si>
  <si>
    <t>NCT07304518</t>
  </si>
  <si>
    <t>Phase II Trial of PRT-064040 Nasal Spray for the Treatment of Migraine in Adults</t>
  </si>
  <si>
    <t>NCT07356713</t>
  </si>
  <si>
    <t>A Study to Find a Suitable Dose of Exl-111 for Further Research</t>
  </si>
  <si>
    <t>Excellergy Inc.</t>
  </si>
  <si>
    <t>NCT07361120</t>
  </si>
  <si>
    <t>Plan A Occlusion and Reversal System Feasibility Study</t>
  </si>
  <si>
    <t>NCT06930755</t>
  </si>
  <si>
    <t>Study of NMS-03305293 in Adult Patients With Relapsed Ovarian Cancer</t>
  </si>
  <si>
    <t>NCT07270432</t>
  </si>
  <si>
    <t>Efficacy/ Safety of Product DNN.65.21.005 in Patients With Benign Prostatic Hyperplasia</t>
  </si>
  <si>
    <t>NCT07185009</t>
  </si>
  <si>
    <t>A Maintenance Study to Investigate the Efficacy and Safety of Duvakitug in Participants With Moderately to Severely Active Ulcerative Colitis</t>
  </si>
  <si>
    <t>NCT07367971</t>
  </si>
  <si>
    <t>Drug-Drug Interaction Study of ABP-671 in Gout Patients</t>
  </si>
  <si>
    <t>NCT07313150</t>
  </si>
  <si>
    <t>A Phase I Trial of Subcutaneous QLS7305 in Healthy Adults</t>
  </si>
  <si>
    <t>NCT07102342</t>
  </si>
  <si>
    <t>This Clinical Trial is Designed to Evaluate the Safety, Tolerability, Feasibility and Preliminary Efficacy of NouvNeu001 (Human Dopaminergic Progenitor Cells Injection) in Patients With Parkinson's Disease.</t>
  </si>
  <si>
    <t>NCT07311330</t>
  </si>
  <si>
    <t>Phase IIa Clinical Trial of YN001 in Patients With Atherosclerotic Cardiovascular and Cerebrovascular Diseases and Erectile Dysfunction</t>
  </si>
  <si>
    <t>NCT07349537</t>
  </si>
  <si>
    <t>Study of RMC-5127 in Patients With Advanced KRAS G12V-Mutant Solid Tumors</t>
  </si>
  <si>
    <t>NCT07374406</t>
  </si>
  <si>
    <t>To Evaluate the Safety and Pharmacokinetic Characteristics in Healthy Volunteers</t>
  </si>
  <si>
    <t>NCT07244263</t>
  </si>
  <si>
    <t>A Study of Zasocitinib in Adults With Hidradenitis Suppurativa</t>
  </si>
  <si>
    <t>NCT06357377</t>
  </si>
  <si>
    <t>A Study of the Safety, Dosing, and Delivery of NEO100 in Patients With Pediatric Brain Tumors</t>
  </si>
  <si>
    <t>Neonc Technologies, Inc.</t>
  </si>
  <si>
    <t>NCT07302269</t>
  </si>
  <si>
    <t>Study of the Safety, Tolerability, Pharmacokinetics of VV261 Tablets in Chinese Healthy Volunteers</t>
  </si>
  <si>
    <t>NCT07315750</t>
  </si>
  <si>
    <t>A Study of Disitamab Vedotin Combined With Trastuzumab and Tislelizumab Versus Chemotherapy Combined With Trastuzumab With or Without Pembrolizumab in HER2-high Expression Advanced Gastric or Gastroesophageal Junction Adenocarcinoma.</t>
  </si>
  <si>
    <t>NCT07266090</t>
  </si>
  <si>
    <t>A Study to Evaluate the Safety,Tolerability,Pharmacokinetics and Pharmacodynamics of Cenerimod in Adult Chinese Participants With Moderate-to-severe Systemic Lupus Erythematosus (SLE)</t>
  </si>
  <si>
    <t>Viatris Pharmaceuticals Co., Ltd.</t>
  </si>
  <si>
    <t>NCT06366490</t>
  </si>
  <si>
    <t>Safety and Immunogenicity of Innocell Autologous Cellular Immunotherapy for Recurrent Epithelial Ovarian Cancer</t>
  </si>
  <si>
    <t>PhotonPharma, Inc.</t>
  </si>
  <si>
    <t>NCT07409103</t>
  </si>
  <si>
    <t>A Study to Assess the Safety and Efficacy of Different Doses of ELV001 to Treat Active Rheumatoid Arthritis in Patients With an Inadequate Response to Methotrexate and Tumor Necrosis Factor Inhibition (START SYNERGY)</t>
  </si>
  <si>
    <t>Elevara Medicines Limited</t>
  </si>
  <si>
    <t>NCT06623240</t>
  </si>
  <si>
    <t>HB-adMSCs vs Placebo for the Treatment of Juvenile Idiopathic Arthritis</t>
  </si>
  <si>
    <t>NCT07303660</t>
  </si>
  <si>
    <t>A Phase 1b Study of Lonitoclax + Azacitidine in Acute Myeloid Leukemia Patients</t>
  </si>
  <si>
    <t>NCT07335913</t>
  </si>
  <si>
    <t>Phase 1 Study of SBS-147 in Healthy Adults</t>
  </si>
  <si>
    <t>Sparian Biosciences, Inc</t>
  </si>
  <si>
    <t>NCT07222137</t>
  </si>
  <si>
    <t>A Study of Baricitinib (LY3009104) for the Delay of Stage 3 Type 1 Diabetes in At-Risk Children and Adults</t>
  </si>
  <si>
    <t>NCT07172867</t>
  </si>
  <si>
    <t>A Ph2 Study to Evaluate the Safety, Efficacy and Tolerability of HT-6184 and Semaglutide in Obese Participants With T2DM</t>
  </si>
  <si>
    <t>NCT07227454</t>
  </si>
  <si>
    <t>A Study to Evaluate the Efficacy and Safety of Esketamine for Reduction of Symptoms of Major Depressive Disorder</t>
  </si>
  <si>
    <t>NCT07230730</t>
  </si>
  <si>
    <t>A Trial to Evaluate the Efficacy and Safety of SHR-1918 in Patients With Hyperlipidemia</t>
  </si>
  <si>
    <t>NCT07160205</t>
  </si>
  <si>
    <t>Safety and Efficacy of ULSC on Disease Severity and Steroid Tapering in Participants With Dermatomyositis/ Polymyositis (DM/PM), Also Known as Idiopathic Inflammatory Myopathy (IIM)</t>
  </si>
  <si>
    <t>NCT07312851</t>
  </si>
  <si>
    <t>A Study to Investigate Andexanet Dosing and the Interaction Between Andexanet and Subsequent Enoxaparin in Healthy Participants</t>
  </si>
  <si>
    <t>NCT07262619</t>
  </si>
  <si>
    <t>EIK1005-002: A Clinical Research Study Evaluating EIK1005, a Werner Helicase Inhibitor, as Monotherapy and in Combination With Pembrolizumab in Participants With Advanced Solid Tumors Including Microsatellite Instability High (MSI-H) Tumors</t>
  </si>
  <si>
    <t>NCT07184619</t>
  </si>
  <si>
    <t>Evenamide, a Glutamate Release Modulator, as Add-On to Standard of Care in Subjects With Documented Treatment-Resistant Schizophrenia</t>
  </si>
  <si>
    <t>Newron Pharmaceuticals SPA</t>
  </si>
  <si>
    <t>NCT07312903</t>
  </si>
  <si>
    <t>DPTX3186 in Wnt Pathway Activated Solid Tumors</t>
  </si>
  <si>
    <t>Dewpoint Therapeutics</t>
  </si>
  <si>
    <t>NCT07363720</t>
  </si>
  <si>
    <t>A Trial of TAK-861 for the Treatment of Narcolepsy With Cataplexy</t>
  </si>
  <si>
    <t>NCT07301255</t>
  </si>
  <si>
    <t>ENV-294 for Moderate-to-Severe Asthma: A 12-Week Study in Adults</t>
  </si>
  <si>
    <t>NCT07262268</t>
  </si>
  <si>
    <t>A Phase 1b Study of BHV-7000 in Participants With Inherited Erythromelalgia</t>
  </si>
  <si>
    <t>NCT07294300</t>
  </si>
  <si>
    <t>A Phase I Trial of QLS2313 Injection in Relapsed/Refractory Hematological Malignancies</t>
  </si>
  <si>
    <t>NCT07227311</t>
  </si>
  <si>
    <t>A Study to Evaluate the Efficacy and Safety of Belantamab Mafodotin in Combination With Standard of Care in Participants With Relapsed-Refractory Multiple Myeloma (RRMM)</t>
  </si>
  <si>
    <t>NCT06774040</t>
  </si>
  <si>
    <t>Evaluation of Safety, Tolerability and Preliminary Efficacy of Etrinabdione in Patients With Peripheral Arterial Disease</t>
  </si>
  <si>
    <t>VivaCell Biotechnology España</t>
  </si>
  <si>
    <t>NCT07358858</t>
  </si>
  <si>
    <t>A Food Effect Study of QLS1410 in Healthy Chinese Adults</t>
  </si>
  <si>
    <t>NCT07310173</t>
  </si>
  <si>
    <t>Phase IIb Study of AST-3424 in Patients With AKR1C3-high Expressing Advanced Hepatocellular Carcinoma</t>
  </si>
  <si>
    <t>NCT07239596</t>
  </si>
  <si>
    <t>Phase Ib/II Clinical Study of SHR-8068 Combined With Adebrelimab and Other Anti-tumor Drugs in the Treatment of Advanced Renal Cell Carcinom</t>
  </si>
  <si>
    <t>NCT07318818</t>
  </si>
  <si>
    <t>A Clinical Trial of P134 Cells in Recurrent Glioblastoma</t>
  </si>
  <si>
    <t>NCT07290062</t>
  </si>
  <si>
    <t>A Study to Investigate the Safety and Pharmacodynamics of a Single Intrathecal Injection (IT) of INS1202 in Participants With Amyotrophic Lateral Sclerosis (ALS)</t>
  </si>
  <si>
    <t>NCT07282873</t>
  </si>
  <si>
    <t>Study of TYK-01054 Capsules in Patients With Advanced Solid Tumors</t>
  </si>
  <si>
    <t>NCT07265674</t>
  </si>
  <si>
    <t>A Study to Select a Dose Regimen (Part A) and to Investigate Overall Survival (Part B) With Nanvuranlat Compared With Physician's Best Choice in Participants Aged 18 Years or Older With Biliary Tract Cancer</t>
  </si>
  <si>
    <t>J-Pharma Co., Ltd.</t>
  </si>
  <si>
    <t>NCT07357415</t>
  </si>
  <si>
    <t>A Study of Retatrutide (LY3437943) in Participants Without Type 2 Diabetes Who Have Obesity or Overweight</t>
  </si>
  <si>
    <t>NCT07221877</t>
  </si>
  <si>
    <t>A Study to Evaluate the Effect of KarXT on Urological Safety</t>
  </si>
  <si>
    <t>NCT07178431</t>
  </si>
  <si>
    <t>MB-CART2019.1 in Refractory Multiple Sclerosis</t>
  </si>
  <si>
    <t>NCT07355062</t>
  </si>
  <si>
    <t>A Study to Evaluate the Efficacy and Safety of Veverimer for the Treatment of Metabolic Acidosis</t>
  </si>
  <si>
    <t>Renibus Therapeutics, Inc.</t>
  </si>
  <si>
    <t>NCT07292688</t>
  </si>
  <si>
    <t>Study of CM383 in Healthy Subjects</t>
  </si>
  <si>
    <t>NCT03833206</t>
  </si>
  <si>
    <t>A Phase I/II Study of PDC-1421 for Treating Depression in Cancer Patients</t>
  </si>
  <si>
    <t>NCT07366632</t>
  </si>
  <si>
    <t>A Study of Single Dose of BL0175 in Postmenopausal Women</t>
  </si>
  <si>
    <t>NCT07287748</t>
  </si>
  <si>
    <t>A Phase I Trial of Af-001 in Patients With Differentiated Thyroid Cancer</t>
  </si>
  <si>
    <t>Alpha Fusion Inc.</t>
  </si>
  <si>
    <t>NCT05646563</t>
  </si>
  <si>
    <t>Study of NM8074 in Adult PNH Patients with Inadequate Response to Soliris</t>
  </si>
  <si>
    <t>NCT07294508</t>
  </si>
  <si>
    <t>A Study to Evaluate HLX22 in Combination With HLX87 in Patients With HER2-Positive Recurrent or Metastatic Breast Cancer</t>
  </si>
  <si>
    <t>NCT07367958</t>
  </si>
  <si>
    <t>A Study to Compare the Auto-injector and Pre-filled Syringe of CT-P52 in Healthy Male Subjects</t>
  </si>
  <si>
    <t>NCT07321873</t>
  </si>
  <si>
    <t>A Study to Evaluate the Efficacy and Safety of JNJ-88545223 for the Treatment of Participants With Active Psoriatic Arthritis</t>
  </si>
  <si>
    <t>NCT07312773</t>
  </si>
  <si>
    <t>A Study to Evaluate the Pharmacokinetic Interaction and the Safety of AD-231A and AD-231B and AD-231C</t>
  </si>
  <si>
    <t>NCT07314775</t>
  </si>
  <si>
    <t>Yangxin Dawayimixike Honey Paste for Carotid Atherosclerotic Plaque With Dyslipidemia: A Randomized Controlled Clinical Study</t>
  </si>
  <si>
    <t>Xinjiang Uygur Pharmaceutical Co., Ltd.</t>
  </si>
  <si>
    <t>NCT07284901</t>
  </si>
  <si>
    <t>Efficacy and Safety of KAI-9531 Administered Once Weekly in Participants Living With Obesity or Overweight and Diabetes</t>
  </si>
  <si>
    <t>NCT07359846</t>
  </si>
  <si>
    <t>A Study to Investigate GB-0895 Adjunctive Therapy in Adults and Adolescents With Severe Uncontrolled Asthma (SOLAIRIA-2)</t>
  </si>
  <si>
    <t>NCT07400003</t>
  </si>
  <si>
    <t>Study to Evaluate the Safety and Immunogenicity of a Lyophilized Herpes Zoster Virus mRNA Vaccine</t>
  </si>
  <si>
    <t>NCT07256756</t>
  </si>
  <si>
    <t>A Study of GC203 TIL in Advanced Solid Tumors (NF)</t>
  </si>
  <si>
    <t>NCT05764928</t>
  </si>
  <si>
    <t>Evaluate the Safety and Efficacy of BLEX 404 Oral Liquid Combined With Pemetrexed + Cisplatin Therapy</t>
  </si>
  <si>
    <t>NCT07294365</t>
  </si>
  <si>
    <t>A Study of DZD8586 in Adults With Primary Immune Thrombocytopenia (ITP) (TAI-SHAN11)</t>
  </si>
  <si>
    <t>NCT07326657</t>
  </si>
  <si>
    <t>Evaluating Whether Intact Fish Skin Graft Can Decrease the Need for Autograft in the Treatment of Deep Partial-Thickness Burns</t>
  </si>
  <si>
    <t>NCT07131202</t>
  </si>
  <si>
    <t>A Study of FL115 in Combination With a PD-1 Antibody in Advanced Solid Tumors</t>
  </si>
  <si>
    <t>NCT07412236</t>
  </si>
  <si>
    <t>A Phase IIIc Clinical Study to Evaluate the Long-term Treatment of Hydronidone Capsules for Liver Fibrosis in Patients With Chronic Hepatitis B.</t>
  </si>
  <si>
    <t>NCT07285291</t>
  </si>
  <si>
    <t>A Phase 3 Study of TS-172 in Hyperphosphatemia Patients on Hemodialysis With Phosphate Binders</t>
  </si>
  <si>
    <t>NCT07348692</t>
  </si>
  <si>
    <t>Lot-to-lot Consistency Study of a 21-valent Pneumococcal Conjugate Vaccine in Healthy Infants From 2 Months of Age</t>
  </si>
  <si>
    <t>NCT07371455</t>
  </si>
  <si>
    <t>A Study to Evaluate the Safety, Tolerability, Pharmacokinetics, and Pharmacodynamics of LWP779 in Healthy Participants</t>
  </si>
  <si>
    <t>Longwood Pharmaceuticals (Hangzhou) Co., Ltd.</t>
  </si>
  <si>
    <t>NCT07276373</t>
  </si>
  <si>
    <t>Two Part Study of Nenocorilant Combined With Nivolumab in Patients With Advanced Solid Malignancies</t>
  </si>
  <si>
    <t>NCT07227597</t>
  </si>
  <si>
    <t>A Clinical Study of Gocatamig (MK-6070) and Infinatamab Deruxtecan (MK-2400) in People With Small Cell Lung Cancer (MK-6070-003)</t>
  </si>
  <si>
    <t>NCT07325279</t>
  </si>
  <si>
    <t>Nalmefene Implant in Healthy Subjects</t>
  </si>
  <si>
    <t>ReacX Pharmaceuticals, Inc.</t>
  </si>
  <si>
    <t>NCT07252479</t>
  </si>
  <si>
    <t>Evaluation of RAS Inhibitor Treatment in Participants With Advanced or Metastatic Solid Tumors Harboring RAS Mutations</t>
  </si>
  <si>
    <t>Adlai Nortye Biopharma Co., Ltd.</t>
  </si>
  <si>
    <t>NCT07296341</t>
  </si>
  <si>
    <t>HRS-4642 Combination With Other Antitumor Therapies in Patients With Solid Tumors</t>
  </si>
  <si>
    <t>NCT07347197</t>
  </si>
  <si>
    <t>Endocardial Delivery for Myocardial Regeneration Using Allogeneic iPSC-derived Cardiomyocyte Spheroids for HF With Systolic Dysfunction (EMERALD Study)</t>
  </si>
  <si>
    <t>Heartseed Inc.</t>
  </si>
  <si>
    <t>NCT07117383</t>
  </si>
  <si>
    <t>Hezkue®, Hezkue Turbo®, and Commercial Sildenafil Products in Fed Healthy Male Subject</t>
  </si>
  <si>
    <t>NCT07230860</t>
  </si>
  <si>
    <t>A Study of JNJ-95597528 in Participants With Moderate to Severe Atopic Dermatitis</t>
  </si>
  <si>
    <t>NCT07276958</t>
  </si>
  <si>
    <t>A Study of LY4298445 in Healthy Participants and Participants With Systemic Lupus Erythematosus (SLE) or Rheumatoid Arthritis (RA)</t>
  </si>
  <si>
    <t>NCT07320521</t>
  </si>
  <si>
    <t>A Study to Assess the Mass Balance of [14C]HRS-8080 in Healthy Chinese Postmenopausal Female Subjects.</t>
  </si>
  <si>
    <t>NCT07334080</t>
  </si>
  <si>
    <t>ECC4703 Food Effect and Relative Bioavailability Study in Healthy Adult Participants</t>
  </si>
  <si>
    <t>NCT07331272</t>
  </si>
  <si>
    <t>A Study of LUCAR-G79D in Subjects With Relapsed/Refractory Systemic Lupus Erythematosus (r/r SLE) and Idiopathic Inflammatory Myopathies (r/r IIM)</t>
  </si>
  <si>
    <t>NCT07089121</t>
  </si>
  <si>
    <t>Descartes-08 for Children, Adolescents, and Young Adults With Autoimmune Disorders</t>
  </si>
  <si>
    <t>NCT07347548</t>
  </si>
  <si>
    <t>A Trial to Investigate the Safety and Pharmacokinetics of GRT6019 in Healthy Male Participants</t>
  </si>
  <si>
    <t>NCT07396909</t>
  </si>
  <si>
    <t>A First-in-Human Single and Multiple Ascending Dose Study of MT-701</t>
  </si>
  <si>
    <t>NCT07253285</t>
  </si>
  <si>
    <t>A Research Study on How Well Cagrilintide and CagriSema Work in Children and Adolescents With Excess Body Weight</t>
  </si>
  <si>
    <t>NCT07414173</t>
  </si>
  <si>
    <t>6-month Clinical Investigation Assessing the Efficacy of an Antimicrobial Mouthrinse in Reducing Established Plaque and Improving Gum Health</t>
  </si>
  <si>
    <t>NCT07172919</t>
  </si>
  <si>
    <t>A Rollover Study Evaluating Sotorasib With or Without Panitumumab in Participants With KRAS p.G12C Mutation</t>
  </si>
  <si>
    <t>NCT07230834</t>
  </si>
  <si>
    <t>Intravitreal (IVT) Pozelimab for Geographic Atrophy (GA) in Adult Participants</t>
  </si>
  <si>
    <t>NCT07262164</t>
  </si>
  <si>
    <t>A Clinical Study to Evaluate the Safety, Tolerability, Pharmacokinetics and Biologic Effect of VG2062 in Patients With Solid Tumors</t>
  </si>
  <si>
    <t>Shanghai Virogin Biotech Co., Ltd.</t>
  </si>
  <si>
    <t>NCT07335419</t>
  </si>
  <si>
    <t>A Study to Learn if Itraconazole Changes How the Body Processes PF-07248144 (Study Medicine)</t>
  </si>
  <si>
    <t>NCT07475000</t>
  </si>
  <si>
    <t>Second Dose of Varicella Vaccine in Healthy Children</t>
  </si>
  <si>
    <t>NCT07266402</t>
  </si>
  <si>
    <t>A Study to Investigate Efficacy, Safety and Tolerability of Barzolvolimab Versus Placebo in Adults With Cold Induced Urticaria and Symptomatic Dermographism Inadequately Controlled by H1-antihistamines (EMBARQ - ColdU and SD)</t>
  </si>
  <si>
    <t>NCT07367529</t>
  </si>
  <si>
    <t>A Clinical Trial on the Efficacy and Safety of TQB6411 for Injection</t>
  </si>
  <si>
    <t>NCT07327294</t>
  </si>
  <si>
    <t>A Phase I/II Study to Evaluate XNW34017 in Patients With Advanced or Metastatic Solid Tumor</t>
  </si>
  <si>
    <t>NCT07159841</t>
  </si>
  <si>
    <t>A Study in Pediatric Participants With Congenital Adrenal Hyperplasia (Balance-CAH)</t>
  </si>
  <si>
    <t>NCT07360132</t>
  </si>
  <si>
    <t>Phase III Clinical Study of HB0025 Combined With Chemotherapy Versus Pembrolizumab Combined With Chemotherapy for the First-Line Treatment of Advanced Squamous Non-Small Cell Lung Cancer</t>
  </si>
  <si>
    <t>NCT07120984</t>
  </si>
  <si>
    <t>A Study to Evaluate the Safety and Efficacy of L19TNF With Alkylating Chemotherapy for Patients With Recurrent IDH-mutant Astrocytoma or Oligodendroglioma</t>
  </si>
  <si>
    <t>NCT07403552</t>
  </si>
  <si>
    <t>Evaluate the Pharmacokinetics, Safety, and Tolerability of NSHO-101 in Healthy Participants</t>
  </si>
  <si>
    <t>Ensho Therapeutics, Inc.</t>
  </si>
  <si>
    <t>NCT07263139</t>
  </si>
  <si>
    <t>Safety, Tolerability, and Exploratory Efficacy of AGP100 in Patients With Catecholaminergic Polymorphic Ventricular Tachycardia (CPVT)</t>
  </si>
  <si>
    <t>Agiana Pharmaceuticals</t>
  </si>
  <si>
    <t>NCT07358884</t>
  </si>
  <si>
    <t>First in Human Study of QLS5316 in Solid Tumors</t>
  </si>
  <si>
    <t>NCT07258407</t>
  </si>
  <si>
    <t>A Clinical Trial Evaluating the Safety of TD001 In Patients With PSMA-Expressing Metastatic Prostate Cancer</t>
  </si>
  <si>
    <t>T.O.A.D. Oncology SA</t>
  </si>
  <si>
    <t>NCT07295847</t>
  </si>
  <si>
    <t>A Study of AZD0120 in Autoimmune Diseases</t>
  </si>
  <si>
    <t>NCT07407543</t>
  </si>
  <si>
    <t>A Study to Evaluate the Safety, Tolerability, Pharmacokinetics and Pharmacodynamics of SRN001 in Healthy Korean and Caucasian Adult Males</t>
  </si>
  <si>
    <t>siRNAgen Therapeutics Inc.</t>
  </si>
  <si>
    <t>NCT07208149</t>
  </si>
  <si>
    <t>A Study of MR001 in Patients With Locally Recurrent or Metastatic Advanced Triple-Negative Breast Cancer (TNBC)</t>
  </si>
  <si>
    <t>NCT07219043</t>
  </si>
  <si>
    <t>A Study to Learn About the Effects of Felzartamab Infusions in Adults With Kidney Transplants Who Have Late Isolated Microvascular Inflammation</t>
  </si>
  <si>
    <t>NCT07247188</t>
  </si>
  <si>
    <t>Study of a Single Dose of a 21-valent Pneumococcal Conjugate Vaccine in Children and Adolescents With Sickle Cell Disease</t>
  </si>
  <si>
    <t>NCT07326813</t>
  </si>
  <si>
    <t>A Clinical Study to Evaluate the Efficacy and Safety of D-2570 in the Treatment of Moderate to Severe Plaque Psoriasis.</t>
  </si>
  <si>
    <t>NCT07184944</t>
  </si>
  <si>
    <t>A Maintenance Study to Investigate the Efficacy and Safety of Duvakitug in Participants With Moderately to Severely Active Crohn's Disease</t>
  </si>
  <si>
    <t>NCT07370909</t>
  </si>
  <si>
    <t>Evaluation of the Efficacy and Safety of Oral LW402 Tablets for the Treatment of Patients With Moderate-to-Severe Atopic Dermatitis</t>
  </si>
  <si>
    <t>NCT07317934</t>
  </si>
  <si>
    <t>Efficacy and Safety of LX102 Gene Therapy in Patients With Neovascular Age-related Macular Degeneration (nAMD) (STELLAR)</t>
  </si>
  <si>
    <t>NCT07155226</t>
  </si>
  <si>
    <t>Study of AZD3632 Monotherapy or in Combination With Anticancer Agents in Participants With Advanced Haematologic Malignancies With KMT2Ar, NPM1m, or Other Genotypes Associated With HOX Overexpression</t>
  </si>
  <si>
    <t>NCT07377396</t>
  </si>
  <si>
    <t>A Study to Assess the Safety of ARGX-124 in Healthy Volunteers</t>
  </si>
  <si>
    <t>NCT07174427</t>
  </si>
  <si>
    <t>Multi-center Study of TBI-1301 (INN: Mipetresgene Autoleucel; Mip-cel) in Patients With NY-ESO-1 Positive Synovial Sarcoma</t>
  </si>
  <si>
    <t>Takara Bio Inc.</t>
  </si>
  <si>
    <t>NCT07356037</t>
  </si>
  <si>
    <t>Nanocrystalline Megestrol Acetate for Cachectic Stage Locally Advanced Hepatocellular Carcinoma</t>
  </si>
  <si>
    <t>NCT07288216</t>
  </si>
  <si>
    <t>Transition to KPL-387 Monotherapy Dosing &amp; Administration Study</t>
  </si>
  <si>
    <t>NCT07363837</t>
  </si>
  <si>
    <t>Phase Ib/IIa Clinical Trial of SIBP-A16 Injection in Premature Infants and Full-term Infants</t>
  </si>
  <si>
    <t>NCT07311811</t>
  </si>
  <si>
    <t>A Study to Evaluate the Pharmacokinetics and Safety of IN-M00007 and IN-R00007 in Healthy Adult Volunteers</t>
  </si>
  <si>
    <t>NCT07300436</t>
  </si>
  <si>
    <t>A Study of TJ101 Injection Before and After CMC Change Following Subcutaneous Injection in Healthy Adult Male Subjects in China</t>
  </si>
  <si>
    <t>NCT07335198</t>
  </si>
  <si>
    <t>A Study to Evaluate the Safety, Tolerability, Pharmacokinetics and Immunogenicity of Efimosfermin Alfa Administered as a Single Dose to Healthy Participants of Chinese, Japanese, and White/European Ancestry</t>
  </si>
  <si>
    <t>NCT06895889</t>
  </si>
  <si>
    <t>EB-OC for the Treatment of Focal Chondral/Osteochondral Defects in the Knee</t>
  </si>
  <si>
    <t>Epibone, Inc.</t>
  </si>
  <si>
    <t>NCT07298330</t>
  </si>
  <si>
    <t>A Trial Evaluating Brelovitug vs Delayed Treatment for the Treatment of Chronic Hepatitis Delta Infection (AZURE-4)</t>
  </si>
  <si>
    <t>NCT07327619</t>
  </si>
  <si>
    <t>A Study to Evaluate the Efficacy and Safety of Meropenem and Pralurbactam in HABP/VABP</t>
  </si>
  <si>
    <t>NCT07144072</t>
  </si>
  <si>
    <t>Safety and Tolerability Study of Mesenchymal Stem Cells, HeXell-2020, in Elderly Subjects With Mild to Moderate Frailty Syndrome</t>
  </si>
  <si>
    <t>NCT07403721</t>
  </si>
  <si>
    <t>AMG 436 as Monotherapy and Combination Therapy in Participants With MSI-H/dMMR Solid Tumors</t>
  </si>
  <si>
    <t>NCT07368608</t>
  </si>
  <si>
    <t>A Study of BEBT-701 in Patients With Mild to Moderate Hypertension and Elevated Low-Density Lipoprotein Cholesterol（LDL-C）</t>
  </si>
  <si>
    <t>NCT07279935</t>
  </si>
  <si>
    <t>Osimertinib Combined With Chemotherapy in Patients Who Had Distant Recurrence After Adjuvant Osimertinib for EGFRm Resectable SIB-IIIA NSCLC.</t>
  </si>
  <si>
    <t>NCT06809114</t>
  </si>
  <si>
    <t>FIH Study to Evaluate Safety, Tolerability, PK, PD &amp; Preliminary Efficacy of AT03-65 With Advanced Solid Tumors</t>
  </si>
  <si>
    <t>Axcynsis Therapeutics Pte Ltd</t>
  </si>
  <si>
    <t>NCT07281274</t>
  </si>
  <si>
    <t>ADO-5030 in Bronchoconstriction Challenge, Phase 1b</t>
  </si>
  <si>
    <t>Adovate</t>
  </si>
  <si>
    <t>NCT07356349</t>
  </si>
  <si>
    <t>Study to Confirm the AuthenTicity of Point of Care Urine samplEs Using Oral fluoreScein Sodium in adulTs With substancE Use Disorder (ATTESTED)</t>
  </si>
  <si>
    <t>UpTru Inc.</t>
  </si>
  <si>
    <t>NCT07329621</t>
  </si>
  <si>
    <t>A Brain Imaging Study to Assess the Binding of MSP-2020 to Serotonin 5-HT2A Receptors in Healthy Male Adults</t>
  </si>
  <si>
    <t>NCT07024706</t>
  </si>
  <si>
    <t>Phase 2 Study of Disease Risk Mutation-Guided Finite Acalabrutinib+Venetoclax for Relapsed CLL Post-1L Finite cBTKi+BCL2i ± Obinutuzumab</t>
  </si>
  <si>
    <t>NCT07324616</t>
  </si>
  <si>
    <t>A Study to Evaluate EDG-7500 in Adults With Hepatic Impairment</t>
  </si>
  <si>
    <t>NCT07342478</t>
  </si>
  <si>
    <t>ROCKET-CLL Global Phase 3 Study: Rocbrutinib vs Pirtobrutinib in cBTKi-Pretreated R/R CLL/SLL</t>
  </si>
  <si>
    <t>Newave Pharmaceutical Inc</t>
  </si>
  <si>
    <t>NCT07278479</t>
  </si>
  <si>
    <t>Study of [212Pb]Pb-DOTAM-MAM279 ([212Pb]Pb-MP0712) in Patients With Small Cell Lung Cancer and Other DLL3 Expressing Solid Tumors</t>
  </si>
  <si>
    <t>Molecular Partners AG</t>
  </si>
  <si>
    <t>NCT06904261</t>
  </si>
  <si>
    <t>A Study of Migalastat in Pediatric Subjects (2 to &lt;12 Yrs) With Fabry Disease and Amenable GLA Variants</t>
  </si>
  <si>
    <t>Amicus Therapeutics</t>
  </si>
  <si>
    <t>NCT07214662</t>
  </si>
  <si>
    <t>A Study to Evaluate the Safety, Pharmacokinetics, and Activity of GDC-0587 as a Monotherapy and in Combination With Giredestrant in Participants With Locally Advanced or Metastatic Estrogen Receptor-Positive and Human Epidermal Growth Factor Receptor 2-Negative (ER+/HER2-) Breast Cancer</t>
  </si>
  <si>
    <t>NCT07398846</t>
  </si>
  <si>
    <t>Efficacy of a Stannous Fluoride Toothpaste, Cetylpyridinium Chloride Mouthwash, and Battery Toothbrush Regimen in Reducing Established Dental Plaque and Gingivitis.</t>
  </si>
  <si>
    <t>NCT07234942</t>
  </si>
  <si>
    <t>A Study to Investigate the Safety, Tolerability, Pharmacokinetics, and Pharmacodynamics of RO7812653 in Participants With Early Symptomatic Alzheimer's Disease (eAD)</t>
  </si>
  <si>
    <t>NCT07312799</t>
  </si>
  <si>
    <t>Evaluate the Pharmacokinetic Interaction and the Safety of AD-2321 and AD-2322</t>
  </si>
  <si>
    <t>NCT07345689</t>
  </si>
  <si>
    <t>A Study of the Pharmacokinetics and Safety of Anaprazole Sodium in Special Populations</t>
  </si>
  <si>
    <t>NCT07288567</t>
  </si>
  <si>
    <t>A Study to Evaluate the Efficacy and Safety of KarXT for the Treatment of Schizophrenia in Adolescents (EMERGENT TEEN)</t>
  </si>
  <si>
    <t>NCT07363057</t>
  </si>
  <si>
    <t>A Study to Evaluate the Effects of the Combination of GI-102 With GIB-7 on Biomarkers of Aging in Healthy Adults and Cancer Survivors</t>
  </si>
  <si>
    <t>NCT07216703</t>
  </si>
  <si>
    <t>A Clinical Study of Sacituzumab Tirumotecan (MK-2870) in Combination With Pembrolizumab (MK-3475) as First-line Maintenance Treatment of Cervical Cancer (MK-2870-036/TroFuse-036/GOG-3123/ENGOT-cx22)</t>
  </si>
  <si>
    <t>NCT07222566</t>
  </si>
  <si>
    <t>A Study to Learn About the Study Medicine Called PF-08634404 in Combination With Chemotherapy in Adult Participants With Locally Advanced or Metastatic Non-Small Cell Lung Cancer</t>
  </si>
  <si>
    <t>NCT07192471</t>
  </si>
  <si>
    <t>A First-in-Human Study of KK2223 in Participants With Relapsed or Refractory T Cell Non-Hodgkin Lymphoma</t>
  </si>
  <si>
    <t>Kyowa Kirin, Inc.</t>
  </si>
  <si>
    <t>NCT07345000</t>
  </si>
  <si>
    <t>A Study of Romiplostim N01 Plus IST vs. Placebo Plus IST for Treatment-Naive Severe Aplastic Anemia</t>
  </si>
  <si>
    <t>NCT07032649</t>
  </si>
  <si>
    <t>Evaluating Benzoyl Peroxide for Preventing Recurrence of HSV-1 Outbreaks With Rescue Crossover Option</t>
  </si>
  <si>
    <t>Greg Bew</t>
  </si>
  <si>
    <t>NCT07428538</t>
  </si>
  <si>
    <t>Study to Evaluate the Safety and Efficacy of Larsucosterol in Participants With Alcohol-associated Hepatitis (AH)</t>
  </si>
  <si>
    <t>Bausch Health Americas, Inc.</t>
  </si>
  <si>
    <t>NCT07362017</t>
  </si>
  <si>
    <t>Open Label Study to Investigate the Safety and Efficacy of Ponesimod in Moderate-to-Severe Chronic Plaque Psoriasis</t>
  </si>
  <si>
    <t>NCT07298434</t>
  </si>
  <si>
    <t>Study of VYD2311 for the Prevention of COVID-19</t>
  </si>
  <si>
    <t>NCT07253142</t>
  </si>
  <si>
    <t>A Phase II Clinical Study to Evaluate HLX43 in Combination With Serplulimab in Subjects With Advanced Lung Cancer</t>
  </si>
  <si>
    <t>NCT07323654</t>
  </si>
  <si>
    <t>A Study of KT-621 Administered Orally to Adult Participants With Moderate to Severe Eosinophilic Asthma</t>
  </si>
  <si>
    <t>NCT07361705</t>
  </si>
  <si>
    <t>Zorifertinib With Osimertinib for NSCLC With Meningeal Progression</t>
  </si>
  <si>
    <t>Alpha Biopharma (Jiangsu) Co., Ltd.</t>
  </si>
  <si>
    <t>NCT07382167</t>
  </si>
  <si>
    <t>A 26-Wk Study to Assess Safety &amp; Efficacy of Tenapanor for T/t of Chronic Idiopathic Constipation in Adults</t>
  </si>
  <si>
    <t>NCT07253753</t>
  </si>
  <si>
    <t>A Study to Evaluate Safety and Dosimetry of [18F]4-FDF, a New PET Imaging Agent for Inflammation</t>
  </si>
  <si>
    <t>Yellowbird Diagnostics Inc</t>
  </si>
  <si>
    <t>NCT07221669</t>
  </si>
  <si>
    <t>A Study to Learn About Salanersen's (BIIB115) Effects on Movement and Its Safety When Given Before Symptoms Appear in Babies With Genetically Diagnosed Spinal Muscular Atrophy (SMA)</t>
  </si>
  <si>
    <t>NCT07412353</t>
  </si>
  <si>
    <t>A Single Ascending Dose Study to Evaluate the Safety, Tolerability and Pharmacokinetics of SYH2085</t>
  </si>
  <si>
    <t>NCT07187973</t>
  </si>
  <si>
    <t>A Phase 1b, Open-Label Study of DISC-3405 in Participants With Sickle Cell Disease (SCD)</t>
  </si>
  <si>
    <t>NCT06980480</t>
  </si>
  <si>
    <t>A Study of Gammagard Liquid (Immune Globulin Infusion, 10%) to Prevent Infections in Adults With Multiple Myeloma</t>
  </si>
  <si>
    <t>NCT07281976</t>
  </si>
  <si>
    <t>A Trial of LBL-024 Monotherapy or Combination Drug in Patients With Triple Negative Breast Cancer</t>
  </si>
  <si>
    <t>NCT07194382</t>
  </si>
  <si>
    <t>AURA-IPF: A Randomized Phase 2 Study to Evaluate the Safety and Efficacy of AP02 (Nintedanib Solution) in IPF</t>
  </si>
  <si>
    <t>NCT07318259</t>
  </si>
  <si>
    <t>Study of Ultra-Fast BCMA/CD70 CAR-T Therapy for Refractory SLE</t>
  </si>
  <si>
    <t>NCT07269769</t>
  </si>
  <si>
    <t>A Clinical Trial Evaluating the Efficacy and Safety of Sanhuang Jingshiming Pills in the Treatment of nAMD</t>
  </si>
  <si>
    <t>NCT07354659</t>
  </si>
  <si>
    <t>Immunogenicity and Safety of SYS6017 in the Participants Aged 40 Years and Above</t>
  </si>
  <si>
    <t>NCT07229911</t>
  </si>
  <si>
    <t>A Study of TAK-781 in Healthy Volunteers and in Participants With Non-Cirrhotic Primary Sclerosing Cholangitis (PSC)</t>
  </si>
  <si>
    <t>NCT07033598</t>
  </si>
  <si>
    <t>Pacritinib vs. Hydroxyurea in Advanced Proliferative Chronic Myelomonocytic Leukemia</t>
  </si>
  <si>
    <t>Theradex</t>
  </si>
  <si>
    <t>NCT07345637</t>
  </si>
  <si>
    <t>Phase I Study of FXS887 in the Treatment of Solid Tumors</t>
  </si>
  <si>
    <t>NCT07331545</t>
  </si>
  <si>
    <t>Safety, Tolerability, PK, PD, and Immunogenicity of QL2401 in Healthy Chinese Adults</t>
  </si>
  <si>
    <t>NCT07346495</t>
  </si>
  <si>
    <t>A Study of Remternetug (LY3372993) in Healthy Chinese Participants</t>
  </si>
  <si>
    <t>NCT07399470</t>
  </si>
  <si>
    <t>A Clinical Study in Healthy Adults to See How the Body Processes and How Safe a Tablet That Combines Gemigliptin, Dapagliflozin, and Metformin is, Compared With Taking Zemiglo and Xigduo XR Together While Fasting.</t>
  </si>
  <si>
    <t>NCT07092813</t>
  </si>
  <si>
    <t>Pharmacokinetics of Sulopenem Etzadroxil Plus Probenecid in Adolescents</t>
  </si>
  <si>
    <t>Iterum Therapeutics, International Limited</t>
  </si>
  <si>
    <t>NCT07269782</t>
  </si>
  <si>
    <t>A Phase II Study to Evaluate the Efficacy and Safety of HLX43 + Serplulimab as Neoadjuvant Therapy in Subjects With NSCLC</t>
  </si>
  <si>
    <t>NCT07422857</t>
  </si>
  <si>
    <t>Evaluate the Use of [18F]-APN-1607 PET in Subjects With AD-related Cognitive Impairment and Subjects With Normal Cognitive Function</t>
  </si>
  <si>
    <t>JYAMS PET Research &amp; Development Limited</t>
  </si>
  <si>
    <t>NCT07336056</t>
  </si>
  <si>
    <t>Nerivio Efficacy Under High-Frequency Use</t>
  </si>
  <si>
    <t>NCT07363642</t>
  </si>
  <si>
    <t>Phase 3b Study in Patients With Severe Asthma Treated With Tezepelumab</t>
  </si>
  <si>
    <t>NCT07338266</t>
  </si>
  <si>
    <t>Study to Assess the Safety and Pharmacokinetics of AVD275 Injection in Patients With Osteoarthritis of the Knee</t>
  </si>
  <si>
    <t>Avidence Therapeutics</t>
  </si>
  <si>
    <t>NCT07373067</t>
  </si>
  <si>
    <t>Repeat Intracerebroventricular Injections of RB-ADSC in Subjects Previously Treated in RBI Protocol RB-ADSC-02</t>
  </si>
  <si>
    <t>NCT07158775</t>
  </si>
  <si>
    <t>A Phase 1/2 Study to Evaluate the Safety and Efficacy of Intravitreal Administration of BS01 in Patients With Geographic Atrophy Secondary to Dry AMD</t>
  </si>
  <si>
    <t>Bionic Sight LLC</t>
  </si>
  <si>
    <t>NCT07219212</t>
  </si>
  <si>
    <t>A Study of JNJ-90301900 in Combination With Chemoradiation Therapy in Participants With Locally Advanced Head and Neck Squamous Cell Carcinoma</t>
  </si>
  <si>
    <t>NCT07370155</t>
  </si>
  <si>
    <t>Study Evaluating Safety &amp; Tolerability of Migaldendranib in Healthy Volunteers</t>
  </si>
  <si>
    <t>Ashvattha Therapeutics, Inc.</t>
  </si>
  <si>
    <t>NCT07318155</t>
  </si>
  <si>
    <t>A Study of SRSD107 in Participants With Chronic Coronary and/or Peripheral Arterial Disease</t>
  </si>
  <si>
    <t>NCT07235293</t>
  </si>
  <si>
    <t>A Study to Test DSP107 in Combination With Atezolizumab in Comparison With Fruquintinib as a New Treatment for Colorectal Cancer.</t>
  </si>
  <si>
    <t>Kahr Bio Australia Pty Ltd</t>
  </si>
  <si>
    <t>NCT07321678</t>
  </si>
  <si>
    <t>A Study to Evaluate the Efficacy, Safety, and Tolerability of ASC30 Tablets in Participants With Type 2 Diabetes Mellitus</t>
  </si>
  <si>
    <t>NCT07445815</t>
  </si>
  <si>
    <t>A Phase II Trial of a Recombinant Human Anti-Rabies Virus Monoclonal Antibody</t>
  </si>
  <si>
    <t>NCT07318597</t>
  </si>
  <si>
    <t>Phase 2 Study of REGN13335 in Adult Participants With Pulmonary Arterial Hypertension (PAH)</t>
  </si>
  <si>
    <t>NCT07235176</t>
  </si>
  <si>
    <t>Phase Ib/II Clinical Study of QLS1304 Combined With Endocrine Therapy in the Treatment of ER+/HER2- Breast Cancer Patients</t>
  </si>
  <si>
    <t>NCT07363395</t>
  </si>
  <si>
    <t>Safety, Tolerability, and Pharmacokinetics of ASCT-83 in Healthy Adults</t>
  </si>
  <si>
    <t>Alcamena Stem Cell Therapeutics</t>
  </si>
  <si>
    <t>NCT07358988</t>
  </si>
  <si>
    <t>KN5501 Cell Injection for Refractory SLE(CLEAR)</t>
  </si>
  <si>
    <t>Ruitherapeutics Co., LTD</t>
  </si>
  <si>
    <t>NCT07080008</t>
  </si>
  <si>
    <t>Evaluation of Lumitrace for Visualizing Ureters During Abdominopelvic Surgeries</t>
  </si>
  <si>
    <t>NCT07309562</t>
  </si>
  <si>
    <t>The Efficacy and Safety of Inpegsomatropin Injection in Children With Short Stature Born Small for Gestational Age</t>
  </si>
  <si>
    <t>NCT07389499</t>
  </si>
  <si>
    <t>A Clinical Study Evaluating the Safety and Efficacy of GT719 Universal Cell Injection in the Treatment of Immune-mediated Kidney Diseases</t>
  </si>
  <si>
    <t>NCT07344311</t>
  </si>
  <si>
    <t>A Phase I Trial of A-CAR032 in Participants With mCRPC</t>
  </si>
  <si>
    <t>NCT07397338</t>
  </si>
  <si>
    <t>Study of RAS(ON) Inhibitors in Combination With Ivonescimab in Patients With Solid Tumors</t>
  </si>
  <si>
    <t>NCT07432633</t>
  </si>
  <si>
    <t>[18F]FPyQCP PET Imaging of Fibroblast Activation Protein in Selected Oncology Indications</t>
  </si>
  <si>
    <t>NCT07413341</t>
  </si>
  <si>
    <t>A Clinical Study of TI-0032-III Injection in Patients With Relapsed and Refractory Autoimmune Diseases</t>
  </si>
  <si>
    <t>NCT07384975</t>
  </si>
  <si>
    <t>A Study to Assess NAV-240 in Adult Participants With Hidradenitis Suppurativa</t>
  </si>
  <si>
    <t>NCT07368270</t>
  </si>
  <si>
    <t>Safety and Efficacy Study of Anti-PD1 Armored CD19 CAR-T Cells in Adult Subjects With Relapsed or Refractory Diffuse Large B-cell Lymphoma</t>
  </si>
  <si>
    <t>NCT07262476</t>
  </si>
  <si>
    <t>Open-Label Extension Study of MHB018A in Subjects With Thyroid Eye Disease</t>
  </si>
  <si>
    <t>NCT07398417</t>
  </si>
  <si>
    <t>Fibromyalgia Response With Esreboxetine Evaluated Using a Randomized Withdrawal Research Design</t>
  </si>
  <si>
    <t>NCT07306624</t>
  </si>
  <si>
    <t>Nelmastobart in Combination With Docetaxel in Non Small Cell Lung Cancer</t>
  </si>
  <si>
    <t>NCT07313917</t>
  </si>
  <si>
    <t>A Study to Evaluate the Efficacy and Safety of LP-003 Injection in Patients With Chronic Rhinosinusitis With Nasal Polyps (CRSwNP)</t>
  </si>
  <si>
    <t>NCT07339735</t>
  </si>
  <si>
    <t>A Study of LY4064809 in Healthy Adult Participants</t>
  </si>
  <si>
    <t>NCT07231185</t>
  </si>
  <si>
    <t>Phase 2 Efficacy Study of Sildenafil Products in Adult Men With Erectile Dysfunction</t>
  </si>
  <si>
    <t>NCT07297797</t>
  </si>
  <si>
    <t>Phase II Clinical Study of HRS-9563 in Patients With Mild to Moderate Hypertension</t>
  </si>
  <si>
    <t>NCT07327632</t>
  </si>
  <si>
    <t>This is a Multi-Center Study of IBI3026 in Participants With Locally Advanced, Unresectable or Metastatic Solid Tumors</t>
  </si>
  <si>
    <t>NCT07314242</t>
  </si>
  <si>
    <t>A Study to Investigate the Biomarkers of Hemay005 in Adult Participants With Moderate to Severe COPD</t>
  </si>
  <si>
    <t>NCT04883619</t>
  </si>
  <si>
    <t>A Study of Nipocalimab in Adult Participants With Active Lupus Nephritis</t>
  </si>
  <si>
    <t>NCT06375343</t>
  </si>
  <si>
    <t>Study to Evaluating PRO-240 Ophthalmic Solution Compared to Optive®</t>
  </si>
  <si>
    <t>NCT07182058</t>
  </si>
  <si>
    <t>Virtual tES Device Treatment for Parkinson's Disease Motor Symptoms</t>
  </si>
  <si>
    <t>U: The Mind Company</t>
  </si>
  <si>
    <t>NCT07401121</t>
  </si>
  <si>
    <t>Safety and Tolerability Study of CTx1000 In Participants With Amyotrophic Lateral Sclerosis</t>
  </si>
  <si>
    <t>Celosia Therapeutics Pty Ltd</t>
  </si>
  <si>
    <t>NCT07433387</t>
  </si>
  <si>
    <t>Exploratory Study of LP-98 for Injection in ART-Naive HIV-Infected Individuals</t>
  </si>
  <si>
    <t>NCT07188558</t>
  </si>
  <si>
    <t>A Study to Investigate Ronde-cel Versus Investigator's Choice CD19 CAR T-Cell Therapy</t>
  </si>
  <si>
    <t>NCT07439887</t>
  </si>
  <si>
    <t>Phase 1/2 Open-Label Dose-Escalation Study to Evaluate Safety of a Single Intravitreal Injection of RTx-021 in Patients With Stargardt Disease</t>
  </si>
  <si>
    <t>NCT07364448</t>
  </si>
  <si>
    <t>A Study to Evaluate the Safety of Hydronidone Capsules in Patients With Liver Fibrosis</t>
  </si>
  <si>
    <t>NCT07217587</t>
  </si>
  <si>
    <t>Comparative Efficacy of Nipocalimab and Efgartigimod in Participants With Generalized Myasthenia Gravis</t>
  </si>
  <si>
    <t>NCT07152379</t>
  </si>
  <si>
    <t>Challenge Transfusion of INTERCEPT Pathogen Reduced Red Blood Cells (RBCs) in Subjects With or Without Pre-existing Antibodies to INTERCEPT RBCs</t>
  </si>
  <si>
    <t>NCT07330531</t>
  </si>
  <si>
    <t>Drug-drug Interaction Study of Rifampin and Anaprazole Sodium</t>
  </si>
  <si>
    <t>NCT07296445</t>
  </si>
  <si>
    <t>A Trial to Investigate Whether Oral Arsenic Trioxide Is Similar to Intravenous Arsenic Trioxide in Pharmacokinetics, Safety, and Efficacy (LATITUDE/SDKARS-301)</t>
  </si>
  <si>
    <t>NCT07223892</t>
  </si>
  <si>
    <t>Efficacy of Carbonlife Amniotic Tissue Product in the Treatment of Chronic Wounds</t>
  </si>
  <si>
    <t>Bardia Anvar</t>
  </si>
  <si>
    <t>NCT07324629</t>
  </si>
  <si>
    <t>Sacituzumab Tirumotecan in Participants With Locally Advanced or Metastatic Thymic Carcinoma</t>
  </si>
  <si>
    <t>NCT07277231</t>
  </si>
  <si>
    <t>A Study to Investigate Sonrotoclax (BGB-11417) Plus Zanubrutinib (BGB-3111) Compared With Venetoclax Plus Acalabrutinib in Adults With Previously Untreated Chronic Lymphocytic Leukemia</t>
  </si>
  <si>
    <t>NCT07345390</t>
  </si>
  <si>
    <t>Safety, Efficacy and Pharmacokinetic Characteristics of KR230109 Cream in Facial Acne Vulgaris</t>
  </si>
  <si>
    <t>NCT07307274</t>
  </si>
  <si>
    <t>A Study of SYNT-101 to Test Safety, Tolerability and Pharmacodynamics of SYNT-101 in Healthy and Overweight Adults</t>
  </si>
  <si>
    <t>Syntis Bio</t>
  </si>
  <si>
    <t>NCT07340697</t>
  </si>
  <si>
    <t>Evaluate RLS-1496 Topical Cream for Actinic Keratosis</t>
  </si>
  <si>
    <t>Rubedo Life Sciences, Inc.</t>
  </si>
  <si>
    <t>NCT07147959</t>
  </si>
  <si>
    <t>PET-Based Imaging of Radiolabeled CIT-013</t>
  </si>
  <si>
    <t>NCT07230288</t>
  </si>
  <si>
    <t>Study of ABBV-142 to Assess Adverse Events and Change in Disease Activity in Adult Participants With Idiopathic Pulmonary Fibrosis</t>
  </si>
  <si>
    <t>NCT07138846</t>
  </si>
  <si>
    <t>A Study Comparing MRG004A Plus Best Supportive Care Versus Placebo and Best Supportive Care in the Treatment of Patients With Advanced Pancreatic Cancer</t>
  </si>
  <si>
    <t>NCT07292441</t>
  </si>
  <si>
    <t>Extension Study of the Phase 3 Clinical Study of GZR18 Injection for Weight Loss</t>
  </si>
  <si>
    <t>NCT07272642</t>
  </si>
  <si>
    <t>A Phase 1, Multicenter Imaging Study of LNTH-2403 in Participants With Locally Advanced or Metastatic Solid Tumors.</t>
  </si>
  <si>
    <t>NCT07190300</t>
  </si>
  <si>
    <t>TulmiSTAR-02: A Phase I/II Open-label Study of Tulmimetostat in Combination With Darolutamide vs. Darolutamide, and Tulmimetostat With Abiraterone in Patients With Metastatic Hormone-sensitive Prostate Cancer (mHSPC)</t>
  </si>
  <si>
    <t>NCT07337174</t>
  </si>
  <si>
    <t>Study to Compare and Evaluate the Safety and Pharmacokinetics After Subcutaneous Injection of HUC2-676 or HUC2-676-R in Healthy Adult Subjects</t>
  </si>
  <si>
    <t>NCT07433062</t>
  </si>
  <si>
    <t>A Study to Evaluate the Effect of AZD6793 on the Pharmacokinetics and Pharmacodynamics of Metformin in Participants With Type 2 Diabetes Mellitus</t>
  </si>
  <si>
    <t>NCT07293871</t>
  </si>
  <si>
    <t>Ultrasound Neuroimmune Modulation in Adults With Rheumatoid Arthritis</t>
  </si>
  <si>
    <t>Surf Therapeutics</t>
  </si>
  <si>
    <t>NCT07380334</t>
  </si>
  <si>
    <t>A Clinical Study on the Safety, Tolerability, Pharmacokinetics and Efficacy of SHR-1049 in Patients With Advanced Solid Tumors</t>
  </si>
  <si>
    <t>NCT07220616</t>
  </si>
  <si>
    <t>A First-in-Human Trial of DS3790a in Participants With Hematological Malignancies</t>
  </si>
  <si>
    <t>NCT06875128</t>
  </si>
  <si>
    <t>Evaluation of the Safety and Efficacy of Treatment w/High Dose Melphalan Given Directly Into the Liver Followed by Treatment w/Approved Cancer Treatment or Approved Cancer Treatment Alone in Patients w/ Metastatic Breast Cancer w/Liver Dominant Disease</t>
  </si>
  <si>
    <t>NCT07399899</t>
  </si>
  <si>
    <t>Dose-Finding Study of NBX-100 in Healthy Adult Participants</t>
  </si>
  <si>
    <t>Neurala Biosciences</t>
  </si>
  <si>
    <t>NCT07365280</t>
  </si>
  <si>
    <t>Neoantigen-Pulsed Autologous Dendritic Cell Vaccine Combined With Temozolomide for Newly Diagnosed Glioblastoma</t>
  </si>
  <si>
    <t>ZSky Biotech Inc</t>
  </si>
  <si>
    <t>NCT07321951</t>
  </si>
  <si>
    <t>A Study of SHR-1819 in Patients With Moderate-to-severe Atopic Dermatitis</t>
  </si>
  <si>
    <t>NCT07327398</t>
  </si>
  <si>
    <t>Phase Ⅱ Clinical Trial of Influenza Virus Split Vaccine for Individuals Aged 60 Years and Above</t>
  </si>
  <si>
    <t>NCT07365826</t>
  </si>
  <si>
    <t>A Clinical Study to Evaluate the Safety, Tolerability, and Immunogenicity of VAX-31 With Influenza Vaccine in Adults ≥ 50 Years of Age</t>
  </si>
  <si>
    <t>NCT07024316</t>
  </si>
  <si>
    <t>A Study to Investigate the Improvement of Photosensitivity in Terms of Skin Lesions Associated With CEP Following Administration of Oral ATL-001 (Ciclopirox Oral Solution) in Participants Aged &gt;18 Years of Age With CEP</t>
  </si>
  <si>
    <t>Atlas Molecular Pharma</t>
  </si>
  <si>
    <t>NCT06594068</t>
  </si>
  <si>
    <t>Prospective Registry Investigating Maternal, Infant, and Lactation Outcomes in Anifrolumab Users</t>
  </si>
  <si>
    <t>NCT07238647</t>
  </si>
  <si>
    <t>A Trial of HRS-5817 in Obese Participants</t>
  </si>
  <si>
    <t>NCT07282587</t>
  </si>
  <si>
    <t>Study of ONC206 (JZP3507) in Advanced Pheochromocytoma and Paraganglioma</t>
  </si>
  <si>
    <t>NCT07303296</t>
  </si>
  <si>
    <t>Efficacy and Safety Study of Bilateral IVT Injection of GS010 at Two Dose Levels in LHON Patients</t>
  </si>
  <si>
    <t>GenSight Biologics</t>
  </si>
  <si>
    <t>NCT07343778</t>
  </si>
  <si>
    <t>A Clinical Trial Evaluating the Safety of Hydronidone Capsules in Patients With Hepatic Fibrosis and Liver Cirrhosis</t>
  </si>
  <si>
    <t>NCT07287917</t>
  </si>
  <si>
    <t>Study of AMXT 1501 and DFMO in Combination With Standard Therapies in Advanced Solid Tumors</t>
  </si>
  <si>
    <t>Aminex Therapeutics, Inc.</t>
  </si>
  <si>
    <t>NCT07357610</t>
  </si>
  <si>
    <t>An Open-Label Drug Interaction Clinical Study to Evaluate Itraconazole, Rifampin, Midazolam and SIM0270 in Chinese Healthy Adult Participants</t>
  </si>
  <si>
    <t>NCT07410143</t>
  </si>
  <si>
    <t>Investigation of Individualised Antisense Oligonucleotides (ASOs) in People With Unique Genetic Variants Causing Severely Debilitating, Life Threatening (SDLT) Central Nervous System (CNS) Conditions</t>
  </si>
  <si>
    <t>EveryONE Medicines Inc.</t>
  </si>
  <si>
    <t>NCT07289464</t>
  </si>
  <si>
    <t>A Clinical Study of RSS0343 in Healthy Subjects</t>
  </si>
  <si>
    <t>NCT07355738</t>
  </si>
  <si>
    <t>Bioequivalence Study of GZR18 Injection Before and After CMC Change</t>
  </si>
  <si>
    <t>NCT07361367</t>
  </si>
  <si>
    <t>A Phase 1 Study of a Tablet Form of ABBV-722 Taken With and Without Food in Healthy Adult Participants</t>
  </si>
  <si>
    <t>NCT07297212</t>
  </si>
  <si>
    <t>A Clinical Trial Testing the Safety of the Investigational Drug Pumitamig (BNT327) and How Well it Works in Patients With Recurrent Glioblastoma</t>
  </si>
  <si>
    <t>NCT07348211</t>
  </si>
  <si>
    <t>First in Human Study of SIM0610 in Solid Tumors</t>
  </si>
  <si>
    <t>NCT07174492</t>
  </si>
  <si>
    <t>Efficacy and Safety of Masitinib in Combination With SoC Versus Placebo in the Treatment of ALS Patients</t>
  </si>
  <si>
    <t>AB Science</t>
  </si>
  <si>
    <t>NCT07326488</t>
  </si>
  <si>
    <t>A Study of MHB009C in Patients With Advanced Solid Tumors</t>
  </si>
  <si>
    <t>NCT07157033</t>
  </si>
  <si>
    <t>A Phase 1 Study to Evaluate Safety and Efficacy of XER-001 (Amifostine for Nasoduodenal Delivery) in Combination With Sterotactic Body Radiotherapy for Treatment in Patients With Locally Advanced Pancreatic Cancer.</t>
  </si>
  <si>
    <t>Xerient Pharma</t>
  </si>
  <si>
    <t>NCT07378644</t>
  </si>
  <si>
    <t>Study to Evaluate the Pharmacodynamics, Safety and Efficacy of SKY-0515 in Participants With Huntington's Disease</t>
  </si>
  <si>
    <t>NCT07282210</t>
  </si>
  <si>
    <t>Efficacy and Safety of SIL-8301 for Control of Hemolysis in a Uniform Sickle Cell Disease Endotype</t>
  </si>
  <si>
    <t>Biossil Inc.</t>
  </si>
  <si>
    <t>NCT07364513</t>
  </si>
  <si>
    <t>Phase 1b Safety Study of IMSB301 in Type 1 Interferonopathies</t>
  </si>
  <si>
    <t>ImmuneSensor Therapeutics Inc.</t>
  </si>
  <si>
    <t>NCT07223333</t>
  </si>
  <si>
    <t>A Study of PATAS Trifluoroacetate Using Single Ascending Doses in Healthy Volunteers</t>
  </si>
  <si>
    <t>AdipoPharma LLC</t>
  </si>
  <si>
    <t>NCT07165067</t>
  </si>
  <si>
    <t>A Study of AP601 in Patients With Locally Unresectable Advanced or Metastatic Solid Tumors</t>
  </si>
  <si>
    <t>NCT07227298</t>
  </si>
  <si>
    <t>A Study to Learn About the Study Medicine Called PF-08634404 in Combination With Different Anticancer Agents in Advanced Cancers</t>
  </si>
  <si>
    <t>NCT07345364</t>
  </si>
  <si>
    <t>A Phase I, Randomized, Double-Blind, Placebo-Controlled Study to Evaluate the Safety, Tolerability, and Pharmacokinetics of Single Ascending Doses of SIM0811 Injection in Healthy Chinese Adult Subjects</t>
  </si>
  <si>
    <t>NCT07282743</t>
  </si>
  <si>
    <t>Efficacy and Safety of GL0034 in Overweight or Obese Adults With Type II Diabetes Mellitus</t>
  </si>
  <si>
    <t>NCT07049055</t>
  </si>
  <si>
    <t>A Clinical Trial to Evaluate EDV Nanocell Therapy With Gemcitabine and Nab-paclitaxel in Pancreatic Cancer</t>
  </si>
  <si>
    <t>Engeneic Pty Limited</t>
  </si>
  <si>
    <t>NCT07309432</t>
  </si>
  <si>
    <t>Study of Bet v1 Antibodies Effect on Eye Allergy Symptoms in Adolescents and Adults With Birch Pollen Allergy</t>
  </si>
  <si>
    <t>NCT07336771</t>
  </si>
  <si>
    <t>JSKN016 in Combination With D-0502 for Locally Advanced or Metastatic HR-Positive, HER2-Negative Breast Cancer</t>
  </si>
  <si>
    <t>NCT07216560</t>
  </si>
  <si>
    <t>First-in-human Study of 7MW4911 in GI Cancer</t>
  </si>
  <si>
    <t>NCT07279428</t>
  </si>
  <si>
    <t>A Study of BL-M24D1 in Patients With Locally Advanced or Metastatic Gastrointestinal Tumors and Other Solid Tumors</t>
  </si>
  <si>
    <t>NCT07308132</t>
  </si>
  <si>
    <t>A Study of JNJ-95566692 in Participants With Non-Hodgkin Lymphoid Malignancies</t>
  </si>
  <si>
    <t>NCT07061938</t>
  </si>
  <si>
    <t>Study to Assess Safety, Efficacy and Persistence of ACE1831, in Subjects With IgG4-Related Disease</t>
  </si>
  <si>
    <t>NCT07299955</t>
  </si>
  <si>
    <t>A Phase 1 Comparative Study to Evaluate Pharmacokinetics, Immunogenicity, Safety and Tolerability of Bmab3000 and Herceptin Hylecta® After a Single 600 mg SC Injection in Healthy Male Volunteers</t>
  </si>
  <si>
    <t>Biocon Biologics UK PLC</t>
  </si>
  <si>
    <t>NCT07096778</t>
  </si>
  <si>
    <t>Inobrodib, Pomalidomide and Dexamethasone in Relapsed or Refractory Multiple Myeloma</t>
  </si>
  <si>
    <t>CellCentric Ltd.</t>
  </si>
  <si>
    <t>NCT07280858</t>
  </si>
  <si>
    <t>A Phase I/II, Dose-finding Study to Assess the Safety, Reactogenicity, and Immunogenicity of a Broadly Protective Sarbecovirus Vaccine (GBP511) in Healthy Adults.</t>
  </si>
  <si>
    <t>NCT07257120</t>
  </si>
  <si>
    <t>KarXT Concentrations in the Breast Milk and Plasma of Lactating Females</t>
  </si>
  <si>
    <t>NCT07422285</t>
  </si>
  <si>
    <t>Comparing the Extent to Which Two Evolocumab Drug Products Are Made Available in the Body After a Single Subcutaneous Dose</t>
  </si>
  <si>
    <t>NCT07369492</t>
  </si>
  <si>
    <t>Safety and Efficacy Study of BAFF-R CAR-T Cells in Adult Subjects With CD19-Negative Relapsed or Refractory B-Cell Lymphoma</t>
  </si>
  <si>
    <t>NCT07448116</t>
  </si>
  <si>
    <t>Study of MCLA-129 in Combination With Ensartinib in Patients With Advanced Solid Tumors.</t>
  </si>
  <si>
    <t>NCT07372287</t>
  </si>
  <si>
    <t>A Phase III Study of CM326 in Subjects With Moderate to Severe Asthma</t>
  </si>
  <si>
    <t>NCT07195916</t>
  </si>
  <si>
    <t>A Study to Evaluate INCA036873 in Participants With Advanced Solid Tumors and Hematological Malignancies</t>
  </si>
  <si>
    <t>NCT07070999</t>
  </si>
  <si>
    <t>Study of Safety, Tolerability and Efficacy of GB221 in Infants With Spinal Muscular Atrophy Type 1</t>
  </si>
  <si>
    <t>Gemma Biotherapeutics</t>
  </si>
  <si>
    <t>NCT07157514</t>
  </si>
  <si>
    <t>Radioimmunotherapy Conditioning With 131I- Apamistamab for Allogeneic Transplant in Relapse/Refractory AML</t>
  </si>
  <si>
    <t>Actinium Pharmaceuticals</t>
  </si>
  <si>
    <t>NCT07095452</t>
  </si>
  <si>
    <t>A Study to Assess A Change in Disease Activity and Adverse Events of Intravenous Etentamig and Daratumumab (Etentamig+D) Compared to Daratumumab, Lenalidomide, and Dexamethasone (DRd) in Adult Participants With Newly Diagnosed Multiple Myeloma Not Eligible for Transplant</t>
  </si>
  <si>
    <t>NCT07232121</t>
  </si>
  <si>
    <t>A Study to Evaluate the Safety of Increasing Doses of DF5112 in Healthy Adults</t>
  </si>
  <si>
    <t>Dragonfly Therapeutics</t>
  </si>
  <si>
    <t>NCT07358585</t>
  </si>
  <si>
    <t>A Phase Ib/II Study to Evaluate HLX43 Combined With HLX07 or Serplulimab in Patients With Advanced or Metastatic Colorectal Cancer</t>
  </si>
  <si>
    <t>NCT07179380</t>
  </si>
  <si>
    <t>Efficacy and Safety Study of Treprostinil Palmitil Inhalation Powder (TPIP) in Participants With Pulmonary Hypertension Associated With Interstitial Lung Disease (PH-ILD)</t>
  </si>
  <si>
    <t>NCT07015190</t>
  </si>
  <si>
    <t>Neoadjuvant Darovasertib in Primary Uveal Melanoma</t>
  </si>
  <si>
    <t>NCT07275762</t>
  </si>
  <si>
    <t>Y-4 to Treat the Postherpetic Neuralgia</t>
  </si>
  <si>
    <t>NCT07349069</t>
  </si>
  <si>
    <t>A Phase III Trial Comparing HRS-8080 With Standard Endocrine Therapy in Patients With High-Risk Early Breast Cancer</t>
  </si>
  <si>
    <t>NCT07271186</t>
  </si>
  <si>
    <t>Study to Assess the Effects of Angiopoietin-like Protein 3 (ANGPTL3) Inhibition in Adult Participants With Diabetic Kidney Disease</t>
  </si>
  <si>
    <t>NCT07275788</t>
  </si>
  <si>
    <t>A Study of REGEND003 on Patients With Type 2 Diabetes Mellitus (T2DM) and Chronic Kidney Disease (CKD)</t>
  </si>
  <si>
    <t>NCT07328581</t>
  </si>
  <si>
    <t>BCMA-CD19 cCAR T for the Treatment of Refractory Lupus</t>
  </si>
  <si>
    <t>NCT07175441</t>
  </si>
  <si>
    <t>Evaluation of RBS2418 in Combination With Tremelimumab Plus Durvalumab in Participants With Advanced Unresectable Hepatocellular Carcinoma</t>
  </si>
  <si>
    <t>NCT07388602</t>
  </si>
  <si>
    <t>A Study to Evaluate the Safety and Efficacy of SCTC21C in Combination With Bortezomib, Cyclophosphamide, and Dexamethasone in Patients With Newly Diagnosed Systemic Light-Chain Amyloidosis (NDSLCA)</t>
  </si>
  <si>
    <t>NCT07285694</t>
  </si>
  <si>
    <t>AB-3028, a Programmable Circuit T Cell Therapy in Patients With Castration Resistant Prostate Cancer (CRPC)</t>
  </si>
  <si>
    <t>NCT07226661</t>
  </si>
  <si>
    <t>Double-blind, Placebo-controlled Study in Adults With Major Depressive Disorder</t>
  </si>
  <si>
    <t>NCT07006688</t>
  </si>
  <si>
    <t>A Study of an IDH1m Inhibitor in Participants With IDH1-Mutated Malignancies and Hepatic or Renal Impairment</t>
  </si>
  <si>
    <t>NCT07333469</t>
  </si>
  <si>
    <t>A Clinical Study of HX111 in Patients With Advanced Solid Tumor and Lymphoma</t>
  </si>
  <si>
    <t>NCT07473570</t>
  </si>
  <si>
    <t>A Study（Phase I）of GS3-007a Dry Suspension in Healthy Chinese Adults</t>
  </si>
  <si>
    <t>NCT07193927</t>
  </si>
  <si>
    <t>Investigation of the Efficacy of a Probiotic Mixture in Moderate Metabolic Dysfunction-Associated Steatotic Liver Disease (MASLD): A Mechanistic Trial</t>
  </si>
  <si>
    <t>AB Biotics, SA</t>
  </si>
  <si>
    <t>NCT07281703</t>
  </si>
  <si>
    <t>Evaluation of the Safety, Tolerability and Pharmacokinetics of HY8931 in Healthy Adult Participants</t>
  </si>
  <si>
    <t>NCT07307794</t>
  </si>
  <si>
    <t>To Evaluate the Adhesion of TK-254RX on Healthy Participants</t>
  </si>
  <si>
    <t>NCT07432295</t>
  </si>
  <si>
    <t>Givastomig Combined With Nivolumab and Chemotherapy in Adults With CLDN18.2 Positive Metastatic Gastric Cancer (GIVA-2)</t>
  </si>
  <si>
    <t>I-Mab Biopharma US Limited</t>
  </si>
  <si>
    <t>NCT05251181</t>
  </si>
  <si>
    <t>A Study to Assess Safety and Efficacy of Centhaquine as a Resuscitative Agent</t>
  </si>
  <si>
    <t>NCT07349589</t>
  </si>
  <si>
    <t>Evaluate the Safety, Tolerability and Pharmacokinetics of DW5524 in Healthy Adult Volunteers</t>
  </si>
  <si>
    <t>NCT07210723</t>
  </si>
  <si>
    <t>A Study of the Efficacy and Safety of Danicamtiv in Participants With Symptomatic Genetic and Familial Dilated Cardiomyopathy</t>
  </si>
  <si>
    <t>NCT05634954</t>
  </si>
  <si>
    <t>Study to Evaluate Safety and Dosimetry of [18F]GEH121224 in Patients With Locally Advanced or Metastatic Breast Cancer</t>
  </si>
  <si>
    <t>NCT07446439</t>
  </si>
  <si>
    <t>A Study to Evaluate Tradipitant on Treating Nausea and Vomiting Induced by GLP-1R Agonist Use</t>
  </si>
  <si>
    <t>NCT07386743</t>
  </si>
  <si>
    <t>A Phase III Study of GS101 Injection to Dupixent®</t>
  </si>
  <si>
    <t>Jiangsu Genscend Biopharmaceutical Co., Ltd</t>
  </si>
  <si>
    <t>NCT07224360</t>
  </si>
  <si>
    <t>Safety of Anumigilimab (CSL324) in Adults With Sickle Cell Disease (SCD)</t>
  </si>
  <si>
    <t>NCT07412288</t>
  </si>
  <si>
    <t>First-in-human Study of Orally Administered KT-579 in Healthy Adult Participants</t>
  </si>
  <si>
    <t>NCT07212088</t>
  </si>
  <si>
    <t>Stereotactic Intracerebral Injection of Allogenic IPSC-DAPs in Patients With Parkinson's Disease</t>
  </si>
  <si>
    <t>NCT07383506</t>
  </si>
  <si>
    <t>A Study of Mutant Selective-Inhibitor (CGT6297), in Patients With Advanced Solid Tumors</t>
  </si>
  <si>
    <t>NCT07432698</t>
  </si>
  <si>
    <t>A Study to Evaluate the Safety, Tolerability and Pharmacokinetics of AK0406 Injection in Healthy Adult Participants</t>
  </si>
  <si>
    <t>NCT07471789</t>
  </si>
  <si>
    <t>Safety and Efficacy of GYA01 (CART84) in Relapsed/Refractory (R/R) Acute Myeloid Leukemia (AML) and Acute Lymphoblastic T Leukemia Patients (T-ALL).</t>
  </si>
  <si>
    <t>Gyala Therapeutics</t>
  </si>
  <si>
    <t>NCT07419373</t>
  </si>
  <si>
    <t>ARN-75039 Lassa Fever Treatment in West Africa</t>
  </si>
  <si>
    <t>NCT07436156</t>
  </si>
  <si>
    <t>SUMMIT RISE Study of Acute Ischemic Stroke Patients</t>
  </si>
  <si>
    <t>Route 92 Medical, Inc.</t>
  </si>
  <si>
    <t>NCT07420283</t>
  </si>
  <si>
    <t>A Study of Brenipatide in Participants With Opioid Use Disorder</t>
  </si>
  <si>
    <t>NCT07431853</t>
  </si>
  <si>
    <t>A Study to Learn About mRNA Vaccines Against Influenza in Adults</t>
  </si>
  <si>
    <t>NCT07437105</t>
  </si>
  <si>
    <t>Dose Escalation Study Evaluating the Safety and Pharmacokinetics of VX-272 in Healthy Participants</t>
  </si>
  <si>
    <t>NCT07372703</t>
  </si>
  <si>
    <t>Study of the Safety, Tolerability, Pharmacokinetics of VV913 Capsules in Chinese Healthy Participants</t>
  </si>
  <si>
    <t>NCT07284472</t>
  </si>
  <si>
    <t>Safety and Efficacy of EXV-802 and EXV-801 in the Treatment of Agitation in Alzheimer's Disease Dementia</t>
  </si>
  <si>
    <t>Exciva GmbH</t>
  </si>
  <si>
    <t>NCT07201922</t>
  </si>
  <si>
    <t>A Study to Test Whether Nerandomilast Can Help Slow Down Changes in the Lung in People With a Family History of Pulmonary Fibrosis</t>
  </si>
  <si>
    <t>NCT07220772</t>
  </si>
  <si>
    <t>A Study Evaluating Mibavademab Treatment of Obesity Due to Leptin (LEP) Gene Mutations in Children, Adolescents and Adults</t>
  </si>
  <si>
    <t>NCT07404137</t>
  </si>
  <si>
    <t>A Study to Investigate the Concentrations of Zibotentan and Dapagliflozin in Blood When Given With and Without Food</t>
  </si>
  <si>
    <t>NCT07020832</t>
  </si>
  <si>
    <t>A Phase 3 Study to Evaluate the Efficacy and Safety of Pegcetacoplan in Adults at High Risk of Delayed Graft Function (DGF) Following Kidney Allograft Transplantation</t>
  </si>
  <si>
    <t>NCT07339111</t>
  </si>
  <si>
    <t>Phase 3 Pivotal Trial Comparing CARTISTEM® and Surgical Comparator for Knee Cartilage Lesions and Osteoarthritis</t>
  </si>
  <si>
    <t>Medipost, Inc.</t>
  </si>
  <si>
    <t>NCT07413133</t>
  </si>
  <si>
    <t>A Study to Assess How the Body Absorbs ABBV-8736 Subcutaneous Injections Relative to Intravenous Injections in Adult Healthy Volunteers</t>
  </si>
  <si>
    <t>NCT07401862</t>
  </si>
  <si>
    <t>A Study of Eloralintide (LY3841136) in Participants With Different Levels of Liver Damage and in Participants With Healthy Livers.</t>
  </si>
  <si>
    <t>NCT07370584</t>
  </si>
  <si>
    <t>A Safety Study of IVMED-85 Ophthalmic Solution in Healthy Adults</t>
  </si>
  <si>
    <t>NCT07399704</t>
  </si>
  <si>
    <t>A Study to Evaluate the Safety and Efficacy of Nizubaglustat (AZ-3102) in Patients With GM2 Gangliosidosis or Niemann-Pick Type C Disease</t>
  </si>
  <si>
    <t>NCT07450521</t>
  </si>
  <si>
    <t>Evaluation of MTX-463 Administered Subcutaneously in Healthy Adult Males</t>
  </si>
  <si>
    <t>NCT07415304</t>
  </si>
  <si>
    <t>A Phase 1 Study of ISM4808 in Healthy Adult Subjects</t>
  </si>
  <si>
    <t>TaiGen Biotechnology Co., Ltd.</t>
  </si>
  <si>
    <t>NCT07449923</t>
  </si>
  <si>
    <t>CAPRI: A Phase 3 Randomized, Double-Masked Study Comparing the Efficacy of EYP-1901 Against Aflibercept in DME</t>
  </si>
  <si>
    <t>NCT07211659</t>
  </si>
  <si>
    <t>Trial of THEO-260 (Administered Via Intraperitoneal Route) in Ovarian Cancer Patients</t>
  </si>
  <si>
    <t>NCT07402369</t>
  </si>
  <si>
    <t>Phase II Study of CMS-D002 Capsule for Uterine Fibroids With Menorrhagia</t>
  </si>
  <si>
    <t>Shenzhen Kangzhe Biotechnology Co., Ltd.</t>
  </si>
  <si>
    <t>NCT07346027</t>
  </si>
  <si>
    <t>Safety and Food Effect on Single-Dose Bioavailability of F-02-2-Na in Healthy Adult Subjects</t>
  </si>
  <si>
    <t>NCT07352423</t>
  </si>
  <si>
    <t>Safety, Tolerability, Pharmacokinetic, and Pharmacodynamic Study of ALXN2230 in Healthy Participants</t>
  </si>
  <si>
    <t>NCT06700720</t>
  </si>
  <si>
    <t>YN001-004 in Patients With Coronary Atherosclerosis in Australia</t>
  </si>
  <si>
    <t>NCT07220083</t>
  </si>
  <si>
    <t>A Study to Find Out if BI 764198 Helps Adults and Adolescents With a Kidney Condition Called Focal Segmental Glomerulosclerosis (FSGS)</t>
  </si>
  <si>
    <t>NCT07421856</t>
  </si>
  <si>
    <t>Phase I/II Study of SENL103 for Relapsed or Refractory Multiple Myeloma: A Multicenter, Open-Label, Single-Arm Trial.</t>
  </si>
  <si>
    <t>NCT07426120</t>
  </si>
  <si>
    <t>Efficacy and Safety of a Botanical Total Coumarin (TC) Cream in Treating Patients With Psoriasis Vulgaris (PLANTCOAT-III)</t>
  </si>
  <si>
    <t>Psoriasis Research Institute of Guangzhou</t>
  </si>
  <si>
    <t>NCT07319845</t>
  </si>
  <si>
    <t>A Study of TAK-226 for Transfusion-Dependent Anemia in Japanese Patients With Lower-Risk Myelodysplastic Syndromes</t>
  </si>
  <si>
    <t>NCT07197944</t>
  </si>
  <si>
    <t>Efficacy And Safety Evaluation of Glepaglutide in Treatment of SBS</t>
  </si>
  <si>
    <t>NCT07394114</t>
  </si>
  <si>
    <t>A Study of HDM1005 in Participants With Type 2 Diabetes Not Controlled With Diet and Exercise Alone</t>
  </si>
  <si>
    <t>NCT07389044</t>
  </si>
  <si>
    <t>A Study on IB-001 Dose Response and Tolerability in Healthy Adults and Those With Chronic Hepatitis B</t>
  </si>
  <si>
    <t>IntegerBio</t>
  </si>
  <si>
    <t>NCT07322003</t>
  </si>
  <si>
    <t>Pridopidine Phase 3 Study to Evaluate Efficacy and Safety in ALS</t>
  </si>
  <si>
    <t>Prilenia</t>
  </si>
  <si>
    <t>NCT07472647</t>
  </si>
  <si>
    <t>SYS6090 Combination Therapy in Advanced Lung Cancer</t>
  </si>
  <si>
    <t>NCT07133178</t>
  </si>
  <si>
    <t>A Trial to Evaluate the Safety and Immunogenicity of VLA1553 in Healthy Children</t>
  </si>
  <si>
    <t>NCT07182227</t>
  </si>
  <si>
    <t>PS-002 for the Treatment of IgA Nephropathy in Adults</t>
  </si>
  <si>
    <t>Purespring Therapeutics Limited</t>
  </si>
  <si>
    <t>NCT07449754</t>
  </si>
  <si>
    <t>Belvarafenib in Combination With Cobimetinib in Patients With Locally Advanced or Metastatic NRAS-Mutant Melanoma</t>
  </si>
  <si>
    <t>NCT07353931</t>
  </si>
  <si>
    <t>Efficacy and Safety of Eloralintide (LY3841136) in Participants With Osteoarthritis Knee Pain and Obesity or Overweight</t>
  </si>
  <si>
    <t>NCT07449702</t>
  </si>
  <si>
    <t>An Open-Label Extension Study of ORKA-001 in Participants With Plaque Psoriasis</t>
  </si>
  <si>
    <t>NCT07341737</t>
  </si>
  <si>
    <t>SL-28 for Advanced Solid Tumours</t>
  </si>
  <si>
    <t>Second Life Therapeutics</t>
  </si>
  <si>
    <t>NCT07369011</t>
  </si>
  <si>
    <t>A Study of Eloralintide (LY3841136) in Participants With Obstructive Sleep Apnea and Obesity or Overweight</t>
  </si>
  <si>
    <t>NCT07287098</t>
  </si>
  <si>
    <t>A Study of Imlunestrant (LY3484356) in Premenopausal Women With Estrogen Receptor-Positive (ER+) Human Epidermal Growth Factor Receptor 2 Negative (HER2-) Early Breast Cancer</t>
  </si>
  <si>
    <t>NCT07378865</t>
  </si>
  <si>
    <t>Evaluation of the Excretion of Suzetrigine Into Breast Milk in Healthy Lactating Female Participants</t>
  </si>
  <si>
    <t>NCT07377539</t>
  </si>
  <si>
    <t>A Study to Investigate the Safety, Tolerability, Pharmacokinetics, and Food Effect of JZP047 in Healthy Participants</t>
  </si>
  <si>
    <t>NCT07423117</t>
  </si>
  <si>
    <t>A Study of ITC-6146RO in Patients With Advanced or Metastatic Cancer Who Have Failed Standard Therapy</t>
  </si>
  <si>
    <t>IntoCell, Inc</t>
  </si>
  <si>
    <t>NCT07285798</t>
  </si>
  <si>
    <t>A Study of KarXT + KarX-EC for Treatment of Irritability in Children and Adolescents With Autism Spectrum Disorder</t>
  </si>
  <si>
    <t>NCT07395687</t>
  </si>
  <si>
    <t>A Research Study on How Well Different Doses of the Medicine UBT251 Help People Living With Overweight or Obesity</t>
  </si>
  <si>
    <t>NCT06696755</t>
  </si>
  <si>
    <t>A Study to Assess Adverse Events and Change in Disease Activity of Oral Icalcaprant in Adult Participants With Bipolar I or II Disorder</t>
  </si>
  <si>
    <t>NCT07372625</t>
  </si>
  <si>
    <t>A Study to Investigate the Effects of Multiple Doses of Rezatapopt on the Pharmacokinetics of Metformin, Rosuvastatin, Repaglinide, and Midazolam in Patients With Advanced Solid Tumors Harboring a TP53 Y220C Mutation.</t>
  </si>
  <si>
    <t>NCT07318558</t>
  </si>
  <si>
    <t>A Clinical Trial of Sac-TMT in People With Non-HRD Positive Advanced Ovarian Cancer (MK-2870-021)</t>
  </si>
  <si>
    <t>NCT07471932</t>
  </si>
  <si>
    <t>A Study of LAD106 in Healthy Adult Participants</t>
  </si>
  <si>
    <t>NCT07429838</t>
  </si>
  <si>
    <t>EGEN-5784 Porcine Liver With the Metra® ELC Device</t>
  </si>
  <si>
    <t>eGenesis, INC</t>
  </si>
  <si>
    <t>NCT07370818</t>
  </si>
  <si>
    <t>To Evaluate the Efficacy and Safety of JPI-547 in Combination With Bevacizumab as Maintenance Therapy in Relapsed Ovarian Cancer</t>
  </si>
  <si>
    <t>NCT07201129</t>
  </si>
  <si>
    <t>A Research Trial to Assess if Cenerimod is Efficacious and Safe to Treat Active Lupus Nephritis on Top of Regular Treatment</t>
  </si>
  <si>
    <t>NCT07332455</t>
  </si>
  <si>
    <t>First-Time-in-Human Study of GSK5471713 in Adults With mCRPC</t>
  </si>
  <si>
    <t>NCT07284745</t>
  </si>
  <si>
    <t>A Study of KarXT + KarX-EC for Treatment of Irritability in Children and Adolescents With Autism</t>
  </si>
  <si>
    <t>NCT07298044</t>
  </si>
  <si>
    <t>A Study to Learn More About the Change in the Blood Levels of Transthyretin When Participants With Transthyretin Amyloidosis With Cardiomyopathy Switch From Tafamidis to Acoramidis</t>
  </si>
  <si>
    <t>NCT07286032</t>
  </si>
  <si>
    <t>A Study to Evaluate the Efficacy and Safety of Hetrombopag Olamine Tablets Vs Placebo in Patients With Chemotherapy-Induced Thrombocytopenia</t>
  </si>
  <si>
    <t>NCT07387367</t>
  </si>
  <si>
    <t>A Phase 3 Trial to Compare IV BCV Versus IV CDV for Treatment of Adenovirus Infection After Allo-HCT</t>
  </si>
  <si>
    <t>NCT07472361</t>
  </si>
  <si>
    <t>A Study of ENX-104 in Healthy Participants</t>
  </si>
  <si>
    <t>NCT07437586</t>
  </si>
  <si>
    <t>Topical GHK-Cu Gel for Acute Skin Wound Healing</t>
  </si>
  <si>
    <t>Hudson Biotech</t>
  </si>
  <si>
    <t>NCT07383922</t>
  </si>
  <si>
    <t>A Study of FG-M108+Chemotherapy vs Placebo+Chemotherapy in Claudin18.2-positive Pancreatic Cancer</t>
  </si>
  <si>
    <t>FutureGen Biopharmaceutical (Beijing) Co., Ltd</t>
  </si>
  <si>
    <t>NCT07412756</t>
  </si>
  <si>
    <t>A Study of Brenipatide in Adult Participants With Major Depressive Disorder</t>
  </si>
  <si>
    <t>NCT07431281</t>
  </si>
  <si>
    <t>Sonesitatug Vedotin in Combination With Capecitabine With or Without Rilvegostomig in Participants With Advanced or Metastatic Gastric, Gastroesophageal Junction, or Esophageal Adenocarcinoma Expressing Claudin18.2</t>
  </si>
  <si>
    <t>NCT07422298</t>
  </si>
  <si>
    <t>A Study to Evaluate the Effect of BMS-986278 on Cardiac Repolarization in Healthy Participants</t>
  </si>
  <si>
    <t>NCT07481357</t>
  </si>
  <si>
    <t>A First-In-Human Phase I/IIa Study to Evaluate DA 3501 in Patients With Advanced Gastric or Gastro-esophageal Junction Adenocarcinoma and Pancreatic Ductal Adenocarcinoma</t>
  </si>
  <si>
    <t>NCT07441876</t>
  </si>
  <si>
    <t>A Phase 2/3 Study to Evaluate the Efficacy and Safety of BMN 333 Versus Vosoritide in Children With Achondroplasia</t>
  </si>
  <si>
    <t>NCT07437560</t>
  </si>
  <si>
    <t>Melanotan II (MT-II) as an Adjunct to NB-UVB Phototherapy for Repigmentation in Stable Nonsegmental Vitiligo</t>
  </si>
  <si>
    <t>NCT07371104</t>
  </si>
  <si>
    <t>Bioequivalence Study of DWZ2501 in Patients With Advanced BRCA-mutated High-grade Ovarian Cancer</t>
  </si>
  <si>
    <t>NCT07439263</t>
  </si>
  <si>
    <t>Single Ascending Dose Study of HB2198 in Healthy Participants</t>
  </si>
  <si>
    <t>Hinge Bio</t>
  </si>
  <si>
    <t>NCT07441174</t>
  </si>
  <si>
    <t>IN10018 in Combination With RNK08954 for the Treatment of KRASG12D Mutation-Positive Locally Advanced or Metastatic Solid Tumors</t>
  </si>
  <si>
    <t>NCT07335497</t>
  </si>
  <si>
    <t>CR-001 in Adult Participants With Locally Advanced or Metastatic Solid Tumors</t>
  </si>
  <si>
    <t>Crescent Biopharma, Inc.</t>
  </si>
  <si>
    <t>NCT07225140</t>
  </si>
  <si>
    <t>A Study of Combogesic® 325 in Adolescent Patients With Moderate to Severe Postoperative Pain Associated With Orthopedic Surgery</t>
  </si>
  <si>
    <t>AFT Pharmaceuticals, Ltd.</t>
  </si>
  <si>
    <t>NCT06984341</t>
  </si>
  <si>
    <t>A Study to Evaluate the Safety, Tolerability, Cellular Kinetics, Pharmacodynamics, and Efficacy of P-CD19CD20-ALLO1 in Participants With Severe, Treatment-refractory Systemic Lupus Erythematosus (SLE)</t>
  </si>
  <si>
    <t>NCT07390123</t>
  </si>
  <si>
    <t>Phase Ⅲ Study of Efficacy and Safety of HSK39297 Tablet in Treatment of Patients With Primary IgAN</t>
  </si>
  <si>
    <t>NCT07308106</t>
  </si>
  <si>
    <t>A Phase II Clinical Study of SKB571 as Monotherapy in Patients With Locally Advanced or Metastatic Non-Small Cell Lung Cancer With MET Abnormalities</t>
  </si>
  <si>
    <t>NCT07377721</t>
  </si>
  <si>
    <t>A Study of HRS-2129 in Patients With Diabetic Peripheral Neuropathic Pain</t>
  </si>
  <si>
    <t>NCT07452822</t>
  </si>
  <si>
    <t>Safety and Efficacy Study of Human Umbilical Cord Mesenchymal Stem Cells in Preventing Arteriovenous Fistula Stenosis in Patients With End-Stage Diabetic Kidney Disease</t>
  </si>
  <si>
    <t>NCT07005180</t>
  </si>
  <si>
    <t>Low-dose Carbon Monoxide (HBI-002) Trial to Evaluate Safety, Tolerability, PK, and Biomarkers in Parkinson's Disease</t>
  </si>
  <si>
    <t>NCT07395024</t>
  </si>
  <si>
    <t>A Study to Learn How Fluconazole, Carbamazepine and Itraconazole Affect How the Body Processes ASP3082 in Healthy Adults</t>
  </si>
  <si>
    <t>NCT07377643</t>
  </si>
  <si>
    <t>IBI354 With or Without Pertuzumab Versus Taxane, Trastuzumab and Pertuzumab in HER2-positive Metastatic Breast Cancer</t>
  </si>
  <si>
    <t>NCT07189871</t>
  </si>
  <si>
    <t>177Lu-BetaBart in Patients With Relapsed/Refractory, Locally Advanced Inoperable, or Metastatic Solid Tumors</t>
  </si>
  <si>
    <t>NCT07368998</t>
  </si>
  <si>
    <t>To Study the Effect of Inavolisib in Combination With Fulvestrant in Participants With Breast Cancer</t>
  </si>
  <si>
    <t>NCT07277413</t>
  </si>
  <si>
    <t>A Study of IDE892 as Monotherapy and Combination in MTAP-deleted Advanced Solid Tumors</t>
  </si>
  <si>
    <t>NCT07437079</t>
  </si>
  <si>
    <t>A Study to See How Safe a New Medicine (NNC6989-0001) is in Healthy People Living With Overweight or Obesity</t>
  </si>
  <si>
    <t>NCT07303777</t>
  </si>
  <si>
    <t>Efficacy, Safety, and PopPK Profile of ABP-745 in Patients With Atherosclerosis</t>
  </si>
  <si>
    <t>NCT06438471</t>
  </si>
  <si>
    <t>Novel Soluble Epoxide Hydrolase Inhibitor for Neuropathic Pain in Patients With Spinal Cord Injury</t>
  </si>
  <si>
    <t>NCT07214311</t>
  </si>
  <si>
    <t>Evaluation of PLG0206 in Prevention of Recurrent Infection in Patients Undergoing Debridement, Antibiotics, and Implant Retention (DAIR) for Treatment of a Periprosthetic Joint Infection (PJI) Following Knee Arthroplasty</t>
  </si>
  <si>
    <t>Peptilogics</t>
  </si>
  <si>
    <t>NCT07354932</t>
  </si>
  <si>
    <t>A Study of SHR-2173 in Participants With Primary IgA Nephropathy</t>
  </si>
  <si>
    <t>NCT07479667</t>
  </si>
  <si>
    <t>An Antibody-armored Dendritic Cell in Patients With Solid Tumors</t>
  </si>
  <si>
    <t>NCT07359963</t>
  </si>
  <si>
    <t>Treatment of Idiopathic Pulmonary Fibrosis (IPF) by REGEND007 Cell Therapy</t>
  </si>
  <si>
    <t>NCT07449936</t>
  </si>
  <si>
    <t>COMO: A Phase 3 Randomized, Double-Masked Study Comparing the Efficacy of EYP-1901 Against Aflibercept in DME</t>
  </si>
  <si>
    <t>NCT07266441</t>
  </si>
  <si>
    <t>A Study of JNJ-79635322 in Participants With Relapsed or Refractory Multiple Myeloma</t>
  </si>
  <si>
    <t>NCT07427680</t>
  </si>
  <si>
    <t>Study of TGM-312-SC01 in Healthy Participants and Adults With MASH</t>
  </si>
  <si>
    <t>Tangram Therapeutics Plc</t>
  </si>
  <si>
    <t>NCT07232602</t>
  </si>
  <si>
    <t>KEYMAKER-U04 Substudy 04D: A Clinical Study of New Treatments Given With Enfortumab Vedotin and Pembrolizumab in People With Urothelial Cancer (MK-3475-04D/KEYMAKER-U04)</t>
  </si>
  <si>
    <t>NCT07455617</t>
  </si>
  <si>
    <t>Study of ABO2102 in KRAS-Mutated Solid Tumors</t>
  </si>
  <si>
    <t>NCT07379580</t>
  </si>
  <si>
    <t>A Randomized Clinical Trial Investigating the Safety, Reactogenicity, and Immunogenicity After Immunization With an mRNA-based Mpox Vaccine Candidate in Africa</t>
  </si>
  <si>
    <t>NCT07438405</t>
  </si>
  <si>
    <t>An Open-label, Rollover Trial to Evaluate the Efficacy and Safety of AMG 732 in Participants With Thyroid Eye Disease</t>
  </si>
  <si>
    <t>NCT07368569</t>
  </si>
  <si>
    <t>A Study in Healthy People to Test Whether BI 764198 Influences the Amount of Metformin in the Body</t>
  </si>
  <si>
    <t>NCT07349524</t>
  </si>
  <si>
    <t>A Study to Evaluate the Efficacy and Safety of RSS0343 Tablets in Patients With Chronic Obstructive Pulmonary Disease</t>
  </si>
  <si>
    <t>NCT07215273</t>
  </si>
  <si>
    <t>Study of EL219 vs Standard of Care for Early Antifungal Therapy of Suspected Invasive Mould Infections</t>
  </si>
  <si>
    <t>Elion Therapeutics, Inc.</t>
  </si>
  <si>
    <t>NCT07368972</t>
  </si>
  <si>
    <t>Study of DISC-0974-201 in Participants With IBD and Anemia</t>
  </si>
  <si>
    <t>NCT07399067</t>
  </si>
  <si>
    <t>A Proof-of-Concept Study of IBI3002 in Patients With Moderate to Severe Atopic Dermatitis</t>
  </si>
  <si>
    <t>NCT07436221</t>
  </si>
  <si>
    <t>A Study to Evaluate the Efficacy and Safety of AK139 in Participants With Asthma</t>
  </si>
  <si>
    <t>NCT07402330</t>
  </si>
  <si>
    <t>Pharmacokinetic Study of DA-020</t>
  </si>
  <si>
    <t>NCT07029516</t>
  </si>
  <si>
    <t>Study to Assess Efficacy, Safety and Tolerability of a Nail Patch in Patients With Nail Fragility, Mychosis, Psoriasis</t>
  </si>
  <si>
    <t>Wooshin Labottach Co., Ltd.</t>
  </si>
  <si>
    <t>NCT07379684</t>
  </si>
  <si>
    <t>A Study of Amicidin-β Topical Solution for Patients With Surgical or Traumatic Wound Infections</t>
  </si>
  <si>
    <t>Macro Biologics, Inc.</t>
  </si>
  <si>
    <t>NCT07349212</t>
  </si>
  <si>
    <t>UKK-0018 is an Immunotherapeutic for Treatment of Peanut Allergies</t>
  </si>
  <si>
    <t>Ukko Inc</t>
  </si>
  <si>
    <t>NCT07393321</t>
  </si>
  <si>
    <t>A Phase III Clinical Trial of NTQ1062 in Combination With Fulvestrant for the Treatment of Advanced or Metastatic HR+/HER2- Breast Cancer</t>
  </si>
  <si>
    <t>NCT07446855</t>
  </si>
  <si>
    <t>Study of AZD4956 as Monotherapy and in Combination With Anti-Cancer Agents in Participants With Advanced/Metastatic Homologous Recombination Deficient Solid Tumours</t>
  </si>
  <si>
    <t>NCT07285005</t>
  </si>
  <si>
    <t>A Study to Investigate Efficacy and Safety of KP-001 Compared With Placebo in Patients Aged ≥2 Years With Common VM, Common LM, or KTS/CLOVES Syndrome</t>
  </si>
  <si>
    <t>NCT07321886</t>
  </si>
  <si>
    <t>A Study of Eloralintide (LY3841136) in Participants With Obesity, or Overweight Without Type 2 Diabetes</t>
  </si>
  <si>
    <t>NCT07228442</t>
  </si>
  <si>
    <t>L19IL2/L19TNF in Patients With Cutaneous Squamous Cell Carcinoma</t>
  </si>
  <si>
    <t>NCT07480954</t>
  </si>
  <si>
    <t>Dual-Targeting CAR-NK Cells for Recurrent Ovarian Cancer (MSLN, FRα, MUC16)</t>
  </si>
  <si>
    <t>Beijing Biotech</t>
  </si>
  <si>
    <t>NCT07219459</t>
  </si>
  <si>
    <t>Visugromab, Nivolumab and a Tyrosine Kinase Inhibitor (TKI) Compared to Double Placebo and a TKI in Unresectable or Metastatic Hepatocellular Carcinoma Post Anti-PD-(L)1 Failure</t>
  </si>
  <si>
    <t>NCT07193589</t>
  </si>
  <si>
    <t>A Phase II Clinical Study Evaluating of ZL-82 Tablets in Atopic Dermatitis</t>
  </si>
  <si>
    <t>NCT07348653</t>
  </si>
  <si>
    <t>A Study of MG2512 Injection in Participants With Advanced Solid Tumors</t>
  </si>
  <si>
    <t>Shanghai Mabgen Biopharmaceutical Technology Co., Ltd.</t>
  </si>
  <si>
    <t>NCT07330778</t>
  </si>
  <si>
    <t>A Study of CDX-622 in Participants With Mild to Moderate Asthma</t>
  </si>
  <si>
    <t>NCT07405970</t>
  </si>
  <si>
    <t>A Phase 3 Clinical Study of MIL62 in Systemic Lupus Erythematosus</t>
  </si>
  <si>
    <t>NCT07402876</t>
  </si>
  <si>
    <t>A Clinical Trial Evaluating Patients With Primary Vitreoretinal Lymphoma</t>
  </si>
  <si>
    <t>NCT06654193</t>
  </si>
  <si>
    <t>Allogeneic HB-adMSCs vs Placebo for the Treatment of Acute Kidney Injury</t>
  </si>
  <si>
    <t>NCT07444385</t>
  </si>
  <si>
    <t>A Study to Evaluate the Safety and Pharmacokinetics of AD-116 and AD-1161 in Healthy Adult Male Subjects</t>
  </si>
  <si>
    <t>NCT06963216</t>
  </si>
  <si>
    <t>A Study Investigating Coagadex in the Treatment AFXD Associated With AL Amyloidosis</t>
  </si>
  <si>
    <t>NCT07221838</t>
  </si>
  <si>
    <t>A Study to Investigate OCS Tapering in Adult Participants With Generalized Myasthenia Gravis Treated With Ravulizumab</t>
  </si>
  <si>
    <t>NCT07304089</t>
  </si>
  <si>
    <t>A Study to Evaluate the Efficacy, Safety, and Tolerability of VIM0423 in Individuals With Isolated Dystonia</t>
  </si>
  <si>
    <t>Vima Therapeutics</t>
  </si>
  <si>
    <t>NCT07286370</t>
  </si>
  <si>
    <t>A Study to Evaluate Safety, Reactogenicity, and Immune Response of GVGH iNTS-TCV Vaccine Against Invasive Nontyphoidal Salmonella Disease and Typhoid Fever in Infants</t>
  </si>
  <si>
    <t>NCT07480941</t>
  </si>
  <si>
    <t>Dual-Targeting CAR-NK Cells for Recurrent/Progressive Glioblastoma and High-Grade Glioma</t>
  </si>
  <si>
    <t>NCT07393542</t>
  </si>
  <si>
    <t>A Trial of SHR-A2102 With Adebrelimab in Locally Advanced or Metastatic Urothelial Carcinoma</t>
  </si>
  <si>
    <t>NCT07444437</t>
  </si>
  <si>
    <t>LM103 in Phase IIa Clinical Trial for Adjuvant Treatment in Patients With Non-small Cell Lung Cancer</t>
  </si>
  <si>
    <t>NCT07416539</t>
  </si>
  <si>
    <t>Effect of COV2 Vaccine Formulation on the Ability to Generate Antibodies Against Coronavirus That Causes COVID-19</t>
  </si>
  <si>
    <t>NCT07215702</t>
  </si>
  <si>
    <t>A Study to Investigate the Efficacy, Safety, and Tolerability of AZD4144in Participants With Sepsis-associated Acute Kidney Injury.</t>
  </si>
  <si>
    <t>NCT07372924</t>
  </si>
  <si>
    <t>A Trial of Tegileridine Fumarate Lnjection for Prolonged Mechanical Ventilation Abirritation in the Intensive Care Unit (ICU)</t>
  </si>
  <si>
    <t>NCT06290765</t>
  </si>
  <si>
    <t>Efficacy and Safety of Ropeginterferon Alfa 2b (P1101) for Patients With Polycythemia Vera</t>
  </si>
  <si>
    <t>NCT07308652</t>
  </si>
  <si>
    <t>A Study in Healthy Men to Test How Itraconazole Influences the Amount of BI 764198 in the Blood</t>
  </si>
  <si>
    <t>NCT07467863</t>
  </si>
  <si>
    <t>Dual-Target CAR-NK Cells Directed Against MSLN, EGFR, or HER2 in Advanced NSCLC</t>
  </si>
  <si>
    <t>NCT07354477</t>
  </si>
  <si>
    <t>Single-site Pilot Study Evaluating the Effect of QLS-111 Ophthalmic Solution on Posterior Perfusion and Vessel Dilation</t>
  </si>
  <si>
    <t>NCT07396818</t>
  </si>
  <si>
    <t>Kamlanoflast In Amyotrophic Lateral Sclerosis</t>
  </si>
  <si>
    <t>Inflammasome Therapeutics</t>
  </si>
  <si>
    <t>NCT07466160</t>
  </si>
  <si>
    <t>A Phase Ib/II Study of 7MW3711 Combined With JS207 in Advanced Solid Tumors</t>
  </si>
  <si>
    <t>NCT07371338</t>
  </si>
  <si>
    <t>Phase 1 Clinical Trial to Evaluate the Safety, Efficacy, and Pharmacokinetics of IPS101A in Parkinson's Disease Patients</t>
  </si>
  <si>
    <t>Innopeutics Corporation</t>
  </si>
  <si>
    <t>NCT07441694</t>
  </si>
  <si>
    <t>Study of INCA036978 in Participants With Myeloproliferative Neoplasms</t>
  </si>
  <si>
    <t>NCT07401472</t>
  </si>
  <si>
    <t>Study of BW-50218 in Healthy Participants</t>
  </si>
  <si>
    <t>NCT07394309</t>
  </si>
  <si>
    <t>Study of Hydroxynidone Capsules in Patients With Hepatic Impairment and Matched Healthy Controls</t>
  </si>
  <si>
    <t>NCT07187401</t>
  </si>
  <si>
    <t>A First-in-Human Safety and Efficacy Study of ALN-CFB, a Small Interfering RNA (siRNA) Targeting Complement Factor B, in Adult Participants With Paroxysmal Nocturnal Hemoglobinuria With Persistent Anemia on a C5 Inhibitor</t>
  </si>
  <si>
    <t>NCT06692712</t>
  </si>
  <si>
    <t>Phase 3 Efficacy Study With Concurrent Control of IT MELPIDA in SPG50.Concurrent Controls.</t>
  </si>
  <si>
    <t>Elpida Therapeutics SPC</t>
  </si>
  <si>
    <t>NCT07288112</t>
  </si>
  <si>
    <t>DOC1021 Dendritic Cell Immunotherapy for Refractory Melanoma</t>
  </si>
  <si>
    <t>NCT07441395</t>
  </si>
  <si>
    <t>Study to Evaluate Soquelitinib in Participants With Moderate to Severe AD</t>
  </si>
  <si>
    <t>NCT07426380</t>
  </si>
  <si>
    <t>A Study of Eloralintide (LY3841136) in Participants With Renal Impairment and in Participants With Normal Renal Function</t>
  </si>
  <si>
    <t>NCT07348640</t>
  </si>
  <si>
    <t>Evaluation of the Efficacy and Safety of Magnetic Resonance Angiography (MRA) Using Gadopiclenol Compared to Gadoterate Meglumine in the Assessment of Steno-occlusive Disease in Adult Patients With Suspected Vascular Disease</t>
  </si>
  <si>
    <t>Guerbet</t>
  </si>
  <si>
    <t>NCT07396168</t>
  </si>
  <si>
    <t>Nemolizumab to Treat Lichen Planopilaris, a Noncontrolled, Prospective, Pilot Study.</t>
  </si>
  <si>
    <t>NCT07461220</t>
  </si>
  <si>
    <t>Safety and Tolerability of IRL757 in Participants With Parkinson's Disease and Apathy</t>
  </si>
  <si>
    <t>NCT07395986</t>
  </si>
  <si>
    <t>A Multicenter, Randomized, Double-Masked, Placebo-Controlled Pilot Study to Evaluate the Efficacy and Safety of ZOC2017217 in Subjects With Age-Related Cataract</t>
  </si>
  <si>
    <t>Ocusun Ophthalmic Pharmaceutical (Guangzhou) Co., Ltd.</t>
  </si>
  <si>
    <t>NCT07337525</t>
  </si>
  <si>
    <t>A First in Human Study of PLT012 in Participants With Solid Tumor Cancers</t>
  </si>
  <si>
    <t>Pilatus Biosciences Inc</t>
  </si>
  <si>
    <t>NCT06842498</t>
  </si>
  <si>
    <t>A Study of FG-3246 in Participants With Metastatic Castration-Resistant Prostate Cancer (mCRPC)</t>
  </si>
  <si>
    <t>Kyntra Bio</t>
  </si>
  <si>
    <t>NCT07385313</t>
  </si>
  <si>
    <t>Combined OFM and Vacuum-assisted Therapy for Expedited Regeneration Over Structures</t>
  </si>
  <si>
    <t>Aroa Biosurgery Limited</t>
  </si>
  <si>
    <t>NCT07340320</t>
  </si>
  <si>
    <t>A Study of CX11 Tablets in Patients With Type 2 Diabetes Mellitus</t>
  </si>
  <si>
    <t>NCT06875960</t>
  </si>
  <si>
    <t>A Study to Continue the Administration of Deucravacitinib in Participants With Systemic Lupus Erythematosus (SLE) or Discoid and/or Subacute Cutaneous Lupus Erythematosus (DLE/SCLE) Who Have Completed Study IM011074 or Study IM011132</t>
  </si>
  <si>
    <t>NCT07480213</t>
  </si>
  <si>
    <t>Adaptive Phase 1/2 Study of Dual-Target CAR-NK Cells in Relapsed/Refractory Small Cell Lung Cancer (SCLC)</t>
  </si>
  <si>
    <t>NCT07342062</t>
  </si>
  <si>
    <t>Pharmacokinetics and Safety Profiles of DA-1229_01 in Healthy Subjects at Fed State</t>
  </si>
  <si>
    <t>NCT07385547</t>
  </si>
  <si>
    <t>Study to Evaluate if Exposure to Drug is Impacted in Participants With Renal Insufficiency</t>
  </si>
  <si>
    <t>NCT07407348</t>
  </si>
  <si>
    <t>A Study in People With Overweight or Obesity to Compare How 2 Different Formulations of Survodutide Are Taken up by the Body</t>
  </si>
  <si>
    <t>NCT07347275</t>
  </si>
  <si>
    <t>A Novel Extracorporeal Liver Support Therapy In ALCF and to Evaluate the Efficacy of DIALIVE 2.0, a Liver Dialysis Device.</t>
  </si>
  <si>
    <t>NCT07431112</t>
  </si>
  <si>
    <t>A Study of AIR-001 in Adults With Alpha-1 Antitrypsin Deficiency (AATD)</t>
  </si>
  <si>
    <t>AIRNA Corporation</t>
  </si>
  <si>
    <t>NCT07291323</t>
  </si>
  <si>
    <t>Study of JANX011 in Healthy Adult Volunteers to Assess Safety and Tolerability.</t>
  </si>
  <si>
    <t>Janux Therapeutics</t>
  </si>
  <si>
    <t>NCT07285434</t>
  </si>
  <si>
    <t>Clinical Study of the Therapeutic Effectiveness of In-silico-Designed, Machine Learning Inspired, and Quantum-molecularly Coupled Personalized Neoantigenic Vaccines Microlyvaq™ in Patients With Advanced Non-small Cell Lung Cancer</t>
  </si>
  <si>
    <t>NCT07017634</t>
  </si>
  <si>
    <t>Efficacy and Safety of Novosis Putty in Transforaminal Lumbar Interbody Fusion for Patients With Lumbar Degenerative Disc Disease</t>
  </si>
  <si>
    <t>CGBio Inc.</t>
  </si>
  <si>
    <t>NCT07325526</t>
  </si>
  <si>
    <t>A Study to Test Whether BI 3802876 is Tolerated in People With Compensated Liver Cirrhosis Due to Metabolic Dysfunction- Associated Steatohepatitis (MASH)</t>
  </si>
  <si>
    <t>NCT07425899</t>
  </si>
  <si>
    <t>A Phase 1 Study of the Safety and How the Body Processes ABBV-722 and Upadacitinib After Multiple Oral Doses in Healthy Adult Participants</t>
  </si>
  <si>
    <t>NCT07315516</t>
  </si>
  <si>
    <t>Sleep and Stress Study</t>
  </si>
  <si>
    <t>NCT07224321</t>
  </si>
  <si>
    <t>INHALE-1st: Afrezza® For Youth With Newly-Diagnosed Type 1 Diabetes</t>
  </si>
  <si>
    <t>NCT07300943</t>
  </si>
  <si>
    <t>Study in Advanced Solid Tumor Patients</t>
  </si>
  <si>
    <t>Callio Therapeutics</t>
  </si>
  <si>
    <t>NCT07357597</t>
  </si>
  <si>
    <t>An Open-label, Single-arm Study of Prophylaxis for Datopotamab Deruxtecan (Dato-DXd) -Related Stomatitis in Eligible Patients With Metastatic or Inoperable Locally Recurrent Breast Cancer or Locally Advanced or Metastatic Epidermal Growth Factor Receptor-Mutated Non-small Cell Lung Cancer.</t>
  </si>
  <si>
    <t>NCT07387068</t>
  </si>
  <si>
    <t>Trial to Evaluate the Safety and Preliminary Efficacy of GEN1079 in Participants With Advanced Solid Tumors</t>
  </si>
  <si>
    <t>NCT07363590</t>
  </si>
  <si>
    <t>A Clinical Study of MK-1045 in People With Lupus or Rheumatoid Arthritis (MK-1045-004)</t>
  </si>
  <si>
    <t>NCT07358156</t>
  </si>
  <si>
    <t>A Study to Compare the Pharmacokinetics, Pharmacodynamic, Immunogenicity, and Safety of CKD-706 With US-Dupixent®, and EU-Dupixent® in Healthy Adult Participants.</t>
  </si>
  <si>
    <t>NCT07308834</t>
  </si>
  <si>
    <t>Evaluation of Intra-articular CX-011 to Treat Moderate to Severe Pain From Knee Osteoarthritis</t>
  </si>
  <si>
    <t>CarthroniX, Inc.</t>
  </si>
  <si>
    <t>NCT07323576</t>
  </si>
  <si>
    <t>A Study to Evaluate the Efficacy and Safety of Inavolisib When Administered in Combination With Bevacizumab and FOLFOX or FOLFIRI as First Line Therapy in Participants With Colorectal Cancer</t>
  </si>
  <si>
    <t>NCT07435038</t>
  </si>
  <si>
    <t>Study of BPI-572270 in Patients With Advanced Solid Tumors Harboring Specific Mutations in RAS</t>
  </si>
  <si>
    <t>NCT07427797</t>
  </si>
  <si>
    <t>A Study to Assess the Effectiveness and Safety of IPN10200 in Adults With Moderate to Severe Wrinkle-like Lines Between the Eyebrows</t>
  </si>
  <si>
    <t>NCT07349615</t>
  </si>
  <si>
    <t>A Study of SHR-1918 In Participants With Hypertriglyceridemia</t>
  </si>
  <si>
    <t>NCT07397468</t>
  </si>
  <si>
    <t>To studyJUV-161 Administered to Healthy Volunteers Undergoing Unilateral Lower Limb Immobilization (ULLI)</t>
  </si>
  <si>
    <t>NCT07404865</t>
  </si>
  <si>
    <t>Phase 3 Study of Telitacicept in Active Primary Sjögren's Disease</t>
  </si>
  <si>
    <t>NCT07391657</t>
  </si>
  <si>
    <t>A Study Comparing AZD0120, a Dual-targeted CAR-T Against B-cell Maturation Antigen (BCMA) and CD19, Versus Standard Regimens in Participants With Relapsed Refractory Multiple Myeloma (DURGA-4)</t>
  </si>
  <si>
    <t>NCT07388511</t>
  </si>
  <si>
    <t>A Study of Elenestinib in Healthy Adult Female Participants</t>
  </si>
  <si>
    <t>NCT07325136</t>
  </si>
  <si>
    <t>A Study to Assess the Safety and Tolerability of BMS-986525 Alone and in Combination With Nivolumab in Participants With Relapsed/Refractory Small Cell Lung Cancer</t>
  </si>
  <si>
    <t>NCT07227870</t>
  </si>
  <si>
    <t>L19IL2/TNF in Patients With Basal Cell Carcinoma</t>
  </si>
  <si>
    <t>NCT07374419</t>
  </si>
  <si>
    <t>Atamparib in Patients With Advanced Solid Tumors</t>
  </si>
  <si>
    <t>Nerviano Medical Sciences (Shanghai) Ltd.</t>
  </si>
  <si>
    <t>NCT07342881</t>
  </si>
  <si>
    <t>Single Dose Study to Evaluate the Pharmacokinetics, Safety and Tolerability of Pevifoscorvir Sodium (ALG-000184) in Participants With Renal Impairment and in Healthy Participants With Normal Renal Function</t>
  </si>
  <si>
    <t>NCT07392372</t>
  </si>
  <si>
    <t>A Clinical Trial Investigating the Safety and Biological Activity of the Antibody BNT351 in Adults Living Without and With HIV</t>
  </si>
  <si>
    <t>NCT07362355</t>
  </si>
  <si>
    <t>The Efficacy and Safety of SHR4640 Tablet Combined With 40 mg Febuxostat Tablets in the Treatment of Primary Gout and Hyperuricemia</t>
  </si>
  <si>
    <t>NCT07216235</t>
  </si>
  <si>
    <t>Long-Term Study to Evaluate the Safety and Efficacy in Participants With Primary Biliary Cholangitis of Saroglitazar Magnesium-V on Clinical Outcomes</t>
  </si>
  <si>
    <t>NCT07222332</t>
  </si>
  <si>
    <t>A Study of Baricitinib (LY3009104) to Preserve Beta Cell Function in Children and Adults Newly Diagnosed With Type 1 Diabetes (BARICADE-PRESERVE)</t>
  </si>
  <si>
    <t>NCT07389733</t>
  </si>
  <si>
    <t>A Study of HRS-6208 in Combination With HRS-8080, or Fulvestrant, or Letrozole, With or Without HRS-6209 in Patients With Advanced Unresectable or Metastatic Breast Cancer</t>
  </si>
  <si>
    <t>NCT07455578</t>
  </si>
  <si>
    <t>Study of S-4321 in Participants With an Autoimmune or Immune-mediated Disease</t>
  </si>
  <si>
    <t>NCT07227415</t>
  </si>
  <si>
    <t>A Study to Learn About the Medicine Called PF-08634404 Dosed Alone and in Combination With Other Anticancer Therapies in Adults With Locally Advanced or Metastatic Renal Cell Cancer</t>
  </si>
  <si>
    <t>NCT07423533</t>
  </si>
  <si>
    <t>Phase IIb Clinical Study to Assess the Efficacy and Safety of GenSci120 Injection in Patients With Moderately to Severely Active RA Who Have an Inadequate Response to at Least One DMARD</t>
  </si>
  <si>
    <t>NCT07282847</t>
  </si>
  <si>
    <t>A Study to Evaluate Safety, Tolerability, and Efficacy of AB-1009 Gene Therapy (GAA Gene) in Adult Participants With Late Onset Pompe Disease (PROGRESS-GT LOPD)</t>
  </si>
  <si>
    <t>NCT07377578</t>
  </si>
  <si>
    <t>A Study of Rocbrutinib Versus Investigator's Choice of BTK Inhibitors in Patients With Relapsed or Refractory Mantle Cell Lymphoma</t>
  </si>
  <si>
    <t>NCT07213973</t>
  </si>
  <si>
    <t>Pharmacokinetics, Safety, and Efficacy of Povorcitinib in Adolescent Participants With Moderate to Severe Hidradenitis Suppurativa</t>
  </si>
  <si>
    <t>NCT07470762</t>
  </si>
  <si>
    <t>Study of Safety and Efficacy of HS-10542 in Patients With Paroxysmal Nocturnal Hemoglobinuria</t>
  </si>
  <si>
    <t>NCT07285122</t>
  </si>
  <si>
    <t>Inhaled RB042 in Healthy Adult Volunteers and Healthy Adult Smokers</t>
  </si>
  <si>
    <t>RAGE Bio</t>
  </si>
  <si>
    <t>NCT07146906</t>
  </si>
  <si>
    <t>A Study to Assess the Effects of Zigakibart on IgA Nephropathy.</t>
  </si>
  <si>
    <t>NCT07367516</t>
  </si>
  <si>
    <t>Clinical Trial Evaluating TQB6411 Injection in Subjects With Esophageal Cancer</t>
  </si>
  <si>
    <t>NCT07328087</t>
  </si>
  <si>
    <t>COLONYVAQ™, a Quantum-Classical Guided Personalized Neoantigen Vaccine for MSS Stage III Colorectal Cancer</t>
  </si>
  <si>
    <t>NCT07328542</t>
  </si>
  <si>
    <t>Ambulatory Blood Pressure Monitoring (ABPM) Study in Hypogonadal Men</t>
  </si>
  <si>
    <t>NCT07454837</t>
  </si>
  <si>
    <t>Phase 2b/3 Study to Evaluate Switching to Brelovitug for the Treatment of CHD in Participants Receiving Bulevirtide</t>
  </si>
  <si>
    <t>NCT06451757</t>
  </si>
  <si>
    <t>KHENERFIN Study: A Trial to Evaluate the Efficacy and Safety of Sonlicromanol in Primary Mitochondrial Diseases</t>
  </si>
  <si>
    <t>Khondrion BV</t>
  </si>
  <si>
    <t>NCT06906471</t>
  </si>
  <si>
    <t>A Single-Arm, Blinded, Fluorescent PSMA Histopathology Trial of AS1986NS</t>
  </si>
  <si>
    <t>Antelope Surgical Solutions, Inc</t>
  </si>
  <si>
    <t>NCT07360314</t>
  </si>
  <si>
    <t>Anti-Ly6E Exatecan ADC M7437 in Advanced Solid Tumors</t>
  </si>
  <si>
    <t>NCT07414784</t>
  </si>
  <si>
    <t>A Study of ABBV-295 Subcutaneous Injections to Assess Pharmacokinetics and Adverse Events in Healthy Adult Women Participants With Overweight or Obesity Taking Oral Contraceptives</t>
  </si>
  <si>
    <t>NCT07434752</t>
  </si>
  <si>
    <t>A Study to See if an Energy Drink With Caffeine and Green Tea Increases Fat Burning When Exercising</t>
  </si>
  <si>
    <t>NCT07384715</t>
  </si>
  <si>
    <t>First-in-human (FIH) Trial of GEN3018 in Relapsed or Refractory (R/R) Acute Myeloid Leukemia (AML) or Higher-risk Myelodysplastic Syndrome (HR-MDS)</t>
  </si>
  <si>
    <t>NCT07399132</t>
  </si>
  <si>
    <t>A Study of APL-10456-Vaccine</t>
  </si>
  <si>
    <t>NCT07262281</t>
  </si>
  <si>
    <t>Evaluation of the Safety, Tolerability and Pharmacokinetics of HY6725 in Healthy Adult Participants</t>
  </si>
  <si>
    <t>NCT07231744</t>
  </si>
  <si>
    <t>Study of STLX-2012 in Healthy Volunteers</t>
  </si>
  <si>
    <t>NCT07421700</t>
  </si>
  <si>
    <t>A Study to Learn About PF-08634404 Alone or In Combination With Enfortumab Vedotin in Urothelial Cancer</t>
  </si>
  <si>
    <t>NCT07324837</t>
  </si>
  <si>
    <t>Single Bolus Non-immunogenic Staphylokinase in Patients With Acute Ischemic Stroke Within 4.5-24 Hours of Symptom Onset</t>
  </si>
  <si>
    <t>NCT07238075</t>
  </si>
  <si>
    <t>ADCX-020 for the Treatment of Patients With Locally Advanced or Metastatic Cancers</t>
  </si>
  <si>
    <t>Adcytherix SAS</t>
  </si>
  <si>
    <t>NCT07287670</t>
  </si>
  <si>
    <t>EncompaSSc: Evaluation of MTX-474 in Participants With Diffuse Cutaneous Systemic Sclerosis (dcSSc)</t>
  </si>
  <si>
    <t>NCT07364396</t>
  </si>
  <si>
    <t>Efficacy and Safety of CRC01 in Participants With Severe, Refractory Systemic Lupus Erythematosus</t>
  </si>
  <si>
    <t>Curocell Inc.</t>
  </si>
  <si>
    <t>NCT07369076</t>
  </si>
  <si>
    <t>A Clinical Trial to Evaluate NB-4746 in Participants With Amyotrophic Lateral Sclerosis.</t>
  </si>
  <si>
    <t>Nura Bio</t>
  </si>
  <si>
    <t>NCT07411560</t>
  </si>
  <si>
    <t>A Study Looking at How Weekly Injections of Two Hormones - GIP and Amylin - Affect Stomach-related Side Effects in People Who Are Overweight or Obese</t>
  </si>
  <si>
    <t>NCT07357519</t>
  </si>
  <si>
    <t>Lu-TARGO (177Lu-TARGeted Osteosarcoma Therapy)</t>
  </si>
  <si>
    <t>NCT07410507</t>
  </si>
  <si>
    <t>A Study of Brenipatide in Adult Participants With Schizophrenia</t>
  </si>
  <si>
    <t>NCT07404735</t>
  </si>
  <si>
    <t>A Clinical Trial to Compare and Evaluate Evaluate the Pharmacokinetics and Safety of CKD-846</t>
  </si>
  <si>
    <t>NCT07250750</t>
  </si>
  <si>
    <t>A Phase 1b/2 Study of IM-101 in Adult Participants With Generalized Myasthenia Gravis and Ocular Myasthenia Gravis</t>
  </si>
  <si>
    <t>ImmunAbs Inc.</t>
  </si>
  <si>
    <t>NCT07361302</t>
  </si>
  <si>
    <t>A Study to Test if Tenecteplase Helps People to Recover From an Acute Stroke When Given More Than 4.5 Hours After the Person Was Last Seen Well</t>
  </si>
  <si>
    <t>NCT07422675</t>
  </si>
  <si>
    <t>SAD Study in Patients With Parkinson's Disease and Motor Fluctuations</t>
  </si>
  <si>
    <t>Serina Therapeutics</t>
  </si>
  <si>
    <t>NCT07269496</t>
  </si>
  <si>
    <t>Study to Compare Bioavailability and Pharmacokinetics of a Novel Furosemide Regimen Administered Subcutaneously Versus the Same Dose (80 mg) Administered Intravenously in Healthy Volunteers</t>
  </si>
  <si>
    <t>SQ Innovation, Inc.</t>
  </si>
  <si>
    <t>NCT07404033</t>
  </si>
  <si>
    <t>ZYG24002 Lotion to Evaluate the Safety, Tolerability, Pharmacokinetics and Preliminary Efficacy in Adult Patients With Mild to Moderate Seborrheic Dermatitis</t>
  </si>
  <si>
    <t>Sinomune Pharmaceutical Co., Ltd</t>
  </si>
  <si>
    <t>NCT07387302</t>
  </si>
  <si>
    <t>SLN12140 in Adult Participants With Paroxysmal Nocturnal Hemoglobinuria (PNH) in China</t>
  </si>
  <si>
    <t>NCT07400653</t>
  </si>
  <si>
    <t>A Study to Learn About the Study Medicine (PF-08653944) in People With Obesity or Overweight and Type 2 Diabetes (T2D)</t>
  </si>
  <si>
    <t>NCT07274137</t>
  </si>
  <si>
    <t>A Phase III Study to Evaluate the Efficacy and Safety of MDR-001 in Adult Participants With Overweight or Obesity (MOBILE）</t>
  </si>
  <si>
    <t>NCT07199465</t>
  </si>
  <si>
    <t>A Clinical Study of Letermovir (MK-8228) in Children and Adolescents Who Receive a Kidney Transplant (KT) (MK-8228-077)</t>
  </si>
  <si>
    <t>NCT07384377</t>
  </si>
  <si>
    <t>JSKN003 Versus Physician Choiced Treatment in Patients With HER2-positive and Advanced Colorectal Cancer Who Had Failed to Respond to Oxaliplatin, 5-Fu, and Irinotecan</t>
  </si>
  <si>
    <t>NCT07224425</t>
  </si>
  <si>
    <t>A Study in People With Advanced Cancer (Solid Tumours) to Test Different Doses of BI 3810944 and to Find Out Whether it Helps</t>
  </si>
  <si>
    <t>NCT07403097</t>
  </si>
  <si>
    <t>Study of CD19 CAR-T Therapy for Refractory SLE</t>
  </si>
  <si>
    <t>NCT07349017</t>
  </si>
  <si>
    <t>A Phase I Trial to Evaluate the Safety and Immunogenicity of Influenza Virus Split Vaccine (Adjuvant)</t>
  </si>
  <si>
    <t>NCT07317700</t>
  </si>
  <si>
    <t>A Clinical Trial of Flonoltinib Maleate for Intermediate or High-Risk Myelofibrosis</t>
  </si>
  <si>
    <t>NCT07280013</t>
  </si>
  <si>
    <t>A Study to Learn About the Effects of Cemsidomide in Combination With Elranatamab in Relapsed/Refractory Multiple Myeloma Subjects</t>
  </si>
  <si>
    <t>C4 Therapeutics, Inc.</t>
  </si>
  <si>
    <t>NCT07392060</t>
  </si>
  <si>
    <t>A Phase III Clinical Study of WX390 Combined With Toripalimab Versus Investigator's Choice of Therapy in Patients With Recurrent or Metastatic Cervical Cancer Who Have Failed Prior Platinum-Based Treatment</t>
  </si>
  <si>
    <t>NCT07388927</t>
  </si>
  <si>
    <t>A Real-World Study on Effect of Hirudoid on Ecchymosis After Treatment of Crow's Feet With Botulinum Toxin Type A</t>
  </si>
  <si>
    <t>DKSH Management (Thailand) Limited</t>
  </si>
  <si>
    <t>NCT07304128</t>
  </si>
  <si>
    <t>A Study of PLB-002 in Advanced Solid Tumors</t>
  </si>
  <si>
    <t>Primelink BioTherapeitics(ShenZhen) Limited</t>
  </si>
  <si>
    <t>NCT07388498</t>
  </si>
  <si>
    <t>A Double-blind, Randomized Controlled Trial to Investigate the Efficacy, Safety, and Pharmacokinetics of Pegloticase Administration Via Subcutaneous and Intravenous Routes Both With Methotrexate in Participants With Uncontrolled Gout</t>
  </si>
  <si>
    <t>NCT07280065</t>
  </si>
  <si>
    <t>REVEAL Study - Diagnostic Testing for PTSD Using the Senseye Diagnostic Tool</t>
  </si>
  <si>
    <t>Senseye, Inc.</t>
  </si>
  <si>
    <t>NCT07437547</t>
  </si>
  <si>
    <t>BPC 157 for Acute Hamstring Muscle Strain Repair</t>
  </si>
  <si>
    <t>NCT06721494</t>
  </si>
  <si>
    <t>A Single-Dose Study to Evaluate Safety and Efficacy of CS-1103 in Participants Receiving a Single Dose of Methamphetamine</t>
  </si>
  <si>
    <t>NCT07409922</t>
  </si>
  <si>
    <t>Study of Single and Multiple Ascending Doses of KR23343 in Healthy Adult Participants</t>
  </si>
  <si>
    <t>NCT07465835</t>
  </si>
  <si>
    <t>A Study of ELA026 in Participants With Relapsed/Refractory (R/R) T/NK Cell Malignancies (TCMs)</t>
  </si>
  <si>
    <t>Electra Therapeutics Inc.</t>
  </si>
  <si>
    <t>NCT07390552</t>
  </si>
  <si>
    <t>A Study of PLH-2301 in Subjects With Sarcopenia</t>
  </si>
  <si>
    <t>Pluto Inc.</t>
  </si>
  <si>
    <t>NCT07332091</t>
  </si>
  <si>
    <t>Efficacy and Safety of Vamifeport in Adult Participants With Homeostatic Iron Regulator Gene (HFE)-Related Hereditary Hemochromatosis</t>
  </si>
  <si>
    <t>NCT07180771</t>
  </si>
  <si>
    <t>A Study of Bosmolisib (BR101801) in Participants With R/R PTCL.</t>
  </si>
  <si>
    <t>NCT07285785</t>
  </si>
  <si>
    <t>Rifaximin 200 mg Plus Oral Rehydration vs Oral Rehydration Alone in Children With Acute Diarrhea</t>
  </si>
  <si>
    <t>NCT06648850</t>
  </si>
  <si>
    <t>Clinical Study of DA-001 as a Treatment for Hair Shedding Reduction and Hair Re-Growth</t>
  </si>
  <si>
    <t>NCT07287995</t>
  </si>
  <si>
    <t>A Study of ASP2998 Given by Itself and Given With Standard Therapies in People With Solid Tumors</t>
  </si>
  <si>
    <t>NCT07422207</t>
  </si>
  <si>
    <t>A Study to Investigate the Safety, Tolerability, and Pharmacokinetics of ME3241 Administered Intravenously in Healthy Adult Participants</t>
  </si>
  <si>
    <t>Meiji Pharma USA Inc.</t>
  </si>
  <si>
    <t>NCT07348055</t>
  </si>
  <si>
    <t>A Study of GR1803 in Systemic Lupus Erythematosus</t>
  </si>
  <si>
    <t>NCT07258511</t>
  </si>
  <si>
    <t>A Study Comparing JNJ-79635322 and an Anti-B-cell Maturation Antigen (BCMA)xCD3 Bispecific Antibody in Participants With Relapsed or Refractory Multiple Myeloma</t>
  </si>
  <si>
    <t>NCT07395739</t>
  </si>
  <si>
    <t>A Phase I Clinical Trial to Assess the Safety and Immunogenicity of DX-104</t>
  </si>
  <si>
    <t>Shanghai Yuguan Biotech Co., Ltd.（Delonix Bioworks)</t>
  </si>
  <si>
    <t>NCT07420257</t>
  </si>
  <si>
    <t>A Randomized, Double-blind, Placebo-controlled Phase III Study to Evaluate the Efficacy and Safety of CM326 in Participants With Chronic Rhinosinusitis With Nasal Polyposis</t>
  </si>
  <si>
    <t>NCT07409272</t>
  </si>
  <si>
    <t>A Study to Evaluate the Effectiveness and Safety of Setidegrasib, Given With Either mFOLFIRINOX or NALIRIFOX Chemotherapies, in People With Pancreatic Cancer</t>
  </si>
  <si>
    <t>NCT07323095</t>
  </si>
  <si>
    <t>Evaluate the Efficacy and Safety of ABP-671 in Subjects With Chronic Kidney Disease and Hyperuricaemia</t>
  </si>
  <si>
    <t>NCT07363265</t>
  </si>
  <si>
    <t>Efficacy and Safety of LP-005 Injection in Patients With Complement-Mediated Kidney Disease</t>
  </si>
  <si>
    <t>NCT07213830</t>
  </si>
  <si>
    <t>A Study to Assess the Safety, Tolerability, Pharmacokinetics, Pharmacodynamics, Immunogenicity and Anti-tumour Activity of IPN01203 in Adults With Locally Advanced or Metastatic Solid Tumours Exposed to Immune Checkpoint Inhibitor Therapies</t>
  </si>
  <si>
    <t>NCT07171983</t>
  </si>
  <si>
    <t>A Study to Evaluate the Safety, Tolerability, and Drug Levels of BMS-986454 in Participants With Rheumatoid Arthritis</t>
  </si>
  <si>
    <t>NCT07329322</t>
  </si>
  <si>
    <t>Phase II Study of Sacituzumab Tirumotecan in Combination With Osimertinib or Sacituzumab Tirumotecan for Neoadjuvant Treatment in Patients With Resectable Epidermal Growth Factor Receptor (EGFR)-Mutated Non-Small Cell Lung Cancer</t>
  </si>
  <si>
    <t>NCT07359820</t>
  </si>
  <si>
    <t>A Study of Lirafugratinib in Non-CCA Solid Tumors With FGFR2 Fusion or Rearrangement</t>
  </si>
  <si>
    <t>Elevar Therapeutics</t>
  </si>
  <si>
    <t>NCT07229638</t>
  </si>
  <si>
    <t>A IB/II Phase Clinical Study on the Safety, Tolerability, and Efficacy of SHR-9839(sc) in Combination Anti-tumor Therapy in Patients With Solid Tumors</t>
  </si>
  <si>
    <t>NCT07406724</t>
  </si>
  <si>
    <t>HS-IT101 Injection Versus Chemotherapy in the Treatment of Advanced Melanoma</t>
  </si>
  <si>
    <t>NCT07400679</t>
  </si>
  <si>
    <t>A Study to Learn How the Study Medicine Called PF-08653944 is Taken up Into the Blood in Adults With Overweight or Obesity.</t>
  </si>
  <si>
    <t>NCT07413094</t>
  </si>
  <si>
    <t>Efficacy and Safety of YD0743 Treatment for Sepsis-Associated ARDS</t>
  </si>
  <si>
    <t>NCT07282457</t>
  </si>
  <si>
    <t>Prospective, Randomized, Sham-controlled, Dose-finding I/II Trial of Safety and Efficacy of Modified Optogenetic Gene Therapy (ZM-02 Injection)</t>
  </si>
  <si>
    <t>NCT07269665</t>
  </si>
  <si>
    <t>First-in-Human, Dose Escalation Trial of AXV-101 in BBS1-Related Retinal Degeneration</t>
  </si>
  <si>
    <t>Axovia Therapeutics</t>
  </si>
  <si>
    <t>NCT07408089</t>
  </si>
  <si>
    <t>Study of the Kinesin Oral Molecular Degrader BBI-940 in Subjects With Advanced or Metastatic Breast Cancer</t>
  </si>
  <si>
    <t>NCT07435428</t>
  </si>
  <si>
    <t>A Study to Assess the Effectiveness and Safety of IPN10200 Over Time in Adults With Moderate to Severe Wrinkle-like Lines Between the Eyebrows</t>
  </si>
  <si>
    <t>NCT07441707</t>
  </si>
  <si>
    <t>A Study to Assess a Medicine Called Tovorafenib in Japanese Children and Young Adults With Brain Tumours</t>
  </si>
  <si>
    <t>NCT07306182</t>
  </si>
  <si>
    <t>A Research Study to Evaluate the Efficacy and Safety of SGC001 in Patients With Anterior Wall ST-Segment Elevation Myocardial Infarction</t>
  </si>
  <si>
    <t>NCT07462650</t>
  </si>
  <si>
    <t>Dual-Target CAR-NK Cells for Biomarker-Selected Advanced Colorectal Cancer</t>
  </si>
  <si>
    <t>NCT07340827</t>
  </si>
  <si>
    <t>A Study to Compare the Efficacy and Safety of Follitropin Alfa/Lutropin Alfa Versus hMG in Japanese Participants With LH and FSH Deficiency Undergoing ART (HINATA)</t>
  </si>
  <si>
    <t>NCT07291635</t>
  </si>
  <si>
    <t>Phase 1/2 Study of a Plant-Based Seasonal Recombinant Trivalent VLP Influenza Vaccine</t>
  </si>
  <si>
    <t>Aramis Biotechnologies Inc.</t>
  </si>
  <si>
    <t>NCT07435779</t>
  </si>
  <si>
    <t>Autologous CAR-T Cell Therapy for Refractory and Relapsing Ulcerative Colitis: A Single-Center Exploratory Study</t>
  </si>
  <si>
    <t>NCT07285018</t>
  </si>
  <si>
    <t>A Chronic Pain Master Protocol (CPMP): A Study of LY4065967 in Participants With Diabetic Peripheral Neuropathic Pain</t>
  </si>
  <si>
    <t>NCT07284758</t>
  </si>
  <si>
    <t>A Study to Evaluate the Efficacy of Cemsidomide + Dexamethasone in Participants With Relapsed/Refractory Multiple Myeloma</t>
  </si>
  <si>
    <t>NCT07392190</t>
  </si>
  <si>
    <t>A Study of Eloralintide (LY3841136) in Participants With Persistent Obesity Who Are Treated With a Weekly Incretin</t>
  </si>
  <si>
    <t>NCT07407803</t>
  </si>
  <si>
    <t>Evaluation of TQ-B3234 Capsules in Patients With Symptomatic, Non-Surgical Type 1 Neurofibromatosis-Associated Plexiform Neurofibromas</t>
  </si>
  <si>
    <t>NCT07402070</t>
  </si>
  <si>
    <t>IBI363 as Neoadjuvant Therapy in Resectable Stage II-III Non-Small Cell Lung Cancer</t>
  </si>
  <si>
    <t>NCT07284797</t>
  </si>
  <si>
    <t>A Phase 1 Open-label Study to Evaluate Safety in Healthy Participants and Participants With Idiopathic Inflammatory Myopathy (IIM)</t>
  </si>
  <si>
    <t>NCT07226791</t>
  </si>
  <si>
    <t>Study of AGN-151607-DP to Assess Adverse Events and Change in Disease Activity in Adult Participants Undergoing Open Abdominal Ventral Hernia Repair</t>
  </si>
  <si>
    <t>NCT07446309</t>
  </si>
  <si>
    <t>Safety and Efficacy of HRS-9190 Compared to Cisatracurium for Continuous Intravenous Infusion in Adults</t>
  </si>
  <si>
    <t>NCT07423598</t>
  </si>
  <si>
    <t>A Study to Investigate Safety, Tolerability, Pharmacokinetics, and Pharmacodynamics With AZD0780 Following Repeated Dose Administration in Healthy Adults With Elevated LDL-C Levels</t>
  </si>
  <si>
    <t>NCT07339423</t>
  </si>
  <si>
    <t>AMAZE 1: A Research Study Investigating How Well the Medicine NNC0487-0111 Helps People With Excess Body Weight Lose Weight</t>
  </si>
  <si>
    <t>NCT07311694</t>
  </si>
  <si>
    <t>A Phase III Study Comparing HRS-4357 With Novel Androgen Receptor Pathway Inhibitors in Patients With Progressive, PSMA-Positive Metastatic Castration-Resistant Prostate Cancer</t>
  </si>
  <si>
    <t>NCT07425392</t>
  </si>
  <si>
    <t>Safety, Tolerability, and Immunogenicity of VAX-31 in Adults ≥50 Years With Prior Pneumococcal Vaccination</t>
  </si>
  <si>
    <t>NCT07225634</t>
  </si>
  <si>
    <t>A Study of Combogesic® IV (Intravenous) in Pediatric Patients With Acute Pain</t>
  </si>
  <si>
    <t>NCT07308392</t>
  </si>
  <si>
    <t>Phase II Clinical Trial Evaluating the Efficacy and Safety of HRS-7249 and SHR-1918 in Patients With Severe Hypertriglyceridemia at High Risk of Acute Pancreatitis</t>
  </si>
  <si>
    <t>NCT07413328</t>
  </si>
  <si>
    <t>HWS116 Monotherapy in Patients With Advanced Solid Tumors</t>
  </si>
  <si>
    <t>NCT07202546</t>
  </si>
  <si>
    <t>A Phase 2b Study Evaluating Oral VH4524184 Regimens in Treatment Naïve Persons With HIV-1 (INNOVATE Study)</t>
  </si>
  <si>
    <t>NCT07220785</t>
  </si>
  <si>
    <t>Efficacy and Safety of Mibavademab in Adult and Pediatric Patients With Generalized Lipodystrophy</t>
  </si>
  <si>
    <t>NCT07236112</t>
  </si>
  <si>
    <t>Study of TRDC002 in the Diagnosis of Patients With PSMA-positive Prostate Cancer</t>
  </si>
  <si>
    <t>C Ray Therapeutics</t>
  </si>
  <si>
    <t>NCT07335055</t>
  </si>
  <si>
    <t>A Study for HSK47388 in Participants With Ulcerative Colitis</t>
  </si>
  <si>
    <t>NCT07227350</t>
  </si>
  <si>
    <t>L19IL2 or L19TNF or L19IL2/TNF in Patients With Basal Cell Carcinoma (BCC)</t>
  </si>
  <si>
    <t>NCT07148089</t>
  </si>
  <si>
    <t>A Study of SGT-501 Gene Therapy in Catecholaminergic Polymorphic Ventricular Tachycardia (CPVT)</t>
  </si>
  <si>
    <t>NCT07364214</t>
  </si>
  <si>
    <t>Metabolism, Excretion, and Mass Balance Study of Quemliclustat in Healthy Adult Participants (ARC-24)</t>
  </si>
  <si>
    <t>NCT07467447</t>
  </si>
  <si>
    <t>Effect of LY3437943 Versus Placebo in Participants Who Have Obesity or Are Overweight</t>
  </si>
  <si>
    <t>NCT07408232</t>
  </si>
  <si>
    <t>A Phase 1/2 Study in Healthy Volunteers and Participants With Autosomal Dominant Retinitis Pigmentosa (RHO-adRP)</t>
  </si>
  <si>
    <t>Octant, Inc.</t>
  </si>
  <si>
    <t>NCT07379333</t>
  </si>
  <si>
    <t>A Study to Evaluate Efficacy and Safety of HM11260C in Patients With Type 2 Diabetes Mellitus Inadequately Controlled With Metformin and Dapagliflozin</t>
  </si>
  <si>
    <t>NCT07334860</t>
  </si>
  <si>
    <t>A Clinical Trial to Compare Forms of MK-1167 in Healthy People (MK-1167-011)</t>
  </si>
  <si>
    <t>NCT07306559</t>
  </si>
  <si>
    <t>A Study to Test How Well Different Doses of BI 3820768 Are Tolerated by People With Advanced Cancer (Solid Tumours)</t>
  </si>
  <si>
    <t>NCT07404111</t>
  </si>
  <si>
    <t>A Study of VV-14305 for the Treatment of Thyroid Eye Disease</t>
  </si>
  <si>
    <t>NCT07391878</t>
  </si>
  <si>
    <t>Evaluate the Safety and Efficacy of TRG-200 KIT in Patients With Refractory Overactive Bladder.</t>
  </si>
  <si>
    <t>Trigone Pharma Ltd.</t>
  </si>
  <si>
    <t>NCT07371468</t>
  </si>
  <si>
    <t>A Study of GSK5926371 in Participants With B-cell Driven Autoimmune Rheumatic Diseases (ARD)</t>
  </si>
  <si>
    <t>NCT07355868</t>
  </si>
  <si>
    <t>Treatment of Chronic Obstructive Pulmonary Disease (COPD) by REGEND007 Cell Therapy</t>
  </si>
  <si>
    <t>NCT07264816</t>
  </si>
  <si>
    <t>A Study of BL-M07D1 in Combination With Pembrolizumab in Patients With Unresectable Locally Advanced or Metastatic HER2-Overexpressing Non-Squamous NSCLC</t>
  </si>
  <si>
    <t>NCT07331155</t>
  </si>
  <si>
    <t>A Phase II Clinical Study of LBL-024 Combination Therapy in Patients With Advanced Solid Tumour[Substudy 03(ESCC)]</t>
  </si>
  <si>
    <t>NCT07375758</t>
  </si>
  <si>
    <t>A Study of MIL116 in Healthy Participants and Patients With IgA Nephropathy.</t>
  </si>
  <si>
    <t>NCT07226843</t>
  </si>
  <si>
    <t>A Study of LY4584180 in Adult Participants With Previously Treated Blood Cancers</t>
  </si>
  <si>
    <t>NCT07421778</t>
  </si>
  <si>
    <t>A Multiple Ascending Dose Study Evaluating the Safety and Tolerability of a Novel Formulation of QRL-101 in Healthy Participants</t>
  </si>
  <si>
    <t>NCT07413666</t>
  </si>
  <si>
    <t>A Study of ORX489 in Healthy Adult Participants, Aged 18 to 60 Years</t>
  </si>
  <si>
    <t>NCT07480928</t>
  </si>
  <si>
    <t>Dual-Targeting CAR-NK Cells Targeting Mesothelin (MSLN) and MUC1 in Advanced Pancreatic Ductal Adenocarcinoma</t>
  </si>
  <si>
    <t>NCT07370207</t>
  </si>
  <si>
    <t>Phase 2 Study of AHB-137 in HBeAg Negative Chronic Hepatitis B (CHB) Participants in Asia Pacific Region</t>
  </si>
  <si>
    <t>AusperBio Therapeutics Inc.</t>
  </si>
  <si>
    <t>NCT07314333</t>
  </si>
  <si>
    <t>A Trial to Assess How Centanafadine Interacts With Stimulants in the Body</t>
  </si>
  <si>
    <t>NCT07271667</t>
  </si>
  <si>
    <t>A Study of Emavusertib + An Approved Bruton Tyrosine Kinase Inhibitor (BTKi) in Participants With Chronic Lymphocytic Leukemia (CLL) and Other B-cell Malignancies</t>
  </si>
  <si>
    <t>Curis, Inc.</t>
  </si>
  <si>
    <t>NCT07414316</t>
  </si>
  <si>
    <t>A Single-Arm, Open-Label Clinical Study GK01 Cell Injection in Subjects With Advanced Solid Tumors.</t>
  </si>
  <si>
    <t>NCT04454684</t>
  </si>
  <si>
    <t>A Multi-Site Study of MDMA-Assisted Psychotherapy for Eating Disorders</t>
  </si>
  <si>
    <t>NCT07346846</t>
  </si>
  <si>
    <t>A Study of BGM-2121 in Patients With Advanced Solid Tumors</t>
  </si>
  <si>
    <t>BioGate Precision Medicine Corp.</t>
  </si>
  <si>
    <t>NCT07391722</t>
  </si>
  <si>
    <t>DNV001 Injection in Patients With Hypercholesterolemia</t>
  </si>
  <si>
    <t>Hangzhou Dinovate Biotech Co., Ltd</t>
  </si>
  <si>
    <t>NCT07352969</t>
  </si>
  <si>
    <t>A Dose Finding Study of IBI3016 in Mild to Moderate Hypertensive Patients</t>
  </si>
  <si>
    <t>NCT07247266</t>
  </si>
  <si>
    <t>Study to Evaluate the Safety, Tolerability, Efficacy and Pharmacokinetics of JTE-162 in Subjects With Cryopyrin-Associated Periodic Syndrome (CAPS)</t>
  </si>
  <si>
    <t>Akros Pharma Inc.</t>
  </si>
  <si>
    <t>NCT07316361</t>
  </si>
  <si>
    <t>GYNORYLAQ™-VLINIVAL™: Ψ-Guided Personalized Neoantigen Peptide Vaccine for High-Risk Endometrial Cancer</t>
  </si>
  <si>
    <t>NCT06968845</t>
  </si>
  <si>
    <t>A Phase 2 Study of LTI-03 in Patients With Idiopathic Pulmonary Fibrosis</t>
  </si>
  <si>
    <t>Rein Therapeutics</t>
  </si>
  <si>
    <t>NCT07364422</t>
  </si>
  <si>
    <t>To Evaluate the Safety and Tolerability of Study Drug as a Third-line and Beyond Therapy for Recurrent or Metastatic Gastric Cancer</t>
  </si>
  <si>
    <t>NCT07388680</t>
  </si>
  <si>
    <t>Pirfenidone Capsules in the Treatment of Radiation-induced Lung Injury With or Without Immune Pneumonia</t>
  </si>
  <si>
    <t>NCT07382661</t>
  </si>
  <si>
    <t>Drug-Drug Interaction Between DW4421 and Amoxicillin/Clarithromycin</t>
  </si>
  <si>
    <t>Year</t>
  </si>
  <si>
    <t>Total</t>
  </si>
  <si>
    <t>2024</t>
  </si>
  <si>
    <t>2025</t>
  </si>
  <si>
    <t>2026</t>
  </si>
  <si>
    <t>2026 Annualized</t>
  </si>
  <si>
    <t>Rolling Metrics</t>
  </si>
  <si>
    <t>Value</t>
  </si>
  <si>
    <t>T12M (Mar 2025 – Feb 2026)</t>
  </si>
  <si>
    <t>T12M Prior (Mar 2024 – Feb 2025)</t>
  </si>
  <si>
    <t>T12M vs T12M Prior %</t>
  </si>
  <si>
    <t>YoY % trials/day (Feb 2026 vs Feb 2025)</t>
  </si>
  <si>
    <t>MoM % trials/day (Feb 2026 vs Jan 2026)</t>
  </si>
  <si>
    <t>MoM Prior % trials/day (Jan 2026 vs Dec 2025)</t>
  </si>
  <si>
    <t>Month</t>
  </si>
  <si>
    <t>Days</t>
  </si>
  <si>
    <t>Trials/Day</t>
  </si>
  <si>
    <t>YoY % enroll/day (Feb 2026 vs Feb 2025)</t>
  </si>
  <si>
    <t>MoM % enroll/day (Feb 2026 vs Jan 2026)</t>
  </si>
  <si>
    <t>MoM Prior % enroll/day (Jan 2026 vs Dec 2025)</t>
  </si>
  <si>
    <t>Enroll/Day</t>
  </si>
  <si>
    <t>Data pulled: 03/19/2026 | CDER current as of: N/A | CBER current as of: N/A</t>
  </si>
  <si>
    <t>FDA Center</t>
  </si>
  <si>
    <t>Approval Date</t>
  </si>
  <si>
    <t>Approval Type</t>
  </si>
  <si>
    <t>Drug Name</t>
  </si>
  <si>
    <t>Active Ingredient</t>
  </si>
  <si>
    <t>Month &amp; Year</t>
  </si>
  <si>
    <t>FDA-Approved Use</t>
  </si>
  <si>
    <t>Source</t>
  </si>
  <si>
    <t>CDER</t>
  </si>
  <si>
    <t>NDA</t>
  </si>
  <si>
    <t>Yuviwel</t>
  </si>
  <si>
    <t>navepegritide</t>
  </si>
  <si>
    <t>Feb 2026</t>
  </si>
  <si>
    <t>To increase linear growth in pediatric patients 2 years and older with achondroplasia with open epiphyses</t>
  </si>
  <si>
    <t>https://www.fda.gov/drugs/novel-drug-approvals-fda/novel-drug-approvals-2026</t>
  </si>
  <si>
    <t>BLA</t>
  </si>
  <si>
    <t>Loargys</t>
  </si>
  <si>
    <t>pegzilarginase-nbln</t>
  </si>
  <si>
    <t>To treat hyperarginemia in adults and pediatric patients two years and older with Arginase 1 Deficiency, in conjunction with dietary protein restriction</t>
  </si>
  <si>
    <t>Bysanti</t>
  </si>
  <si>
    <t>milsaperidone</t>
  </si>
  <si>
    <t>To treat schizophrenia and to treat manic or mixed episodes associated with bipolar I disorder</t>
  </si>
  <si>
    <t>Adquey</t>
  </si>
  <si>
    <t>difamilast</t>
  </si>
  <si>
    <t>To treat mild to moderate atopic dermatitis</t>
  </si>
  <si>
    <t>Zycubo</t>
  </si>
  <si>
    <t>copper histidinate</t>
  </si>
  <si>
    <t>Jan 2026</t>
  </si>
  <si>
    <t>To treat Menkes disease</t>
  </si>
  <si>
    <t>Nereus</t>
  </si>
  <si>
    <t>tradipitant</t>
  </si>
  <si>
    <t>Dec 2025</t>
  </si>
  <si>
    <t>To treat vomiting associated with motion</t>
  </si>
  <si>
    <t>https://www.fda.gov/drugs/novel-drug-approvals-fda/novel-drug-approvals-2025</t>
  </si>
  <si>
    <t>Yartemlea</t>
  </si>
  <si>
    <t>narsoplimab-wuug</t>
  </si>
  <si>
    <t>To treat hematopoietic stem cell transplant-associated thrombotic microangiopathy</t>
  </si>
  <si>
    <t>Myqorzo</t>
  </si>
  <si>
    <t>aficamten</t>
  </si>
  <si>
    <t>To treat symptomatic obstructive hypertrophic cardiomyopathyDrug Trials Snapshot</t>
  </si>
  <si>
    <t>Exdensur</t>
  </si>
  <si>
    <t>depemokimab-ulaa</t>
  </si>
  <si>
    <t>To treat severe asthma characterized by an eosinophilic phenotype as an Komziftiadd-on maintenance therapyDrug Trials Snapshot</t>
  </si>
  <si>
    <t>Nuzolvence</t>
  </si>
  <si>
    <t>zoliflodacin</t>
  </si>
  <si>
    <t>To treat uncomplicated urogenital gonorrhea due to Neisseria gonorrhoeae</t>
  </si>
  <si>
    <t>Cardamyst</t>
  </si>
  <si>
    <t>etripamil</t>
  </si>
  <si>
    <t>To treat episodes of paroxysmal supraventricular tachycardia</t>
  </si>
  <si>
    <t>Lerochol</t>
  </si>
  <si>
    <t>lerodalcibep-liga</t>
  </si>
  <si>
    <t>To reduce low-density lipoprotein cholesterol in adults with hypercholesterolemia, including heterozygous familial hypercholesterolemia, as an adjunct to diet and exerciseDrug Trials Snapshot</t>
  </si>
  <si>
    <t>CBER</t>
  </si>
  <si>
    <t>WASKYRAetuvetidigene autotemcel</t>
  </si>
  <si>
    <t>Indicated for the treatment of pediatric patients aged 6 months and older and adults with Wiskott-Aldrich Syndrome (WAS) who have a mutation in the WAS gene for whom hematopoietic stem cell transplantation (HSCT) is appropriate and no suitable human leukocyte antigen (HLA)-matched related stem cell donor is available.</t>
  </si>
  <si>
    <t>https://www.fda.gov/vaccines-blood-biologics/development-approval-process-cber/2025-biological-license-application-approvals</t>
  </si>
  <si>
    <t>Avance Nerve Graftacellular nerve allograft-arwx</t>
  </si>
  <si>
    <t>Indicated for the treatment of adult and pediatric patients aged one month and older with:• Traditional Approval for sensory nerve discontinuity &lt;25mm and• Accelerated Approval for sensory nerve discontinuity &gt;25mm, as well as mixed and motor nerve discontinuity.</t>
  </si>
  <si>
    <t>Voyxact</t>
  </si>
  <si>
    <t>sibeprenlimab-szsi</t>
  </si>
  <si>
    <t>Nov 2025</t>
  </si>
  <si>
    <t>To reduce proteinuria in primary immunoglobulin A nephropathy in adults at risk for disease progression</t>
  </si>
  <si>
    <t>ITVISMAonasemnogene abeparvovec-brve</t>
  </si>
  <si>
    <t>Indicated for the treatment of spinal muscular atrophy (SMA) in adult and pediatric patients 2 years of age and older with confirmed mutation in survival motor neuron 1 (SMN1) gene.</t>
  </si>
  <si>
    <t>Hyrnuo</t>
  </si>
  <si>
    <t>sevabertinib</t>
  </si>
  <si>
    <t>To treat locally advanced or metastatic non-squamous non-small cell lung cancer with tumors that have activating HER2 tyrosine kinase domain activating mutations in patients who received a systemic therapyDrug Trials Snapshot</t>
  </si>
  <si>
    <t>Redemplo</t>
  </si>
  <si>
    <t>plozasiran</t>
  </si>
  <si>
    <t>To reduce triglycerides in adults with familial chylomicronemia syndromeDrug Trials Snapshot</t>
  </si>
  <si>
    <t>Komzifti</t>
  </si>
  <si>
    <t>ziftomenib</t>
  </si>
  <si>
    <t>To treat adults with relapsed or refractory acute myeloid leukemia with a susceptible nucleophosmin 1 mutation who have no satisfactory alternative treatment optionsDrug Trials Snapshot</t>
  </si>
  <si>
    <t>Kygevvi</t>
  </si>
  <si>
    <t>doxecitine and doxribtimine</t>
  </si>
  <si>
    <t>To treat thymidine kinase 2 deficiency in patients who start to show symptoms when they are 12 years old or youngerDrug Trials Snapshot</t>
  </si>
  <si>
    <t>Lynkuet</t>
  </si>
  <si>
    <t>elinzanetant</t>
  </si>
  <si>
    <t>Oct 2025</t>
  </si>
  <si>
    <t>To treat moderate-to-severe vasomotor symptoms due to menopauseDrug Trials Snapshot</t>
  </si>
  <si>
    <t>Jascayd</t>
  </si>
  <si>
    <t>nerandomilast</t>
  </si>
  <si>
    <t>To treat idiopathic pulmonary fibrosis</t>
  </si>
  <si>
    <t>Rhapsido</t>
  </si>
  <si>
    <t>remibrutinib</t>
  </si>
  <si>
    <t>Sep 2025</t>
  </si>
  <si>
    <t>To treat chronic spontaneous urticaria in adults who remain symptomatic despite H1 antihistamine treatmentDrug Trials Snapshot</t>
  </si>
  <si>
    <t>Inluriyo</t>
  </si>
  <si>
    <t>imlunestrant</t>
  </si>
  <si>
    <t>To treat estrogen receptor-positive, human epidermal growth factor receptor 2-negative, estrogen receptor-1-mutated advanced or metastatic breast cancer with disease progression following at least one line of endocrine therapy</t>
  </si>
  <si>
    <t>Palsonify</t>
  </si>
  <si>
    <t>paltusotine</t>
  </si>
  <si>
    <t>To treat acromegaly in adults who had an inadequate response to surgery and/or for whom surgery is not an option</t>
  </si>
  <si>
    <t>Forzinity</t>
  </si>
  <si>
    <t>elamipretide</t>
  </si>
  <si>
    <t>To improve muscle strength in patients with Barth syndrome weighing at least 30 kg</t>
  </si>
  <si>
    <t>Keytruda Qlex</t>
  </si>
  <si>
    <t>pembrolizumab and berahyaluronidase alfa-pmph</t>
  </si>
  <si>
    <t>To treat adult and pediatric (12 years and older) solid tumor indications approved for the intravenous formulation of pembrolizumab</t>
  </si>
  <si>
    <t>Wayrilz</t>
  </si>
  <si>
    <t>rilzabrutinib</t>
  </si>
  <si>
    <t>Aug 2025</t>
  </si>
  <si>
    <t>To treat persistent or chronic immune thrombocytopenia that has not sufficiently responded to immunoglobulins, anti-D therapy, or corticosteroidsDrug Trials Snapshot</t>
  </si>
  <si>
    <t>Dawnzera</t>
  </si>
  <si>
    <t>donidalorsen</t>
  </si>
  <si>
    <t>To prevent attacks of hereditary angioedemaDrug Trials Snapshot</t>
  </si>
  <si>
    <t>PAPZIMEOSzopapogene imadenovec-drba</t>
  </si>
  <si>
    <t>Indicated for the treatment of adults with recurrent respiratory papillomatosis.</t>
  </si>
  <si>
    <t>Brinsupri</t>
  </si>
  <si>
    <t>brensocatib</t>
  </si>
  <si>
    <t>To treat non-cystic fibrosis bronchiectasisDrug Trials Snapshot</t>
  </si>
  <si>
    <t>Hernexeos</t>
  </si>
  <si>
    <t>zongertinib</t>
  </si>
  <si>
    <t>To treat adults with unresectable or metastatic non-squamous non-small cell lung cancer whose tumors have HER2 tyrosine kinase domain activating mutations, as detected by an FDA-approved test, and who have received prior systemic therapyDrug Trials Snapshot</t>
  </si>
  <si>
    <t>Modeyso</t>
  </si>
  <si>
    <t>dordaviprone</t>
  </si>
  <si>
    <t>To treat diffuse midline glioma harboring an H3 K27M mutation with progressive disease following prior therapyDrug Trials Snapshot</t>
  </si>
  <si>
    <t>Vizz</t>
  </si>
  <si>
    <t>aceclidine</t>
  </si>
  <si>
    <t>Jul 2025</t>
  </si>
  <si>
    <t>To treat presbyopiaDrug Trials Snapshot</t>
  </si>
  <si>
    <t>Sephience</t>
  </si>
  <si>
    <t>sepiapterin</t>
  </si>
  <si>
    <t>To treat hyperphenylalaninemia in patients with sepiapterin-responsive phenylketonuria, in conjunction with a phenylalanine-restricted dietDrug Trials Snapshot</t>
  </si>
  <si>
    <t>Anzupgo</t>
  </si>
  <si>
    <t>delgocitinib</t>
  </si>
  <si>
    <t>To treat moderate-to-severe chronic hand eczema when topical corticosteroids are not advisable or produce an inadequate responseDrug Trials Snapshot</t>
  </si>
  <si>
    <t>Ekterly</t>
  </si>
  <si>
    <t>sebetralstat</t>
  </si>
  <si>
    <t>To treat acute attacks of hereditary angioedemaDrug Trials Snapshot</t>
  </si>
  <si>
    <t>Lynozyfic</t>
  </si>
  <si>
    <t>linvoseltamab-gcpt</t>
  </si>
  <si>
    <t>To treat relapsed or refractory multiple myeloma after at least four prior lines of therapy, including a proteasome inhibitor, an immunomodulatory agent, and an anti CD38 monoclonal antibodyDrug Trials Snapshot</t>
  </si>
  <si>
    <t>Zegfrovy</t>
  </si>
  <si>
    <t>sunvozertinib</t>
  </si>
  <si>
    <t>To treat locally advanced or metastatic non-small cell lung cancer with epidermal growth factor receptor exon 20 insertion mutations, as detected by an FDA-approved test, with disease progression on or after platinum-based chemotherapyDrug Trials Snapshot</t>
  </si>
  <si>
    <t>Andembry</t>
  </si>
  <si>
    <t>garadacimab-gxii</t>
  </si>
  <si>
    <t>Jun 2025</t>
  </si>
  <si>
    <t>Ibtrozi</t>
  </si>
  <si>
    <t>taletrectinib</t>
  </si>
  <si>
    <t>To treat locally advanced or metastatic ROS1-positive non-small cell lung cancerDrug Trials Snapshot</t>
  </si>
  <si>
    <t>Enflonsia</t>
  </si>
  <si>
    <t>clesrovimab-cfor</t>
  </si>
  <si>
    <t>To prevent respiratory syncytial virus (RSV) lower respiratory tract disease in neonates and infants who are born during or entering their first RSV seasonDrug Trials Snapshot</t>
  </si>
  <si>
    <t>MNEXSPIKECOVID-19 Vaccine, mRNA</t>
  </si>
  <si>
    <t>May 2025</t>
  </si>
  <si>
    <t>Indicated for active immunization to prevent coronavirus disease 2019 (COVID-19) caused by severe acute respiratory syndrome coronavirus 2 (SARS-CoV-2). MNEXSPIKE is approved for use in individuals who have been previously vaccinated with any COVID-19 vaccine and are 65 years of age and older, or 12 years through 64 years of age with at least one underlying condition that puts them at high risk for severe outcomes from COVID-19.</t>
  </si>
  <si>
    <t>Tryptyr</t>
  </si>
  <si>
    <t>acoltremon</t>
  </si>
  <si>
    <t>To treat the signs and symptoms of dry eye diseaseDrug Trials Snapshot</t>
  </si>
  <si>
    <t>NUVAXOVIDCOVID-19 Vaccine, Adjuvanted</t>
  </si>
  <si>
    <t>Indicated for active immunization to prevent coronavirus disease 2019 (COVID-19) caused by severe acute respiratory syndrome coronavirus 2 (SARS-CoV-2) in adults 65 years and older. Additionally, COVID-19 Vaccine, Adjuvanted is indicated for individuals 12 through 64 years who have at least one underlying condition that puts them at high risk for severe outcomes from COVID-19.</t>
  </si>
  <si>
    <t>Emrelis</t>
  </si>
  <si>
    <t>telisotuzumab vedotin-tllv</t>
  </si>
  <si>
    <t>To treat locally advanced or metastatic, non-squamous non-small cell lung cancer (NSCLC) with high c-Met protein overexpression after prior systemic therapyDrug Trials Snapshot</t>
  </si>
  <si>
    <t>Avmapki Fakzynja Co-Pack</t>
  </si>
  <si>
    <t>avutometinib and defactinib</t>
  </si>
  <si>
    <t>To treat KRAS-mutated recurrent low-grade serous ovarian cancer (LGSOC) after prior systemic therapyDrug Trials Snapshot</t>
  </si>
  <si>
    <t>Imaavy</t>
  </si>
  <si>
    <t>nipocalimab-aahu</t>
  </si>
  <si>
    <t>Apr 2025</t>
  </si>
  <si>
    <t>To treat generalized myasthenia gravisDrug Trials Snapshot</t>
  </si>
  <si>
    <t>ZEVASKYNprademagene zamikeracel</t>
  </si>
  <si>
    <t>Indicated for treatment of wounds in adult and pediatric patients with recessive dystrophic epidermolysis bullosa (RDEB).</t>
  </si>
  <si>
    <t>penpulimab-kcqx</t>
  </si>
  <si>
    <t>In combination with either cisplatin or carboplatin and gemcitabine, to treat adults with recurrent or metastatic non-keratinizing nasopharyngeal carcinoma (NPC), or as a single agent while on or after platinum-based chemotherapy and at least one other prior line of therapyDrug Trials Snapshot</t>
  </si>
  <si>
    <t>Vanrafia</t>
  </si>
  <si>
    <t>atrasentan</t>
  </si>
  <si>
    <t>To reduce proteinuria in adults with primary immunoglobulin A nephropathy at risk of rapid disease progressionDrug Trials Snapshot</t>
  </si>
  <si>
    <t>Qfitlia</t>
  </si>
  <si>
    <t>fitusiran</t>
  </si>
  <si>
    <t>Mar 2025</t>
  </si>
  <si>
    <t>To prevent or reduce the frequency of bleeding episodes in hemophilia A or BPress ReleaseDrug Trials Snapshot</t>
  </si>
  <si>
    <t>Blujepa</t>
  </si>
  <si>
    <t>gepotidacin</t>
  </si>
  <si>
    <t>To treat uncomplicated urinary tract infectionsDrug Trials Snapshot</t>
  </si>
  <si>
    <t>ENCELTOrevakinagene taroretcel-lwey</t>
  </si>
  <si>
    <t>Indicated for the treatment of adults with idiopathic macular telangiectasia type 2 (MacTel).</t>
  </si>
  <si>
    <t>Romvimza</t>
  </si>
  <si>
    <t>vimseltinib</t>
  </si>
  <si>
    <t>Feb 2025</t>
  </si>
  <si>
    <t>To treat symptomatic tenosynovial giant cell tumor for which surgical resection will potentially cause worsening functional limitation or severe morbidityDrug Trials Snapshot</t>
  </si>
  <si>
    <t>VIMKUNYAChikungunya Vaccine, Recombinant</t>
  </si>
  <si>
    <t>Indicated for the prevention of disease caused by chikungunya virus in individuals 12 years of age and older.</t>
  </si>
  <si>
    <t>PENMENVYMeningococcal Groups A, B, C, W, and Y Vaccine</t>
  </si>
  <si>
    <t>Indicated for active immunization to prevent invasive disease caused by Neisseria meningitidis serogroups A, B, C, W, and Y in individuals 10 through 25 years of age.</t>
  </si>
  <si>
    <t>Gomekli</t>
  </si>
  <si>
    <t>mirdametinib</t>
  </si>
  <si>
    <t>To treat neurofibromatosis type 1 who have symptomatic plexiform neurofibromas not amenable to complete resectionDrug Trials Snapshot</t>
  </si>
  <si>
    <t>Journavx</t>
  </si>
  <si>
    <t>suzetrigine</t>
  </si>
  <si>
    <t>Jan 2025</t>
  </si>
  <si>
    <t>To treat moderate to severe acute painPress ReleaseDrug Trials Snapshot</t>
  </si>
  <si>
    <t>Grafapex</t>
  </si>
  <si>
    <t>treosulfan</t>
  </si>
  <si>
    <t>For use in combination with fludarabine as a preparative regimen for allogeneic hematopoietic stem cell transplantation for acute myeloid leukemia and myelodysplastic syndromeDrug Trials Snapshot</t>
  </si>
  <si>
    <t>Datroway</t>
  </si>
  <si>
    <t>datopotamab deruxtecan-dlnk</t>
  </si>
  <si>
    <t>To treat unresectable or metastatic, HR-positive, HER2-negative breast cancer who have received prior endocrine-based therapy and chemotherapy for unresectable or metastatic diseaseDrug Trials Snapshot</t>
  </si>
  <si>
    <t>Alhemo</t>
  </si>
  <si>
    <t>concizumab-mtci</t>
  </si>
  <si>
    <t>Dec 2024</t>
  </si>
  <si>
    <t>For routine prophylaxis to prevent bleeding episodes in hemophilia A and BDrug Trials Snapshot</t>
  </si>
  <si>
    <t>https://www.fda.gov/drugs/novel-drug-approvals-fda/novel-drug-approvals-2024</t>
  </si>
  <si>
    <t>Alyftrek</t>
  </si>
  <si>
    <t>vanzacaftor, tezacaftor, and deutivacaftor</t>
  </si>
  <si>
    <t>For the treatment of cystic fibrosis (CF) in patients 6 years of age and olderDrug Trials Snapshot</t>
  </si>
  <si>
    <t>SYMVESSacellular tissue engineered vessel-tyod</t>
  </si>
  <si>
    <t>Indicated for use in adults as a vascular conduit for extremity arterial injury when urgent revascularization is needed to avoid imminent limb loss, and autologous vein graft is not feasible.</t>
  </si>
  <si>
    <t>https://www.fda.gov/vaccines-blood-biologics/development-approval-process-cber/2024-biological-license-application-approvals</t>
  </si>
  <si>
    <t>Tryngolza</t>
  </si>
  <si>
    <t>olezarsen</t>
  </si>
  <si>
    <t>To treat familial chylomicronemia syndromeDrug Trials Snapshot</t>
  </si>
  <si>
    <t>RYONCILremestemcel-L-rknd</t>
  </si>
  <si>
    <t>Indicated for the treatment of steroid-refractory acute graft versus host disease (SR-aGvHD) in pediatric patients 2 months of age and older.</t>
  </si>
  <si>
    <t>Ensacove</t>
  </si>
  <si>
    <t>ensartinib</t>
  </si>
  <si>
    <t>To treat non-small cell lung cancerDrug Trials Snapshot</t>
  </si>
  <si>
    <t>Unloxcyt</t>
  </si>
  <si>
    <t>cosibelimab-ipdl</t>
  </si>
  <si>
    <t>To treat cutaneous squamous cell carcinomaDrug Trials Snapshot</t>
  </si>
  <si>
    <t>Crenessity</t>
  </si>
  <si>
    <t>crinecerfont</t>
  </si>
  <si>
    <t>To treat classic congenital adrenal hyperplasiaPress ReleaseDrug Trials Snapshot</t>
  </si>
  <si>
    <t>Bizengri</t>
  </si>
  <si>
    <t>zenocutuzumab-zbco</t>
  </si>
  <si>
    <t>To treat non-small cell lung cancer and pancreatic adenocarcinomaDrug Trials Snapshot</t>
  </si>
  <si>
    <t>Iomervu</t>
  </si>
  <si>
    <t>iomeprol</t>
  </si>
  <si>
    <t>Nov 2024</t>
  </si>
  <si>
    <t>For use as a radiographic contrast agentDrug Trials Snapshot</t>
  </si>
  <si>
    <t>Attruby</t>
  </si>
  <si>
    <t>acoramidis</t>
  </si>
  <si>
    <t>To treat cardiomyopathy of wild-type or variant transthyretin-mediated amyloidosisDrug Trials Snapshot</t>
  </si>
  <si>
    <t>Rapiblyk</t>
  </si>
  <si>
    <t>landiolol</t>
  </si>
  <si>
    <t>To treat supraventricular tachycardiaDrug Trials Snapshot</t>
  </si>
  <si>
    <t>Ziihera</t>
  </si>
  <si>
    <t>zanidatamab-hrii</t>
  </si>
  <si>
    <t>To treat unresectable or metastatic HER2-positive (IHC 3+) biliary tract cancerDrug Trials Snapshot</t>
  </si>
  <si>
    <t>Revuforj</t>
  </si>
  <si>
    <t>revumenib</t>
  </si>
  <si>
    <t>To treat relapsed or refractory acute leukemiaDrug Trials Snapshot</t>
  </si>
  <si>
    <t>Kebilidieladocagene exuparvovec-tneq</t>
  </si>
  <si>
    <t>For treatment of adult and pediatric patients with aromatic L-amino acid decarboxylase (AADC) deficiency.</t>
  </si>
  <si>
    <t>Aucatzylobecabtagene autoleucel</t>
  </si>
  <si>
    <t>Indicated for the treatment of adults with relapsed or refractory B-cell precursor acute lymphoblastic leukemia (ALL).</t>
  </si>
  <si>
    <t>Orlynvah</t>
  </si>
  <si>
    <t>sulopenem etzadroxil, probenecid</t>
  </si>
  <si>
    <t>Oct 2024</t>
  </si>
  <si>
    <t>To treat uncomplicated urinary tract infections (uUTI)Drug Trial Snapshot</t>
  </si>
  <si>
    <t>Vyloy</t>
  </si>
  <si>
    <t>zolbetuximab-clzb</t>
  </si>
  <si>
    <t>To treat gastric or gastroesophageal junction adenocarcinomaDrug Trials Snapshots: VYLOY</t>
  </si>
  <si>
    <t>Hympavzi</t>
  </si>
  <si>
    <t>marstacimab-hncq</t>
  </si>
  <si>
    <t>To prevent or reduce bleeding episodes related to hemophilia A or BPress ReleaseDrug Trials Snapshot</t>
  </si>
  <si>
    <t>Itovebi</t>
  </si>
  <si>
    <t>inavolisib</t>
  </si>
  <si>
    <t>To treat locally advanced or metastatic breast cancerDrug Trials Snapshot</t>
  </si>
  <si>
    <t>Flyrcado</t>
  </si>
  <si>
    <t>flurpiridaz F 18</t>
  </si>
  <si>
    <t>Sep 2024</t>
  </si>
  <si>
    <t>A radioactive diagnostic drug to evaluate for myocardial ischemia and infarctionDrug Trials Snapshot</t>
  </si>
  <si>
    <t>Cobenfy</t>
  </si>
  <si>
    <t>xanomeline and trospium chloride</t>
  </si>
  <si>
    <t>To treat schizophreniaPress ReleaseDrug Trials Snapshot</t>
  </si>
  <si>
    <t>Aqneursa</t>
  </si>
  <si>
    <t>levacetylleucine</t>
  </si>
  <si>
    <t>To treat Niemann-Pick disease type CPress ReleaseDrug Trials Snapshot</t>
  </si>
  <si>
    <t>Miplyffa</t>
  </si>
  <si>
    <t>arimoclomol</t>
  </si>
  <si>
    <t>Ebglyss</t>
  </si>
  <si>
    <t>lebrikizumab-lbkz</t>
  </si>
  <si>
    <t>To treat moderate-to-severe atopic dermatitisDrug Trials Snapshot</t>
  </si>
  <si>
    <t>Lazcluze</t>
  </si>
  <si>
    <t>lazertinib</t>
  </si>
  <si>
    <t>Aug 2024</t>
  </si>
  <si>
    <t>Niktimvo</t>
  </si>
  <si>
    <t>axatilimab-csfr</t>
  </si>
  <si>
    <t>To treat chronic graft-versus-host disease (cGVHD)Drug Trials Snapshot</t>
  </si>
  <si>
    <t>Livdelzi</t>
  </si>
  <si>
    <t>seladelpar</t>
  </si>
  <si>
    <t>To treat primary biliary cholangitis (PBC)Drug Trials Snapshot</t>
  </si>
  <si>
    <t>Nemluvio</t>
  </si>
  <si>
    <t>nemolizumab-ilto</t>
  </si>
  <si>
    <t>To treat prurigo nodularisDrug Trials Snapshot</t>
  </si>
  <si>
    <t>Yorvipath</t>
  </si>
  <si>
    <t>palopegteriparatide</t>
  </si>
  <si>
    <t>To treat hypoparathyroidismDrug Trials Snapshot</t>
  </si>
  <si>
    <t>Voranigo</t>
  </si>
  <si>
    <t>vorasidenib</t>
  </si>
  <si>
    <t>To treat Grade 2 astrocytoma or oligodendrogliomaDrug Trials Snapshot</t>
  </si>
  <si>
    <t>TECELRAafamitresgene autoleucel</t>
  </si>
  <si>
    <t>Indicated for treatment of adults with unresectable or metastatic synovial sarcoma who have received prior chemotherapy, are HLA-A*02:01P, -A*02:02P, -A*02:03P, or -A*02:06P positive and whose tumor expresses the MAGE-A4 antigen as determined by FDA-approved or cleared companion diagnostic devices.</t>
  </si>
  <si>
    <t>Leqselvi</t>
  </si>
  <si>
    <t>deuruxolitinib</t>
  </si>
  <si>
    <t>Jul 2024</t>
  </si>
  <si>
    <t>To treat severe alopecia areataDrug Trials Snapshot</t>
  </si>
  <si>
    <t>Kisunla</t>
  </si>
  <si>
    <t>donanemab-azbt</t>
  </si>
  <si>
    <t>To treat Alzheimer’s diseaseDrug Trials Snapshot</t>
  </si>
  <si>
    <t>Ohtuvayre</t>
  </si>
  <si>
    <t>ensifentrine</t>
  </si>
  <si>
    <t>Jun 2024</t>
  </si>
  <si>
    <t>To treat chronic obstructive pulmonary diseaseDrug Trials Snapshot</t>
  </si>
  <si>
    <t>Piasky</t>
  </si>
  <si>
    <t>crovalimab-akkz</t>
  </si>
  <si>
    <t>To treat paroxysmal nocturnal hemoglobinuriaDrug Trials Snapshot</t>
  </si>
  <si>
    <t>Sofdra</t>
  </si>
  <si>
    <t>sofpironium</t>
  </si>
  <si>
    <t>To treat primary axillary hyperhidrosisDrug Trials Snapshot</t>
  </si>
  <si>
    <t>CAPVAXIVEPneumococcal 21-valent Conjugate Vaccine</t>
  </si>
  <si>
    <t>Indicated for active immunization for the prevention of invasive disease caused by Streptococcus pneumoniae serotypes 3, 6A, 7F, 8, 9N, 10A, 11A, 12F, 15A, 15B, 15C, 16F, 17F, 19A, 20A, 22F, 23A, 23B, 24F, 31, 33F, and 35B in individuals 18 years of age and older.</t>
  </si>
  <si>
    <t>Iqirvo</t>
  </si>
  <si>
    <t>elafibranor</t>
  </si>
  <si>
    <t>To treat primary biliary cholangitis in combination with ursodeoxycholic acidDrug Trials Snapshot</t>
  </si>
  <si>
    <t>Rytelo</t>
  </si>
  <si>
    <t>imetelstat</t>
  </si>
  <si>
    <t>To treat low- to intermediate-1 risk myelodysplastic syndromesDrug Trials Snapshot</t>
  </si>
  <si>
    <t>MRESVIARespiratory Syncytial Virus Vaccine</t>
  </si>
  <si>
    <t>May 2024</t>
  </si>
  <si>
    <t>Indicated for active immunization for the prevention of lower respiratory tract disease (LRTD) caused by respiratory syncytial virus (RSV) in individuals 60 years of age and older.</t>
  </si>
  <si>
    <t>Imdelltra</t>
  </si>
  <si>
    <t>tarlatamab-dlle</t>
  </si>
  <si>
    <t>To treat extensive stage small cell lung cancerDrug Trials Snapshot</t>
  </si>
  <si>
    <t>Xolremdi</t>
  </si>
  <si>
    <t>mavorixafor</t>
  </si>
  <si>
    <t>Apr 2024</t>
  </si>
  <si>
    <t>To treat WHIM syndrome (warts, hypogammaglobulinemia, infections and myelokathexis)Drug Trials Snapshot</t>
  </si>
  <si>
    <t>BEQVEZelaparvovec-dzkt</t>
  </si>
  <si>
    <t>Indicated for the treatment of adults with moderate to severe hemophilia B (congenital factor IX deficiency) who: currently use factor IX prophylaxis therapy, or have current or historical life-threatening hemorrhage, or have repeated, serious spontaneous bleeding episodes, and, do not have neutralizing antibodies to adeno-associated virus serotype Rh74var (AAVRh74var) capsid as detected by an FDA-approved test.</t>
  </si>
  <si>
    <t>Ojemda</t>
  </si>
  <si>
    <t>tovorafenib</t>
  </si>
  <si>
    <t>To treat relapsed or refractory pediatric low-grade gliomaDrug Trials Snapshot</t>
  </si>
  <si>
    <t>Anktiva</t>
  </si>
  <si>
    <t>nogapendekin alfa inbakicept-pmln</t>
  </si>
  <si>
    <t>To treat bladder cancerDrug Trials Snapshot</t>
  </si>
  <si>
    <t>Lumisight</t>
  </si>
  <si>
    <t>pegulicianine</t>
  </si>
  <si>
    <t>To use as an optical imaging agent for the detection of cancerous tissueDrug Trials Snapshot</t>
  </si>
  <si>
    <t>Zevtera</t>
  </si>
  <si>
    <t>ceftobiprole medocaril sodium</t>
  </si>
  <si>
    <t>To treat certain bloodstream infections, bacterial skin and associated tissue infections, and community-acquired bacterial pneumoniaPress ReleaseDrug Trials Snapshot</t>
  </si>
  <si>
    <t>Voydeya</t>
  </si>
  <si>
    <t>danicopan</t>
  </si>
  <si>
    <t>Mar 2024</t>
  </si>
  <si>
    <t>To treat extravascular hemolysis with paroxysmal nocturnal hemoglobinuriaDrug Trials Snapshot</t>
  </si>
  <si>
    <t>Vafseo</t>
  </si>
  <si>
    <t>vadadustat</t>
  </si>
  <si>
    <t>To treat anemia due to chronic kidney diseaseDrug Trials Snapshot</t>
  </si>
  <si>
    <t>Winrevair</t>
  </si>
  <si>
    <t>sotatercept-csrk</t>
  </si>
  <si>
    <t>To treat pulmonary arterial hypertensionDrug Trials Snapshot</t>
  </si>
  <si>
    <t>Duvyzat</t>
  </si>
  <si>
    <t>givinostat</t>
  </si>
  <si>
    <t>To treat Duchenne muscular dystrophy in individuals aged 6 years and olderPress ReleaseDrug Trials Snapshot</t>
  </si>
  <si>
    <t>cobas Malariacobas Malaria,Nucleic Acid Test foruse on the cobas6800/8800 Systems</t>
  </si>
  <si>
    <t>Is a qualitative in vitro nucleic acid screening test for the direct detection of Plasmodium (P. falciparum, P. malariae, P. vivax, P. ovale and P. knowlesi) DNA and RNA in whole blood samples from individual human donors, including donors of whole blood and blood components, as well as other living donors. It is also intended for use in testing whole blood samples to screen organ and tissue donors when samples are obtained while the donor’s heart is still beating.</t>
  </si>
  <si>
    <t>Tryvio</t>
  </si>
  <si>
    <t>aprocitentan</t>
  </si>
  <si>
    <t>To treat hypertensionDrug Trials Snapshot</t>
  </si>
  <si>
    <t>LENMELDYatidarsagene autotemcel</t>
  </si>
  <si>
    <t>Indicated for treatment of children with pre-symptomatic late infantile (PSLI), pre-symptomatic early juvenile (PSEJ) or early symptomatic early juvenile (ESEJ) metachromatic leukodystrophy (MLD).</t>
  </si>
  <si>
    <t>Rezdiffra</t>
  </si>
  <si>
    <t>resmetirom</t>
  </si>
  <si>
    <t>To treat noncirrhotic non-alcoholic steatohepatitis with moderate to advanced liver scarringPress ReleaseDrug Trials Snapshot</t>
  </si>
  <si>
    <t>Tevimbra</t>
  </si>
  <si>
    <t>tislelizumab-jsgr</t>
  </si>
  <si>
    <t>To treat unresectable or metastatic esophageal squamous cell carcinomaDrug Trials Snapshot</t>
  </si>
  <si>
    <t>Letybo</t>
  </si>
  <si>
    <t>letibotulinumtoxinA-wlbg</t>
  </si>
  <si>
    <t>Feb 2024</t>
  </si>
  <si>
    <t>To temporarily improve the appearance of moderate-to-severe glabellar linesDrug Trials Snapshot</t>
  </si>
  <si>
    <t>Exblifep</t>
  </si>
  <si>
    <t>cefepime, enmetazobactam</t>
  </si>
  <si>
    <t>To treat complicated urinary tract infectionsDrug Trials Snapshot</t>
  </si>
  <si>
    <t>AMTAGVILifileucel</t>
  </si>
  <si>
    <t>Indicated for treatment of adult patients with unresectable or metastatic melanoma previously treated with a PD-1 blocking antibody, and if BRAF V600 mutation positive, a BRAF inhibitor with or without a MEK inhibitor.</t>
  </si>
  <si>
    <t>CASGEVYExagamglogene autotemcel</t>
  </si>
  <si>
    <t>Jan 2024</t>
  </si>
  <si>
    <t>Indicated the treatment of patients aged 12 years and older with transfusion-dependent ß-thalassemia (TDT).</t>
  </si>
  <si>
    <t>Zelsuvmi</t>
  </si>
  <si>
    <t>berdazimer</t>
  </si>
  <si>
    <t>To treat molluscum contagiosumDrug Trials Snapshot</t>
  </si>
  <si>
    <t>Data pulled: 03/19/2026 | Biosimilar page current as of: N/A</t>
  </si>
  <si>
    <t>Approval Year</t>
  </si>
  <si>
    <t>Approval Month &amp; Year</t>
  </si>
  <si>
    <t>Biosimilar Name</t>
  </si>
  <si>
    <t>Reference Product</t>
  </si>
  <si>
    <t>Count</t>
  </si>
  <si>
    <t>January 2026</t>
  </si>
  <si>
    <t>Filkri (filgrastim-laha)</t>
  </si>
  <si>
    <t>filgrastim-laha</t>
  </si>
  <si>
    <t>Neupogen (filgrastim)</t>
  </si>
  <si>
    <t>https://www.fda.gov/drugs/biosimilars/biosimilar-product-information</t>
  </si>
  <si>
    <t>December 2025</t>
  </si>
  <si>
    <t>Boncresa and Oziltus (denosumab-mobz)</t>
  </si>
  <si>
    <t>denosumab-mobz</t>
  </si>
  <si>
    <t>Prolia and Xgeva (denosumab)</t>
  </si>
  <si>
    <t>Nufymco (ranibizumab-leyk)</t>
  </si>
  <si>
    <t>ranibizumab-leyk</t>
  </si>
  <si>
    <t>Lucentis (ranibizumab)</t>
  </si>
  <si>
    <t>November 2025</t>
  </si>
  <si>
    <t>Armlupeg (pegfilgrastim-unne)</t>
  </si>
  <si>
    <t>pegfilgrastim-unne</t>
  </si>
  <si>
    <t>Neulasta (pegfilgrastim)</t>
  </si>
  <si>
    <t>Poherdy (pertuzumab-dpzb)</t>
  </si>
  <si>
    <t>pertuzumab-dpzb</t>
  </si>
  <si>
    <t>Perjeta (pertuzumab)</t>
  </si>
  <si>
    <t>October 2025</t>
  </si>
  <si>
    <t>Osvyrti and Jubereq (denosumab-desu)</t>
  </si>
  <si>
    <t>denosumab-desu</t>
  </si>
  <si>
    <t>Eydenzelt (aflibercept-boav)</t>
  </si>
  <si>
    <t>aflibercept-boav</t>
  </si>
  <si>
    <t>Eylea (aflibercept)</t>
  </si>
  <si>
    <t>September 2025</t>
  </si>
  <si>
    <t>Enoby and Xtrenbo (denosumab-qbde)</t>
  </si>
  <si>
    <t>denosumab-qbde</t>
  </si>
  <si>
    <t>Aukelso and Bosaya (denosumab-kyqq)</t>
  </si>
  <si>
    <t>denosumab-kyqq</t>
  </si>
  <si>
    <t>August 2025</t>
  </si>
  <si>
    <t>Bildyos and Bilprevda (denosumab-nxxp)</t>
  </si>
  <si>
    <t>denosumab-nxxp</t>
  </si>
  <si>
    <t>July 2025</t>
  </si>
  <si>
    <t>Kirsty (insulin aspart-xjhz)</t>
  </si>
  <si>
    <t>insulin aspart-xjhz</t>
  </si>
  <si>
    <t>Novolog (insulin aspart)</t>
  </si>
  <si>
    <t>Starjemza (ustekinumab-hmny)</t>
  </si>
  <si>
    <t>ustekinumab-hmny</t>
  </si>
  <si>
    <t>Stelara (ustekinumab)</t>
  </si>
  <si>
    <t>April 2025</t>
  </si>
  <si>
    <t>Jobevne (bevacizumab-nwgd)</t>
  </si>
  <si>
    <t>bevacizumab-nwgd</t>
  </si>
  <si>
    <t>Avastin (bevacizumab)</t>
  </si>
  <si>
    <t>March 2025</t>
  </si>
  <si>
    <t>Bomyntra and Conexxence (denosumab-bnht)</t>
  </si>
  <si>
    <t>denosumab-bnht</t>
  </si>
  <si>
    <t>Omlyclo (omalizumab-igec)</t>
  </si>
  <si>
    <t>omalizumab-igec</t>
  </si>
  <si>
    <t>Xolair (omalizumab)</t>
  </si>
  <si>
    <t>February 2025</t>
  </si>
  <si>
    <t>Stoboclo and Osenvelt (denosumab-bmwo)</t>
  </si>
  <si>
    <t>denosumab-bmwo</t>
  </si>
  <si>
    <t>Merilog (insulin aspart-szjj)</t>
  </si>
  <si>
    <t>insulin aspart-szjj</t>
  </si>
  <si>
    <t>Ospomyv and Xbryk (denosumab-dssb)</t>
  </si>
  <si>
    <t>denosumab-dssb</t>
  </si>
  <si>
    <t>January 2025</t>
  </si>
  <si>
    <t>Avtozma (tocilizumab-anoh)</t>
  </si>
  <si>
    <t>tocilizumab-anoh</t>
  </si>
  <si>
    <t>Actemra (tocilizumab)</t>
  </si>
  <si>
    <t>December 2024</t>
  </si>
  <si>
    <t>Steqeyma (Ustekinumab-stba)</t>
  </si>
  <si>
    <t>Ustekinumab-stba</t>
  </si>
  <si>
    <t>November 2024</t>
  </si>
  <si>
    <t>Yesintek (ustekinumab-kfce)</t>
  </si>
  <si>
    <t>ustekinumab-kfce</t>
  </si>
  <si>
    <t>October 2024</t>
  </si>
  <si>
    <t>Imuldosa (ustekinumab-srlf)</t>
  </si>
  <si>
    <t>ustekinumab-srlf</t>
  </si>
  <si>
    <t>September 2024</t>
  </si>
  <si>
    <t>Otulfi (ustekinumab-aauz)</t>
  </si>
  <si>
    <t>ustekinumab-aauz</t>
  </si>
  <si>
    <t>August 2024</t>
  </si>
  <si>
    <t>Pavblu (aflibercept-ayyh)</t>
  </si>
  <si>
    <t>aflibercept-ayyh</t>
  </si>
  <si>
    <t>Enzeevu (aflibercept-abzv)</t>
  </si>
  <si>
    <t>aflibercept-abzv</t>
  </si>
  <si>
    <t>July 2024</t>
  </si>
  <si>
    <t>Epysqli (eculizumab-aagh)</t>
  </si>
  <si>
    <t>eculizumab-aagh</t>
  </si>
  <si>
    <t>Soliris (eculizumab)</t>
  </si>
  <si>
    <t>June 2024</t>
  </si>
  <si>
    <t>Ahzantive (aflibercept-mrbb)</t>
  </si>
  <si>
    <t>aflibercept-mrbb</t>
  </si>
  <si>
    <t>Nypozi (filgrastim-txid)</t>
  </si>
  <si>
    <t>filgrastim-txid</t>
  </si>
  <si>
    <t>Pyzchiva (ustekinumab-ttwe)</t>
  </si>
  <si>
    <t>ustekinumab-ttwe</t>
  </si>
  <si>
    <t>Bkemv (eculizumab-aeeb)</t>
  </si>
  <si>
    <t>eculizumab-aeeb</t>
  </si>
  <si>
    <t>Yesafili (aflibercept-jbvf)</t>
  </si>
  <si>
    <t>aflibercept-jbvf</t>
  </si>
  <si>
    <t>Opuviz (aflibercept-yszy)</t>
  </si>
  <si>
    <t>aflibercept-yszy</t>
  </si>
  <si>
    <t>April 2024</t>
  </si>
  <si>
    <t>Hercessi (trastuzumab-strf)</t>
  </si>
  <si>
    <t>trastuzumab-strf</t>
  </si>
  <si>
    <t>Herceptin (trastuzumab)</t>
  </si>
  <si>
    <t>Selarsdi (ustekinumab-aekn)</t>
  </si>
  <si>
    <t>ustekinumab-aekn</t>
  </si>
  <si>
    <t>March 2024</t>
  </si>
  <si>
    <t>Tyenne (tocilizumab-aazg)</t>
  </si>
  <si>
    <t>tocilizumab-aazg</t>
  </si>
  <si>
    <t>Jubbonti and Wyost (denosumab-bbdz)</t>
  </si>
  <si>
    <t>denosumab-bbdz</t>
  </si>
  <si>
    <t>February 2024</t>
  </si>
  <si>
    <t>Simlandi (adalimumab-ryvk)</t>
  </si>
  <si>
    <t>adalimumab-ryvk</t>
  </si>
  <si>
    <t>Humira (adalimumab)</t>
  </si>
  <si>
    <t>Data pulled: 03/19/2026</t>
  </si>
  <si>
    <t>A) Annual Novel Approval Summary</t>
  </si>
  <si>
    <t>Chemical (NDA)</t>
  </si>
  <si>
    <t>Biologics (BLA)</t>
  </si>
  <si>
    <t>B) Monthly Novel Approval Summary</t>
  </si>
  <si>
    <t>BLA (CDER)</t>
  </si>
  <si>
    <t>BLA (CBER)*</t>
  </si>
  <si>
    <t>Approvals/Day</t>
  </si>
  <si>
    <t>Seq Growth %</t>
  </si>
  <si>
    <t>CDER #</t>
  </si>
  <si>
    <t>YoY CDER %</t>
  </si>
  <si>
    <t>N/A</t>
  </si>
  <si>
    <t>*CBER data current as of: N/A</t>
  </si>
  <si>
    <t>C) Annual Biosimilar Approval Summary</t>
  </si>
  <si>
    <t>Approvals</t>
  </si>
  <si>
    <t>D) Monthly Biosimilar Approval Summary</t>
  </si>
  <si>
    <t>YoY Growth %</t>
  </si>
  <si>
    <t>E) Overall Novel Approval Summary</t>
  </si>
  <si>
    <t>Metric</t>
  </si>
  <si>
    <t>2025 vs 2024 %</t>
  </si>
  <si>
    <t>Latest Mo Seq Growth (Feb 2026 vs Jan 2026)</t>
  </si>
  <si>
    <t>Prev Mo Seq Growth (Jan 2026 vs Dec 2025)</t>
  </si>
  <si>
    <t>F) Overall Biosimilar Approval Summary</t>
  </si>
  <si>
    <t>Record Date</t>
  </si>
  <si>
    <t>Agency</t>
  </si>
  <si>
    <t>Parent Agency</t>
  </si>
  <si>
    <t>Monthly Net Outlays ($)</t>
  </si>
  <si>
    <t>FYTD Net Outlays ($)</t>
  </si>
  <si>
    <t>Prior FYTD Outlays ($)</t>
  </si>
  <si>
    <t>Fiscal Year</t>
  </si>
  <si>
    <t>Calendar Year</t>
  </si>
  <si>
    <t>Calendar Month</t>
  </si>
  <si>
    <t>National Institutes of Health</t>
  </si>
  <si>
    <t>Department of Health and Human Services:</t>
  </si>
  <si>
    <t>NIH Monthly Treasury Outlays — Annual Summary</t>
  </si>
  <si>
    <t>NIH Outlays ($)</t>
  </si>
  <si>
    <t>Months Reported</t>
  </si>
  <si>
    <t>2023</t>
  </si>
  <si>
    <t>2026 Ann.</t>
  </si>
  <si>
    <t>Annualized</t>
  </si>
  <si>
    <t>NIH Outlays — Rolling Metrics</t>
  </si>
  <si>
    <t>Anchor: Feb 2026</t>
  </si>
  <si>
    <t>T12M Outlays ($)</t>
  </si>
  <si>
    <t>T12M Prior ($)</t>
  </si>
  <si>
    <t>T12M vs Prior %</t>
  </si>
  <si>
    <t>YoY % (per-day)</t>
  </si>
  <si>
    <t>MoM % (per-day)</t>
  </si>
  <si>
    <t>NIH Outlays — Monthly Detail</t>
  </si>
  <si>
    <t>Outlays/Day ($)</t>
  </si>
  <si>
    <t>Mar 24</t>
  </si>
  <si>
    <t>Apr 24</t>
  </si>
  <si>
    <t>May 24</t>
  </si>
  <si>
    <t>Jun 24</t>
  </si>
  <si>
    <t>Jul 24</t>
  </si>
  <si>
    <t>Aug 24</t>
  </si>
  <si>
    <t>Sep 24</t>
  </si>
  <si>
    <t>Oct 24</t>
  </si>
  <si>
    <t>Nov 24</t>
  </si>
  <si>
    <t>Dec 24</t>
  </si>
  <si>
    <t>Jan 25</t>
  </si>
  <si>
    <t>Feb 25</t>
  </si>
  <si>
    <t>Mar 25</t>
  </si>
  <si>
    <t>Apr 25</t>
  </si>
  <si>
    <t>May 25</t>
  </si>
  <si>
    <t>Jun 25</t>
  </si>
  <si>
    <t>Jul 25</t>
  </si>
  <si>
    <t>Aug 25</t>
  </si>
  <si>
    <t>Sep 25</t>
  </si>
  <si>
    <t>Oct 25</t>
  </si>
  <si>
    <t>Nov 25</t>
  </si>
  <si>
    <t>Dec 25</t>
  </si>
  <si>
    <t>Jan 26</t>
  </si>
  <si>
    <t>Feb 26</t>
  </si>
  <si>
    <t>Biopharma Monthly Intelligence Report</t>
  </si>
  <si>
    <t>Date Range: Jan 01, 2024  to  Feb 28, 2026   |   Generated: March 19, 2026</t>
  </si>
  <si>
    <t>Module Status</t>
  </si>
  <si>
    <t>Module</t>
  </si>
  <si>
    <t>Details</t>
  </si>
  <si>
    <t>Clinical Trials</t>
  </si>
  <si>
    <t>9,252 trials fetched</t>
  </si>
  <si>
    <t>OK</t>
  </si>
  <si>
    <t>FDA Approvals</t>
  </si>
  <si>
    <t>123 novel, 37 biosimilar entries</t>
  </si>
  <si>
    <t>NIH Outlays</t>
  </si>
  <si>
    <t>38 NIH monthly records</t>
  </si>
  <si>
    <t>Report Contents</t>
  </si>
  <si>
    <t>CT Charts</t>
  </si>
  <si>
    <t>FDA Charts</t>
  </si>
  <si>
    <t>MTS Charts</t>
  </si>
  <si>
    <t>Summary Statistics</t>
  </si>
  <si>
    <t>Summary Statistics - Enrollment</t>
  </si>
  <si>
    <t>FDA Approval Summary</t>
  </si>
  <si>
    <t>MTS Summary Statistics</t>
  </si>
  <si>
    <t>Trial Database</t>
  </si>
  <si>
    <t>Novel Approval Database</t>
  </si>
  <si>
    <t>Biosimilar Approval Database</t>
  </si>
  <si>
    <t>MTS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</si>
</sst>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mmm\ yyyy"/>
    <numFmt numFmtId="166" formatCode="\$#,##0"/>
    <numFmt numFmtId="167" formatCode="yyyy\-mm\-dd"/>
    <numFmt numFmtId="168" formatCode="mm/dd/yyyy"/>
  </numFmts>
  <fonts count="20" x14ac:knownFonts="1">
    <font>
      <sz val="11"/>
      <color theme="1"/>
      <name val="Calibri"/>
      <family val="2"/>
      <scheme val="minor"/>
    </font>
    <font>
      <b/>
      <sz val="22"/>
      <color rgb="FFFFFFFF"/>
      <name val="Arial"/>
      <family val="2"/>
    </font>
    <font>
      <sz val="11"/>
      <color rgb="FFFFFFFF"/>
      <name val="Arial"/>
      <family val="2"/>
    </font>
    <font>
      <b/>
      <sz val="13"/>
      <color rgb="FF1F3864"/>
      <name val="Arial"/>
      <family val="2"/>
    </font>
    <font>
      <b/>
      <sz val="10"/>
      <color rgb="FFFFFFFF"/>
      <name val="Arial"/>
      <family val="2"/>
    </font>
    <font>
      <sz val="9"/>
      <color theme="1"/>
      <name val="Arial"/>
      <family val="2"/>
    </font>
    <font>
      <b/>
      <sz val="10"/>
      <color rgb="FF006100"/>
      <name val="Arial"/>
      <family val="2"/>
    </font>
    <font>
      <b/>
      <sz val="10"/>
      <color rgb="FF1F3864"/>
      <name val="Arial"/>
      <family val="2"/>
    </font>
    <font>
      <u/>
      <sz val="10"/>
      <color rgb="FF0563C1"/>
      <name val="Arial"/>
      <family val="2"/>
    </font>
    <font>
      <b/>
      <sz val="14"/>
      <color rgb="FFFFFFFF"/>
      <name val="Arial"/>
      <family val="2"/>
    </font>
    <font>
      <b/>
      <sz val="9"/>
      <color theme="1"/>
      <name val="Arial"/>
      <family val="2"/>
    </font>
    <font>
      <b/>
      <i/>
      <sz val="9"/>
      <color theme="1"/>
      <name val="Arial"/>
      <family val="2"/>
    </font>
    <font>
      <i/>
      <sz val="9"/>
      <color theme="1"/>
      <name val="Arial"/>
      <family val="2"/>
    </font>
    <font>
      <sz val="9"/>
      <color rgb="FF006100"/>
      <name val="Arial"/>
      <family val="2"/>
    </font>
    <font>
      <sz val="9"/>
      <color rgb="FFC00000"/>
      <name val="Arial"/>
      <family val="2"/>
    </font>
    <font>
      <i/>
      <sz val="9"/>
      <color rgb="FF666666"/>
      <name val="Arial"/>
      <family val="2"/>
    </font>
    <font>
      <b/>
      <sz val="11"/>
      <color theme="1"/>
      <name val="Arial"/>
      <family val="2"/>
    </font>
    <font>
      <i/>
      <sz val="8"/>
      <color rgb="FF666666"/>
      <name val="Arial"/>
      <family val="2"/>
    </font>
    <font>
      <b/>
      <sz val="11"/>
      <color rgb="FF1F3864"/>
      <name val="Arial"/>
      <family val="2"/>
    </font>
    <font>
      <b/>
      <sz val="9"/>
      <color rgb="FFFFFFFF"/>
      <name val="Arial"/>
      <family val="2"/>
    </font>
  </fonts>
  <fills count="7">
    <fill>
      <patternFill patternType="none"/>
    </fill>
    <fill>
      <patternFill patternType="gray125"/>
    </fill>
    <fill>
      <patternFill patternType="solid">
        <fgColor rgb="FF1F3864"/>
        <bgColor indexed="64"/>
      </patternFill>
    </fill>
    <fill>
      <patternFill patternType="solid">
        <fgColor rgb="FFE2EFDA"/>
        <bgColor indexed="64"/>
      </patternFill>
    </fill>
    <fill>
      <patternFill patternType="solid">
        <fgColor rgb="FFFFC000"/>
        <bgColor indexed="64"/>
      </patternFill>
    </fill>
    <fill>
      <patternFill patternType="solid">
        <fgColor rgb="FFF2F2F2"/>
        <bgColor indexed="64"/>
      </patternFill>
    </fill>
    <fill>
      <patternFill patternType="solid">
        <fgColor rgb="FFD9E2F3"/>
        <bgColor indexed="64"/>
      </patternFill>
    </fill>
  </fills>
  <borders count="4">
    <border>
      <left/>
      <right/>
      <top/>
      <bottom/>
      <diagonal/>
    </border>
    <border>
      <left/>
      <right/>
      <top/>
      <bottom style="medium">
        <color rgb="FF1F3864"/>
      </bottom>
      <diagonal/>
    </border>
    <border>
      <left style="thin">
        <color auto="1"/>
      </left>
      <right style="thin">
        <color auto="1"/>
      </right>
      <top style="thin">
        <color auto="1"/>
      </top>
      <bottom style="thin">
        <color auto="1"/>
      </bottom>
      <diagonal/>
    </border>
    <border>
      <left/>
      <right/>
      <top/>
      <bottom style="medium">
        <color auto="1"/>
      </bottom>
      <diagonal/>
    </border>
  </borders>
  <cellStyleXfs count="1">
    <xf numFmtId="0" fontId="0" fillId="0" borderId="0"/>
  </cellStyleXfs>
  <cellXfs count="46">
    <xf numFmtId="0" fontId="0" fillId="0" borderId="0" xfId="0"/>
    <xf numFmtId="0" fontId="4" fillId="2" borderId="2" xfId="0" applyFont="1" applyFill="1" applyBorder="1" applyAlignment="1">
      <alignment horizontal="center"/>
    </xf>
    <xf numFmtId="0" fontId="5" fillId="0" borderId="2" xfId="0" applyFont="1" applyBorder="1" applyAlignment="1">
      <alignment vertical="center"/>
    </xf>
    <xf numFmtId="0" fontId="6" fillId="3" borderId="2" xfId="0" applyFont="1" applyFill="1" applyBorder="1" applyAlignment="1">
      <alignment horizontal="center"/>
    </xf>
    <xf numFmtId="0" fontId="7" fillId="0" borderId="0" xfId="0" applyFont="1"/>
    <xf numFmtId="0" fontId="8" fillId="0" borderId="0" xfId="0" applyFont="1"/>
    <xf numFmtId="0" fontId="4" fillId="2" borderId="2" xfId="0" applyFont="1" applyFill="1" applyBorder="1" applyAlignment="1">
      <alignment vertical="center" wrapText="1"/>
    </xf>
    <xf numFmtId="3" fontId="5" fillId="0" borderId="2" xfId="0" applyNumberFormat="1" applyFont="1" applyBorder="1" applyAlignment="1">
      <alignment horizontal="center"/>
    </xf>
    <xf numFmtId="3" fontId="10" fillId="0" borderId="2" xfId="0" applyNumberFormat="1" applyFont="1" applyBorder="1" applyAlignment="1">
      <alignment horizontal="center"/>
    </xf>
    <xf numFmtId="0" fontId="11" fillId="4" borderId="2" xfId="0" applyFont="1" applyFill="1" applyBorder="1"/>
    <xf numFmtId="3" fontId="12" fillId="4" borderId="2" xfId="0" applyNumberFormat="1" applyFont="1" applyFill="1" applyBorder="1" applyAlignment="1">
      <alignment horizontal="center"/>
    </xf>
    <xf numFmtId="3" fontId="11" fillId="4" borderId="2" xfId="0" applyNumberFormat="1" applyFont="1" applyFill="1" applyBorder="1" applyAlignment="1">
      <alignment horizontal="center"/>
    </xf>
    <xf numFmtId="0" fontId="4" fillId="2" borderId="2" xfId="0" applyFont="1" applyFill="1" applyBorder="1"/>
    <xf numFmtId="0" fontId="10" fillId="0" borderId="2" xfId="0" applyFont="1" applyBorder="1"/>
    <xf numFmtId="164" fontId="13" fillId="0" borderId="2" xfId="0" applyNumberFormat="1" applyFont="1" applyBorder="1" applyAlignment="1">
      <alignment horizontal="center"/>
    </xf>
    <xf numFmtId="164" fontId="14" fillId="0" borderId="2" xfId="0" applyNumberFormat="1" applyFont="1" applyBorder="1" applyAlignment="1">
      <alignment horizontal="center"/>
    </xf>
    <xf numFmtId="165" fontId="5" fillId="0" borderId="2" xfId="0" applyNumberFormat="1" applyFont="1" applyBorder="1"/>
    <xf numFmtId="2" fontId="5" fillId="0" borderId="2" xfId="0" applyNumberFormat="1" applyFont="1" applyBorder="1" applyAlignment="1">
      <alignment horizontal="center"/>
    </xf>
    <xf numFmtId="0" fontId="15" fillId="0" borderId="0" xfId="0" applyFont="1"/>
    <xf numFmtId="0" fontId="16" fillId="0" borderId="1" xfId="0" applyFont="1" applyBorder="1"/>
    <xf numFmtId="0" fontId="4" fillId="2" borderId="2" xfId="0" applyFont="1" applyFill="1" applyBorder="1" applyAlignment="1">
      <alignment horizontal="center" vertical="center" wrapText="1"/>
    </xf>
    <xf numFmtId="165" fontId="5" fillId="0" borderId="2" xfId="0" applyNumberFormat="1" applyFont="1" applyBorder="1" applyAlignment="1">
      <alignment horizontal="center"/>
    </xf>
    <xf numFmtId="0" fontId="17" fillId="0" borderId="0" xfId="0" applyFont="1"/>
    <xf numFmtId="0" fontId="19" fillId="2" borderId="2" xfId="0" applyFont="1" applyFill="1" applyBorder="1" applyAlignment="1">
      <alignment vertical="center" wrapText="1"/>
    </xf>
    <xf numFmtId="0" fontId="5" fillId="0" borderId="2" xfId="0" applyFont="1" applyBorder="1"/>
    <xf numFmtId="166" fontId="5" fillId="0" borderId="2" xfId="0" applyNumberFormat="1" applyFont="1" applyBorder="1"/>
    <xf numFmtId="3" fontId="5" fillId="0" borderId="2" xfId="0" applyNumberFormat="1" applyFont="1" applyBorder="1"/>
    <xf numFmtId="0" fontId="5" fillId="5" borderId="2" xfId="0" applyFont="1" applyFill="1" applyBorder="1"/>
    <xf numFmtId="166" fontId="5" fillId="5" borderId="2" xfId="0" applyNumberFormat="1" applyFont="1" applyFill="1" applyBorder="1"/>
    <xf numFmtId="3" fontId="5" fillId="5" borderId="2" xfId="0" applyNumberFormat="1" applyFont="1" applyFill="1" applyBorder="1"/>
    <xf numFmtId="166" fontId="11" fillId="4" borderId="2" xfId="0" applyNumberFormat="1" applyFont="1" applyFill="1" applyBorder="1"/>
    <xf numFmtId="164" fontId="14" fillId="0" borderId="2" xfId="0" applyNumberFormat="1" applyFont="1" applyBorder="1"/>
    <xf numFmtId="164" fontId="13" fillId="0" borderId="2" xfId="0" applyNumberFormat="1" applyFont="1" applyBorder="1"/>
    <xf numFmtId="0" fontId="10" fillId="6" borderId="2" xfId="0" applyFont="1" applyFill="1" applyBorder="1"/>
    <xf numFmtId="166" fontId="10" fillId="6" borderId="2" xfId="0" applyNumberFormat="1" applyFont="1" applyFill="1" applyBorder="1"/>
    <xf numFmtId="3" fontId="10" fillId="6" borderId="2" xfId="0" applyNumberFormat="1" applyFont="1" applyFill="1" applyBorder="1"/>
    <xf numFmtId="167" fontId="5" fillId="0" borderId="2" xfId="0" applyNumberFormat="1" applyFont="1" applyBorder="1"/>
    <xf numFmtId="167" fontId="5" fillId="5" borderId="2" xfId="0" applyNumberFormat="1" applyFont="1" applyFill="1" applyBorder="1"/>
    <xf numFmtId="168" fontId="5" fillId="0" borderId="2" xfId="0" applyNumberFormat="1" applyFont="1" applyBorder="1"/>
    <xf numFmtId="168" fontId="5" fillId="5" borderId="2" xfId="0" applyNumberFormat="1" applyFont="1" applyFill="1" applyBorder="1"/>
    <xf numFmtId="0" fontId="1" fillId="2" borderId="0" xfId="0" applyFont="1" applyFill="1" applyAlignment="1">
      <alignment horizontal="center" vertical="center"/>
    </xf>
    <xf numFmtId="0" fontId="2" fillId="2" borderId="0" xfId="0" applyFont="1" applyFill="1" applyAlignment="1">
      <alignment horizontal="center" vertical="center"/>
    </xf>
    <xf numFmtId="0" fontId="0" fillId="2" borderId="0" xfId="0" applyFill="1"/>
    <xf numFmtId="0" fontId="3" fillId="0" borderId="1" xfId="0" applyFont="1" applyBorder="1"/>
    <xf numFmtId="0" fontId="9" fillId="2" borderId="0" xfId="0" applyFont="1" applyFill="1" applyAlignment="1">
      <alignment horizontal="center" vertical="center"/>
    </xf>
    <xf numFmtId="0" fontId="18" fillId="0" borderId="3"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latin typeface="Arial"/>
              </a:defRPr>
            </a:pPr>
            <a:r>
              <a:rPr lang="en-US" sz="1200" b="1" baseline="0">
                <a:latin typeface="Arial"/>
              </a:rPr>
              <a:t>Number of clinical trials by phase, to date: Yearly</a:t>
            </a:r>
          </a:p>
        </c:rich>
      </c:tx>
      <c:overlay val="0"/>
    </c:title>
    <c:autoTitleDeleted val="0"/>
    <c:plotArea>
      <c:layout/>
      <c:barChart>
        <c:barDir val="col"/>
        <c:grouping val="stacked"/>
        <c:varyColors val="0"/>
        <c:ser>
          <c:idx val="0"/>
          <c:order val="0"/>
          <c:tx>
            <c:v>Early Phase 1</c:v>
          </c:tx>
          <c:spPr>
            <a:solidFill>
              <a:srgbClr val="D9D9D9"/>
            </a:solidFill>
            <a:ln>
              <a:solidFill>
                <a:srgbClr val="D9D9D9"/>
              </a:solidFill>
            </a:ln>
          </c:spPr>
          <c:invertIfNegative val="0"/>
          <c:dPt>
            <c:idx val="0"/>
            <c:invertIfNegative val="0"/>
            <c:bubble3D val="0"/>
            <c:extLst>
              <c:ext xmlns:c16="http://schemas.microsoft.com/office/drawing/2014/chart" uri="{C3380CC4-5D6E-409C-BE32-E72D297353CC}">
                <c16:uniqueId val="{00000000-A58F-1E4A-9E59-8D5CF7A46559}"/>
              </c:ext>
            </c:extLst>
          </c:dPt>
          <c:dPt>
            <c:idx val="1"/>
            <c:invertIfNegative val="0"/>
            <c:bubble3D val="0"/>
            <c:extLst>
              <c:ext xmlns:c16="http://schemas.microsoft.com/office/drawing/2014/chart" uri="{C3380CC4-5D6E-409C-BE32-E72D297353CC}">
                <c16:uniqueId val="{00000001-A58F-1E4A-9E59-8D5CF7A46559}"/>
              </c:ext>
            </c:extLst>
          </c:dPt>
          <c:dPt>
            <c:idx val="2"/>
            <c:invertIfNegative val="0"/>
            <c:bubble3D val="0"/>
            <c:spPr>
              <a:solidFill>
                <a:srgbClr val="BDD7EE"/>
              </a:solidFill>
              <a:ln>
                <a:solidFill>
                  <a:srgbClr val="BDD7EE"/>
                </a:solidFill>
              </a:ln>
            </c:spPr>
            <c:extLst>
              <c:ext xmlns:c16="http://schemas.microsoft.com/office/drawing/2014/chart" uri="{C3380CC4-5D6E-409C-BE32-E72D297353CC}">
                <c16:uniqueId val="{00000002-A58F-1E4A-9E59-8D5CF7A46559}"/>
              </c:ext>
            </c:extLst>
          </c:dPt>
          <c:dPt>
            <c:idx val="3"/>
            <c:invertIfNegative val="0"/>
            <c:bubble3D val="0"/>
            <c:spPr>
              <a:solidFill>
                <a:srgbClr val="BDD7EE"/>
              </a:solidFill>
              <a:ln>
                <a:solidFill>
                  <a:srgbClr val="BDD7EE"/>
                </a:solidFill>
              </a:ln>
            </c:spPr>
            <c:extLst>
              <c:ext xmlns:c16="http://schemas.microsoft.com/office/drawing/2014/chart" uri="{C3380CC4-5D6E-409C-BE32-E72D297353CC}">
                <c16:uniqueId val="{00000003-A58F-1E4A-9E59-8D5CF7A46559}"/>
              </c:ext>
            </c:extLst>
          </c:dPt>
          <c:dLbls>
            <c:dLbl>
              <c:idx val="2"/>
              <c:delete val="1"/>
              <c:extLst>
                <c:ext xmlns:c15="http://schemas.microsoft.com/office/drawing/2012/chart" uri="{CE6537A1-D6FC-4f65-9D91-7224C49458BB}"/>
                <c:ext xmlns:c16="http://schemas.microsoft.com/office/drawing/2014/chart" uri="{C3380CC4-5D6E-409C-BE32-E72D297353CC}">
                  <c16:uniqueId val="{00000002-A58F-1E4A-9E59-8D5CF7A46559}"/>
                </c:ext>
              </c:extLst>
            </c:dLbl>
            <c:numFmt formatCode="#,##0" sourceLinked="0"/>
            <c:spPr>
              <a:noFill/>
              <a:ln>
                <a:noFill/>
              </a:ln>
              <a:effectLst/>
            </c:spPr>
            <c:txPr>
              <a:bodyPr/>
              <a:lstStyle/>
              <a:p>
                <a:pPr>
                  <a:defRPr sz="700" baseline="0">
                    <a:solidFill>
                      <a:srgbClr val="1A1A1A"/>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Statistics'!$A$2:$A$5</c:f>
              <c:strCache>
                <c:ptCount val="4"/>
                <c:pt idx="0">
                  <c:v>2024</c:v>
                </c:pt>
                <c:pt idx="1">
                  <c:v>2025</c:v>
                </c:pt>
                <c:pt idx="2">
                  <c:v>2026</c:v>
                </c:pt>
                <c:pt idx="3">
                  <c:v>2026 Annualized</c:v>
                </c:pt>
              </c:strCache>
            </c:strRef>
          </c:cat>
          <c:val>
            <c:numRef>
              <c:f>'Summary Statistics'!$B$2:$B$5</c:f>
              <c:numCache>
                <c:formatCode>#,##0</c:formatCode>
                <c:ptCount val="4"/>
                <c:pt idx="0">
                  <c:v>73</c:v>
                </c:pt>
                <c:pt idx="1">
                  <c:v>91</c:v>
                </c:pt>
                <c:pt idx="2">
                  <c:v>15</c:v>
                </c:pt>
                <c:pt idx="3">
                  <c:v>90</c:v>
                </c:pt>
              </c:numCache>
            </c:numRef>
          </c:val>
          <c:extLst>
            <c:ext xmlns:c16="http://schemas.microsoft.com/office/drawing/2014/chart" uri="{C3380CC4-5D6E-409C-BE32-E72D297353CC}">
              <c16:uniqueId val="{00000004-A58F-1E4A-9E59-8D5CF7A46559}"/>
            </c:ext>
          </c:extLst>
        </c:ser>
        <c:ser>
          <c:idx val="1"/>
          <c:order val="1"/>
          <c:tx>
            <c:v>Phase 1</c:v>
          </c:tx>
          <c:spPr>
            <a:solidFill>
              <a:srgbClr val="B9B9B9"/>
            </a:solidFill>
            <a:ln>
              <a:solidFill>
                <a:srgbClr val="B9B9B9"/>
              </a:solidFill>
            </a:ln>
          </c:spPr>
          <c:invertIfNegative val="0"/>
          <c:dPt>
            <c:idx val="0"/>
            <c:invertIfNegative val="0"/>
            <c:bubble3D val="0"/>
            <c:extLst>
              <c:ext xmlns:c16="http://schemas.microsoft.com/office/drawing/2014/chart" uri="{C3380CC4-5D6E-409C-BE32-E72D297353CC}">
                <c16:uniqueId val="{00000005-A58F-1E4A-9E59-8D5CF7A46559}"/>
              </c:ext>
            </c:extLst>
          </c:dPt>
          <c:dPt>
            <c:idx val="1"/>
            <c:invertIfNegative val="0"/>
            <c:bubble3D val="0"/>
            <c:extLst>
              <c:ext xmlns:c16="http://schemas.microsoft.com/office/drawing/2014/chart" uri="{C3380CC4-5D6E-409C-BE32-E72D297353CC}">
                <c16:uniqueId val="{00000006-A58F-1E4A-9E59-8D5CF7A46559}"/>
              </c:ext>
            </c:extLst>
          </c:dPt>
          <c:dPt>
            <c:idx val="2"/>
            <c:invertIfNegative val="0"/>
            <c:bubble3D val="0"/>
            <c:spPr>
              <a:solidFill>
                <a:srgbClr val="A3BCD7"/>
              </a:solidFill>
              <a:ln>
                <a:solidFill>
                  <a:srgbClr val="A3BCD7"/>
                </a:solidFill>
              </a:ln>
            </c:spPr>
            <c:extLst>
              <c:ext xmlns:c16="http://schemas.microsoft.com/office/drawing/2014/chart" uri="{C3380CC4-5D6E-409C-BE32-E72D297353CC}">
                <c16:uniqueId val="{00000007-A58F-1E4A-9E59-8D5CF7A46559}"/>
              </c:ext>
            </c:extLst>
          </c:dPt>
          <c:dPt>
            <c:idx val="3"/>
            <c:invertIfNegative val="0"/>
            <c:bubble3D val="0"/>
            <c:spPr>
              <a:solidFill>
                <a:srgbClr val="A3BCD7"/>
              </a:solidFill>
              <a:ln>
                <a:solidFill>
                  <a:srgbClr val="A3BCD7"/>
                </a:solidFill>
              </a:ln>
            </c:spPr>
            <c:extLst>
              <c:ext xmlns:c16="http://schemas.microsoft.com/office/drawing/2014/chart" uri="{C3380CC4-5D6E-409C-BE32-E72D297353CC}">
                <c16:uniqueId val="{00000008-A58F-1E4A-9E59-8D5CF7A46559}"/>
              </c:ext>
            </c:extLst>
          </c:dPt>
          <c:dLbls>
            <c:dLbl>
              <c:idx val="2"/>
              <c:delete val="1"/>
              <c:extLst>
                <c:ext xmlns:c15="http://schemas.microsoft.com/office/drawing/2012/chart" uri="{CE6537A1-D6FC-4f65-9D91-7224C49458BB}"/>
                <c:ext xmlns:c16="http://schemas.microsoft.com/office/drawing/2014/chart" uri="{C3380CC4-5D6E-409C-BE32-E72D297353CC}">
                  <c16:uniqueId val="{00000007-A58F-1E4A-9E59-8D5CF7A46559}"/>
                </c:ext>
              </c:extLst>
            </c:dLbl>
            <c:numFmt formatCode="#,##0" sourceLinked="0"/>
            <c:spPr>
              <a:noFill/>
              <a:ln>
                <a:noFill/>
              </a:ln>
              <a:effectLst/>
            </c:spPr>
            <c:txPr>
              <a:bodyPr/>
              <a:lstStyle/>
              <a:p>
                <a:pPr>
                  <a:defRPr sz="700" baseline="0">
                    <a:solidFill>
                      <a:srgbClr val="1A1A1A"/>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Statistics'!$A$2:$A$5</c:f>
              <c:strCache>
                <c:ptCount val="4"/>
                <c:pt idx="0">
                  <c:v>2024</c:v>
                </c:pt>
                <c:pt idx="1">
                  <c:v>2025</c:v>
                </c:pt>
                <c:pt idx="2">
                  <c:v>2026</c:v>
                </c:pt>
                <c:pt idx="3">
                  <c:v>2026 Annualized</c:v>
                </c:pt>
              </c:strCache>
            </c:strRef>
          </c:cat>
          <c:val>
            <c:numRef>
              <c:f>'Summary Statistics'!$C$2:$C$5</c:f>
              <c:numCache>
                <c:formatCode>#,##0</c:formatCode>
                <c:ptCount val="4"/>
                <c:pt idx="0">
                  <c:v>1659</c:v>
                </c:pt>
                <c:pt idx="1">
                  <c:v>1621</c:v>
                </c:pt>
                <c:pt idx="2">
                  <c:v>252</c:v>
                </c:pt>
                <c:pt idx="3">
                  <c:v>1512</c:v>
                </c:pt>
              </c:numCache>
            </c:numRef>
          </c:val>
          <c:extLst>
            <c:ext xmlns:c16="http://schemas.microsoft.com/office/drawing/2014/chart" uri="{C3380CC4-5D6E-409C-BE32-E72D297353CC}">
              <c16:uniqueId val="{00000009-A58F-1E4A-9E59-8D5CF7A46559}"/>
            </c:ext>
          </c:extLst>
        </c:ser>
        <c:ser>
          <c:idx val="2"/>
          <c:order val="2"/>
          <c:tx>
            <c:v>Phase 1/2</c:v>
          </c:tx>
          <c:spPr>
            <a:solidFill>
              <a:srgbClr val="999999"/>
            </a:solidFill>
            <a:ln>
              <a:solidFill>
                <a:srgbClr val="999999"/>
              </a:solidFill>
            </a:ln>
          </c:spPr>
          <c:invertIfNegative val="0"/>
          <c:dPt>
            <c:idx val="0"/>
            <c:invertIfNegative val="0"/>
            <c:bubble3D val="0"/>
            <c:extLst>
              <c:ext xmlns:c16="http://schemas.microsoft.com/office/drawing/2014/chart" uri="{C3380CC4-5D6E-409C-BE32-E72D297353CC}">
                <c16:uniqueId val="{0000000A-A58F-1E4A-9E59-8D5CF7A46559}"/>
              </c:ext>
            </c:extLst>
          </c:dPt>
          <c:dPt>
            <c:idx val="1"/>
            <c:invertIfNegative val="0"/>
            <c:bubble3D val="0"/>
            <c:extLst>
              <c:ext xmlns:c16="http://schemas.microsoft.com/office/drawing/2014/chart" uri="{C3380CC4-5D6E-409C-BE32-E72D297353CC}">
                <c16:uniqueId val="{0000000B-A58F-1E4A-9E59-8D5CF7A46559}"/>
              </c:ext>
            </c:extLst>
          </c:dPt>
          <c:dPt>
            <c:idx val="2"/>
            <c:invertIfNegative val="0"/>
            <c:bubble3D val="0"/>
            <c:spPr>
              <a:solidFill>
                <a:srgbClr val="89A2C0"/>
              </a:solidFill>
              <a:ln>
                <a:solidFill>
                  <a:srgbClr val="89A2C0"/>
                </a:solidFill>
              </a:ln>
            </c:spPr>
            <c:extLst>
              <c:ext xmlns:c16="http://schemas.microsoft.com/office/drawing/2014/chart" uri="{C3380CC4-5D6E-409C-BE32-E72D297353CC}">
                <c16:uniqueId val="{0000000C-A58F-1E4A-9E59-8D5CF7A46559}"/>
              </c:ext>
            </c:extLst>
          </c:dPt>
          <c:dPt>
            <c:idx val="3"/>
            <c:invertIfNegative val="0"/>
            <c:bubble3D val="0"/>
            <c:spPr>
              <a:solidFill>
                <a:srgbClr val="89A2C0"/>
              </a:solidFill>
              <a:ln>
                <a:solidFill>
                  <a:srgbClr val="89A2C0"/>
                </a:solidFill>
              </a:ln>
            </c:spPr>
            <c:extLst>
              <c:ext xmlns:c16="http://schemas.microsoft.com/office/drawing/2014/chart" uri="{C3380CC4-5D6E-409C-BE32-E72D297353CC}">
                <c16:uniqueId val="{0000000D-A58F-1E4A-9E59-8D5CF7A46559}"/>
              </c:ext>
            </c:extLst>
          </c:dPt>
          <c:dLbls>
            <c:dLbl>
              <c:idx val="2"/>
              <c:delete val="1"/>
              <c:extLst>
                <c:ext xmlns:c15="http://schemas.microsoft.com/office/drawing/2012/chart" uri="{CE6537A1-D6FC-4f65-9D91-7224C49458BB}"/>
                <c:ext xmlns:c16="http://schemas.microsoft.com/office/drawing/2014/chart" uri="{C3380CC4-5D6E-409C-BE32-E72D297353CC}">
                  <c16:uniqueId val="{0000000C-A58F-1E4A-9E59-8D5CF7A46559}"/>
                </c:ext>
              </c:extLst>
            </c:dLbl>
            <c:numFmt formatCode="#,##0" sourceLinked="0"/>
            <c:spPr>
              <a:noFill/>
              <a:ln>
                <a:noFill/>
              </a:ln>
              <a:effectLst/>
            </c:spPr>
            <c:txPr>
              <a:bodyPr/>
              <a:lstStyle/>
              <a:p>
                <a:pPr>
                  <a:defRPr sz="700" baseline="0">
                    <a:solidFill>
                      <a:srgbClr val="1A1A1A"/>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Statistics'!$A$2:$A$5</c:f>
              <c:strCache>
                <c:ptCount val="4"/>
                <c:pt idx="0">
                  <c:v>2024</c:v>
                </c:pt>
                <c:pt idx="1">
                  <c:v>2025</c:v>
                </c:pt>
                <c:pt idx="2">
                  <c:v>2026</c:v>
                </c:pt>
                <c:pt idx="3">
                  <c:v>2026 Annualized</c:v>
                </c:pt>
              </c:strCache>
            </c:strRef>
          </c:cat>
          <c:val>
            <c:numRef>
              <c:f>'Summary Statistics'!$D$2:$D$5</c:f>
              <c:numCache>
                <c:formatCode>#,##0</c:formatCode>
                <c:ptCount val="4"/>
                <c:pt idx="0">
                  <c:v>419</c:v>
                </c:pt>
                <c:pt idx="1">
                  <c:v>496</c:v>
                </c:pt>
                <c:pt idx="2">
                  <c:v>111</c:v>
                </c:pt>
                <c:pt idx="3">
                  <c:v>666</c:v>
                </c:pt>
              </c:numCache>
            </c:numRef>
          </c:val>
          <c:extLst>
            <c:ext xmlns:c16="http://schemas.microsoft.com/office/drawing/2014/chart" uri="{C3380CC4-5D6E-409C-BE32-E72D297353CC}">
              <c16:uniqueId val="{0000000E-A58F-1E4A-9E59-8D5CF7A46559}"/>
            </c:ext>
          </c:extLst>
        </c:ser>
        <c:ser>
          <c:idx val="3"/>
          <c:order val="3"/>
          <c:tx>
            <c:v>Phase 2</c:v>
          </c:tx>
          <c:spPr>
            <a:solidFill>
              <a:srgbClr val="7A7A7A"/>
            </a:solidFill>
            <a:ln>
              <a:solidFill>
                <a:srgbClr val="7A7A7A"/>
              </a:solidFill>
            </a:ln>
          </c:spPr>
          <c:invertIfNegative val="0"/>
          <c:dPt>
            <c:idx val="0"/>
            <c:invertIfNegative val="0"/>
            <c:bubble3D val="0"/>
            <c:extLst>
              <c:ext xmlns:c16="http://schemas.microsoft.com/office/drawing/2014/chart" uri="{C3380CC4-5D6E-409C-BE32-E72D297353CC}">
                <c16:uniqueId val="{0000000F-A58F-1E4A-9E59-8D5CF7A46559}"/>
              </c:ext>
            </c:extLst>
          </c:dPt>
          <c:dPt>
            <c:idx val="1"/>
            <c:invertIfNegative val="0"/>
            <c:bubble3D val="0"/>
            <c:extLst>
              <c:ext xmlns:c16="http://schemas.microsoft.com/office/drawing/2014/chart" uri="{C3380CC4-5D6E-409C-BE32-E72D297353CC}">
                <c16:uniqueId val="{00000010-A58F-1E4A-9E59-8D5CF7A46559}"/>
              </c:ext>
            </c:extLst>
          </c:dPt>
          <c:dPt>
            <c:idx val="2"/>
            <c:invertIfNegative val="0"/>
            <c:bubble3D val="0"/>
            <c:spPr>
              <a:solidFill>
                <a:srgbClr val="6E87A9"/>
              </a:solidFill>
              <a:ln>
                <a:solidFill>
                  <a:srgbClr val="6E87A9"/>
                </a:solidFill>
              </a:ln>
            </c:spPr>
            <c:extLst>
              <c:ext xmlns:c16="http://schemas.microsoft.com/office/drawing/2014/chart" uri="{C3380CC4-5D6E-409C-BE32-E72D297353CC}">
                <c16:uniqueId val="{00000011-A58F-1E4A-9E59-8D5CF7A46559}"/>
              </c:ext>
            </c:extLst>
          </c:dPt>
          <c:dPt>
            <c:idx val="3"/>
            <c:invertIfNegative val="0"/>
            <c:bubble3D val="0"/>
            <c:spPr>
              <a:solidFill>
                <a:srgbClr val="6E87A9"/>
              </a:solidFill>
              <a:ln>
                <a:solidFill>
                  <a:srgbClr val="6E87A9"/>
                </a:solidFill>
              </a:ln>
            </c:spPr>
            <c:extLst>
              <c:ext xmlns:c16="http://schemas.microsoft.com/office/drawing/2014/chart" uri="{C3380CC4-5D6E-409C-BE32-E72D297353CC}">
                <c16:uniqueId val="{00000012-A58F-1E4A-9E59-8D5CF7A46559}"/>
              </c:ext>
            </c:extLst>
          </c:dPt>
          <c:dLbls>
            <c:dLbl>
              <c:idx val="2"/>
              <c:delete val="1"/>
              <c:extLst>
                <c:ext xmlns:c15="http://schemas.microsoft.com/office/drawing/2012/chart" uri="{CE6537A1-D6FC-4f65-9D91-7224C49458BB}"/>
                <c:ext xmlns:c16="http://schemas.microsoft.com/office/drawing/2014/chart" uri="{C3380CC4-5D6E-409C-BE32-E72D297353CC}">
                  <c16:uniqueId val="{00000011-A58F-1E4A-9E59-8D5CF7A46559}"/>
                </c:ext>
              </c:extLst>
            </c:dLbl>
            <c:numFmt formatCode="#,##0" sourceLinked="0"/>
            <c:spPr>
              <a:noFill/>
              <a:ln>
                <a:noFill/>
              </a:ln>
              <a:effectLst/>
            </c:spPr>
            <c:txPr>
              <a:bodyPr/>
              <a:lstStyle/>
              <a:p>
                <a:pPr>
                  <a:defRPr sz="700" baseline="0">
                    <a:solidFill>
                      <a:srgbClr val="FFFFFF"/>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Statistics'!$A$2:$A$5</c:f>
              <c:strCache>
                <c:ptCount val="4"/>
                <c:pt idx="0">
                  <c:v>2024</c:v>
                </c:pt>
                <c:pt idx="1">
                  <c:v>2025</c:v>
                </c:pt>
                <c:pt idx="2">
                  <c:v>2026</c:v>
                </c:pt>
                <c:pt idx="3">
                  <c:v>2026 Annualized</c:v>
                </c:pt>
              </c:strCache>
            </c:strRef>
          </c:cat>
          <c:val>
            <c:numRef>
              <c:f>'Summary Statistics'!$E$2:$E$5</c:f>
              <c:numCache>
                <c:formatCode>#,##0</c:formatCode>
                <c:ptCount val="4"/>
                <c:pt idx="0">
                  <c:v>866</c:v>
                </c:pt>
                <c:pt idx="1">
                  <c:v>1031</c:v>
                </c:pt>
                <c:pt idx="2">
                  <c:v>173</c:v>
                </c:pt>
                <c:pt idx="3">
                  <c:v>1038</c:v>
                </c:pt>
              </c:numCache>
            </c:numRef>
          </c:val>
          <c:extLst>
            <c:ext xmlns:c16="http://schemas.microsoft.com/office/drawing/2014/chart" uri="{C3380CC4-5D6E-409C-BE32-E72D297353CC}">
              <c16:uniqueId val="{00000013-A58F-1E4A-9E59-8D5CF7A46559}"/>
            </c:ext>
          </c:extLst>
        </c:ser>
        <c:ser>
          <c:idx val="4"/>
          <c:order val="4"/>
          <c:tx>
            <c:v>Phase 2/3</c:v>
          </c:tx>
          <c:spPr>
            <a:solidFill>
              <a:srgbClr val="5A5A5A"/>
            </a:solidFill>
            <a:ln>
              <a:solidFill>
                <a:srgbClr val="5A5A5A"/>
              </a:solidFill>
            </a:ln>
          </c:spPr>
          <c:invertIfNegative val="0"/>
          <c:dPt>
            <c:idx val="0"/>
            <c:invertIfNegative val="0"/>
            <c:bubble3D val="0"/>
            <c:extLst>
              <c:ext xmlns:c16="http://schemas.microsoft.com/office/drawing/2014/chart" uri="{C3380CC4-5D6E-409C-BE32-E72D297353CC}">
                <c16:uniqueId val="{00000014-A58F-1E4A-9E59-8D5CF7A46559}"/>
              </c:ext>
            </c:extLst>
          </c:dPt>
          <c:dPt>
            <c:idx val="1"/>
            <c:invertIfNegative val="0"/>
            <c:bubble3D val="0"/>
            <c:extLst>
              <c:ext xmlns:c16="http://schemas.microsoft.com/office/drawing/2014/chart" uri="{C3380CC4-5D6E-409C-BE32-E72D297353CC}">
                <c16:uniqueId val="{00000015-A58F-1E4A-9E59-8D5CF7A46559}"/>
              </c:ext>
            </c:extLst>
          </c:dPt>
          <c:dPt>
            <c:idx val="2"/>
            <c:invertIfNegative val="0"/>
            <c:bubble3D val="0"/>
            <c:spPr>
              <a:solidFill>
                <a:srgbClr val="546D92"/>
              </a:solidFill>
              <a:ln>
                <a:solidFill>
                  <a:srgbClr val="546D92"/>
                </a:solidFill>
              </a:ln>
            </c:spPr>
            <c:extLst>
              <c:ext xmlns:c16="http://schemas.microsoft.com/office/drawing/2014/chart" uri="{C3380CC4-5D6E-409C-BE32-E72D297353CC}">
                <c16:uniqueId val="{00000016-A58F-1E4A-9E59-8D5CF7A46559}"/>
              </c:ext>
            </c:extLst>
          </c:dPt>
          <c:dPt>
            <c:idx val="3"/>
            <c:invertIfNegative val="0"/>
            <c:bubble3D val="0"/>
            <c:spPr>
              <a:solidFill>
                <a:srgbClr val="546D92"/>
              </a:solidFill>
              <a:ln>
                <a:solidFill>
                  <a:srgbClr val="546D92"/>
                </a:solidFill>
              </a:ln>
            </c:spPr>
            <c:extLst>
              <c:ext xmlns:c16="http://schemas.microsoft.com/office/drawing/2014/chart" uri="{C3380CC4-5D6E-409C-BE32-E72D297353CC}">
                <c16:uniqueId val="{00000017-A58F-1E4A-9E59-8D5CF7A46559}"/>
              </c:ext>
            </c:extLst>
          </c:dPt>
          <c:dLbls>
            <c:dLbl>
              <c:idx val="2"/>
              <c:delete val="1"/>
              <c:extLst>
                <c:ext xmlns:c15="http://schemas.microsoft.com/office/drawing/2012/chart" uri="{CE6537A1-D6FC-4f65-9D91-7224C49458BB}"/>
                <c:ext xmlns:c16="http://schemas.microsoft.com/office/drawing/2014/chart" uri="{C3380CC4-5D6E-409C-BE32-E72D297353CC}">
                  <c16:uniqueId val="{00000016-A58F-1E4A-9E59-8D5CF7A46559}"/>
                </c:ext>
              </c:extLst>
            </c:dLbl>
            <c:numFmt formatCode="#,##0" sourceLinked="0"/>
            <c:spPr>
              <a:noFill/>
              <a:ln>
                <a:noFill/>
              </a:ln>
              <a:effectLst/>
            </c:spPr>
            <c:txPr>
              <a:bodyPr/>
              <a:lstStyle/>
              <a:p>
                <a:pPr>
                  <a:defRPr sz="700" baseline="0">
                    <a:solidFill>
                      <a:srgbClr val="FFFFFF"/>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Statistics'!$A$2:$A$5</c:f>
              <c:strCache>
                <c:ptCount val="4"/>
                <c:pt idx="0">
                  <c:v>2024</c:v>
                </c:pt>
                <c:pt idx="1">
                  <c:v>2025</c:v>
                </c:pt>
                <c:pt idx="2">
                  <c:v>2026</c:v>
                </c:pt>
                <c:pt idx="3">
                  <c:v>2026 Annualized</c:v>
                </c:pt>
              </c:strCache>
            </c:strRef>
          </c:cat>
          <c:val>
            <c:numRef>
              <c:f>'Summary Statistics'!$F$2:$F$5</c:f>
              <c:numCache>
                <c:formatCode>#,##0</c:formatCode>
                <c:ptCount val="4"/>
                <c:pt idx="0">
                  <c:v>94</c:v>
                </c:pt>
                <c:pt idx="1">
                  <c:v>86</c:v>
                </c:pt>
                <c:pt idx="2">
                  <c:v>18</c:v>
                </c:pt>
                <c:pt idx="3">
                  <c:v>108</c:v>
                </c:pt>
              </c:numCache>
            </c:numRef>
          </c:val>
          <c:extLst>
            <c:ext xmlns:c16="http://schemas.microsoft.com/office/drawing/2014/chart" uri="{C3380CC4-5D6E-409C-BE32-E72D297353CC}">
              <c16:uniqueId val="{00000018-A58F-1E4A-9E59-8D5CF7A46559}"/>
            </c:ext>
          </c:extLst>
        </c:ser>
        <c:ser>
          <c:idx val="5"/>
          <c:order val="5"/>
          <c:tx>
            <c:v>Phase 3</c:v>
          </c:tx>
          <c:spPr>
            <a:solidFill>
              <a:srgbClr val="3A3A3A"/>
            </a:solidFill>
            <a:ln>
              <a:solidFill>
                <a:srgbClr val="3A3A3A"/>
              </a:solidFill>
            </a:ln>
          </c:spPr>
          <c:invertIfNegative val="0"/>
          <c:dPt>
            <c:idx val="0"/>
            <c:invertIfNegative val="0"/>
            <c:bubble3D val="0"/>
            <c:extLst>
              <c:ext xmlns:c16="http://schemas.microsoft.com/office/drawing/2014/chart" uri="{C3380CC4-5D6E-409C-BE32-E72D297353CC}">
                <c16:uniqueId val="{00000019-A58F-1E4A-9E59-8D5CF7A46559}"/>
              </c:ext>
            </c:extLst>
          </c:dPt>
          <c:dPt>
            <c:idx val="1"/>
            <c:invertIfNegative val="0"/>
            <c:bubble3D val="0"/>
            <c:extLst>
              <c:ext xmlns:c16="http://schemas.microsoft.com/office/drawing/2014/chart" uri="{C3380CC4-5D6E-409C-BE32-E72D297353CC}">
                <c16:uniqueId val="{0000001A-A58F-1E4A-9E59-8D5CF7A46559}"/>
              </c:ext>
            </c:extLst>
          </c:dPt>
          <c:dPt>
            <c:idx val="2"/>
            <c:invertIfNegative val="0"/>
            <c:bubble3D val="0"/>
            <c:spPr>
              <a:solidFill>
                <a:srgbClr val="3A527B"/>
              </a:solidFill>
              <a:ln>
                <a:solidFill>
                  <a:srgbClr val="3A527B"/>
                </a:solidFill>
              </a:ln>
            </c:spPr>
            <c:extLst>
              <c:ext xmlns:c16="http://schemas.microsoft.com/office/drawing/2014/chart" uri="{C3380CC4-5D6E-409C-BE32-E72D297353CC}">
                <c16:uniqueId val="{0000001B-A58F-1E4A-9E59-8D5CF7A46559}"/>
              </c:ext>
            </c:extLst>
          </c:dPt>
          <c:dPt>
            <c:idx val="3"/>
            <c:invertIfNegative val="0"/>
            <c:bubble3D val="0"/>
            <c:spPr>
              <a:solidFill>
                <a:srgbClr val="3A527B"/>
              </a:solidFill>
              <a:ln>
                <a:solidFill>
                  <a:srgbClr val="3A527B"/>
                </a:solidFill>
              </a:ln>
            </c:spPr>
            <c:extLst>
              <c:ext xmlns:c16="http://schemas.microsoft.com/office/drawing/2014/chart" uri="{C3380CC4-5D6E-409C-BE32-E72D297353CC}">
                <c16:uniqueId val="{0000001C-A58F-1E4A-9E59-8D5CF7A46559}"/>
              </c:ext>
            </c:extLst>
          </c:dPt>
          <c:dLbls>
            <c:dLbl>
              <c:idx val="2"/>
              <c:delete val="1"/>
              <c:extLst>
                <c:ext xmlns:c15="http://schemas.microsoft.com/office/drawing/2012/chart" uri="{CE6537A1-D6FC-4f65-9D91-7224C49458BB}"/>
                <c:ext xmlns:c16="http://schemas.microsoft.com/office/drawing/2014/chart" uri="{C3380CC4-5D6E-409C-BE32-E72D297353CC}">
                  <c16:uniqueId val="{0000001B-A58F-1E4A-9E59-8D5CF7A46559}"/>
                </c:ext>
              </c:extLst>
            </c:dLbl>
            <c:numFmt formatCode="#,##0" sourceLinked="0"/>
            <c:spPr>
              <a:noFill/>
              <a:ln>
                <a:noFill/>
              </a:ln>
              <a:effectLst/>
            </c:spPr>
            <c:txPr>
              <a:bodyPr/>
              <a:lstStyle/>
              <a:p>
                <a:pPr>
                  <a:defRPr sz="700" baseline="0">
                    <a:solidFill>
                      <a:srgbClr val="FFFFFF"/>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Statistics'!$A$2:$A$5</c:f>
              <c:strCache>
                <c:ptCount val="4"/>
                <c:pt idx="0">
                  <c:v>2024</c:v>
                </c:pt>
                <c:pt idx="1">
                  <c:v>2025</c:v>
                </c:pt>
                <c:pt idx="2">
                  <c:v>2026</c:v>
                </c:pt>
                <c:pt idx="3">
                  <c:v>2026 Annualized</c:v>
                </c:pt>
              </c:strCache>
            </c:strRef>
          </c:cat>
          <c:val>
            <c:numRef>
              <c:f>'Summary Statistics'!$G$2:$G$5</c:f>
              <c:numCache>
                <c:formatCode>#,##0</c:formatCode>
                <c:ptCount val="4"/>
                <c:pt idx="0">
                  <c:v>852</c:v>
                </c:pt>
                <c:pt idx="1">
                  <c:v>923</c:v>
                </c:pt>
                <c:pt idx="2">
                  <c:v>152</c:v>
                </c:pt>
                <c:pt idx="3">
                  <c:v>912</c:v>
                </c:pt>
              </c:numCache>
            </c:numRef>
          </c:val>
          <c:extLst>
            <c:ext xmlns:c16="http://schemas.microsoft.com/office/drawing/2014/chart" uri="{C3380CC4-5D6E-409C-BE32-E72D297353CC}">
              <c16:uniqueId val="{0000001D-A58F-1E4A-9E59-8D5CF7A46559}"/>
            </c:ext>
          </c:extLst>
        </c:ser>
        <c:ser>
          <c:idx val="6"/>
          <c:order val="6"/>
          <c:tx>
            <c:v>Phase 4</c:v>
          </c:tx>
          <c:spPr>
            <a:solidFill>
              <a:srgbClr val="1A1A1A"/>
            </a:solidFill>
            <a:ln>
              <a:solidFill>
                <a:srgbClr val="1A1A1A"/>
              </a:solidFill>
            </a:ln>
          </c:spPr>
          <c:invertIfNegative val="0"/>
          <c:dPt>
            <c:idx val="0"/>
            <c:invertIfNegative val="0"/>
            <c:bubble3D val="0"/>
            <c:extLst>
              <c:ext xmlns:c16="http://schemas.microsoft.com/office/drawing/2014/chart" uri="{C3380CC4-5D6E-409C-BE32-E72D297353CC}">
                <c16:uniqueId val="{0000001E-A58F-1E4A-9E59-8D5CF7A46559}"/>
              </c:ext>
            </c:extLst>
          </c:dPt>
          <c:dPt>
            <c:idx val="1"/>
            <c:invertIfNegative val="0"/>
            <c:bubble3D val="0"/>
            <c:extLst>
              <c:ext xmlns:c16="http://schemas.microsoft.com/office/drawing/2014/chart" uri="{C3380CC4-5D6E-409C-BE32-E72D297353CC}">
                <c16:uniqueId val="{0000001F-A58F-1E4A-9E59-8D5CF7A46559}"/>
              </c:ext>
            </c:extLst>
          </c:dPt>
          <c:dPt>
            <c:idx val="2"/>
            <c:invertIfNegative val="0"/>
            <c:bubble3D val="0"/>
            <c:spPr>
              <a:solidFill>
                <a:srgbClr val="1F3864"/>
              </a:solidFill>
              <a:ln>
                <a:solidFill>
                  <a:srgbClr val="1F3864"/>
                </a:solidFill>
              </a:ln>
            </c:spPr>
            <c:extLst>
              <c:ext xmlns:c16="http://schemas.microsoft.com/office/drawing/2014/chart" uri="{C3380CC4-5D6E-409C-BE32-E72D297353CC}">
                <c16:uniqueId val="{00000020-A58F-1E4A-9E59-8D5CF7A46559}"/>
              </c:ext>
            </c:extLst>
          </c:dPt>
          <c:dPt>
            <c:idx val="3"/>
            <c:invertIfNegative val="0"/>
            <c:bubble3D val="0"/>
            <c:spPr>
              <a:solidFill>
                <a:srgbClr val="1F3864"/>
              </a:solidFill>
              <a:ln>
                <a:solidFill>
                  <a:srgbClr val="1F3864"/>
                </a:solidFill>
              </a:ln>
            </c:spPr>
            <c:extLst>
              <c:ext xmlns:c16="http://schemas.microsoft.com/office/drawing/2014/chart" uri="{C3380CC4-5D6E-409C-BE32-E72D297353CC}">
                <c16:uniqueId val="{00000021-A58F-1E4A-9E59-8D5CF7A46559}"/>
              </c:ext>
            </c:extLst>
          </c:dPt>
          <c:dLbls>
            <c:dLbl>
              <c:idx val="2"/>
              <c:delete val="1"/>
              <c:extLst>
                <c:ext xmlns:c15="http://schemas.microsoft.com/office/drawing/2012/chart" uri="{CE6537A1-D6FC-4f65-9D91-7224C49458BB}"/>
                <c:ext xmlns:c16="http://schemas.microsoft.com/office/drawing/2014/chart" uri="{C3380CC4-5D6E-409C-BE32-E72D297353CC}">
                  <c16:uniqueId val="{00000020-A58F-1E4A-9E59-8D5CF7A46559}"/>
                </c:ext>
              </c:extLst>
            </c:dLbl>
            <c:numFmt formatCode="#,##0" sourceLinked="0"/>
            <c:spPr>
              <a:noFill/>
              <a:ln>
                <a:noFill/>
              </a:ln>
              <a:effectLst/>
            </c:spPr>
            <c:txPr>
              <a:bodyPr/>
              <a:lstStyle/>
              <a:p>
                <a:pPr>
                  <a:defRPr sz="700" baseline="0">
                    <a:solidFill>
                      <a:srgbClr val="FFFFFF"/>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Statistics'!$A$2:$A$5</c:f>
              <c:strCache>
                <c:ptCount val="4"/>
                <c:pt idx="0">
                  <c:v>2024</c:v>
                </c:pt>
                <c:pt idx="1">
                  <c:v>2025</c:v>
                </c:pt>
                <c:pt idx="2">
                  <c:v>2026</c:v>
                </c:pt>
                <c:pt idx="3">
                  <c:v>2026 Annualized</c:v>
                </c:pt>
              </c:strCache>
            </c:strRef>
          </c:cat>
          <c:val>
            <c:numRef>
              <c:f>'Summary Statistics'!$H$2:$H$5</c:f>
              <c:numCache>
                <c:formatCode>#,##0</c:formatCode>
                <c:ptCount val="4"/>
                <c:pt idx="0">
                  <c:v>145</c:v>
                </c:pt>
                <c:pt idx="1">
                  <c:v>149</c:v>
                </c:pt>
                <c:pt idx="2">
                  <c:v>26</c:v>
                </c:pt>
                <c:pt idx="3">
                  <c:v>156</c:v>
                </c:pt>
              </c:numCache>
            </c:numRef>
          </c:val>
          <c:extLst>
            <c:ext xmlns:c16="http://schemas.microsoft.com/office/drawing/2014/chart" uri="{C3380CC4-5D6E-409C-BE32-E72D297353CC}">
              <c16:uniqueId val="{00000022-A58F-1E4A-9E59-8D5CF7A46559}"/>
            </c:ext>
          </c:extLst>
        </c:ser>
        <c:dLbls>
          <c:showLegendKey val="0"/>
          <c:showVal val="0"/>
          <c:showCatName val="0"/>
          <c:showSerName val="0"/>
          <c:showPercent val="0"/>
          <c:showBubbleSize val="0"/>
        </c:dLbls>
        <c:gapWidth val="80"/>
        <c:overlap val="100"/>
        <c:axId val="50010001"/>
        <c:axId val="50010002"/>
      </c:barChart>
      <c:lineChart>
        <c:grouping val="standard"/>
        <c:varyColors val="0"/>
        <c:ser>
          <c:idx val="7"/>
          <c:order val="7"/>
          <c:tx>
            <c:v>_Total</c:v>
          </c:tx>
          <c:spPr>
            <a:ln>
              <a:noFill/>
            </a:ln>
          </c:spPr>
          <c:marker>
            <c:symbol val="none"/>
          </c:marker>
          <c:dLbls>
            <c:numFmt formatCode="#,##0" sourceLinked="0"/>
            <c:spPr>
              <a:noFill/>
              <a:ln>
                <a:noFill/>
              </a:ln>
              <a:effectLst/>
            </c:spPr>
            <c:txPr>
              <a:bodyPr/>
              <a:lstStyle/>
              <a:p>
                <a:pPr>
                  <a:defRPr sz="800" b="1" baseline="0">
                    <a:solidFill>
                      <a:srgbClr val="1F3864"/>
                    </a:solidFill>
                    <a:latin typeface="Arial"/>
                  </a:defRPr>
                </a:pPr>
                <a:endParaRPr lang="en-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Statistics'!$A$2:$A$5</c:f>
              <c:strCache>
                <c:ptCount val="4"/>
                <c:pt idx="0">
                  <c:v>2024</c:v>
                </c:pt>
                <c:pt idx="1">
                  <c:v>2025</c:v>
                </c:pt>
                <c:pt idx="2">
                  <c:v>2026</c:v>
                </c:pt>
                <c:pt idx="3">
                  <c:v>2026 Annualized</c:v>
                </c:pt>
              </c:strCache>
            </c:strRef>
          </c:cat>
          <c:val>
            <c:numRef>
              <c:f>'Summary Statistics'!$I$2:$I$5</c:f>
              <c:numCache>
                <c:formatCode>#,##0</c:formatCode>
                <c:ptCount val="4"/>
                <c:pt idx="0">
                  <c:v>4108</c:v>
                </c:pt>
                <c:pt idx="1">
                  <c:v>4397</c:v>
                </c:pt>
                <c:pt idx="2">
                  <c:v>747</c:v>
                </c:pt>
                <c:pt idx="3">
                  <c:v>4482</c:v>
                </c:pt>
              </c:numCache>
            </c:numRef>
          </c:val>
          <c:smooth val="0"/>
          <c:extLst>
            <c:ext xmlns:c16="http://schemas.microsoft.com/office/drawing/2014/chart" uri="{C3380CC4-5D6E-409C-BE32-E72D297353CC}">
              <c16:uniqueId val="{00000023-A58F-1E4A-9E59-8D5CF7A46559}"/>
            </c:ext>
          </c:extLst>
        </c:ser>
        <c:dLbls>
          <c:showLegendKey val="0"/>
          <c:showVal val="0"/>
          <c:showCatName val="0"/>
          <c:showSerName val="0"/>
          <c:showPercent val="0"/>
          <c:showBubbleSize val="0"/>
        </c:dLbls>
        <c:marker val="1"/>
        <c:smooth val="0"/>
        <c:axId val="50010001"/>
        <c:axId val="50010002"/>
      </c:lineChart>
      <c:catAx>
        <c:axId val="50010001"/>
        <c:scaling>
          <c:orientation val="minMax"/>
        </c:scaling>
        <c:delete val="0"/>
        <c:axPos val="b"/>
        <c:numFmt formatCode="General" sourceLinked="0"/>
        <c:majorTickMark val="out"/>
        <c:minorTickMark val="none"/>
        <c:tickLblPos val="low"/>
        <c:txPr>
          <a:bodyPr/>
          <a:lstStyle/>
          <a:p>
            <a:pPr>
              <a:defRPr sz="800" baseline="0">
                <a:latin typeface="Arial"/>
              </a:defRPr>
            </a:pPr>
            <a:endParaRPr lang="en-CN"/>
          </a:p>
        </c:txPr>
        <c:crossAx val="50010002"/>
        <c:crosses val="autoZero"/>
        <c:auto val="1"/>
        <c:lblAlgn val="ctr"/>
        <c:lblOffset val="100"/>
        <c:noMultiLvlLbl val="0"/>
      </c:catAx>
      <c:valAx>
        <c:axId val="50010002"/>
        <c:scaling>
          <c:orientation val="minMax"/>
        </c:scaling>
        <c:delete val="0"/>
        <c:axPos val="l"/>
        <c:numFmt formatCode="#,##0" sourceLinked="0"/>
        <c:majorTickMark val="out"/>
        <c:minorTickMark val="none"/>
        <c:tickLblPos val="nextTo"/>
        <c:crossAx val="50010001"/>
        <c:crosses val="autoZero"/>
        <c:crossBetween val="between"/>
      </c:valAx>
      <c:spPr>
        <a:ln>
          <a:noFill/>
        </a:ln>
      </c:spPr>
    </c:plotArea>
    <c:legend>
      <c:legendPos val="b"/>
      <c:legendEntry>
        <c:idx val="7"/>
        <c:delete val="1"/>
      </c:legendEntry>
      <c:overlay val="0"/>
      <c:txPr>
        <a:bodyPr/>
        <a:lstStyle/>
        <a:p>
          <a:pPr>
            <a:defRPr sz="800" baseline="0">
              <a:latin typeface="Arial"/>
            </a:defRPr>
          </a:pPr>
          <a:endParaRPr lang="en-CN"/>
        </a:p>
      </c:txPr>
    </c:legend>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latin typeface="Arial"/>
              </a:defRPr>
            </a:pPr>
            <a:r>
              <a:rPr lang="en-US" sz="1200" b="1" baseline="0">
                <a:latin typeface="Arial"/>
              </a:rPr>
              <a:t>Number of clinical trials by phase, to date: Monthly</a:t>
            </a:r>
          </a:p>
        </c:rich>
      </c:tx>
      <c:overlay val="0"/>
    </c:title>
    <c:autoTitleDeleted val="0"/>
    <c:plotArea>
      <c:layout/>
      <c:barChart>
        <c:barDir val="col"/>
        <c:grouping val="stacked"/>
        <c:varyColors val="0"/>
        <c:ser>
          <c:idx val="0"/>
          <c:order val="0"/>
          <c:tx>
            <c:v>Early Phase 1</c:v>
          </c:tx>
          <c:spPr>
            <a:solidFill>
              <a:srgbClr val="D9D9D9"/>
            </a:solidFill>
            <a:ln>
              <a:solidFill>
                <a:srgbClr val="D9D9D9"/>
              </a:solidFill>
            </a:ln>
          </c:spPr>
          <c:invertIfNegative val="0"/>
          <c:dPt>
            <c:idx val="0"/>
            <c:invertIfNegative val="0"/>
            <c:bubble3D val="0"/>
            <c:spPr>
              <a:solidFill>
                <a:srgbClr val="D9D9D9"/>
              </a:solidFill>
              <a:ln>
                <a:solidFill>
                  <a:srgbClr val="D9D9D9"/>
                </a:solidFill>
              </a:ln>
            </c:spPr>
            <c:extLst>
              <c:ext xmlns:c16="http://schemas.microsoft.com/office/drawing/2014/chart" uri="{C3380CC4-5D6E-409C-BE32-E72D297353CC}">
                <c16:uniqueId val="{00000000-2681-3743-8552-05E96AC3D5B2}"/>
              </c:ext>
            </c:extLst>
          </c:dPt>
          <c:dPt>
            <c:idx val="1"/>
            <c:invertIfNegative val="0"/>
            <c:bubble3D val="0"/>
            <c:spPr>
              <a:solidFill>
                <a:srgbClr val="D9D9D9"/>
              </a:solidFill>
              <a:ln>
                <a:solidFill>
                  <a:srgbClr val="D9D9D9"/>
                </a:solidFill>
              </a:ln>
            </c:spPr>
            <c:extLst>
              <c:ext xmlns:c16="http://schemas.microsoft.com/office/drawing/2014/chart" uri="{C3380CC4-5D6E-409C-BE32-E72D297353CC}">
                <c16:uniqueId val="{00000001-2681-3743-8552-05E96AC3D5B2}"/>
              </c:ext>
            </c:extLst>
          </c:dPt>
          <c:dPt>
            <c:idx val="2"/>
            <c:invertIfNegative val="0"/>
            <c:bubble3D val="0"/>
            <c:spPr>
              <a:solidFill>
                <a:srgbClr val="D9D9D9"/>
              </a:solidFill>
              <a:ln>
                <a:solidFill>
                  <a:srgbClr val="D9D9D9"/>
                </a:solidFill>
              </a:ln>
            </c:spPr>
            <c:extLst>
              <c:ext xmlns:c16="http://schemas.microsoft.com/office/drawing/2014/chart" uri="{C3380CC4-5D6E-409C-BE32-E72D297353CC}">
                <c16:uniqueId val="{00000002-2681-3743-8552-05E96AC3D5B2}"/>
              </c:ext>
            </c:extLst>
          </c:dPt>
          <c:dPt>
            <c:idx val="3"/>
            <c:invertIfNegative val="0"/>
            <c:bubble3D val="0"/>
            <c:spPr>
              <a:solidFill>
                <a:srgbClr val="D9D9D9"/>
              </a:solidFill>
              <a:ln>
                <a:solidFill>
                  <a:srgbClr val="D9D9D9"/>
                </a:solidFill>
              </a:ln>
            </c:spPr>
            <c:extLst>
              <c:ext xmlns:c16="http://schemas.microsoft.com/office/drawing/2014/chart" uri="{C3380CC4-5D6E-409C-BE32-E72D297353CC}">
                <c16:uniqueId val="{00000003-2681-3743-8552-05E96AC3D5B2}"/>
              </c:ext>
            </c:extLst>
          </c:dPt>
          <c:dPt>
            <c:idx val="4"/>
            <c:invertIfNegative val="0"/>
            <c:bubble3D val="0"/>
            <c:spPr>
              <a:solidFill>
                <a:srgbClr val="D9D9D9"/>
              </a:solidFill>
              <a:ln>
                <a:solidFill>
                  <a:srgbClr val="D9D9D9"/>
                </a:solidFill>
              </a:ln>
            </c:spPr>
            <c:extLst>
              <c:ext xmlns:c16="http://schemas.microsoft.com/office/drawing/2014/chart" uri="{C3380CC4-5D6E-409C-BE32-E72D297353CC}">
                <c16:uniqueId val="{00000004-2681-3743-8552-05E96AC3D5B2}"/>
              </c:ext>
            </c:extLst>
          </c:dPt>
          <c:dPt>
            <c:idx val="5"/>
            <c:invertIfNegative val="0"/>
            <c:bubble3D val="0"/>
            <c:spPr>
              <a:solidFill>
                <a:srgbClr val="D9D9D9"/>
              </a:solidFill>
              <a:ln>
                <a:solidFill>
                  <a:srgbClr val="D9D9D9"/>
                </a:solidFill>
              </a:ln>
            </c:spPr>
            <c:extLst>
              <c:ext xmlns:c16="http://schemas.microsoft.com/office/drawing/2014/chart" uri="{C3380CC4-5D6E-409C-BE32-E72D297353CC}">
                <c16:uniqueId val="{00000005-2681-3743-8552-05E96AC3D5B2}"/>
              </c:ext>
            </c:extLst>
          </c:dPt>
          <c:dPt>
            <c:idx val="6"/>
            <c:invertIfNegative val="0"/>
            <c:bubble3D val="0"/>
            <c:spPr>
              <a:solidFill>
                <a:srgbClr val="D9D9D9"/>
              </a:solidFill>
              <a:ln>
                <a:solidFill>
                  <a:srgbClr val="D9D9D9"/>
                </a:solidFill>
              </a:ln>
            </c:spPr>
            <c:extLst>
              <c:ext xmlns:c16="http://schemas.microsoft.com/office/drawing/2014/chart" uri="{C3380CC4-5D6E-409C-BE32-E72D297353CC}">
                <c16:uniqueId val="{00000006-2681-3743-8552-05E96AC3D5B2}"/>
              </c:ext>
            </c:extLst>
          </c:dPt>
          <c:dPt>
            <c:idx val="7"/>
            <c:invertIfNegative val="0"/>
            <c:bubble3D val="0"/>
            <c:spPr>
              <a:solidFill>
                <a:srgbClr val="D9D9D9"/>
              </a:solidFill>
              <a:ln>
                <a:solidFill>
                  <a:srgbClr val="D9D9D9"/>
                </a:solidFill>
              </a:ln>
            </c:spPr>
            <c:extLst>
              <c:ext xmlns:c16="http://schemas.microsoft.com/office/drawing/2014/chart" uri="{C3380CC4-5D6E-409C-BE32-E72D297353CC}">
                <c16:uniqueId val="{00000007-2681-3743-8552-05E96AC3D5B2}"/>
              </c:ext>
            </c:extLst>
          </c:dPt>
          <c:dPt>
            <c:idx val="8"/>
            <c:invertIfNegative val="0"/>
            <c:bubble3D val="0"/>
            <c:spPr>
              <a:solidFill>
                <a:srgbClr val="D9D9D9"/>
              </a:solidFill>
              <a:ln>
                <a:solidFill>
                  <a:srgbClr val="D9D9D9"/>
                </a:solidFill>
              </a:ln>
            </c:spPr>
            <c:extLst>
              <c:ext xmlns:c16="http://schemas.microsoft.com/office/drawing/2014/chart" uri="{C3380CC4-5D6E-409C-BE32-E72D297353CC}">
                <c16:uniqueId val="{00000008-2681-3743-8552-05E96AC3D5B2}"/>
              </c:ext>
            </c:extLst>
          </c:dPt>
          <c:dPt>
            <c:idx val="9"/>
            <c:invertIfNegative val="0"/>
            <c:bubble3D val="0"/>
            <c:spPr>
              <a:solidFill>
                <a:srgbClr val="D9D9D9"/>
              </a:solidFill>
              <a:ln>
                <a:solidFill>
                  <a:srgbClr val="D9D9D9"/>
                </a:solidFill>
              </a:ln>
            </c:spPr>
            <c:extLst>
              <c:ext xmlns:c16="http://schemas.microsoft.com/office/drawing/2014/chart" uri="{C3380CC4-5D6E-409C-BE32-E72D297353CC}">
                <c16:uniqueId val="{00000009-2681-3743-8552-05E96AC3D5B2}"/>
              </c:ext>
            </c:extLst>
          </c:dPt>
          <c:dPt>
            <c:idx val="10"/>
            <c:invertIfNegative val="0"/>
            <c:bubble3D val="0"/>
            <c:spPr>
              <a:solidFill>
                <a:srgbClr val="D9D9D9"/>
              </a:solidFill>
              <a:ln>
                <a:solidFill>
                  <a:srgbClr val="D9D9D9"/>
                </a:solidFill>
              </a:ln>
            </c:spPr>
            <c:extLst>
              <c:ext xmlns:c16="http://schemas.microsoft.com/office/drawing/2014/chart" uri="{C3380CC4-5D6E-409C-BE32-E72D297353CC}">
                <c16:uniqueId val="{0000000A-2681-3743-8552-05E96AC3D5B2}"/>
              </c:ext>
            </c:extLst>
          </c:dPt>
          <c:dPt>
            <c:idx val="11"/>
            <c:invertIfNegative val="0"/>
            <c:bubble3D val="0"/>
            <c:spPr>
              <a:solidFill>
                <a:srgbClr val="D9D9D9"/>
              </a:solidFill>
              <a:ln>
                <a:solidFill>
                  <a:srgbClr val="D9D9D9"/>
                </a:solidFill>
              </a:ln>
            </c:spPr>
            <c:extLst>
              <c:ext xmlns:c16="http://schemas.microsoft.com/office/drawing/2014/chart" uri="{C3380CC4-5D6E-409C-BE32-E72D297353CC}">
                <c16:uniqueId val="{0000000B-2681-3743-8552-05E96AC3D5B2}"/>
              </c:ext>
            </c:extLst>
          </c:dPt>
          <c:dPt>
            <c:idx val="12"/>
            <c:invertIfNegative val="0"/>
            <c:bubble3D val="0"/>
            <c:spPr>
              <a:solidFill>
                <a:srgbClr val="D9D9D9"/>
              </a:solidFill>
              <a:ln>
                <a:solidFill>
                  <a:srgbClr val="D9D9D9"/>
                </a:solidFill>
              </a:ln>
            </c:spPr>
            <c:extLst>
              <c:ext xmlns:c16="http://schemas.microsoft.com/office/drawing/2014/chart" uri="{C3380CC4-5D6E-409C-BE32-E72D297353CC}">
                <c16:uniqueId val="{0000000C-2681-3743-8552-05E96AC3D5B2}"/>
              </c:ext>
            </c:extLst>
          </c:dPt>
          <c:dPt>
            <c:idx val="13"/>
            <c:invertIfNegative val="0"/>
            <c:bubble3D val="0"/>
            <c:spPr>
              <a:solidFill>
                <a:srgbClr val="D9D9D9"/>
              </a:solidFill>
              <a:ln>
                <a:solidFill>
                  <a:srgbClr val="D9D9D9"/>
                </a:solidFill>
              </a:ln>
            </c:spPr>
            <c:extLst>
              <c:ext xmlns:c16="http://schemas.microsoft.com/office/drawing/2014/chart" uri="{C3380CC4-5D6E-409C-BE32-E72D297353CC}">
                <c16:uniqueId val="{0000000D-2681-3743-8552-05E96AC3D5B2}"/>
              </c:ext>
            </c:extLst>
          </c:dPt>
          <c:dPt>
            <c:idx val="14"/>
            <c:invertIfNegative val="0"/>
            <c:bubble3D val="0"/>
            <c:spPr>
              <a:solidFill>
                <a:srgbClr val="D9D9D9"/>
              </a:solidFill>
              <a:ln>
                <a:solidFill>
                  <a:srgbClr val="D9D9D9"/>
                </a:solidFill>
              </a:ln>
            </c:spPr>
            <c:extLst>
              <c:ext xmlns:c16="http://schemas.microsoft.com/office/drawing/2014/chart" uri="{C3380CC4-5D6E-409C-BE32-E72D297353CC}">
                <c16:uniqueId val="{0000000E-2681-3743-8552-05E96AC3D5B2}"/>
              </c:ext>
            </c:extLst>
          </c:dPt>
          <c:dPt>
            <c:idx val="15"/>
            <c:invertIfNegative val="0"/>
            <c:bubble3D val="0"/>
            <c:spPr>
              <a:solidFill>
                <a:srgbClr val="D9D9D9"/>
              </a:solidFill>
              <a:ln>
                <a:solidFill>
                  <a:srgbClr val="D9D9D9"/>
                </a:solidFill>
              </a:ln>
            </c:spPr>
            <c:extLst>
              <c:ext xmlns:c16="http://schemas.microsoft.com/office/drawing/2014/chart" uri="{C3380CC4-5D6E-409C-BE32-E72D297353CC}">
                <c16:uniqueId val="{0000000F-2681-3743-8552-05E96AC3D5B2}"/>
              </c:ext>
            </c:extLst>
          </c:dPt>
          <c:dPt>
            <c:idx val="16"/>
            <c:invertIfNegative val="0"/>
            <c:bubble3D val="0"/>
            <c:spPr>
              <a:solidFill>
                <a:srgbClr val="D9D9D9"/>
              </a:solidFill>
              <a:ln>
                <a:solidFill>
                  <a:srgbClr val="D9D9D9"/>
                </a:solidFill>
              </a:ln>
            </c:spPr>
            <c:extLst>
              <c:ext xmlns:c16="http://schemas.microsoft.com/office/drawing/2014/chart" uri="{C3380CC4-5D6E-409C-BE32-E72D297353CC}">
                <c16:uniqueId val="{00000010-2681-3743-8552-05E96AC3D5B2}"/>
              </c:ext>
            </c:extLst>
          </c:dPt>
          <c:dPt>
            <c:idx val="17"/>
            <c:invertIfNegative val="0"/>
            <c:bubble3D val="0"/>
            <c:spPr>
              <a:solidFill>
                <a:srgbClr val="D9D9D9"/>
              </a:solidFill>
              <a:ln>
                <a:solidFill>
                  <a:srgbClr val="D9D9D9"/>
                </a:solidFill>
              </a:ln>
            </c:spPr>
            <c:extLst>
              <c:ext xmlns:c16="http://schemas.microsoft.com/office/drawing/2014/chart" uri="{C3380CC4-5D6E-409C-BE32-E72D297353CC}">
                <c16:uniqueId val="{00000011-2681-3743-8552-05E96AC3D5B2}"/>
              </c:ext>
            </c:extLst>
          </c:dPt>
          <c:dPt>
            <c:idx val="18"/>
            <c:invertIfNegative val="0"/>
            <c:bubble3D val="0"/>
            <c:spPr>
              <a:solidFill>
                <a:srgbClr val="D9D9D9"/>
              </a:solidFill>
              <a:ln>
                <a:solidFill>
                  <a:srgbClr val="D9D9D9"/>
                </a:solidFill>
              </a:ln>
            </c:spPr>
            <c:extLst>
              <c:ext xmlns:c16="http://schemas.microsoft.com/office/drawing/2014/chart" uri="{C3380CC4-5D6E-409C-BE32-E72D297353CC}">
                <c16:uniqueId val="{00000012-2681-3743-8552-05E96AC3D5B2}"/>
              </c:ext>
            </c:extLst>
          </c:dPt>
          <c:dPt>
            <c:idx val="19"/>
            <c:invertIfNegative val="0"/>
            <c:bubble3D val="0"/>
            <c:spPr>
              <a:solidFill>
                <a:srgbClr val="D9D9D9"/>
              </a:solidFill>
              <a:ln>
                <a:solidFill>
                  <a:srgbClr val="D9D9D9"/>
                </a:solidFill>
              </a:ln>
            </c:spPr>
            <c:extLst>
              <c:ext xmlns:c16="http://schemas.microsoft.com/office/drawing/2014/chart" uri="{C3380CC4-5D6E-409C-BE32-E72D297353CC}">
                <c16:uniqueId val="{00000013-2681-3743-8552-05E96AC3D5B2}"/>
              </c:ext>
            </c:extLst>
          </c:dPt>
          <c:dPt>
            <c:idx val="20"/>
            <c:invertIfNegative val="0"/>
            <c:bubble3D val="0"/>
            <c:spPr>
              <a:solidFill>
                <a:srgbClr val="D9D9D9"/>
              </a:solidFill>
              <a:ln>
                <a:solidFill>
                  <a:srgbClr val="D9D9D9"/>
                </a:solidFill>
              </a:ln>
            </c:spPr>
            <c:extLst>
              <c:ext xmlns:c16="http://schemas.microsoft.com/office/drawing/2014/chart" uri="{C3380CC4-5D6E-409C-BE32-E72D297353CC}">
                <c16:uniqueId val="{00000014-2681-3743-8552-05E96AC3D5B2}"/>
              </c:ext>
            </c:extLst>
          </c:dPt>
          <c:dPt>
            <c:idx val="21"/>
            <c:invertIfNegative val="0"/>
            <c:bubble3D val="0"/>
            <c:spPr>
              <a:solidFill>
                <a:srgbClr val="D9D9D9"/>
              </a:solidFill>
              <a:ln>
                <a:solidFill>
                  <a:srgbClr val="D9D9D9"/>
                </a:solidFill>
              </a:ln>
            </c:spPr>
            <c:extLst>
              <c:ext xmlns:c16="http://schemas.microsoft.com/office/drawing/2014/chart" uri="{C3380CC4-5D6E-409C-BE32-E72D297353CC}">
                <c16:uniqueId val="{00000015-2681-3743-8552-05E96AC3D5B2}"/>
              </c:ext>
            </c:extLst>
          </c:dPt>
          <c:dPt>
            <c:idx val="22"/>
            <c:invertIfNegative val="0"/>
            <c:bubble3D val="0"/>
            <c:spPr>
              <a:solidFill>
                <a:srgbClr val="D9D9D9"/>
              </a:solidFill>
              <a:ln>
                <a:solidFill>
                  <a:srgbClr val="D9D9D9"/>
                </a:solidFill>
              </a:ln>
            </c:spPr>
            <c:extLst>
              <c:ext xmlns:c16="http://schemas.microsoft.com/office/drawing/2014/chart" uri="{C3380CC4-5D6E-409C-BE32-E72D297353CC}">
                <c16:uniqueId val="{00000016-2681-3743-8552-05E96AC3D5B2}"/>
              </c:ext>
            </c:extLst>
          </c:dPt>
          <c:dPt>
            <c:idx val="23"/>
            <c:invertIfNegative val="0"/>
            <c:bubble3D val="0"/>
            <c:spPr>
              <a:solidFill>
                <a:srgbClr val="D9D9D9"/>
              </a:solidFill>
              <a:ln>
                <a:solidFill>
                  <a:srgbClr val="D9D9D9"/>
                </a:solidFill>
              </a:ln>
            </c:spPr>
            <c:extLst>
              <c:ext xmlns:c16="http://schemas.microsoft.com/office/drawing/2014/chart" uri="{C3380CC4-5D6E-409C-BE32-E72D297353CC}">
                <c16:uniqueId val="{00000017-2681-3743-8552-05E96AC3D5B2}"/>
              </c:ext>
            </c:extLst>
          </c:dPt>
          <c:dPt>
            <c:idx val="24"/>
            <c:invertIfNegative val="0"/>
            <c:bubble3D val="0"/>
            <c:spPr>
              <a:solidFill>
                <a:srgbClr val="D9D9D9"/>
              </a:solidFill>
              <a:ln>
                <a:solidFill>
                  <a:srgbClr val="D9D9D9"/>
                </a:solidFill>
              </a:ln>
            </c:spPr>
            <c:extLst>
              <c:ext xmlns:c16="http://schemas.microsoft.com/office/drawing/2014/chart" uri="{C3380CC4-5D6E-409C-BE32-E72D297353CC}">
                <c16:uniqueId val="{00000018-2681-3743-8552-05E96AC3D5B2}"/>
              </c:ext>
            </c:extLst>
          </c:dPt>
          <c:dPt>
            <c:idx val="25"/>
            <c:invertIfNegative val="0"/>
            <c:bubble3D val="0"/>
            <c:spPr>
              <a:solidFill>
                <a:srgbClr val="BDD7EE"/>
              </a:solidFill>
              <a:ln>
                <a:solidFill>
                  <a:srgbClr val="BDD7EE"/>
                </a:solidFill>
              </a:ln>
            </c:spPr>
            <c:extLst>
              <c:ext xmlns:c16="http://schemas.microsoft.com/office/drawing/2014/chart" uri="{C3380CC4-5D6E-409C-BE32-E72D297353CC}">
                <c16:uniqueId val="{00000019-2681-3743-8552-05E96AC3D5B2}"/>
              </c:ext>
            </c:extLst>
          </c:dPt>
          <c:dLbls>
            <c:numFmt formatCode="#,##0" sourceLinked="0"/>
            <c:spPr>
              <a:noFill/>
              <a:ln>
                <a:noFill/>
              </a:ln>
              <a:effectLst/>
            </c:spPr>
            <c:txPr>
              <a:bodyPr/>
              <a:lstStyle/>
              <a:p>
                <a:pPr>
                  <a:defRPr sz="700" baseline="0">
                    <a:solidFill>
                      <a:srgbClr val="1A1A1A"/>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'Summary Statistics'!$A$18:$A$43</c:f>
              <c:numCache>
                <c:formatCode>mmm\ yyyy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'Summary Statistics'!$B$18:$B$43</c:f>
              <c:numCache>
                <c:formatCode>#,##0</c:formatCode>
                <c:ptCount val="26"/>
                <c:pt idx="0">
                  <c:v>7</c:v>
                </c:pt>
                <c:pt idx="1">
                  <c:v>2</c:v>
                </c:pt>
                <c:pt idx="2">
                  <c:v>5</c:v>
                </c:pt>
                <c:pt idx="3">
                  <c:v>4</c:v>
                </c:pt>
                <c:pt idx="4">
                  <c:v>7</c:v>
                </c:pt>
                <c:pt idx="5">
                  <c:v>6</c:v>
                </c:pt>
                <c:pt idx="6">
                  <c:v>2</c:v>
                </c:pt>
                <c:pt idx="7">
                  <c:v>8</c:v>
                </c:pt>
                <c:pt idx="8">
                  <c:v>4</c:v>
                </c:pt>
                <c:pt idx="9">
                  <c:v>9</c:v>
                </c:pt>
                <c:pt idx="10">
                  <c:v>12</c:v>
                </c:pt>
                <c:pt idx="11">
                  <c:v>7</c:v>
                </c:pt>
                <c:pt idx="12">
                  <c:v>4</c:v>
                </c:pt>
                <c:pt idx="13">
                  <c:v>5</c:v>
                </c:pt>
                <c:pt idx="14">
                  <c:v>11</c:v>
                </c:pt>
                <c:pt idx="15">
                  <c:v>2</c:v>
                </c:pt>
                <c:pt idx="16">
                  <c:v>8</c:v>
                </c:pt>
                <c:pt idx="17">
                  <c:v>9</c:v>
                </c:pt>
                <c:pt idx="18">
                  <c:v>7</c:v>
                </c:pt>
                <c:pt idx="19">
                  <c:v>7</c:v>
                </c:pt>
                <c:pt idx="20">
                  <c:v>13</c:v>
                </c:pt>
                <c:pt idx="21">
                  <c:v>6</c:v>
                </c:pt>
                <c:pt idx="22">
                  <c:v>6</c:v>
                </c:pt>
                <c:pt idx="23">
                  <c:v>13</c:v>
                </c:pt>
                <c:pt idx="24">
                  <c:v>4</c:v>
                </c:pt>
                <c:pt idx="25">
                  <c:v>11</c:v>
                </c:pt>
              </c:numCache>
            </c:numRef>
          </c:val>
          <c:extLst>
            <c:ext xmlns:c16="http://schemas.microsoft.com/office/drawing/2014/chart" uri="{C3380CC4-5D6E-409C-BE32-E72D297353CC}">
              <c16:uniqueId val="{0000001A-2681-3743-8552-05E96AC3D5B2}"/>
            </c:ext>
          </c:extLst>
        </c:ser>
        <c:ser>
          <c:idx val="1"/>
          <c:order val="1"/>
          <c:tx>
            <c:v>Phase 1</c:v>
          </c:tx>
          <c:spPr>
            <a:solidFill>
              <a:srgbClr val="B9B9B9"/>
            </a:solidFill>
            <a:ln>
              <a:solidFill>
                <a:srgbClr val="B9B9B9"/>
              </a:solidFill>
            </a:ln>
          </c:spPr>
          <c:invertIfNegative val="0"/>
          <c:dPt>
            <c:idx val="0"/>
            <c:invertIfNegative val="0"/>
            <c:bubble3D val="0"/>
            <c:extLst>
              <c:ext xmlns:c16="http://schemas.microsoft.com/office/drawing/2014/chart" uri="{C3380CC4-5D6E-409C-BE32-E72D297353CC}">
                <c16:uniqueId val="{0000001B-2681-3743-8552-05E96AC3D5B2}"/>
              </c:ext>
            </c:extLst>
          </c:dPt>
          <c:dPt>
            <c:idx val="1"/>
            <c:invertIfNegative val="0"/>
            <c:bubble3D val="0"/>
            <c:extLst>
              <c:ext xmlns:c16="http://schemas.microsoft.com/office/drawing/2014/chart" uri="{C3380CC4-5D6E-409C-BE32-E72D297353CC}">
                <c16:uniqueId val="{0000001C-2681-3743-8552-05E96AC3D5B2}"/>
              </c:ext>
            </c:extLst>
          </c:dPt>
          <c:dPt>
            <c:idx val="2"/>
            <c:invertIfNegative val="0"/>
            <c:bubble3D val="0"/>
            <c:extLst>
              <c:ext xmlns:c16="http://schemas.microsoft.com/office/drawing/2014/chart" uri="{C3380CC4-5D6E-409C-BE32-E72D297353CC}">
                <c16:uniqueId val="{0000001D-2681-3743-8552-05E96AC3D5B2}"/>
              </c:ext>
            </c:extLst>
          </c:dPt>
          <c:dPt>
            <c:idx val="3"/>
            <c:invertIfNegative val="0"/>
            <c:bubble3D val="0"/>
            <c:extLst>
              <c:ext xmlns:c16="http://schemas.microsoft.com/office/drawing/2014/chart" uri="{C3380CC4-5D6E-409C-BE32-E72D297353CC}">
                <c16:uniqueId val="{0000001E-2681-3743-8552-05E96AC3D5B2}"/>
              </c:ext>
            </c:extLst>
          </c:dPt>
          <c:dPt>
            <c:idx val="4"/>
            <c:invertIfNegative val="0"/>
            <c:bubble3D val="0"/>
            <c:extLst>
              <c:ext xmlns:c16="http://schemas.microsoft.com/office/drawing/2014/chart" uri="{C3380CC4-5D6E-409C-BE32-E72D297353CC}">
                <c16:uniqueId val="{0000001F-2681-3743-8552-05E96AC3D5B2}"/>
              </c:ext>
            </c:extLst>
          </c:dPt>
          <c:dPt>
            <c:idx val="5"/>
            <c:invertIfNegative val="0"/>
            <c:bubble3D val="0"/>
            <c:extLst>
              <c:ext xmlns:c16="http://schemas.microsoft.com/office/drawing/2014/chart" uri="{C3380CC4-5D6E-409C-BE32-E72D297353CC}">
                <c16:uniqueId val="{00000020-2681-3743-8552-05E96AC3D5B2}"/>
              </c:ext>
            </c:extLst>
          </c:dPt>
          <c:dPt>
            <c:idx val="6"/>
            <c:invertIfNegative val="0"/>
            <c:bubble3D val="0"/>
            <c:extLst>
              <c:ext xmlns:c16="http://schemas.microsoft.com/office/drawing/2014/chart" uri="{C3380CC4-5D6E-409C-BE32-E72D297353CC}">
                <c16:uniqueId val="{00000021-2681-3743-8552-05E96AC3D5B2}"/>
              </c:ext>
            </c:extLst>
          </c:dPt>
          <c:dPt>
            <c:idx val="7"/>
            <c:invertIfNegative val="0"/>
            <c:bubble3D val="0"/>
            <c:extLst>
              <c:ext xmlns:c16="http://schemas.microsoft.com/office/drawing/2014/chart" uri="{C3380CC4-5D6E-409C-BE32-E72D297353CC}">
                <c16:uniqueId val="{00000022-2681-3743-8552-05E96AC3D5B2}"/>
              </c:ext>
            </c:extLst>
          </c:dPt>
          <c:dPt>
            <c:idx val="8"/>
            <c:invertIfNegative val="0"/>
            <c:bubble3D val="0"/>
            <c:extLst>
              <c:ext xmlns:c16="http://schemas.microsoft.com/office/drawing/2014/chart" uri="{C3380CC4-5D6E-409C-BE32-E72D297353CC}">
                <c16:uniqueId val="{00000023-2681-3743-8552-05E96AC3D5B2}"/>
              </c:ext>
            </c:extLst>
          </c:dPt>
          <c:dPt>
            <c:idx val="9"/>
            <c:invertIfNegative val="0"/>
            <c:bubble3D val="0"/>
            <c:extLst>
              <c:ext xmlns:c16="http://schemas.microsoft.com/office/drawing/2014/chart" uri="{C3380CC4-5D6E-409C-BE32-E72D297353CC}">
                <c16:uniqueId val="{00000024-2681-3743-8552-05E96AC3D5B2}"/>
              </c:ext>
            </c:extLst>
          </c:dPt>
          <c:dPt>
            <c:idx val="10"/>
            <c:invertIfNegative val="0"/>
            <c:bubble3D val="0"/>
            <c:extLst>
              <c:ext xmlns:c16="http://schemas.microsoft.com/office/drawing/2014/chart" uri="{C3380CC4-5D6E-409C-BE32-E72D297353CC}">
                <c16:uniqueId val="{00000025-2681-3743-8552-05E96AC3D5B2}"/>
              </c:ext>
            </c:extLst>
          </c:dPt>
          <c:dPt>
            <c:idx val="11"/>
            <c:invertIfNegative val="0"/>
            <c:bubble3D val="0"/>
            <c:extLst>
              <c:ext xmlns:c16="http://schemas.microsoft.com/office/drawing/2014/chart" uri="{C3380CC4-5D6E-409C-BE32-E72D297353CC}">
                <c16:uniqueId val="{00000026-2681-3743-8552-05E96AC3D5B2}"/>
              </c:ext>
            </c:extLst>
          </c:dPt>
          <c:dPt>
            <c:idx val="12"/>
            <c:invertIfNegative val="0"/>
            <c:bubble3D val="0"/>
            <c:extLst>
              <c:ext xmlns:c16="http://schemas.microsoft.com/office/drawing/2014/chart" uri="{C3380CC4-5D6E-409C-BE32-E72D297353CC}">
                <c16:uniqueId val="{00000027-2681-3743-8552-05E96AC3D5B2}"/>
              </c:ext>
            </c:extLst>
          </c:dPt>
          <c:dPt>
            <c:idx val="13"/>
            <c:invertIfNegative val="0"/>
            <c:bubble3D val="0"/>
            <c:extLst>
              <c:ext xmlns:c16="http://schemas.microsoft.com/office/drawing/2014/chart" uri="{C3380CC4-5D6E-409C-BE32-E72D297353CC}">
                <c16:uniqueId val="{00000028-2681-3743-8552-05E96AC3D5B2}"/>
              </c:ext>
            </c:extLst>
          </c:dPt>
          <c:dPt>
            <c:idx val="14"/>
            <c:invertIfNegative val="0"/>
            <c:bubble3D val="0"/>
            <c:extLst>
              <c:ext xmlns:c16="http://schemas.microsoft.com/office/drawing/2014/chart" uri="{C3380CC4-5D6E-409C-BE32-E72D297353CC}">
                <c16:uniqueId val="{00000029-2681-3743-8552-05E96AC3D5B2}"/>
              </c:ext>
            </c:extLst>
          </c:dPt>
          <c:dPt>
            <c:idx val="15"/>
            <c:invertIfNegative val="0"/>
            <c:bubble3D val="0"/>
            <c:extLst>
              <c:ext xmlns:c16="http://schemas.microsoft.com/office/drawing/2014/chart" uri="{C3380CC4-5D6E-409C-BE32-E72D297353CC}">
                <c16:uniqueId val="{0000002A-2681-3743-8552-05E96AC3D5B2}"/>
              </c:ext>
            </c:extLst>
          </c:dPt>
          <c:dPt>
            <c:idx val="16"/>
            <c:invertIfNegative val="0"/>
            <c:bubble3D val="0"/>
            <c:extLst>
              <c:ext xmlns:c16="http://schemas.microsoft.com/office/drawing/2014/chart" uri="{C3380CC4-5D6E-409C-BE32-E72D297353CC}">
                <c16:uniqueId val="{0000002B-2681-3743-8552-05E96AC3D5B2}"/>
              </c:ext>
            </c:extLst>
          </c:dPt>
          <c:dPt>
            <c:idx val="17"/>
            <c:invertIfNegative val="0"/>
            <c:bubble3D val="0"/>
            <c:extLst>
              <c:ext xmlns:c16="http://schemas.microsoft.com/office/drawing/2014/chart" uri="{C3380CC4-5D6E-409C-BE32-E72D297353CC}">
                <c16:uniqueId val="{0000002C-2681-3743-8552-05E96AC3D5B2}"/>
              </c:ext>
            </c:extLst>
          </c:dPt>
          <c:dPt>
            <c:idx val="18"/>
            <c:invertIfNegative val="0"/>
            <c:bubble3D val="0"/>
            <c:extLst>
              <c:ext xmlns:c16="http://schemas.microsoft.com/office/drawing/2014/chart" uri="{C3380CC4-5D6E-409C-BE32-E72D297353CC}">
                <c16:uniqueId val="{0000002D-2681-3743-8552-05E96AC3D5B2}"/>
              </c:ext>
            </c:extLst>
          </c:dPt>
          <c:dPt>
            <c:idx val="19"/>
            <c:invertIfNegative val="0"/>
            <c:bubble3D val="0"/>
            <c:extLst>
              <c:ext xmlns:c16="http://schemas.microsoft.com/office/drawing/2014/chart" uri="{C3380CC4-5D6E-409C-BE32-E72D297353CC}">
                <c16:uniqueId val="{0000002E-2681-3743-8552-05E96AC3D5B2}"/>
              </c:ext>
            </c:extLst>
          </c:dPt>
          <c:dPt>
            <c:idx val="20"/>
            <c:invertIfNegative val="0"/>
            <c:bubble3D val="0"/>
            <c:extLst>
              <c:ext xmlns:c16="http://schemas.microsoft.com/office/drawing/2014/chart" uri="{C3380CC4-5D6E-409C-BE32-E72D297353CC}">
                <c16:uniqueId val="{0000002F-2681-3743-8552-05E96AC3D5B2}"/>
              </c:ext>
            </c:extLst>
          </c:dPt>
          <c:dPt>
            <c:idx val="21"/>
            <c:invertIfNegative val="0"/>
            <c:bubble3D val="0"/>
            <c:extLst>
              <c:ext xmlns:c16="http://schemas.microsoft.com/office/drawing/2014/chart" uri="{C3380CC4-5D6E-409C-BE32-E72D297353CC}">
                <c16:uniqueId val="{00000030-2681-3743-8552-05E96AC3D5B2}"/>
              </c:ext>
            </c:extLst>
          </c:dPt>
          <c:dPt>
            <c:idx val="22"/>
            <c:invertIfNegative val="0"/>
            <c:bubble3D val="0"/>
            <c:extLst>
              <c:ext xmlns:c16="http://schemas.microsoft.com/office/drawing/2014/chart" uri="{C3380CC4-5D6E-409C-BE32-E72D297353CC}">
                <c16:uniqueId val="{00000031-2681-3743-8552-05E96AC3D5B2}"/>
              </c:ext>
            </c:extLst>
          </c:dPt>
          <c:dPt>
            <c:idx val="23"/>
            <c:invertIfNegative val="0"/>
            <c:bubble3D val="0"/>
            <c:extLst>
              <c:ext xmlns:c16="http://schemas.microsoft.com/office/drawing/2014/chart" uri="{C3380CC4-5D6E-409C-BE32-E72D297353CC}">
                <c16:uniqueId val="{00000032-2681-3743-8552-05E96AC3D5B2}"/>
              </c:ext>
            </c:extLst>
          </c:dPt>
          <c:dPt>
            <c:idx val="24"/>
            <c:invertIfNegative val="0"/>
            <c:bubble3D val="0"/>
            <c:extLst>
              <c:ext xmlns:c16="http://schemas.microsoft.com/office/drawing/2014/chart" uri="{C3380CC4-5D6E-409C-BE32-E72D297353CC}">
                <c16:uniqueId val="{00000033-2681-3743-8552-05E96AC3D5B2}"/>
              </c:ext>
            </c:extLst>
          </c:dPt>
          <c:dPt>
            <c:idx val="25"/>
            <c:invertIfNegative val="0"/>
            <c:bubble3D val="0"/>
            <c:spPr>
              <a:solidFill>
                <a:srgbClr val="A3BCD7"/>
              </a:solidFill>
              <a:ln>
                <a:solidFill>
                  <a:srgbClr val="A3BCD7"/>
                </a:solidFill>
              </a:ln>
            </c:spPr>
            <c:extLst>
              <c:ext xmlns:c16="http://schemas.microsoft.com/office/drawing/2014/chart" uri="{C3380CC4-5D6E-409C-BE32-E72D297353CC}">
                <c16:uniqueId val="{00000034-2681-3743-8552-05E96AC3D5B2}"/>
              </c:ext>
            </c:extLst>
          </c:dPt>
          <c:dLbls>
            <c:numFmt formatCode="#,##0" sourceLinked="0"/>
            <c:spPr>
              <a:noFill/>
              <a:ln>
                <a:noFill/>
              </a:ln>
              <a:effectLst/>
            </c:spPr>
            <c:txPr>
              <a:bodyPr/>
              <a:lstStyle/>
              <a:p>
                <a:pPr>
                  <a:defRPr sz="700" baseline="0">
                    <a:solidFill>
                      <a:srgbClr val="1A1A1A"/>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'Summary Statistics'!$A$18:$A$43</c:f>
              <c:numCache>
                <c:formatCode>mmm\ yyyy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'Summary Statistics'!$C$18:$C$43</c:f>
              <c:numCache>
                <c:formatCode>#,##0</c:formatCode>
                <c:ptCount val="26"/>
                <c:pt idx="0">
                  <c:v>136</c:v>
                </c:pt>
                <c:pt idx="1">
                  <c:v>111</c:v>
                </c:pt>
                <c:pt idx="2">
                  <c:v>136</c:v>
                </c:pt>
                <c:pt idx="3">
                  <c:v>143</c:v>
                </c:pt>
                <c:pt idx="4">
                  <c:v>148</c:v>
                </c:pt>
                <c:pt idx="5">
                  <c:v>127</c:v>
                </c:pt>
                <c:pt idx="6">
                  <c:v>139</c:v>
                </c:pt>
                <c:pt idx="7">
                  <c:v>150</c:v>
                </c:pt>
                <c:pt idx="8">
                  <c:v>134</c:v>
                </c:pt>
                <c:pt idx="9">
                  <c:v>149</c:v>
                </c:pt>
                <c:pt idx="10">
                  <c:v>143</c:v>
                </c:pt>
                <c:pt idx="11">
                  <c:v>143</c:v>
                </c:pt>
                <c:pt idx="12">
                  <c:v>116</c:v>
                </c:pt>
                <c:pt idx="13">
                  <c:v>116</c:v>
                </c:pt>
                <c:pt idx="14">
                  <c:v>145</c:v>
                </c:pt>
                <c:pt idx="15">
                  <c:v>140</c:v>
                </c:pt>
                <c:pt idx="16">
                  <c:v>157</c:v>
                </c:pt>
                <c:pt idx="17">
                  <c:v>142</c:v>
                </c:pt>
                <c:pt idx="18">
                  <c:v>125</c:v>
                </c:pt>
                <c:pt idx="19">
                  <c:v>144</c:v>
                </c:pt>
                <c:pt idx="20">
                  <c:v>107</c:v>
                </c:pt>
                <c:pt idx="21">
                  <c:v>136</c:v>
                </c:pt>
                <c:pt idx="22">
                  <c:v>124</c:v>
                </c:pt>
                <c:pt idx="23">
                  <c:v>169</c:v>
                </c:pt>
                <c:pt idx="24">
                  <c:v>147</c:v>
                </c:pt>
                <c:pt idx="25">
                  <c:v>105</c:v>
                </c:pt>
              </c:numCache>
            </c:numRef>
          </c:val>
          <c:extLst>
            <c:ext xmlns:c16="http://schemas.microsoft.com/office/drawing/2014/chart" uri="{C3380CC4-5D6E-409C-BE32-E72D297353CC}">
              <c16:uniqueId val="{00000035-2681-3743-8552-05E96AC3D5B2}"/>
            </c:ext>
          </c:extLst>
        </c:ser>
        <c:ser>
          <c:idx val="2"/>
          <c:order val="2"/>
          <c:tx>
            <c:v>Phase 1/2</c:v>
          </c:tx>
          <c:spPr>
            <a:solidFill>
              <a:srgbClr val="999999"/>
            </a:solidFill>
            <a:ln>
              <a:solidFill>
                <a:srgbClr val="999999"/>
              </a:solidFill>
            </a:ln>
          </c:spPr>
          <c:invertIfNegative val="0"/>
          <c:dPt>
            <c:idx val="0"/>
            <c:invertIfNegative val="0"/>
            <c:bubble3D val="0"/>
            <c:extLst>
              <c:ext xmlns:c16="http://schemas.microsoft.com/office/drawing/2014/chart" uri="{C3380CC4-5D6E-409C-BE32-E72D297353CC}">
                <c16:uniqueId val="{00000036-2681-3743-8552-05E96AC3D5B2}"/>
              </c:ext>
            </c:extLst>
          </c:dPt>
          <c:dPt>
            <c:idx val="1"/>
            <c:invertIfNegative val="0"/>
            <c:bubble3D val="0"/>
            <c:extLst>
              <c:ext xmlns:c16="http://schemas.microsoft.com/office/drawing/2014/chart" uri="{C3380CC4-5D6E-409C-BE32-E72D297353CC}">
                <c16:uniqueId val="{00000037-2681-3743-8552-05E96AC3D5B2}"/>
              </c:ext>
            </c:extLst>
          </c:dPt>
          <c:dPt>
            <c:idx val="2"/>
            <c:invertIfNegative val="0"/>
            <c:bubble3D val="0"/>
            <c:extLst>
              <c:ext xmlns:c16="http://schemas.microsoft.com/office/drawing/2014/chart" uri="{C3380CC4-5D6E-409C-BE32-E72D297353CC}">
                <c16:uniqueId val="{00000038-2681-3743-8552-05E96AC3D5B2}"/>
              </c:ext>
            </c:extLst>
          </c:dPt>
          <c:dPt>
            <c:idx val="3"/>
            <c:invertIfNegative val="0"/>
            <c:bubble3D val="0"/>
            <c:extLst>
              <c:ext xmlns:c16="http://schemas.microsoft.com/office/drawing/2014/chart" uri="{C3380CC4-5D6E-409C-BE32-E72D297353CC}">
                <c16:uniqueId val="{00000039-2681-3743-8552-05E96AC3D5B2}"/>
              </c:ext>
            </c:extLst>
          </c:dPt>
          <c:dPt>
            <c:idx val="4"/>
            <c:invertIfNegative val="0"/>
            <c:bubble3D val="0"/>
            <c:extLst>
              <c:ext xmlns:c16="http://schemas.microsoft.com/office/drawing/2014/chart" uri="{C3380CC4-5D6E-409C-BE32-E72D297353CC}">
                <c16:uniqueId val="{0000003A-2681-3743-8552-05E96AC3D5B2}"/>
              </c:ext>
            </c:extLst>
          </c:dPt>
          <c:dPt>
            <c:idx val="5"/>
            <c:invertIfNegative val="0"/>
            <c:bubble3D val="0"/>
            <c:extLst>
              <c:ext xmlns:c16="http://schemas.microsoft.com/office/drawing/2014/chart" uri="{C3380CC4-5D6E-409C-BE32-E72D297353CC}">
                <c16:uniqueId val="{0000003B-2681-3743-8552-05E96AC3D5B2}"/>
              </c:ext>
            </c:extLst>
          </c:dPt>
          <c:dPt>
            <c:idx val="6"/>
            <c:invertIfNegative val="0"/>
            <c:bubble3D val="0"/>
            <c:extLst>
              <c:ext xmlns:c16="http://schemas.microsoft.com/office/drawing/2014/chart" uri="{C3380CC4-5D6E-409C-BE32-E72D297353CC}">
                <c16:uniqueId val="{0000003C-2681-3743-8552-05E96AC3D5B2}"/>
              </c:ext>
            </c:extLst>
          </c:dPt>
          <c:dPt>
            <c:idx val="7"/>
            <c:invertIfNegative val="0"/>
            <c:bubble3D val="0"/>
            <c:extLst>
              <c:ext xmlns:c16="http://schemas.microsoft.com/office/drawing/2014/chart" uri="{C3380CC4-5D6E-409C-BE32-E72D297353CC}">
                <c16:uniqueId val="{0000003D-2681-3743-8552-05E96AC3D5B2}"/>
              </c:ext>
            </c:extLst>
          </c:dPt>
          <c:dPt>
            <c:idx val="8"/>
            <c:invertIfNegative val="0"/>
            <c:bubble3D val="0"/>
            <c:extLst>
              <c:ext xmlns:c16="http://schemas.microsoft.com/office/drawing/2014/chart" uri="{C3380CC4-5D6E-409C-BE32-E72D297353CC}">
                <c16:uniqueId val="{0000003E-2681-3743-8552-05E96AC3D5B2}"/>
              </c:ext>
            </c:extLst>
          </c:dPt>
          <c:dPt>
            <c:idx val="9"/>
            <c:invertIfNegative val="0"/>
            <c:bubble3D val="0"/>
            <c:extLst>
              <c:ext xmlns:c16="http://schemas.microsoft.com/office/drawing/2014/chart" uri="{C3380CC4-5D6E-409C-BE32-E72D297353CC}">
                <c16:uniqueId val="{0000003F-2681-3743-8552-05E96AC3D5B2}"/>
              </c:ext>
            </c:extLst>
          </c:dPt>
          <c:dPt>
            <c:idx val="10"/>
            <c:invertIfNegative val="0"/>
            <c:bubble3D val="0"/>
            <c:extLst>
              <c:ext xmlns:c16="http://schemas.microsoft.com/office/drawing/2014/chart" uri="{C3380CC4-5D6E-409C-BE32-E72D297353CC}">
                <c16:uniqueId val="{00000040-2681-3743-8552-05E96AC3D5B2}"/>
              </c:ext>
            </c:extLst>
          </c:dPt>
          <c:dPt>
            <c:idx val="11"/>
            <c:invertIfNegative val="0"/>
            <c:bubble3D val="0"/>
            <c:extLst>
              <c:ext xmlns:c16="http://schemas.microsoft.com/office/drawing/2014/chart" uri="{C3380CC4-5D6E-409C-BE32-E72D297353CC}">
                <c16:uniqueId val="{00000041-2681-3743-8552-05E96AC3D5B2}"/>
              </c:ext>
            </c:extLst>
          </c:dPt>
          <c:dPt>
            <c:idx val="12"/>
            <c:invertIfNegative val="0"/>
            <c:bubble3D val="0"/>
            <c:extLst>
              <c:ext xmlns:c16="http://schemas.microsoft.com/office/drawing/2014/chart" uri="{C3380CC4-5D6E-409C-BE32-E72D297353CC}">
                <c16:uniqueId val="{00000042-2681-3743-8552-05E96AC3D5B2}"/>
              </c:ext>
            </c:extLst>
          </c:dPt>
          <c:dPt>
            <c:idx val="13"/>
            <c:invertIfNegative val="0"/>
            <c:bubble3D val="0"/>
            <c:extLst>
              <c:ext xmlns:c16="http://schemas.microsoft.com/office/drawing/2014/chart" uri="{C3380CC4-5D6E-409C-BE32-E72D297353CC}">
                <c16:uniqueId val="{00000043-2681-3743-8552-05E96AC3D5B2}"/>
              </c:ext>
            </c:extLst>
          </c:dPt>
          <c:dPt>
            <c:idx val="14"/>
            <c:invertIfNegative val="0"/>
            <c:bubble3D val="0"/>
            <c:extLst>
              <c:ext xmlns:c16="http://schemas.microsoft.com/office/drawing/2014/chart" uri="{C3380CC4-5D6E-409C-BE32-E72D297353CC}">
                <c16:uniqueId val="{00000044-2681-3743-8552-05E96AC3D5B2}"/>
              </c:ext>
            </c:extLst>
          </c:dPt>
          <c:dPt>
            <c:idx val="15"/>
            <c:invertIfNegative val="0"/>
            <c:bubble3D val="0"/>
            <c:extLst>
              <c:ext xmlns:c16="http://schemas.microsoft.com/office/drawing/2014/chart" uri="{C3380CC4-5D6E-409C-BE32-E72D297353CC}">
                <c16:uniqueId val="{00000045-2681-3743-8552-05E96AC3D5B2}"/>
              </c:ext>
            </c:extLst>
          </c:dPt>
          <c:dPt>
            <c:idx val="16"/>
            <c:invertIfNegative val="0"/>
            <c:bubble3D val="0"/>
            <c:extLst>
              <c:ext xmlns:c16="http://schemas.microsoft.com/office/drawing/2014/chart" uri="{C3380CC4-5D6E-409C-BE32-E72D297353CC}">
                <c16:uniqueId val="{00000046-2681-3743-8552-05E96AC3D5B2}"/>
              </c:ext>
            </c:extLst>
          </c:dPt>
          <c:dPt>
            <c:idx val="17"/>
            <c:invertIfNegative val="0"/>
            <c:bubble3D val="0"/>
            <c:extLst>
              <c:ext xmlns:c16="http://schemas.microsoft.com/office/drawing/2014/chart" uri="{C3380CC4-5D6E-409C-BE32-E72D297353CC}">
                <c16:uniqueId val="{00000047-2681-3743-8552-05E96AC3D5B2}"/>
              </c:ext>
            </c:extLst>
          </c:dPt>
          <c:dPt>
            <c:idx val="18"/>
            <c:invertIfNegative val="0"/>
            <c:bubble3D val="0"/>
            <c:extLst>
              <c:ext xmlns:c16="http://schemas.microsoft.com/office/drawing/2014/chart" uri="{C3380CC4-5D6E-409C-BE32-E72D297353CC}">
                <c16:uniqueId val="{00000048-2681-3743-8552-05E96AC3D5B2}"/>
              </c:ext>
            </c:extLst>
          </c:dPt>
          <c:dPt>
            <c:idx val="19"/>
            <c:invertIfNegative val="0"/>
            <c:bubble3D val="0"/>
            <c:extLst>
              <c:ext xmlns:c16="http://schemas.microsoft.com/office/drawing/2014/chart" uri="{C3380CC4-5D6E-409C-BE32-E72D297353CC}">
                <c16:uniqueId val="{00000049-2681-3743-8552-05E96AC3D5B2}"/>
              </c:ext>
            </c:extLst>
          </c:dPt>
          <c:dPt>
            <c:idx val="20"/>
            <c:invertIfNegative val="0"/>
            <c:bubble3D val="0"/>
            <c:extLst>
              <c:ext xmlns:c16="http://schemas.microsoft.com/office/drawing/2014/chart" uri="{C3380CC4-5D6E-409C-BE32-E72D297353CC}">
                <c16:uniqueId val="{0000004A-2681-3743-8552-05E96AC3D5B2}"/>
              </c:ext>
            </c:extLst>
          </c:dPt>
          <c:dPt>
            <c:idx val="21"/>
            <c:invertIfNegative val="0"/>
            <c:bubble3D val="0"/>
            <c:extLst>
              <c:ext xmlns:c16="http://schemas.microsoft.com/office/drawing/2014/chart" uri="{C3380CC4-5D6E-409C-BE32-E72D297353CC}">
                <c16:uniqueId val="{0000004B-2681-3743-8552-05E96AC3D5B2}"/>
              </c:ext>
            </c:extLst>
          </c:dPt>
          <c:dPt>
            <c:idx val="22"/>
            <c:invertIfNegative val="0"/>
            <c:bubble3D val="0"/>
            <c:extLst>
              <c:ext xmlns:c16="http://schemas.microsoft.com/office/drawing/2014/chart" uri="{C3380CC4-5D6E-409C-BE32-E72D297353CC}">
                <c16:uniqueId val="{0000004C-2681-3743-8552-05E96AC3D5B2}"/>
              </c:ext>
            </c:extLst>
          </c:dPt>
          <c:dPt>
            <c:idx val="23"/>
            <c:invertIfNegative val="0"/>
            <c:bubble3D val="0"/>
            <c:extLst>
              <c:ext xmlns:c16="http://schemas.microsoft.com/office/drawing/2014/chart" uri="{C3380CC4-5D6E-409C-BE32-E72D297353CC}">
                <c16:uniqueId val="{0000004D-2681-3743-8552-05E96AC3D5B2}"/>
              </c:ext>
            </c:extLst>
          </c:dPt>
          <c:dPt>
            <c:idx val="24"/>
            <c:invertIfNegative val="0"/>
            <c:bubble3D val="0"/>
            <c:extLst>
              <c:ext xmlns:c16="http://schemas.microsoft.com/office/drawing/2014/chart" uri="{C3380CC4-5D6E-409C-BE32-E72D297353CC}">
                <c16:uniqueId val="{0000004E-2681-3743-8552-05E96AC3D5B2}"/>
              </c:ext>
            </c:extLst>
          </c:dPt>
          <c:dPt>
            <c:idx val="25"/>
            <c:invertIfNegative val="0"/>
            <c:bubble3D val="0"/>
            <c:spPr>
              <a:solidFill>
                <a:srgbClr val="89A2C0"/>
              </a:solidFill>
              <a:ln>
                <a:solidFill>
                  <a:srgbClr val="89A2C0"/>
                </a:solidFill>
              </a:ln>
            </c:spPr>
            <c:extLst>
              <c:ext xmlns:c16="http://schemas.microsoft.com/office/drawing/2014/chart" uri="{C3380CC4-5D6E-409C-BE32-E72D297353CC}">
                <c16:uniqueId val="{0000004F-2681-3743-8552-05E96AC3D5B2}"/>
              </c:ext>
            </c:extLst>
          </c:dPt>
          <c:dLbls>
            <c:numFmt formatCode="#,##0" sourceLinked="0"/>
            <c:spPr>
              <a:noFill/>
              <a:ln>
                <a:noFill/>
              </a:ln>
              <a:effectLst/>
            </c:spPr>
            <c:txPr>
              <a:bodyPr/>
              <a:lstStyle/>
              <a:p>
                <a:pPr>
                  <a:defRPr sz="700" baseline="0">
                    <a:solidFill>
                      <a:srgbClr val="1A1A1A"/>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'Summary Statistics'!$A$18:$A$43</c:f>
              <c:numCache>
                <c:formatCode>mmm\ yyyy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'Summary Statistics'!$D$18:$D$43</c:f>
              <c:numCache>
                <c:formatCode>#,##0</c:formatCode>
                <c:ptCount val="26"/>
                <c:pt idx="0">
                  <c:v>32</c:v>
                </c:pt>
                <c:pt idx="1">
                  <c:v>30</c:v>
                </c:pt>
                <c:pt idx="2">
                  <c:v>36</c:v>
                </c:pt>
                <c:pt idx="3">
                  <c:v>35</c:v>
                </c:pt>
                <c:pt idx="4">
                  <c:v>36</c:v>
                </c:pt>
                <c:pt idx="5">
                  <c:v>41</c:v>
                </c:pt>
                <c:pt idx="6">
                  <c:v>32</c:v>
                </c:pt>
                <c:pt idx="7">
                  <c:v>35</c:v>
                </c:pt>
                <c:pt idx="8">
                  <c:v>36</c:v>
                </c:pt>
                <c:pt idx="9">
                  <c:v>29</c:v>
                </c:pt>
                <c:pt idx="10">
                  <c:v>41</c:v>
                </c:pt>
                <c:pt idx="11">
                  <c:v>36</c:v>
                </c:pt>
                <c:pt idx="12">
                  <c:v>39</c:v>
                </c:pt>
                <c:pt idx="13">
                  <c:v>36</c:v>
                </c:pt>
                <c:pt idx="14">
                  <c:v>44</c:v>
                </c:pt>
                <c:pt idx="15">
                  <c:v>47</c:v>
                </c:pt>
                <c:pt idx="16">
                  <c:v>39</c:v>
                </c:pt>
                <c:pt idx="17">
                  <c:v>41</c:v>
                </c:pt>
                <c:pt idx="18">
                  <c:v>43</c:v>
                </c:pt>
                <c:pt idx="19">
                  <c:v>38</c:v>
                </c:pt>
                <c:pt idx="20">
                  <c:v>41</c:v>
                </c:pt>
                <c:pt idx="21">
                  <c:v>43</c:v>
                </c:pt>
                <c:pt idx="22">
                  <c:v>31</c:v>
                </c:pt>
                <c:pt idx="23">
                  <c:v>54</c:v>
                </c:pt>
                <c:pt idx="24">
                  <c:v>59</c:v>
                </c:pt>
                <c:pt idx="25">
                  <c:v>52</c:v>
                </c:pt>
              </c:numCache>
            </c:numRef>
          </c:val>
          <c:extLst>
            <c:ext xmlns:c16="http://schemas.microsoft.com/office/drawing/2014/chart" uri="{C3380CC4-5D6E-409C-BE32-E72D297353CC}">
              <c16:uniqueId val="{00000050-2681-3743-8552-05E96AC3D5B2}"/>
            </c:ext>
          </c:extLst>
        </c:ser>
        <c:ser>
          <c:idx val="3"/>
          <c:order val="3"/>
          <c:tx>
            <c:v>Phase 2</c:v>
          </c:tx>
          <c:spPr>
            <a:solidFill>
              <a:srgbClr val="7A7A7A"/>
            </a:solidFill>
            <a:ln>
              <a:solidFill>
                <a:srgbClr val="7A7A7A"/>
              </a:solidFill>
            </a:ln>
          </c:spPr>
          <c:invertIfNegative val="0"/>
          <c:dPt>
            <c:idx val="0"/>
            <c:invertIfNegative val="0"/>
            <c:bubble3D val="0"/>
            <c:extLst>
              <c:ext xmlns:c16="http://schemas.microsoft.com/office/drawing/2014/chart" uri="{C3380CC4-5D6E-409C-BE32-E72D297353CC}">
                <c16:uniqueId val="{00000051-2681-3743-8552-05E96AC3D5B2}"/>
              </c:ext>
            </c:extLst>
          </c:dPt>
          <c:dPt>
            <c:idx val="1"/>
            <c:invertIfNegative val="0"/>
            <c:bubble3D val="0"/>
            <c:extLst>
              <c:ext xmlns:c16="http://schemas.microsoft.com/office/drawing/2014/chart" uri="{C3380CC4-5D6E-409C-BE32-E72D297353CC}">
                <c16:uniqueId val="{00000052-2681-3743-8552-05E96AC3D5B2}"/>
              </c:ext>
            </c:extLst>
          </c:dPt>
          <c:dPt>
            <c:idx val="2"/>
            <c:invertIfNegative val="0"/>
            <c:bubble3D val="0"/>
            <c:extLst>
              <c:ext xmlns:c16="http://schemas.microsoft.com/office/drawing/2014/chart" uri="{C3380CC4-5D6E-409C-BE32-E72D297353CC}">
                <c16:uniqueId val="{00000053-2681-3743-8552-05E96AC3D5B2}"/>
              </c:ext>
            </c:extLst>
          </c:dPt>
          <c:dPt>
            <c:idx val="3"/>
            <c:invertIfNegative val="0"/>
            <c:bubble3D val="0"/>
            <c:extLst>
              <c:ext xmlns:c16="http://schemas.microsoft.com/office/drawing/2014/chart" uri="{C3380CC4-5D6E-409C-BE32-E72D297353CC}">
                <c16:uniqueId val="{00000054-2681-3743-8552-05E96AC3D5B2}"/>
              </c:ext>
            </c:extLst>
          </c:dPt>
          <c:dPt>
            <c:idx val="4"/>
            <c:invertIfNegative val="0"/>
            <c:bubble3D val="0"/>
            <c:extLst>
              <c:ext xmlns:c16="http://schemas.microsoft.com/office/drawing/2014/chart" uri="{C3380CC4-5D6E-409C-BE32-E72D297353CC}">
                <c16:uniqueId val="{00000055-2681-3743-8552-05E96AC3D5B2}"/>
              </c:ext>
            </c:extLst>
          </c:dPt>
          <c:dPt>
            <c:idx val="5"/>
            <c:invertIfNegative val="0"/>
            <c:bubble3D val="0"/>
            <c:extLst>
              <c:ext xmlns:c16="http://schemas.microsoft.com/office/drawing/2014/chart" uri="{C3380CC4-5D6E-409C-BE32-E72D297353CC}">
                <c16:uniqueId val="{00000056-2681-3743-8552-05E96AC3D5B2}"/>
              </c:ext>
            </c:extLst>
          </c:dPt>
          <c:dPt>
            <c:idx val="6"/>
            <c:invertIfNegative val="0"/>
            <c:bubble3D val="0"/>
            <c:extLst>
              <c:ext xmlns:c16="http://schemas.microsoft.com/office/drawing/2014/chart" uri="{C3380CC4-5D6E-409C-BE32-E72D297353CC}">
                <c16:uniqueId val="{00000057-2681-3743-8552-05E96AC3D5B2}"/>
              </c:ext>
            </c:extLst>
          </c:dPt>
          <c:dPt>
            <c:idx val="7"/>
            <c:invertIfNegative val="0"/>
            <c:bubble3D val="0"/>
            <c:extLst>
              <c:ext xmlns:c16="http://schemas.microsoft.com/office/drawing/2014/chart" uri="{C3380CC4-5D6E-409C-BE32-E72D297353CC}">
                <c16:uniqueId val="{00000058-2681-3743-8552-05E96AC3D5B2}"/>
              </c:ext>
            </c:extLst>
          </c:dPt>
          <c:dPt>
            <c:idx val="8"/>
            <c:invertIfNegative val="0"/>
            <c:bubble3D val="0"/>
            <c:extLst>
              <c:ext xmlns:c16="http://schemas.microsoft.com/office/drawing/2014/chart" uri="{C3380CC4-5D6E-409C-BE32-E72D297353CC}">
                <c16:uniqueId val="{00000059-2681-3743-8552-05E96AC3D5B2}"/>
              </c:ext>
            </c:extLst>
          </c:dPt>
          <c:dPt>
            <c:idx val="9"/>
            <c:invertIfNegative val="0"/>
            <c:bubble3D val="0"/>
            <c:extLst>
              <c:ext xmlns:c16="http://schemas.microsoft.com/office/drawing/2014/chart" uri="{C3380CC4-5D6E-409C-BE32-E72D297353CC}">
                <c16:uniqueId val="{0000005A-2681-3743-8552-05E96AC3D5B2}"/>
              </c:ext>
            </c:extLst>
          </c:dPt>
          <c:dPt>
            <c:idx val="10"/>
            <c:invertIfNegative val="0"/>
            <c:bubble3D val="0"/>
            <c:extLst>
              <c:ext xmlns:c16="http://schemas.microsoft.com/office/drawing/2014/chart" uri="{C3380CC4-5D6E-409C-BE32-E72D297353CC}">
                <c16:uniqueId val="{0000005B-2681-3743-8552-05E96AC3D5B2}"/>
              </c:ext>
            </c:extLst>
          </c:dPt>
          <c:dPt>
            <c:idx val="11"/>
            <c:invertIfNegative val="0"/>
            <c:bubble3D val="0"/>
            <c:extLst>
              <c:ext xmlns:c16="http://schemas.microsoft.com/office/drawing/2014/chart" uri="{C3380CC4-5D6E-409C-BE32-E72D297353CC}">
                <c16:uniqueId val="{0000005C-2681-3743-8552-05E96AC3D5B2}"/>
              </c:ext>
            </c:extLst>
          </c:dPt>
          <c:dPt>
            <c:idx val="12"/>
            <c:invertIfNegative val="0"/>
            <c:bubble3D val="0"/>
            <c:extLst>
              <c:ext xmlns:c16="http://schemas.microsoft.com/office/drawing/2014/chart" uri="{C3380CC4-5D6E-409C-BE32-E72D297353CC}">
                <c16:uniqueId val="{0000005D-2681-3743-8552-05E96AC3D5B2}"/>
              </c:ext>
            </c:extLst>
          </c:dPt>
          <c:dPt>
            <c:idx val="13"/>
            <c:invertIfNegative val="0"/>
            <c:bubble3D val="0"/>
            <c:extLst>
              <c:ext xmlns:c16="http://schemas.microsoft.com/office/drawing/2014/chart" uri="{C3380CC4-5D6E-409C-BE32-E72D297353CC}">
                <c16:uniqueId val="{0000005E-2681-3743-8552-05E96AC3D5B2}"/>
              </c:ext>
            </c:extLst>
          </c:dPt>
          <c:dPt>
            <c:idx val="14"/>
            <c:invertIfNegative val="0"/>
            <c:bubble3D val="0"/>
            <c:extLst>
              <c:ext xmlns:c16="http://schemas.microsoft.com/office/drawing/2014/chart" uri="{C3380CC4-5D6E-409C-BE32-E72D297353CC}">
                <c16:uniqueId val="{0000005F-2681-3743-8552-05E96AC3D5B2}"/>
              </c:ext>
            </c:extLst>
          </c:dPt>
          <c:dPt>
            <c:idx val="15"/>
            <c:invertIfNegative val="0"/>
            <c:bubble3D val="0"/>
            <c:extLst>
              <c:ext xmlns:c16="http://schemas.microsoft.com/office/drawing/2014/chart" uri="{C3380CC4-5D6E-409C-BE32-E72D297353CC}">
                <c16:uniqueId val="{00000060-2681-3743-8552-05E96AC3D5B2}"/>
              </c:ext>
            </c:extLst>
          </c:dPt>
          <c:dPt>
            <c:idx val="16"/>
            <c:invertIfNegative val="0"/>
            <c:bubble3D val="0"/>
            <c:extLst>
              <c:ext xmlns:c16="http://schemas.microsoft.com/office/drawing/2014/chart" uri="{C3380CC4-5D6E-409C-BE32-E72D297353CC}">
                <c16:uniqueId val="{00000061-2681-3743-8552-05E96AC3D5B2}"/>
              </c:ext>
            </c:extLst>
          </c:dPt>
          <c:dPt>
            <c:idx val="17"/>
            <c:invertIfNegative val="0"/>
            <c:bubble3D val="0"/>
            <c:extLst>
              <c:ext xmlns:c16="http://schemas.microsoft.com/office/drawing/2014/chart" uri="{C3380CC4-5D6E-409C-BE32-E72D297353CC}">
                <c16:uniqueId val="{00000062-2681-3743-8552-05E96AC3D5B2}"/>
              </c:ext>
            </c:extLst>
          </c:dPt>
          <c:dPt>
            <c:idx val="18"/>
            <c:invertIfNegative val="0"/>
            <c:bubble3D val="0"/>
            <c:extLst>
              <c:ext xmlns:c16="http://schemas.microsoft.com/office/drawing/2014/chart" uri="{C3380CC4-5D6E-409C-BE32-E72D297353CC}">
                <c16:uniqueId val="{00000063-2681-3743-8552-05E96AC3D5B2}"/>
              </c:ext>
            </c:extLst>
          </c:dPt>
          <c:dPt>
            <c:idx val="19"/>
            <c:invertIfNegative val="0"/>
            <c:bubble3D val="0"/>
            <c:extLst>
              <c:ext xmlns:c16="http://schemas.microsoft.com/office/drawing/2014/chart" uri="{C3380CC4-5D6E-409C-BE32-E72D297353CC}">
                <c16:uniqueId val="{00000064-2681-3743-8552-05E96AC3D5B2}"/>
              </c:ext>
            </c:extLst>
          </c:dPt>
          <c:dPt>
            <c:idx val="20"/>
            <c:invertIfNegative val="0"/>
            <c:bubble3D val="0"/>
            <c:extLst>
              <c:ext xmlns:c16="http://schemas.microsoft.com/office/drawing/2014/chart" uri="{C3380CC4-5D6E-409C-BE32-E72D297353CC}">
                <c16:uniqueId val="{00000065-2681-3743-8552-05E96AC3D5B2}"/>
              </c:ext>
            </c:extLst>
          </c:dPt>
          <c:dPt>
            <c:idx val="21"/>
            <c:invertIfNegative val="0"/>
            <c:bubble3D val="0"/>
            <c:extLst>
              <c:ext xmlns:c16="http://schemas.microsoft.com/office/drawing/2014/chart" uri="{C3380CC4-5D6E-409C-BE32-E72D297353CC}">
                <c16:uniqueId val="{00000066-2681-3743-8552-05E96AC3D5B2}"/>
              </c:ext>
            </c:extLst>
          </c:dPt>
          <c:dPt>
            <c:idx val="22"/>
            <c:invertIfNegative val="0"/>
            <c:bubble3D val="0"/>
            <c:extLst>
              <c:ext xmlns:c16="http://schemas.microsoft.com/office/drawing/2014/chart" uri="{C3380CC4-5D6E-409C-BE32-E72D297353CC}">
                <c16:uniqueId val="{00000067-2681-3743-8552-05E96AC3D5B2}"/>
              </c:ext>
            </c:extLst>
          </c:dPt>
          <c:dPt>
            <c:idx val="23"/>
            <c:invertIfNegative val="0"/>
            <c:bubble3D val="0"/>
            <c:extLst>
              <c:ext xmlns:c16="http://schemas.microsoft.com/office/drawing/2014/chart" uri="{C3380CC4-5D6E-409C-BE32-E72D297353CC}">
                <c16:uniqueId val="{00000068-2681-3743-8552-05E96AC3D5B2}"/>
              </c:ext>
            </c:extLst>
          </c:dPt>
          <c:dPt>
            <c:idx val="24"/>
            <c:invertIfNegative val="0"/>
            <c:bubble3D val="0"/>
            <c:extLst>
              <c:ext xmlns:c16="http://schemas.microsoft.com/office/drawing/2014/chart" uri="{C3380CC4-5D6E-409C-BE32-E72D297353CC}">
                <c16:uniqueId val="{00000069-2681-3743-8552-05E96AC3D5B2}"/>
              </c:ext>
            </c:extLst>
          </c:dPt>
          <c:dPt>
            <c:idx val="25"/>
            <c:invertIfNegative val="0"/>
            <c:bubble3D val="0"/>
            <c:spPr>
              <a:solidFill>
                <a:srgbClr val="6E87A9"/>
              </a:solidFill>
              <a:ln>
                <a:solidFill>
                  <a:srgbClr val="6E87A9"/>
                </a:solidFill>
              </a:ln>
            </c:spPr>
            <c:extLst>
              <c:ext xmlns:c16="http://schemas.microsoft.com/office/drawing/2014/chart" uri="{C3380CC4-5D6E-409C-BE32-E72D297353CC}">
                <c16:uniqueId val="{0000006A-2681-3743-8552-05E96AC3D5B2}"/>
              </c:ext>
            </c:extLst>
          </c:dPt>
          <c:dLbls>
            <c:numFmt formatCode="#,##0" sourceLinked="0"/>
            <c:spPr>
              <a:noFill/>
              <a:ln>
                <a:noFill/>
              </a:ln>
              <a:effectLst/>
            </c:spPr>
            <c:txPr>
              <a:bodyPr/>
              <a:lstStyle/>
              <a:p>
                <a:pPr>
                  <a:defRPr sz="700" baseline="0">
                    <a:solidFill>
                      <a:srgbClr val="FFFFFF"/>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'Summary Statistics'!$A$18:$A$43</c:f>
              <c:numCache>
                <c:formatCode>mmm\ yyyy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'Summary Statistics'!$E$18:$E$43</c:f>
              <c:numCache>
                <c:formatCode>#,##0</c:formatCode>
                <c:ptCount val="26"/>
                <c:pt idx="0">
                  <c:v>70</c:v>
                </c:pt>
                <c:pt idx="1">
                  <c:v>71</c:v>
                </c:pt>
                <c:pt idx="2">
                  <c:v>73</c:v>
                </c:pt>
                <c:pt idx="3">
                  <c:v>66</c:v>
                </c:pt>
                <c:pt idx="4">
                  <c:v>45</c:v>
                </c:pt>
                <c:pt idx="5">
                  <c:v>58</c:v>
                </c:pt>
                <c:pt idx="6">
                  <c:v>69</c:v>
                </c:pt>
                <c:pt idx="7">
                  <c:v>85</c:v>
                </c:pt>
                <c:pt idx="8">
                  <c:v>72</c:v>
                </c:pt>
                <c:pt idx="9">
                  <c:v>92</c:v>
                </c:pt>
                <c:pt idx="10">
                  <c:v>72</c:v>
                </c:pt>
                <c:pt idx="11">
                  <c:v>93</c:v>
                </c:pt>
                <c:pt idx="12">
                  <c:v>75</c:v>
                </c:pt>
                <c:pt idx="13">
                  <c:v>63</c:v>
                </c:pt>
                <c:pt idx="14">
                  <c:v>84</c:v>
                </c:pt>
                <c:pt idx="15">
                  <c:v>78</c:v>
                </c:pt>
                <c:pt idx="16">
                  <c:v>74</c:v>
                </c:pt>
                <c:pt idx="17">
                  <c:v>90</c:v>
                </c:pt>
                <c:pt idx="18">
                  <c:v>81</c:v>
                </c:pt>
                <c:pt idx="19">
                  <c:v>112</c:v>
                </c:pt>
                <c:pt idx="20">
                  <c:v>93</c:v>
                </c:pt>
                <c:pt idx="21">
                  <c:v>83</c:v>
                </c:pt>
                <c:pt idx="22">
                  <c:v>75</c:v>
                </c:pt>
                <c:pt idx="23">
                  <c:v>123</c:v>
                </c:pt>
                <c:pt idx="24">
                  <c:v>87</c:v>
                </c:pt>
                <c:pt idx="25">
                  <c:v>86</c:v>
                </c:pt>
              </c:numCache>
            </c:numRef>
          </c:val>
          <c:extLst>
            <c:ext xmlns:c16="http://schemas.microsoft.com/office/drawing/2014/chart" uri="{C3380CC4-5D6E-409C-BE32-E72D297353CC}">
              <c16:uniqueId val="{0000006B-2681-3743-8552-05E96AC3D5B2}"/>
            </c:ext>
          </c:extLst>
        </c:ser>
        <c:ser>
          <c:idx val="4"/>
          <c:order val="4"/>
          <c:tx>
            <c:v>Phase 2/3</c:v>
          </c:tx>
          <c:spPr>
            <a:solidFill>
              <a:srgbClr val="5A5A5A"/>
            </a:solidFill>
            <a:ln>
              <a:solidFill>
                <a:srgbClr val="5A5A5A"/>
              </a:solidFill>
            </a:ln>
          </c:spPr>
          <c:invertIfNegative val="0"/>
          <c:dPt>
            <c:idx val="0"/>
            <c:invertIfNegative val="0"/>
            <c:bubble3D val="0"/>
            <c:extLst>
              <c:ext xmlns:c16="http://schemas.microsoft.com/office/drawing/2014/chart" uri="{C3380CC4-5D6E-409C-BE32-E72D297353CC}">
                <c16:uniqueId val="{0000006C-2681-3743-8552-05E96AC3D5B2}"/>
              </c:ext>
            </c:extLst>
          </c:dPt>
          <c:dPt>
            <c:idx val="1"/>
            <c:invertIfNegative val="0"/>
            <c:bubble3D val="0"/>
            <c:extLst>
              <c:ext xmlns:c16="http://schemas.microsoft.com/office/drawing/2014/chart" uri="{C3380CC4-5D6E-409C-BE32-E72D297353CC}">
                <c16:uniqueId val="{0000006D-2681-3743-8552-05E96AC3D5B2}"/>
              </c:ext>
            </c:extLst>
          </c:dPt>
          <c:dPt>
            <c:idx val="2"/>
            <c:invertIfNegative val="0"/>
            <c:bubble3D val="0"/>
            <c:extLst>
              <c:ext xmlns:c16="http://schemas.microsoft.com/office/drawing/2014/chart" uri="{C3380CC4-5D6E-409C-BE32-E72D297353CC}">
                <c16:uniqueId val="{0000006E-2681-3743-8552-05E96AC3D5B2}"/>
              </c:ext>
            </c:extLst>
          </c:dPt>
          <c:dPt>
            <c:idx val="3"/>
            <c:invertIfNegative val="0"/>
            <c:bubble3D val="0"/>
            <c:extLst>
              <c:ext xmlns:c16="http://schemas.microsoft.com/office/drawing/2014/chart" uri="{C3380CC4-5D6E-409C-BE32-E72D297353CC}">
                <c16:uniqueId val="{0000006F-2681-3743-8552-05E96AC3D5B2}"/>
              </c:ext>
            </c:extLst>
          </c:dPt>
          <c:dPt>
            <c:idx val="4"/>
            <c:invertIfNegative val="0"/>
            <c:bubble3D val="0"/>
            <c:extLst>
              <c:ext xmlns:c16="http://schemas.microsoft.com/office/drawing/2014/chart" uri="{C3380CC4-5D6E-409C-BE32-E72D297353CC}">
                <c16:uniqueId val="{00000070-2681-3743-8552-05E96AC3D5B2}"/>
              </c:ext>
            </c:extLst>
          </c:dPt>
          <c:dPt>
            <c:idx val="5"/>
            <c:invertIfNegative val="0"/>
            <c:bubble3D val="0"/>
            <c:extLst>
              <c:ext xmlns:c16="http://schemas.microsoft.com/office/drawing/2014/chart" uri="{C3380CC4-5D6E-409C-BE32-E72D297353CC}">
                <c16:uniqueId val="{00000071-2681-3743-8552-05E96AC3D5B2}"/>
              </c:ext>
            </c:extLst>
          </c:dPt>
          <c:dPt>
            <c:idx val="6"/>
            <c:invertIfNegative val="0"/>
            <c:bubble3D val="0"/>
            <c:extLst>
              <c:ext xmlns:c16="http://schemas.microsoft.com/office/drawing/2014/chart" uri="{C3380CC4-5D6E-409C-BE32-E72D297353CC}">
                <c16:uniqueId val="{00000072-2681-3743-8552-05E96AC3D5B2}"/>
              </c:ext>
            </c:extLst>
          </c:dPt>
          <c:dPt>
            <c:idx val="7"/>
            <c:invertIfNegative val="0"/>
            <c:bubble3D val="0"/>
            <c:extLst>
              <c:ext xmlns:c16="http://schemas.microsoft.com/office/drawing/2014/chart" uri="{C3380CC4-5D6E-409C-BE32-E72D297353CC}">
                <c16:uniqueId val="{00000073-2681-3743-8552-05E96AC3D5B2}"/>
              </c:ext>
            </c:extLst>
          </c:dPt>
          <c:dPt>
            <c:idx val="8"/>
            <c:invertIfNegative val="0"/>
            <c:bubble3D val="0"/>
            <c:extLst>
              <c:ext xmlns:c16="http://schemas.microsoft.com/office/drawing/2014/chart" uri="{C3380CC4-5D6E-409C-BE32-E72D297353CC}">
                <c16:uniqueId val="{00000074-2681-3743-8552-05E96AC3D5B2}"/>
              </c:ext>
            </c:extLst>
          </c:dPt>
          <c:dPt>
            <c:idx val="9"/>
            <c:invertIfNegative val="0"/>
            <c:bubble3D val="0"/>
            <c:extLst>
              <c:ext xmlns:c16="http://schemas.microsoft.com/office/drawing/2014/chart" uri="{C3380CC4-5D6E-409C-BE32-E72D297353CC}">
                <c16:uniqueId val="{00000075-2681-3743-8552-05E96AC3D5B2}"/>
              </c:ext>
            </c:extLst>
          </c:dPt>
          <c:dPt>
            <c:idx val="10"/>
            <c:invertIfNegative val="0"/>
            <c:bubble3D val="0"/>
            <c:extLst>
              <c:ext xmlns:c16="http://schemas.microsoft.com/office/drawing/2014/chart" uri="{C3380CC4-5D6E-409C-BE32-E72D297353CC}">
                <c16:uniqueId val="{00000076-2681-3743-8552-05E96AC3D5B2}"/>
              </c:ext>
            </c:extLst>
          </c:dPt>
          <c:dPt>
            <c:idx val="11"/>
            <c:invertIfNegative val="0"/>
            <c:bubble3D val="0"/>
            <c:extLst>
              <c:ext xmlns:c16="http://schemas.microsoft.com/office/drawing/2014/chart" uri="{C3380CC4-5D6E-409C-BE32-E72D297353CC}">
                <c16:uniqueId val="{00000077-2681-3743-8552-05E96AC3D5B2}"/>
              </c:ext>
            </c:extLst>
          </c:dPt>
          <c:dPt>
            <c:idx val="12"/>
            <c:invertIfNegative val="0"/>
            <c:bubble3D val="0"/>
            <c:extLst>
              <c:ext xmlns:c16="http://schemas.microsoft.com/office/drawing/2014/chart" uri="{C3380CC4-5D6E-409C-BE32-E72D297353CC}">
                <c16:uniqueId val="{00000078-2681-3743-8552-05E96AC3D5B2}"/>
              </c:ext>
            </c:extLst>
          </c:dPt>
          <c:dPt>
            <c:idx val="13"/>
            <c:invertIfNegative val="0"/>
            <c:bubble3D val="0"/>
            <c:extLst>
              <c:ext xmlns:c16="http://schemas.microsoft.com/office/drawing/2014/chart" uri="{C3380CC4-5D6E-409C-BE32-E72D297353CC}">
                <c16:uniqueId val="{00000079-2681-3743-8552-05E96AC3D5B2}"/>
              </c:ext>
            </c:extLst>
          </c:dPt>
          <c:dPt>
            <c:idx val="14"/>
            <c:invertIfNegative val="0"/>
            <c:bubble3D val="0"/>
            <c:extLst>
              <c:ext xmlns:c16="http://schemas.microsoft.com/office/drawing/2014/chart" uri="{C3380CC4-5D6E-409C-BE32-E72D297353CC}">
                <c16:uniqueId val="{0000007A-2681-3743-8552-05E96AC3D5B2}"/>
              </c:ext>
            </c:extLst>
          </c:dPt>
          <c:dPt>
            <c:idx val="15"/>
            <c:invertIfNegative val="0"/>
            <c:bubble3D val="0"/>
            <c:extLst>
              <c:ext xmlns:c16="http://schemas.microsoft.com/office/drawing/2014/chart" uri="{C3380CC4-5D6E-409C-BE32-E72D297353CC}">
                <c16:uniqueId val="{0000007B-2681-3743-8552-05E96AC3D5B2}"/>
              </c:ext>
            </c:extLst>
          </c:dPt>
          <c:dPt>
            <c:idx val="16"/>
            <c:invertIfNegative val="0"/>
            <c:bubble3D val="0"/>
            <c:extLst>
              <c:ext xmlns:c16="http://schemas.microsoft.com/office/drawing/2014/chart" uri="{C3380CC4-5D6E-409C-BE32-E72D297353CC}">
                <c16:uniqueId val="{0000007C-2681-3743-8552-05E96AC3D5B2}"/>
              </c:ext>
            </c:extLst>
          </c:dPt>
          <c:dPt>
            <c:idx val="17"/>
            <c:invertIfNegative val="0"/>
            <c:bubble3D val="0"/>
            <c:extLst>
              <c:ext xmlns:c16="http://schemas.microsoft.com/office/drawing/2014/chart" uri="{C3380CC4-5D6E-409C-BE32-E72D297353CC}">
                <c16:uniqueId val="{0000007D-2681-3743-8552-05E96AC3D5B2}"/>
              </c:ext>
            </c:extLst>
          </c:dPt>
          <c:dPt>
            <c:idx val="18"/>
            <c:invertIfNegative val="0"/>
            <c:bubble3D val="0"/>
            <c:extLst>
              <c:ext xmlns:c16="http://schemas.microsoft.com/office/drawing/2014/chart" uri="{C3380CC4-5D6E-409C-BE32-E72D297353CC}">
                <c16:uniqueId val="{0000007E-2681-3743-8552-05E96AC3D5B2}"/>
              </c:ext>
            </c:extLst>
          </c:dPt>
          <c:dPt>
            <c:idx val="19"/>
            <c:invertIfNegative val="0"/>
            <c:bubble3D val="0"/>
            <c:extLst>
              <c:ext xmlns:c16="http://schemas.microsoft.com/office/drawing/2014/chart" uri="{C3380CC4-5D6E-409C-BE32-E72D297353CC}">
                <c16:uniqueId val="{0000007F-2681-3743-8552-05E96AC3D5B2}"/>
              </c:ext>
            </c:extLst>
          </c:dPt>
          <c:dPt>
            <c:idx val="20"/>
            <c:invertIfNegative val="0"/>
            <c:bubble3D val="0"/>
            <c:extLst>
              <c:ext xmlns:c16="http://schemas.microsoft.com/office/drawing/2014/chart" uri="{C3380CC4-5D6E-409C-BE32-E72D297353CC}">
                <c16:uniqueId val="{00000080-2681-3743-8552-05E96AC3D5B2}"/>
              </c:ext>
            </c:extLst>
          </c:dPt>
          <c:dPt>
            <c:idx val="21"/>
            <c:invertIfNegative val="0"/>
            <c:bubble3D val="0"/>
            <c:extLst>
              <c:ext xmlns:c16="http://schemas.microsoft.com/office/drawing/2014/chart" uri="{C3380CC4-5D6E-409C-BE32-E72D297353CC}">
                <c16:uniqueId val="{00000081-2681-3743-8552-05E96AC3D5B2}"/>
              </c:ext>
            </c:extLst>
          </c:dPt>
          <c:dPt>
            <c:idx val="22"/>
            <c:invertIfNegative val="0"/>
            <c:bubble3D val="0"/>
            <c:extLst>
              <c:ext xmlns:c16="http://schemas.microsoft.com/office/drawing/2014/chart" uri="{C3380CC4-5D6E-409C-BE32-E72D297353CC}">
                <c16:uniqueId val="{00000082-2681-3743-8552-05E96AC3D5B2}"/>
              </c:ext>
            </c:extLst>
          </c:dPt>
          <c:dPt>
            <c:idx val="23"/>
            <c:invertIfNegative val="0"/>
            <c:bubble3D val="0"/>
            <c:extLst>
              <c:ext xmlns:c16="http://schemas.microsoft.com/office/drawing/2014/chart" uri="{C3380CC4-5D6E-409C-BE32-E72D297353CC}">
                <c16:uniqueId val="{00000083-2681-3743-8552-05E96AC3D5B2}"/>
              </c:ext>
            </c:extLst>
          </c:dPt>
          <c:dPt>
            <c:idx val="24"/>
            <c:invertIfNegative val="0"/>
            <c:bubble3D val="0"/>
            <c:extLst>
              <c:ext xmlns:c16="http://schemas.microsoft.com/office/drawing/2014/chart" uri="{C3380CC4-5D6E-409C-BE32-E72D297353CC}">
                <c16:uniqueId val="{00000084-2681-3743-8552-05E96AC3D5B2}"/>
              </c:ext>
            </c:extLst>
          </c:dPt>
          <c:dPt>
            <c:idx val="25"/>
            <c:invertIfNegative val="0"/>
            <c:bubble3D val="0"/>
            <c:spPr>
              <a:solidFill>
                <a:srgbClr val="546D92"/>
              </a:solidFill>
              <a:ln>
                <a:solidFill>
                  <a:srgbClr val="546D92"/>
                </a:solidFill>
              </a:ln>
            </c:spPr>
            <c:extLst>
              <c:ext xmlns:c16="http://schemas.microsoft.com/office/drawing/2014/chart" uri="{C3380CC4-5D6E-409C-BE32-E72D297353CC}">
                <c16:uniqueId val="{00000085-2681-3743-8552-05E96AC3D5B2}"/>
              </c:ext>
            </c:extLst>
          </c:dPt>
          <c:dLbls>
            <c:numFmt formatCode="#,##0" sourceLinked="0"/>
            <c:spPr>
              <a:noFill/>
              <a:ln>
                <a:noFill/>
              </a:ln>
              <a:effectLst/>
            </c:spPr>
            <c:txPr>
              <a:bodyPr/>
              <a:lstStyle/>
              <a:p>
                <a:pPr>
                  <a:defRPr sz="700" baseline="0">
                    <a:solidFill>
                      <a:srgbClr val="FFFFFF"/>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'Summary Statistics'!$A$18:$A$43</c:f>
              <c:numCache>
                <c:formatCode>mmm\ yyyy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'Summary Statistics'!$F$18:$F$43</c:f>
              <c:numCache>
                <c:formatCode>#,##0</c:formatCode>
                <c:ptCount val="26"/>
                <c:pt idx="0">
                  <c:v>5</c:v>
                </c:pt>
                <c:pt idx="1">
                  <c:v>4</c:v>
                </c:pt>
                <c:pt idx="2">
                  <c:v>8</c:v>
                </c:pt>
                <c:pt idx="3">
                  <c:v>9</c:v>
                </c:pt>
                <c:pt idx="4">
                  <c:v>14</c:v>
                </c:pt>
                <c:pt idx="5">
                  <c:v>8</c:v>
                </c:pt>
                <c:pt idx="6">
                  <c:v>7</c:v>
                </c:pt>
                <c:pt idx="7">
                  <c:v>7</c:v>
                </c:pt>
                <c:pt idx="8">
                  <c:v>8</c:v>
                </c:pt>
                <c:pt idx="9">
                  <c:v>9</c:v>
                </c:pt>
                <c:pt idx="10">
                  <c:v>6</c:v>
                </c:pt>
                <c:pt idx="11">
                  <c:v>9</c:v>
                </c:pt>
                <c:pt idx="12">
                  <c:v>7</c:v>
                </c:pt>
                <c:pt idx="13">
                  <c:v>4</c:v>
                </c:pt>
                <c:pt idx="14">
                  <c:v>4</c:v>
                </c:pt>
                <c:pt idx="15">
                  <c:v>8</c:v>
                </c:pt>
                <c:pt idx="16">
                  <c:v>7</c:v>
                </c:pt>
                <c:pt idx="17">
                  <c:v>8</c:v>
                </c:pt>
                <c:pt idx="18">
                  <c:v>8</c:v>
                </c:pt>
                <c:pt idx="19">
                  <c:v>7</c:v>
                </c:pt>
                <c:pt idx="20">
                  <c:v>9</c:v>
                </c:pt>
                <c:pt idx="21">
                  <c:v>8</c:v>
                </c:pt>
                <c:pt idx="22">
                  <c:v>4</c:v>
                </c:pt>
                <c:pt idx="23">
                  <c:v>12</c:v>
                </c:pt>
                <c:pt idx="24">
                  <c:v>11</c:v>
                </c:pt>
                <c:pt idx="25">
                  <c:v>7</c:v>
                </c:pt>
              </c:numCache>
            </c:numRef>
          </c:val>
          <c:extLst>
            <c:ext xmlns:c16="http://schemas.microsoft.com/office/drawing/2014/chart" uri="{C3380CC4-5D6E-409C-BE32-E72D297353CC}">
              <c16:uniqueId val="{00000086-2681-3743-8552-05E96AC3D5B2}"/>
            </c:ext>
          </c:extLst>
        </c:ser>
        <c:ser>
          <c:idx val="5"/>
          <c:order val="5"/>
          <c:tx>
            <c:v>Phase 3</c:v>
          </c:tx>
          <c:spPr>
            <a:solidFill>
              <a:srgbClr val="3A3A3A"/>
            </a:solidFill>
            <a:ln>
              <a:solidFill>
                <a:srgbClr val="3A3A3A"/>
              </a:solidFill>
            </a:ln>
          </c:spPr>
          <c:invertIfNegative val="0"/>
          <c:dPt>
            <c:idx val="0"/>
            <c:invertIfNegative val="0"/>
            <c:bubble3D val="0"/>
            <c:extLst>
              <c:ext xmlns:c16="http://schemas.microsoft.com/office/drawing/2014/chart" uri="{C3380CC4-5D6E-409C-BE32-E72D297353CC}">
                <c16:uniqueId val="{00000087-2681-3743-8552-05E96AC3D5B2}"/>
              </c:ext>
            </c:extLst>
          </c:dPt>
          <c:dPt>
            <c:idx val="1"/>
            <c:invertIfNegative val="0"/>
            <c:bubble3D val="0"/>
            <c:extLst>
              <c:ext xmlns:c16="http://schemas.microsoft.com/office/drawing/2014/chart" uri="{C3380CC4-5D6E-409C-BE32-E72D297353CC}">
                <c16:uniqueId val="{00000088-2681-3743-8552-05E96AC3D5B2}"/>
              </c:ext>
            </c:extLst>
          </c:dPt>
          <c:dPt>
            <c:idx val="2"/>
            <c:invertIfNegative val="0"/>
            <c:bubble3D val="0"/>
            <c:extLst>
              <c:ext xmlns:c16="http://schemas.microsoft.com/office/drawing/2014/chart" uri="{C3380CC4-5D6E-409C-BE32-E72D297353CC}">
                <c16:uniqueId val="{00000089-2681-3743-8552-05E96AC3D5B2}"/>
              </c:ext>
            </c:extLst>
          </c:dPt>
          <c:dPt>
            <c:idx val="3"/>
            <c:invertIfNegative val="0"/>
            <c:bubble3D val="0"/>
            <c:extLst>
              <c:ext xmlns:c16="http://schemas.microsoft.com/office/drawing/2014/chart" uri="{C3380CC4-5D6E-409C-BE32-E72D297353CC}">
                <c16:uniqueId val="{0000008A-2681-3743-8552-05E96AC3D5B2}"/>
              </c:ext>
            </c:extLst>
          </c:dPt>
          <c:dPt>
            <c:idx val="4"/>
            <c:invertIfNegative val="0"/>
            <c:bubble3D val="0"/>
            <c:extLst>
              <c:ext xmlns:c16="http://schemas.microsoft.com/office/drawing/2014/chart" uri="{C3380CC4-5D6E-409C-BE32-E72D297353CC}">
                <c16:uniqueId val="{0000008B-2681-3743-8552-05E96AC3D5B2}"/>
              </c:ext>
            </c:extLst>
          </c:dPt>
          <c:dPt>
            <c:idx val="5"/>
            <c:invertIfNegative val="0"/>
            <c:bubble3D val="0"/>
            <c:extLst>
              <c:ext xmlns:c16="http://schemas.microsoft.com/office/drawing/2014/chart" uri="{C3380CC4-5D6E-409C-BE32-E72D297353CC}">
                <c16:uniqueId val="{0000008C-2681-3743-8552-05E96AC3D5B2}"/>
              </c:ext>
            </c:extLst>
          </c:dPt>
          <c:dPt>
            <c:idx val="6"/>
            <c:invertIfNegative val="0"/>
            <c:bubble3D val="0"/>
            <c:extLst>
              <c:ext xmlns:c16="http://schemas.microsoft.com/office/drawing/2014/chart" uri="{C3380CC4-5D6E-409C-BE32-E72D297353CC}">
                <c16:uniqueId val="{0000008D-2681-3743-8552-05E96AC3D5B2}"/>
              </c:ext>
            </c:extLst>
          </c:dPt>
          <c:dPt>
            <c:idx val="7"/>
            <c:invertIfNegative val="0"/>
            <c:bubble3D val="0"/>
            <c:extLst>
              <c:ext xmlns:c16="http://schemas.microsoft.com/office/drawing/2014/chart" uri="{C3380CC4-5D6E-409C-BE32-E72D297353CC}">
                <c16:uniqueId val="{0000008E-2681-3743-8552-05E96AC3D5B2}"/>
              </c:ext>
            </c:extLst>
          </c:dPt>
          <c:dPt>
            <c:idx val="8"/>
            <c:invertIfNegative val="0"/>
            <c:bubble3D val="0"/>
            <c:extLst>
              <c:ext xmlns:c16="http://schemas.microsoft.com/office/drawing/2014/chart" uri="{C3380CC4-5D6E-409C-BE32-E72D297353CC}">
                <c16:uniqueId val="{0000008F-2681-3743-8552-05E96AC3D5B2}"/>
              </c:ext>
            </c:extLst>
          </c:dPt>
          <c:dPt>
            <c:idx val="9"/>
            <c:invertIfNegative val="0"/>
            <c:bubble3D val="0"/>
            <c:extLst>
              <c:ext xmlns:c16="http://schemas.microsoft.com/office/drawing/2014/chart" uri="{C3380CC4-5D6E-409C-BE32-E72D297353CC}">
                <c16:uniqueId val="{00000090-2681-3743-8552-05E96AC3D5B2}"/>
              </c:ext>
            </c:extLst>
          </c:dPt>
          <c:dPt>
            <c:idx val="10"/>
            <c:invertIfNegative val="0"/>
            <c:bubble3D val="0"/>
            <c:extLst>
              <c:ext xmlns:c16="http://schemas.microsoft.com/office/drawing/2014/chart" uri="{C3380CC4-5D6E-409C-BE32-E72D297353CC}">
                <c16:uniqueId val="{00000091-2681-3743-8552-05E96AC3D5B2}"/>
              </c:ext>
            </c:extLst>
          </c:dPt>
          <c:dPt>
            <c:idx val="11"/>
            <c:invertIfNegative val="0"/>
            <c:bubble3D val="0"/>
            <c:extLst>
              <c:ext xmlns:c16="http://schemas.microsoft.com/office/drawing/2014/chart" uri="{C3380CC4-5D6E-409C-BE32-E72D297353CC}">
                <c16:uniqueId val="{00000092-2681-3743-8552-05E96AC3D5B2}"/>
              </c:ext>
            </c:extLst>
          </c:dPt>
          <c:dPt>
            <c:idx val="12"/>
            <c:invertIfNegative val="0"/>
            <c:bubble3D val="0"/>
            <c:extLst>
              <c:ext xmlns:c16="http://schemas.microsoft.com/office/drawing/2014/chart" uri="{C3380CC4-5D6E-409C-BE32-E72D297353CC}">
                <c16:uniqueId val="{00000093-2681-3743-8552-05E96AC3D5B2}"/>
              </c:ext>
            </c:extLst>
          </c:dPt>
          <c:dPt>
            <c:idx val="13"/>
            <c:invertIfNegative val="0"/>
            <c:bubble3D val="0"/>
            <c:extLst>
              <c:ext xmlns:c16="http://schemas.microsoft.com/office/drawing/2014/chart" uri="{C3380CC4-5D6E-409C-BE32-E72D297353CC}">
                <c16:uniqueId val="{00000094-2681-3743-8552-05E96AC3D5B2}"/>
              </c:ext>
            </c:extLst>
          </c:dPt>
          <c:dPt>
            <c:idx val="14"/>
            <c:invertIfNegative val="0"/>
            <c:bubble3D val="0"/>
            <c:extLst>
              <c:ext xmlns:c16="http://schemas.microsoft.com/office/drawing/2014/chart" uri="{C3380CC4-5D6E-409C-BE32-E72D297353CC}">
                <c16:uniqueId val="{00000095-2681-3743-8552-05E96AC3D5B2}"/>
              </c:ext>
            </c:extLst>
          </c:dPt>
          <c:dPt>
            <c:idx val="15"/>
            <c:invertIfNegative val="0"/>
            <c:bubble3D val="0"/>
            <c:extLst>
              <c:ext xmlns:c16="http://schemas.microsoft.com/office/drawing/2014/chart" uri="{C3380CC4-5D6E-409C-BE32-E72D297353CC}">
                <c16:uniqueId val="{00000096-2681-3743-8552-05E96AC3D5B2}"/>
              </c:ext>
            </c:extLst>
          </c:dPt>
          <c:dPt>
            <c:idx val="16"/>
            <c:invertIfNegative val="0"/>
            <c:bubble3D val="0"/>
            <c:extLst>
              <c:ext xmlns:c16="http://schemas.microsoft.com/office/drawing/2014/chart" uri="{C3380CC4-5D6E-409C-BE32-E72D297353CC}">
                <c16:uniqueId val="{00000097-2681-3743-8552-05E96AC3D5B2}"/>
              </c:ext>
            </c:extLst>
          </c:dPt>
          <c:dPt>
            <c:idx val="17"/>
            <c:invertIfNegative val="0"/>
            <c:bubble3D val="0"/>
            <c:extLst>
              <c:ext xmlns:c16="http://schemas.microsoft.com/office/drawing/2014/chart" uri="{C3380CC4-5D6E-409C-BE32-E72D297353CC}">
                <c16:uniqueId val="{00000098-2681-3743-8552-05E96AC3D5B2}"/>
              </c:ext>
            </c:extLst>
          </c:dPt>
          <c:dPt>
            <c:idx val="18"/>
            <c:invertIfNegative val="0"/>
            <c:bubble3D val="0"/>
            <c:extLst>
              <c:ext xmlns:c16="http://schemas.microsoft.com/office/drawing/2014/chart" uri="{C3380CC4-5D6E-409C-BE32-E72D297353CC}">
                <c16:uniqueId val="{00000099-2681-3743-8552-05E96AC3D5B2}"/>
              </c:ext>
            </c:extLst>
          </c:dPt>
          <c:dPt>
            <c:idx val="19"/>
            <c:invertIfNegative val="0"/>
            <c:bubble3D val="0"/>
            <c:extLst>
              <c:ext xmlns:c16="http://schemas.microsoft.com/office/drawing/2014/chart" uri="{C3380CC4-5D6E-409C-BE32-E72D297353CC}">
                <c16:uniqueId val="{0000009A-2681-3743-8552-05E96AC3D5B2}"/>
              </c:ext>
            </c:extLst>
          </c:dPt>
          <c:dPt>
            <c:idx val="20"/>
            <c:invertIfNegative val="0"/>
            <c:bubble3D val="0"/>
            <c:extLst>
              <c:ext xmlns:c16="http://schemas.microsoft.com/office/drawing/2014/chart" uri="{C3380CC4-5D6E-409C-BE32-E72D297353CC}">
                <c16:uniqueId val="{0000009B-2681-3743-8552-05E96AC3D5B2}"/>
              </c:ext>
            </c:extLst>
          </c:dPt>
          <c:dPt>
            <c:idx val="21"/>
            <c:invertIfNegative val="0"/>
            <c:bubble3D val="0"/>
            <c:extLst>
              <c:ext xmlns:c16="http://schemas.microsoft.com/office/drawing/2014/chart" uri="{C3380CC4-5D6E-409C-BE32-E72D297353CC}">
                <c16:uniqueId val="{0000009C-2681-3743-8552-05E96AC3D5B2}"/>
              </c:ext>
            </c:extLst>
          </c:dPt>
          <c:dPt>
            <c:idx val="22"/>
            <c:invertIfNegative val="0"/>
            <c:bubble3D val="0"/>
            <c:extLst>
              <c:ext xmlns:c16="http://schemas.microsoft.com/office/drawing/2014/chart" uri="{C3380CC4-5D6E-409C-BE32-E72D297353CC}">
                <c16:uniqueId val="{0000009D-2681-3743-8552-05E96AC3D5B2}"/>
              </c:ext>
            </c:extLst>
          </c:dPt>
          <c:dPt>
            <c:idx val="23"/>
            <c:invertIfNegative val="0"/>
            <c:bubble3D val="0"/>
            <c:extLst>
              <c:ext xmlns:c16="http://schemas.microsoft.com/office/drawing/2014/chart" uri="{C3380CC4-5D6E-409C-BE32-E72D297353CC}">
                <c16:uniqueId val="{0000009E-2681-3743-8552-05E96AC3D5B2}"/>
              </c:ext>
            </c:extLst>
          </c:dPt>
          <c:dPt>
            <c:idx val="24"/>
            <c:invertIfNegative val="0"/>
            <c:bubble3D val="0"/>
            <c:extLst>
              <c:ext xmlns:c16="http://schemas.microsoft.com/office/drawing/2014/chart" uri="{C3380CC4-5D6E-409C-BE32-E72D297353CC}">
                <c16:uniqueId val="{0000009F-2681-3743-8552-05E96AC3D5B2}"/>
              </c:ext>
            </c:extLst>
          </c:dPt>
          <c:dPt>
            <c:idx val="25"/>
            <c:invertIfNegative val="0"/>
            <c:bubble3D val="0"/>
            <c:spPr>
              <a:solidFill>
                <a:srgbClr val="3A527B"/>
              </a:solidFill>
              <a:ln>
                <a:solidFill>
                  <a:srgbClr val="3A527B"/>
                </a:solidFill>
              </a:ln>
            </c:spPr>
            <c:extLst>
              <c:ext xmlns:c16="http://schemas.microsoft.com/office/drawing/2014/chart" uri="{C3380CC4-5D6E-409C-BE32-E72D297353CC}">
                <c16:uniqueId val="{000000A0-2681-3743-8552-05E96AC3D5B2}"/>
              </c:ext>
            </c:extLst>
          </c:dPt>
          <c:dLbls>
            <c:numFmt formatCode="#,##0" sourceLinked="0"/>
            <c:spPr>
              <a:noFill/>
              <a:ln>
                <a:noFill/>
              </a:ln>
              <a:effectLst/>
            </c:spPr>
            <c:txPr>
              <a:bodyPr/>
              <a:lstStyle/>
              <a:p>
                <a:pPr>
                  <a:defRPr sz="700" baseline="0">
                    <a:solidFill>
                      <a:srgbClr val="FFFFFF"/>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'Summary Statistics'!$A$18:$A$43</c:f>
              <c:numCache>
                <c:formatCode>mmm\ yyyy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'Summary Statistics'!$G$18:$G$43</c:f>
              <c:numCache>
                <c:formatCode>#,##0</c:formatCode>
                <c:ptCount val="26"/>
                <c:pt idx="0">
                  <c:v>57</c:v>
                </c:pt>
                <c:pt idx="1">
                  <c:v>49</c:v>
                </c:pt>
                <c:pt idx="2">
                  <c:v>86</c:v>
                </c:pt>
                <c:pt idx="3">
                  <c:v>78</c:v>
                </c:pt>
                <c:pt idx="4">
                  <c:v>67</c:v>
                </c:pt>
                <c:pt idx="5">
                  <c:v>72</c:v>
                </c:pt>
                <c:pt idx="6">
                  <c:v>71</c:v>
                </c:pt>
                <c:pt idx="7">
                  <c:v>62</c:v>
                </c:pt>
                <c:pt idx="8">
                  <c:v>76</c:v>
                </c:pt>
                <c:pt idx="9">
                  <c:v>77</c:v>
                </c:pt>
                <c:pt idx="10">
                  <c:v>80</c:v>
                </c:pt>
                <c:pt idx="11">
                  <c:v>77</c:v>
                </c:pt>
                <c:pt idx="12">
                  <c:v>62</c:v>
                </c:pt>
                <c:pt idx="13">
                  <c:v>70</c:v>
                </c:pt>
                <c:pt idx="14">
                  <c:v>80</c:v>
                </c:pt>
                <c:pt idx="15">
                  <c:v>77</c:v>
                </c:pt>
                <c:pt idx="16">
                  <c:v>64</c:v>
                </c:pt>
                <c:pt idx="17">
                  <c:v>89</c:v>
                </c:pt>
                <c:pt idx="18">
                  <c:v>86</c:v>
                </c:pt>
                <c:pt idx="19">
                  <c:v>72</c:v>
                </c:pt>
                <c:pt idx="20">
                  <c:v>82</c:v>
                </c:pt>
                <c:pt idx="21">
                  <c:v>76</c:v>
                </c:pt>
                <c:pt idx="22">
                  <c:v>74</c:v>
                </c:pt>
                <c:pt idx="23">
                  <c:v>91</c:v>
                </c:pt>
                <c:pt idx="24">
                  <c:v>81</c:v>
                </c:pt>
                <c:pt idx="25">
                  <c:v>71</c:v>
                </c:pt>
              </c:numCache>
            </c:numRef>
          </c:val>
          <c:extLst>
            <c:ext xmlns:c16="http://schemas.microsoft.com/office/drawing/2014/chart" uri="{C3380CC4-5D6E-409C-BE32-E72D297353CC}">
              <c16:uniqueId val="{000000A1-2681-3743-8552-05E96AC3D5B2}"/>
            </c:ext>
          </c:extLst>
        </c:ser>
        <c:ser>
          <c:idx val="6"/>
          <c:order val="6"/>
          <c:tx>
            <c:v>Phase 4</c:v>
          </c:tx>
          <c:spPr>
            <a:solidFill>
              <a:srgbClr val="1A1A1A"/>
            </a:solidFill>
            <a:ln>
              <a:solidFill>
                <a:srgbClr val="1A1A1A"/>
              </a:solidFill>
            </a:ln>
          </c:spPr>
          <c:invertIfNegative val="0"/>
          <c:dPt>
            <c:idx val="0"/>
            <c:invertIfNegative val="0"/>
            <c:bubble3D val="0"/>
            <c:extLst>
              <c:ext xmlns:c16="http://schemas.microsoft.com/office/drawing/2014/chart" uri="{C3380CC4-5D6E-409C-BE32-E72D297353CC}">
                <c16:uniqueId val="{000000A2-2681-3743-8552-05E96AC3D5B2}"/>
              </c:ext>
            </c:extLst>
          </c:dPt>
          <c:dPt>
            <c:idx val="1"/>
            <c:invertIfNegative val="0"/>
            <c:bubble3D val="0"/>
            <c:extLst>
              <c:ext xmlns:c16="http://schemas.microsoft.com/office/drawing/2014/chart" uri="{C3380CC4-5D6E-409C-BE32-E72D297353CC}">
                <c16:uniqueId val="{000000A3-2681-3743-8552-05E96AC3D5B2}"/>
              </c:ext>
            </c:extLst>
          </c:dPt>
          <c:dPt>
            <c:idx val="2"/>
            <c:invertIfNegative val="0"/>
            <c:bubble3D val="0"/>
            <c:extLst>
              <c:ext xmlns:c16="http://schemas.microsoft.com/office/drawing/2014/chart" uri="{C3380CC4-5D6E-409C-BE32-E72D297353CC}">
                <c16:uniqueId val="{000000A4-2681-3743-8552-05E96AC3D5B2}"/>
              </c:ext>
            </c:extLst>
          </c:dPt>
          <c:dPt>
            <c:idx val="3"/>
            <c:invertIfNegative val="0"/>
            <c:bubble3D val="0"/>
            <c:extLst>
              <c:ext xmlns:c16="http://schemas.microsoft.com/office/drawing/2014/chart" uri="{C3380CC4-5D6E-409C-BE32-E72D297353CC}">
                <c16:uniqueId val="{000000A5-2681-3743-8552-05E96AC3D5B2}"/>
              </c:ext>
            </c:extLst>
          </c:dPt>
          <c:dPt>
            <c:idx val="4"/>
            <c:invertIfNegative val="0"/>
            <c:bubble3D val="0"/>
            <c:extLst>
              <c:ext xmlns:c16="http://schemas.microsoft.com/office/drawing/2014/chart" uri="{C3380CC4-5D6E-409C-BE32-E72D297353CC}">
                <c16:uniqueId val="{000000A6-2681-3743-8552-05E96AC3D5B2}"/>
              </c:ext>
            </c:extLst>
          </c:dPt>
          <c:dPt>
            <c:idx val="5"/>
            <c:invertIfNegative val="0"/>
            <c:bubble3D val="0"/>
            <c:extLst>
              <c:ext xmlns:c16="http://schemas.microsoft.com/office/drawing/2014/chart" uri="{C3380CC4-5D6E-409C-BE32-E72D297353CC}">
                <c16:uniqueId val="{000000A7-2681-3743-8552-05E96AC3D5B2}"/>
              </c:ext>
            </c:extLst>
          </c:dPt>
          <c:dPt>
            <c:idx val="6"/>
            <c:invertIfNegative val="0"/>
            <c:bubble3D val="0"/>
            <c:extLst>
              <c:ext xmlns:c16="http://schemas.microsoft.com/office/drawing/2014/chart" uri="{C3380CC4-5D6E-409C-BE32-E72D297353CC}">
                <c16:uniqueId val="{000000A8-2681-3743-8552-05E96AC3D5B2}"/>
              </c:ext>
            </c:extLst>
          </c:dPt>
          <c:dPt>
            <c:idx val="7"/>
            <c:invertIfNegative val="0"/>
            <c:bubble3D val="0"/>
            <c:extLst>
              <c:ext xmlns:c16="http://schemas.microsoft.com/office/drawing/2014/chart" uri="{C3380CC4-5D6E-409C-BE32-E72D297353CC}">
                <c16:uniqueId val="{000000A9-2681-3743-8552-05E96AC3D5B2}"/>
              </c:ext>
            </c:extLst>
          </c:dPt>
          <c:dPt>
            <c:idx val="8"/>
            <c:invertIfNegative val="0"/>
            <c:bubble3D val="0"/>
            <c:extLst>
              <c:ext xmlns:c16="http://schemas.microsoft.com/office/drawing/2014/chart" uri="{C3380CC4-5D6E-409C-BE32-E72D297353CC}">
                <c16:uniqueId val="{000000AA-2681-3743-8552-05E96AC3D5B2}"/>
              </c:ext>
            </c:extLst>
          </c:dPt>
          <c:dPt>
            <c:idx val="9"/>
            <c:invertIfNegative val="0"/>
            <c:bubble3D val="0"/>
            <c:extLst>
              <c:ext xmlns:c16="http://schemas.microsoft.com/office/drawing/2014/chart" uri="{C3380CC4-5D6E-409C-BE32-E72D297353CC}">
                <c16:uniqueId val="{000000AB-2681-3743-8552-05E96AC3D5B2}"/>
              </c:ext>
            </c:extLst>
          </c:dPt>
          <c:dPt>
            <c:idx val="10"/>
            <c:invertIfNegative val="0"/>
            <c:bubble3D val="0"/>
            <c:extLst>
              <c:ext xmlns:c16="http://schemas.microsoft.com/office/drawing/2014/chart" uri="{C3380CC4-5D6E-409C-BE32-E72D297353CC}">
                <c16:uniqueId val="{000000AC-2681-3743-8552-05E96AC3D5B2}"/>
              </c:ext>
            </c:extLst>
          </c:dPt>
          <c:dPt>
            <c:idx val="11"/>
            <c:invertIfNegative val="0"/>
            <c:bubble3D val="0"/>
            <c:extLst>
              <c:ext xmlns:c16="http://schemas.microsoft.com/office/drawing/2014/chart" uri="{C3380CC4-5D6E-409C-BE32-E72D297353CC}">
                <c16:uniqueId val="{000000AD-2681-3743-8552-05E96AC3D5B2}"/>
              </c:ext>
            </c:extLst>
          </c:dPt>
          <c:dPt>
            <c:idx val="12"/>
            <c:invertIfNegative val="0"/>
            <c:bubble3D val="0"/>
            <c:extLst>
              <c:ext xmlns:c16="http://schemas.microsoft.com/office/drawing/2014/chart" uri="{C3380CC4-5D6E-409C-BE32-E72D297353CC}">
                <c16:uniqueId val="{000000AE-2681-3743-8552-05E96AC3D5B2}"/>
              </c:ext>
            </c:extLst>
          </c:dPt>
          <c:dPt>
            <c:idx val="13"/>
            <c:invertIfNegative val="0"/>
            <c:bubble3D val="0"/>
            <c:extLst>
              <c:ext xmlns:c16="http://schemas.microsoft.com/office/drawing/2014/chart" uri="{C3380CC4-5D6E-409C-BE32-E72D297353CC}">
                <c16:uniqueId val="{000000AF-2681-3743-8552-05E96AC3D5B2}"/>
              </c:ext>
            </c:extLst>
          </c:dPt>
          <c:dPt>
            <c:idx val="14"/>
            <c:invertIfNegative val="0"/>
            <c:bubble3D val="0"/>
            <c:extLst>
              <c:ext xmlns:c16="http://schemas.microsoft.com/office/drawing/2014/chart" uri="{C3380CC4-5D6E-409C-BE32-E72D297353CC}">
                <c16:uniqueId val="{000000B0-2681-3743-8552-05E96AC3D5B2}"/>
              </c:ext>
            </c:extLst>
          </c:dPt>
          <c:dPt>
            <c:idx val="15"/>
            <c:invertIfNegative val="0"/>
            <c:bubble3D val="0"/>
            <c:extLst>
              <c:ext xmlns:c16="http://schemas.microsoft.com/office/drawing/2014/chart" uri="{C3380CC4-5D6E-409C-BE32-E72D297353CC}">
                <c16:uniqueId val="{000000B1-2681-3743-8552-05E96AC3D5B2}"/>
              </c:ext>
            </c:extLst>
          </c:dPt>
          <c:dPt>
            <c:idx val="16"/>
            <c:invertIfNegative val="0"/>
            <c:bubble3D val="0"/>
            <c:extLst>
              <c:ext xmlns:c16="http://schemas.microsoft.com/office/drawing/2014/chart" uri="{C3380CC4-5D6E-409C-BE32-E72D297353CC}">
                <c16:uniqueId val="{000000B2-2681-3743-8552-05E96AC3D5B2}"/>
              </c:ext>
            </c:extLst>
          </c:dPt>
          <c:dPt>
            <c:idx val="17"/>
            <c:invertIfNegative val="0"/>
            <c:bubble3D val="0"/>
            <c:extLst>
              <c:ext xmlns:c16="http://schemas.microsoft.com/office/drawing/2014/chart" uri="{C3380CC4-5D6E-409C-BE32-E72D297353CC}">
                <c16:uniqueId val="{000000B3-2681-3743-8552-05E96AC3D5B2}"/>
              </c:ext>
            </c:extLst>
          </c:dPt>
          <c:dPt>
            <c:idx val="18"/>
            <c:invertIfNegative val="0"/>
            <c:bubble3D val="0"/>
            <c:extLst>
              <c:ext xmlns:c16="http://schemas.microsoft.com/office/drawing/2014/chart" uri="{C3380CC4-5D6E-409C-BE32-E72D297353CC}">
                <c16:uniqueId val="{000000B4-2681-3743-8552-05E96AC3D5B2}"/>
              </c:ext>
            </c:extLst>
          </c:dPt>
          <c:dPt>
            <c:idx val="19"/>
            <c:invertIfNegative val="0"/>
            <c:bubble3D val="0"/>
            <c:extLst>
              <c:ext xmlns:c16="http://schemas.microsoft.com/office/drawing/2014/chart" uri="{C3380CC4-5D6E-409C-BE32-E72D297353CC}">
                <c16:uniqueId val="{000000B5-2681-3743-8552-05E96AC3D5B2}"/>
              </c:ext>
            </c:extLst>
          </c:dPt>
          <c:dPt>
            <c:idx val="20"/>
            <c:invertIfNegative val="0"/>
            <c:bubble3D val="0"/>
            <c:extLst>
              <c:ext xmlns:c16="http://schemas.microsoft.com/office/drawing/2014/chart" uri="{C3380CC4-5D6E-409C-BE32-E72D297353CC}">
                <c16:uniqueId val="{000000B6-2681-3743-8552-05E96AC3D5B2}"/>
              </c:ext>
            </c:extLst>
          </c:dPt>
          <c:dPt>
            <c:idx val="21"/>
            <c:invertIfNegative val="0"/>
            <c:bubble3D val="0"/>
            <c:extLst>
              <c:ext xmlns:c16="http://schemas.microsoft.com/office/drawing/2014/chart" uri="{C3380CC4-5D6E-409C-BE32-E72D297353CC}">
                <c16:uniqueId val="{000000B7-2681-3743-8552-05E96AC3D5B2}"/>
              </c:ext>
            </c:extLst>
          </c:dPt>
          <c:dPt>
            <c:idx val="22"/>
            <c:invertIfNegative val="0"/>
            <c:bubble3D val="0"/>
            <c:extLst>
              <c:ext xmlns:c16="http://schemas.microsoft.com/office/drawing/2014/chart" uri="{C3380CC4-5D6E-409C-BE32-E72D297353CC}">
                <c16:uniqueId val="{000000B8-2681-3743-8552-05E96AC3D5B2}"/>
              </c:ext>
            </c:extLst>
          </c:dPt>
          <c:dPt>
            <c:idx val="23"/>
            <c:invertIfNegative val="0"/>
            <c:bubble3D val="0"/>
            <c:extLst>
              <c:ext xmlns:c16="http://schemas.microsoft.com/office/drawing/2014/chart" uri="{C3380CC4-5D6E-409C-BE32-E72D297353CC}">
                <c16:uniqueId val="{000000B9-2681-3743-8552-05E96AC3D5B2}"/>
              </c:ext>
            </c:extLst>
          </c:dPt>
          <c:dPt>
            <c:idx val="24"/>
            <c:invertIfNegative val="0"/>
            <c:bubble3D val="0"/>
            <c:extLst>
              <c:ext xmlns:c16="http://schemas.microsoft.com/office/drawing/2014/chart" uri="{C3380CC4-5D6E-409C-BE32-E72D297353CC}">
                <c16:uniqueId val="{000000BA-2681-3743-8552-05E96AC3D5B2}"/>
              </c:ext>
            </c:extLst>
          </c:dPt>
          <c:dPt>
            <c:idx val="25"/>
            <c:invertIfNegative val="0"/>
            <c:bubble3D val="0"/>
            <c:spPr>
              <a:solidFill>
                <a:srgbClr val="1F3864"/>
              </a:solidFill>
              <a:ln>
                <a:solidFill>
                  <a:srgbClr val="1F3864"/>
                </a:solidFill>
              </a:ln>
            </c:spPr>
            <c:extLst>
              <c:ext xmlns:c16="http://schemas.microsoft.com/office/drawing/2014/chart" uri="{C3380CC4-5D6E-409C-BE32-E72D297353CC}">
                <c16:uniqueId val="{000000BB-2681-3743-8552-05E96AC3D5B2}"/>
              </c:ext>
            </c:extLst>
          </c:dPt>
          <c:dLbls>
            <c:numFmt formatCode="#,##0" sourceLinked="0"/>
            <c:spPr>
              <a:noFill/>
              <a:ln>
                <a:noFill/>
              </a:ln>
              <a:effectLst/>
            </c:spPr>
            <c:txPr>
              <a:bodyPr/>
              <a:lstStyle/>
              <a:p>
                <a:pPr>
                  <a:defRPr sz="700" baseline="0">
                    <a:solidFill>
                      <a:srgbClr val="FFFFFF"/>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'Summary Statistics'!$A$18:$A$43</c:f>
              <c:numCache>
                <c:formatCode>mmm\ yyyy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'Summary Statistics'!$H$18:$H$43</c:f>
              <c:numCache>
                <c:formatCode>#,##0</c:formatCode>
                <c:ptCount val="26"/>
                <c:pt idx="0">
                  <c:v>10</c:v>
                </c:pt>
                <c:pt idx="1">
                  <c:v>12</c:v>
                </c:pt>
                <c:pt idx="2">
                  <c:v>10</c:v>
                </c:pt>
                <c:pt idx="3">
                  <c:v>17</c:v>
                </c:pt>
                <c:pt idx="4">
                  <c:v>11</c:v>
                </c:pt>
                <c:pt idx="5">
                  <c:v>10</c:v>
                </c:pt>
                <c:pt idx="6">
                  <c:v>9</c:v>
                </c:pt>
                <c:pt idx="7">
                  <c:v>14</c:v>
                </c:pt>
                <c:pt idx="8">
                  <c:v>14</c:v>
                </c:pt>
                <c:pt idx="9">
                  <c:v>14</c:v>
                </c:pt>
                <c:pt idx="10">
                  <c:v>12</c:v>
                </c:pt>
                <c:pt idx="11">
                  <c:v>12</c:v>
                </c:pt>
                <c:pt idx="12">
                  <c:v>13</c:v>
                </c:pt>
                <c:pt idx="13">
                  <c:v>11</c:v>
                </c:pt>
                <c:pt idx="14">
                  <c:v>9</c:v>
                </c:pt>
                <c:pt idx="15">
                  <c:v>7</c:v>
                </c:pt>
                <c:pt idx="16">
                  <c:v>16</c:v>
                </c:pt>
                <c:pt idx="17">
                  <c:v>10</c:v>
                </c:pt>
                <c:pt idx="18">
                  <c:v>21</c:v>
                </c:pt>
                <c:pt idx="19">
                  <c:v>14</c:v>
                </c:pt>
                <c:pt idx="20">
                  <c:v>14</c:v>
                </c:pt>
                <c:pt idx="21">
                  <c:v>8</c:v>
                </c:pt>
                <c:pt idx="22">
                  <c:v>13</c:v>
                </c:pt>
                <c:pt idx="23">
                  <c:v>13</c:v>
                </c:pt>
                <c:pt idx="24">
                  <c:v>14</c:v>
                </c:pt>
                <c:pt idx="25">
                  <c:v>12</c:v>
                </c:pt>
              </c:numCache>
            </c:numRef>
          </c:val>
          <c:extLst>
            <c:ext xmlns:c16="http://schemas.microsoft.com/office/drawing/2014/chart" uri="{C3380CC4-5D6E-409C-BE32-E72D297353CC}">
              <c16:uniqueId val="{000000BC-2681-3743-8552-05E96AC3D5B2}"/>
            </c:ext>
          </c:extLst>
        </c:ser>
        <c:dLbls>
          <c:showLegendKey val="0"/>
          <c:showVal val="0"/>
          <c:showCatName val="0"/>
          <c:showSerName val="0"/>
          <c:showPercent val="0"/>
          <c:showBubbleSize val="0"/>
        </c:dLbls>
        <c:gapWidth val="80"/>
        <c:overlap val="100"/>
        <c:axId val="50020001"/>
        <c:axId val="50020002"/>
      </c:barChart>
      <c:lineChart>
        <c:grouping val="standard"/>
        <c:varyColors val="0"/>
        <c:ser>
          <c:idx val="7"/>
          <c:order val="7"/>
          <c:tx>
            <c:v>_Total</c:v>
          </c:tx>
          <c:spPr>
            <a:ln>
              <a:noFill/>
            </a:ln>
          </c:spPr>
          <c:marker>
            <c:symbol val="none"/>
          </c:marker>
          <c:dLbls>
            <c:numFmt formatCode="#,##0" sourceLinked="0"/>
            <c:spPr>
              <a:noFill/>
              <a:ln>
                <a:noFill/>
              </a:ln>
              <a:effectLst/>
            </c:spPr>
            <c:txPr>
              <a:bodyPr/>
              <a:lstStyle/>
              <a:p>
                <a:pPr>
                  <a:defRPr sz="800" b="1" baseline="0">
                    <a:solidFill>
                      <a:srgbClr val="1F3864"/>
                    </a:solidFill>
                    <a:latin typeface="Arial"/>
                  </a:defRPr>
                </a:pPr>
                <a:endParaRPr lang="en-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'Summary Statistics'!$A$18:$A$43</c:f>
              <c:numCache>
                <c:formatCode>mmm\ yyyy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'Summary Statistics'!$I$18:$I$43</c:f>
              <c:numCache>
                <c:formatCode>#,##0</c:formatCode>
                <c:ptCount val="26"/>
                <c:pt idx="0">
                  <c:v>317</c:v>
                </c:pt>
                <c:pt idx="1">
                  <c:v>279</c:v>
                </c:pt>
                <c:pt idx="2">
                  <c:v>354</c:v>
                </c:pt>
                <c:pt idx="3">
                  <c:v>352</c:v>
                </c:pt>
                <c:pt idx="4">
                  <c:v>328</c:v>
                </c:pt>
                <c:pt idx="5">
                  <c:v>322</c:v>
                </c:pt>
                <c:pt idx="6">
                  <c:v>329</c:v>
                </c:pt>
                <c:pt idx="7">
                  <c:v>361</c:v>
                </c:pt>
                <c:pt idx="8">
                  <c:v>344</c:v>
                </c:pt>
                <c:pt idx="9">
                  <c:v>379</c:v>
                </c:pt>
                <c:pt idx="10">
                  <c:v>366</c:v>
                </c:pt>
                <c:pt idx="11">
                  <c:v>377</c:v>
                </c:pt>
                <c:pt idx="12">
                  <c:v>316</c:v>
                </c:pt>
                <c:pt idx="13">
                  <c:v>305</c:v>
                </c:pt>
                <c:pt idx="14">
                  <c:v>377</c:v>
                </c:pt>
                <c:pt idx="15">
                  <c:v>359</c:v>
                </c:pt>
                <c:pt idx="16">
                  <c:v>365</c:v>
                </c:pt>
                <c:pt idx="17">
                  <c:v>389</c:v>
                </c:pt>
                <c:pt idx="18">
                  <c:v>371</c:v>
                </c:pt>
                <c:pt idx="19">
                  <c:v>394</c:v>
                </c:pt>
                <c:pt idx="20">
                  <c:v>359</c:v>
                </c:pt>
                <c:pt idx="21">
                  <c:v>360</c:v>
                </c:pt>
                <c:pt idx="22">
                  <c:v>327</c:v>
                </c:pt>
                <c:pt idx="23">
                  <c:v>475</c:v>
                </c:pt>
                <c:pt idx="24">
                  <c:v>403</c:v>
                </c:pt>
                <c:pt idx="25">
                  <c:v>344</c:v>
                </c:pt>
              </c:numCache>
            </c:numRef>
          </c:val>
          <c:smooth val="0"/>
          <c:extLst>
            <c:ext xmlns:c16="http://schemas.microsoft.com/office/drawing/2014/chart" uri="{C3380CC4-5D6E-409C-BE32-E72D297353CC}">
              <c16:uniqueId val="{000000BD-2681-3743-8552-05E96AC3D5B2}"/>
            </c:ext>
          </c:extLst>
        </c:ser>
        <c:dLbls>
          <c:showLegendKey val="0"/>
          <c:showVal val="0"/>
          <c:showCatName val="0"/>
          <c:showSerName val="0"/>
          <c:showPercent val="0"/>
          <c:showBubbleSize val="0"/>
        </c:dLbls>
        <c:marker val="1"/>
        <c:smooth val="0"/>
        <c:axId val="50020001"/>
        <c:axId val="50020002"/>
      </c:lineChart>
      <c:dateAx>
        <c:axId val="50020001"/>
        <c:scaling>
          <c:orientation val="minMax"/>
        </c:scaling>
        <c:delete val="0"/>
        <c:axPos val="b"/>
        <c:numFmt formatCode="mmm\ yy" sourceLinked="0"/>
        <c:majorTickMark val="out"/>
        <c:minorTickMark val="none"/>
        <c:tickLblPos val="low"/>
        <c:txPr>
          <a:bodyPr rot="-2700000" vert="horz"/>
          <a:lstStyle/>
          <a:p>
            <a:pPr>
              <a:defRPr sz="700" baseline="0">
                <a:latin typeface="Arial"/>
              </a:defRPr>
            </a:pPr>
            <a:endParaRPr lang="en-CN"/>
          </a:p>
        </c:txPr>
        <c:crossAx val="50020002"/>
        <c:crosses val="autoZero"/>
        <c:auto val="1"/>
        <c:lblOffset val="100"/>
        <c:baseTimeUnit val="months"/>
      </c:dateAx>
      <c:valAx>
        <c:axId val="50020002"/>
        <c:scaling>
          <c:orientation val="minMax"/>
        </c:scaling>
        <c:delete val="0"/>
        <c:axPos val="l"/>
        <c:numFmt formatCode="#,##0" sourceLinked="0"/>
        <c:majorTickMark val="out"/>
        <c:minorTickMark val="none"/>
        <c:tickLblPos val="nextTo"/>
        <c:crossAx val="50020001"/>
        <c:crosses val="autoZero"/>
        <c:crossBetween val="between"/>
      </c:valAx>
      <c:spPr>
        <a:ln>
          <a:noFill/>
        </a:ln>
      </c:spPr>
    </c:plotArea>
    <c:legend>
      <c:legendPos val="b"/>
      <c:legendEntry>
        <c:idx val="7"/>
        <c:delete val="1"/>
      </c:legendEntry>
      <c:overlay val="0"/>
      <c:txPr>
        <a:bodyPr/>
        <a:lstStyle/>
        <a:p>
          <a:pPr>
            <a:defRPr sz="800" baseline="0">
              <a:latin typeface="Arial"/>
            </a:defRPr>
          </a:pPr>
          <a:endParaRPr lang="en-CN"/>
        </a:p>
      </c:txPr>
    </c:legend>
    <c:plotVisOnly val="1"/>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latin typeface="Arial"/>
              </a:defRPr>
            </a:pPr>
            <a:r>
              <a:rPr lang="en-US" sz="1200" b="1" baseline="0">
                <a:latin typeface="Arial"/>
              </a:rPr>
              <a:t>Number of enrollment by phase, to date: Yearly</a:t>
            </a:r>
          </a:p>
        </c:rich>
      </c:tx>
      <c:overlay val="0"/>
    </c:title>
    <c:autoTitleDeleted val="0"/>
    <c:plotArea>
      <c:layout/>
      <c:barChart>
        <c:barDir val="col"/>
        <c:grouping val="stacked"/>
        <c:varyColors val="0"/>
        <c:ser>
          <c:idx val="0"/>
          <c:order val="0"/>
          <c:tx>
            <c:v>Early Phase 1</c:v>
          </c:tx>
          <c:spPr>
            <a:solidFill>
              <a:srgbClr val="D9D9D9"/>
            </a:solidFill>
            <a:ln>
              <a:solidFill>
                <a:srgbClr val="D9D9D9"/>
              </a:solidFill>
            </a:ln>
          </c:spPr>
          <c:invertIfNegative val="0"/>
          <c:dPt>
            <c:idx val="0"/>
            <c:invertIfNegative val="0"/>
            <c:bubble3D val="0"/>
            <c:extLst>
              <c:ext xmlns:c16="http://schemas.microsoft.com/office/drawing/2014/chart" uri="{C3380CC4-5D6E-409C-BE32-E72D297353CC}">
                <c16:uniqueId val="{00000000-F968-B344-9E4F-81F0F1512D12}"/>
              </c:ext>
            </c:extLst>
          </c:dPt>
          <c:dPt>
            <c:idx val="1"/>
            <c:invertIfNegative val="0"/>
            <c:bubble3D val="0"/>
            <c:extLst>
              <c:ext xmlns:c16="http://schemas.microsoft.com/office/drawing/2014/chart" uri="{C3380CC4-5D6E-409C-BE32-E72D297353CC}">
                <c16:uniqueId val="{00000001-F968-B344-9E4F-81F0F1512D12}"/>
              </c:ext>
            </c:extLst>
          </c:dPt>
          <c:dPt>
            <c:idx val="2"/>
            <c:invertIfNegative val="0"/>
            <c:bubble3D val="0"/>
            <c:spPr>
              <a:solidFill>
                <a:srgbClr val="BDD7EE"/>
              </a:solidFill>
              <a:ln>
                <a:solidFill>
                  <a:srgbClr val="BDD7EE"/>
                </a:solidFill>
              </a:ln>
            </c:spPr>
            <c:extLst>
              <c:ext xmlns:c16="http://schemas.microsoft.com/office/drawing/2014/chart" uri="{C3380CC4-5D6E-409C-BE32-E72D297353CC}">
                <c16:uniqueId val="{00000002-F968-B344-9E4F-81F0F1512D12}"/>
              </c:ext>
            </c:extLst>
          </c:dPt>
          <c:dPt>
            <c:idx val="3"/>
            <c:invertIfNegative val="0"/>
            <c:bubble3D val="0"/>
            <c:spPr>
              <a:solidFill>
                <a:srgbClr val="BDD7EE"/>
              </a:solidFill>
              <a:ln>
                <a:solidFill>
                  <a:srgbClr val="BDD7EE"/>
                </a:solidFill>
              </a:ln>
            </c:spPr>
            <c:extLst>
              <c:ext xmlns:c16="http://schemas.microsoft.com/office/drawing/2014/chart" uri="{C3380CC4-5D6E-409C-BE32-E72D297353CC}">
                <c16:uniqueId val="{00000003-F968-B344-9E4F-81F0F1512D12}"/>
              </c:ext>
            </c:extLst>
          </c:dPt>
          <c:dLbls>
            <c:dLbl>
              <c:idx val="2"/>
              <c:delete val="1"/>
              <c:extLst>
                <c:ext xmlns:c15="http://schemas.microsoft.com/office/drawing/2012/chart" uri="{CE6537A1-D6FC-4f65-9D91-7224C49458BB}"/>
                <c:ext xmlns:c16="http://schemas.microsoft.com/office/drawing/2014/chart" uri="{C3380CC4-5D6E-409C-BE32-E72D297353CC}">
                  <c16:uniqueId val="{00000002-F968-B344-9E4F-81F0F1512D12}"/>
                </c:ext>
              </c:extLst>
            </c:dLbl>
            <c:numFmt formatCode="#,##0" sourceLinked="0"/>
            <c:spPr>
              <a:noFill/>
              <a:ln>
                <a:noFill/>
              </a:ln>
              <a:effectLst/>
            </c:spPr>
            <c:txPr>
              <a:bodyPr/>
              <a:lstStyle/>
              <a:p>
                <a:pPr>
                  <a:defRPr sz="700" baseline="0">
                    <a:solidFill>
                      <a:srgbClr val="1A1A1A"/>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Statistics - Enrollment'!$A$2:$A$5</c:f>
              <c:strCache>
                <c:ptCount val="4"/>
                <c:pt idx="0">
                  <c:v>2024</c:v>
                </c:pt>
                <c:pt idx="1">
                  <c:v>2025</c:v>
                </c:pt>
                <c:pt idx="2">
                  <c:v>2026</c:v>
                </c:pt>
                <c:pt idx="3">
                  <c:v>2026 Annualized</c:v>
                </c:pt>
              </c:strCache>
            </c:strRef>
          </c:cat>
          <c:val>
            <c:numRef>
              <c:f>'Summary Statistics - Enrollment'!$B$2:$B$5</c:f>
              <c:numCache>
                <c:formatCode>#,##0</c:formatCode>
                <c:ptCount val="4"/>
                <c:pt idx="0">
                  <c:v>2488</c:v>
                </c:pt>
                <c:pt idx="1">
                  <c:v>2595</c:v>
                </c:pt>
                <c:pt idx="2">
                  <c:v>843</c:v>
                </c:pt>
                <c:pt idx="3">
                  <c:v>5058</c:v>
                </c:pt>
              </c:numCache>
            </c:numRef>
          </c:val>
          <c:extLst>
            <c:ext xmlns:c16="http://schemas.microsoft.com/office/drawing/2014/chart" uri="{C3380CC4-5D6E-409C-BE32-E72D297353CC}">
              <c16:uniqueId val="{00000004-F968-B344-9E4F-81F0F1512D12}"/>
            </c:ext>
          </c:extLst>
        </c:ser>
        <c:ser>
          <c:idx val="1"/>
          <c:order val="1"/>
          <c:tx>
            <c:v>Phase 1</c:v>
          </c:tx>
          <c:spPr>
            <a:solidFill>
              <a:srgbClr val="B9B9B9"/>
            </a:solidFill>
            <a:ln>
              <a:solidFill>
                <a:srgbClr val="B9B9B9"/>
              </a:solidFill>
            </a:ln>
          </c:spPr>
          <c:invertIfNegative val="0"/>
          <c:dPt>
            <c:idx val="0"/>
            <c:invertIfNegative val="0"/>
            <c:bubble3D val="0"/>
            <c:extLst>
              <c:ext xmlns:c16="http://schemas.microsoft.com/office/drawing/2014/chart" uri="{C3380CC4-5D6E-409C-BE32-E72D297353CC}">
                <c16:uniqueId val="{00000005-F968-B344-9E4F-81F0F1512D12}"/>
              </c:ext>
            </c:extLst>
          </c:dPt>
          <c:dPt>
            <c:idx val="1"/>
            <c:invertIfNegative val="0"/>
            <c:bubble3D val="0"/>
            <c:extLst>
              <c:ext xmlns:c16="http://schemas.microsoft.com/office/drawing/2014/chart" uri="{C3380CC4-5D6E-409C-BE32-E72D297353CC}">
                <c16:uniqueId val="{00000006-F968-B344-9E4F-81F0F1512D12}"/>
              </c:ext>
            </c:extLst>
          </c:dPt>
          <c:dPt>
            <c:idx val="2"/>
            <c:invertIfNegative val="0"/>
            <c:bubble3D val="0"/>
            <c:spPr>
              <a:solidFill>
                <a:srgbClr val="A3BCD7"/>
              </a:solidFill>
              <a:ln>
                <a:solidFill>
                  <a:srgbClr val="A3BCD7"/>
                </a:solidFill>
              </a:ln>
            </c:spPr>
            <c:extLst>
              <c:ext xmlns:c16="http://schemas.microsoft.com/office/drawing/2014/chart" uri="{C3380CC4-5D6E-409C-BE32-E72D297353CC}">
                <c16:uniqueId val="{00000007-F968-B344-9E4F-81F0F1512D12}"/>
              </c:ext>
            </c:extLst>
          </c:dPt>
          <c:dPt>
            <c:idx val="3"/>
            <c:invertIfNegative val="0"/>
            <c:bubble3D val="0"/>
            <c:spPr>
              <a:solidFill>
                <a:srgbClr val="A3BCD7"/>
              </a:solidFill>
              <a:ln>
                <a:solidFill>
                  <a:srgbClr val="A3BCD7"/>
                </a:solidFill>
              </a:ln>
            </c:spPr>
            <c:extLst>
              <c:ext xmlns:c16="http://schemas.microsoft.com/office/drawing/2014/chart" uri="{C3380CC4-5D6E-409C-BE32-E72D297353CC}">
                <c16:uniqueId val="{00000008-F968-B344-9E4F-81F0F1512D12}"/>
              </c:ext>
            </c:extLst>
          </c:dPt>
          <c:dLbls>
            <c:dLbl>
              <c:idx val="2"/>
              <c:delete val="1"/>
              <c:extLst>
                <c:ext xmlns:c15="http://schemas.microsoft.com/office/drawing/2012/chart" uri="{CE6537A1-D6FC-4f65-9D91-7224C49458BB}"/>
                <c:ext xmlns:c16="http://schemas.microsoft.com/office/drawing/2014/chart" uri="{C3380CC4-5D6E-409C-BE32-E72D297353CC}">
                  <c16:uniqueId val="{00000007-F968-B344-9E4F-81F0F1512D12}"/>
                </c:ext>
              </c:extLst>
            </c:dLbl>
            <c:numFmt formatCode="#,##0" sourceLinked="0"/>
            <c:spPr>
              <a:noFill/>
              <a:ln>
                <a:noFill/>
              </a:ln>
              <a:effectLst/>
            </c:spPr>
            <c:txPr>
              <a:bodyPr/>
              <a:lstStyle/>
              <a:p>
                <a:pPr>
                  <a:defRPr sz="700" baseline="0">
                    <a:solidFill>
                      <a:srgbClr val="1A1A1A"/>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Statistics - Enrollment'!$A$2:$A$5</c:f>
              <c:strCache>
                <c:ptCount val="4"/>
                <c:pt idx="0">
                  <c:v>2024</c:v>
                </c:pt>
                <c:pt idx="1">
                  <c:v>2025</c:v>
                </c:pt>
                <c:pt idx="2">
                  <c:v>2026</c:v>
                </c:pt>
                <c:pt idx="3">
                  <c:v>2026 Annualized</c:v>
                </c:pt>
              </c:strCache>
            </c:strRef>
          </c:cat>
          <c:val>
            <c:numRef>
              <c:f>'Summary Statistics - Enrollment'!$C$2:$C$5</c:f>
              <c:numCache>
                <c:formatCode>#,##0</c:formatCode>
                <c:ptCount val="4"/>
                <c:pt idx="0">
                  <c:v>116152</c:v>
                </c:pt>
                <c:pt idx="1">
                  <c:v>111734</c:v>
                </c:pt>
                <c:pt idx="2">
                  <c:v>16339</c:v>
                </c:pt>
                <c:pt idx="3">
                  <c:v>98034</c:v>
                </c:pt>
              </c:numCache>
            </c:numRef>
          </c:val>
          <c:extLst>
            <c:ext xmlns:c16="http://schemas.microsoft.com/office/drawing/2014/chart" uri="{C3380CC4-5D6E-409C-BE32-E72D297353CC}">
              <c16:uniqueId val="{00000009-F968-B344-9E4F-81F0F1512D12}"/>
            </c:ext>
          </c:extLst>
        </c:ser>
        <c:ser>
          <c:idx val="2"/>
          <c:order val="2"/>
          <c:tx>
            <c:v>Phase 1/2</c:v>
          </c:tx>
          <c:spPr>
            <a:solidFill>
              <a:srgbClr val="999999"/>
            </a:solidFill>
            <a:ln>
              <a:solidFill>
                <a:srgbClr val="999999"/>
              </a:solidFill>
            </a:ln>
          </c:spPr>
          <c:invertIfNegative val="0"/>
          <c:dPt>
            <c:idx val="0"/>
            <c:invertIfNegative val="0"/>
            <c:bubble3D val="0"/>
            <c:extLst>
              <c:ext xmlns:c16="http://schemas.microsoft.com/office/drawing/2014/chart" uri="{C3380CC4-5D6E-409C-BE32-E72D297353CC}">
                <c16:uniqueId val="{0000000A-F968-B344-9E4F-81F0F1512D12}"/>
              </c:ext>
            </c:extLst>
          </c:dPt>
          <c:dPt>
            <c:idx val="1"/>
            <c:invertIfNegative val="0"/>
            <c:bubble3D val="0"/>
            <c:extLst>
              <c:ext xmlns:c16="http://schemas.microsoft.com/office/drawing/2014/chart" uri="{C3380CC4-5D6E-409C-BE32-E72D297353CC}">
                <c16:uniqueId val="{0000000B-F968-B344-9E4F-81F0F1512D12}"/>
              </c:ext>
            </c:extLst>
          </c:dPt>
          <c:dPt>
            <c:idx val="2"/>
            <c:invertIfNegative val="0"/>
            <c:bubble3D val="0"/>
            <c:spPr>
              <a:solidFill>
                <a:srgbClr val="89A2C0"/>
              </a:solidFill>
              <a:ln>
                <a:solidFill>
                  <a:srgbClr val="89A2C0"/>
                </a:solidFill>
              </a:ln>
            </c:spPr>
            <c:extLst>
              <c:ext xmlns:c16="http://schemas.microsoft.com/office/drawing/2014/chart" uri="{C3380CC4-5D6E-409C-BE32-E72D297353CC}">
                <c16:uniqueId val="{0000000C-F968-B344-9E4F-81F0F1512D12}"/>
              </c:ext>
            </c:extLst>
          </c:dPt>
          <c:dPt>
            <c:idx val="3"/>
            <c:invertIfNegative val="0"/>
            <c:bubble3D val="0"/>
            <c:spPr>
              <a:solidFill>
                <a:srgbClr val="89A2C0"/>
              </a:solidFill>
              <a:ln>
                <a:solidFill>
                  <a:srgbClr val="89A2C0"/>
                </a:solidFill>
              </a:ln>
            </c:spPr>
            <c:extLst>
              <c:ext xmlns:c16="http://schemas.microsoft.com/office/drawing/2014/chart" uri="{C3380CC4-5D6E-409C-BE32-E72D297353CC}">
                <c16:uniqueId val="{0000000D-F968-B344-9E4F-81F0F1512D12}"/>
              </c:ext>
            </c:extLst>
          </c:dPt>
          <c:dLbls>
            <c:dLbl>
              <c:idx val="2"/>
              <c:delete val="1"/>
              <c:extLst>
                <c:ext xmlns:c15="http://schemas.microsoft.com/office/drawing/2012/chart" uri="{CE6537A1-D6FC-4f65-9D91-7224C49458BB}"/>
                <c:ext xmlns:c16="http://schemas.microsoft.com/office/drawing/2014/chart" uri="{C3380CC4-5D6E-409C-BE32-E72D297353CC}">
                  <c16:uniqueId val="{0000000C-F968-B344-9E4F-81F0F1512D12}"/>
                </c:ext>
              </c:extLst>
            </c:dLbl>
            <c:numFmt formatCode="#,##0" sourceLinked="0"/>
            <c:spPr>
              <a:noFill/>
              <a:ln>
                <a:noFill/>
              </a:ln>
              <a:effectLst/>
            </c:spPr>
            <c:txPr>
              <a:bodyPr/>
              <a:lstStyle/>
              <a:p>
                <a:pPr>
                  <a:defRPr sz="700" baseline="0">
                    <a:solidFill>
                      <a:srgbClr val="1A1A1A"/>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Statistics - Enrollment'!$A$2:$A$5</c:f>
              <c:strCache>
                <c:ptCount val="4"/>
                <c:pt idx="0">
                  <c:v>2024</c:v>
                </c:pt>
                <c:pt idx="1">
                  <c:v>2025</c:v>
                </c:pt>
                <c:pt idx="2">
                  <c:v>2026</c:v>
                </c:pt>
                <c:pt idx="3">
                  <c:v>2026 Annualized</c:v>
                </c:pt>
              </c:strCache>
            </c:strRef>
          </c:cat>
          <c:val>
            <c:numRef>
              <c:f>'Summary Statistics - Enrollment'!$D$2:$D$5</c:f>
              <c:numCache>
                <c:formatCode>#,##0</c:formatCode>
                <c:ptCount val="4"/>
                <c:pt idx="0">
                  <c:v>54047</c:v>
                </c:pt>
                <c:pt idx="1">
                  <c:v>70043</c:v>
                </c:pt>
                <c:pt idx="2">
                  <c:v>14042</c:v>
                </c:pt>
                <c:pt idx="3">
                  <c:v>84252</c:v>
                </c:pt>
              </c:numCache>
            </c:numRef>
          </c:val>
          <c:extLst>
            <c:ext xmlns:c16="http://schemas.microsoft.com/office/drawing/2014/chart" uri="{C3380CC4-5D6E-409C-BE32-E72D297353CC}">
              <c16:uniqueId val="{0000000E-F968-B344-9E4F-81F0F1512D12}"/>
            </c:ext>
          </c:extLst>
        </c:ser>
        <c:ser>
          <c:idx val="3"/>
          <c:order val="3"/>
          <c:tx>
            <c:v>Phase 2</c:v>
          </c:tx>
          <c:spPr>
            <a:solidFill>
              <a:srgbClr val="7A7A7A"/>
            </a:solidFill>
            <a:ln>
              <a:solidFill>
                <a:srgbClr val="7A7A7A"/>
              </a:solidFill>
            </a:ln>
          </c:spPr>
          <c:invertIfNegative val="0"/>
          <c:dPt>
            <c:idx val="0"/>
            <c:invertIfNegative val="0"/>
            <c:bubble3D val="0"/>
            <c:extLst>
              <c:ext xmlns:c16="http://schemas.microsoft.com/office/drawing/2014/chart" uri="{C3380CC4-5D6E-409C-BE32-E72D297353CC}">
                <c16:uniqueId val="{0000000F-F968-B344-9E4F-81F0F1512D12}"/>
              </c:ext>
            </c:extLst>
          </c:dPt>
          <c:dPt>
            <c:idx val="1"/>
            <c:invertIfNegative val="0"/>
            <c:bubble3D val="0"/>
            <c:extLst>
              <c:ext xmlns:c16="http://schemas.microsoft.com/office/drawing/2014/chart" uri="{C3380CC4-5D6E-409C-BE32-E72D297353CC}">
                <c16:uniqueId val="{00000010-F968-B344-9E4F-81F0F1512D12}"/>
              </c:ext>
            </c:extLst>
          </c:dPt>
          <c:dPt>
            <c:idx val="2"/>
            <c:invertIfNegative val="0"/>
            <c:bubble3D val="0"/>
            <c:spPr>
              <a:solidFill>
                <a:srgbClr val="6E87A9"/>
              </a:solidFill>
              <a:ln>
                <a:solidFill>
                  <a:srgbClr val="6E87A9"/>
                </a:solidFill>
              </a:ln>
            </c:spPr>
            <c:extLst>
              <c:ext xmlns:c16="http://schemas.microsoft.com/office/drawing/2014/chart" uri="{C3380CC4-5D6E-409C-BE32-E72D297353CC}">
                <c16:uniqueId val="{00000011-F968-B344-9E4F-81F0F1512D12}"/>
              </c:ext>
            </c:extLst>
          </c:dPt>
          <c:dPt>
            <c:idx val="3"/>
            <c:invertIfNegative val="0"/>
            <c:bubble3D val="0"/>
            <c:spPr>
              <a:solidFill>
                <a:srgbClr val="6E87A9"/>
              </a:solidFill>
              <a:ln>
                <a:solidFill>
                  <a:srgbClr val="6E87A9"/>
                </a:solidFill>
              </a:ln>
            </c:spPr>
            <c:extLst>
              <c:ext xmlns:c16="http://schemas.microsoft.com/office/drawing/2014/chart" uri="{C3380CC4-5D6E-409C-BE32-E72D297353CC}">
                <c16:uniqueId val="{00000012-F968-B344-9E4F-81F0F1512D12}"/>
              </c:ext>
            </c:extLst>
          </c:dPt>
          <c:dLbls>
            <c:dLbl>
              <c:idx val="2"/>
              <c:delete val="1"/>
              <c:extLst>
                <c:ext xmlns:c15="http://schemas.microsoft.com/office/drawing/2012/chart" uri="{CE6537A1-D6FC-4f65-9D91-7224C49458BB}"/>
                <c:ext xmlns:c16="http://schemas.microsoft.com/office/drawing/2014/chart" uri="{C3380CC4-5D6E-409C-BE32-E72D297353CC}">
                  <c16:uniqueId val="{00000011-F968-B344-9E4F-81F0F1512D12}"/>
                </c:ext>
              </c:extLst>
            </c:dLbl>
            <c:numFmt formatCode="#,##0" sourceLinked="0"/>
            <c:spPr>
              <a:noFill/>
              <a:ln>
                <a:noFill/>
              </a:ln>
              <a:effectLst/>
            </c:spPr>
            <c:txPr>
              <a:bodyPr/>
              <a:lstStyle/>
              <a:p>
                <a:pPr>
                  <a:defRPr sz="700" baseline="0">
                    <a:solidFill>
                      <a:srgbClr val="FFFFFF"/>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Statistics - Enrollment'!$A$2:$A$5</c:f>
              <c:strCache>
                <c:ptCount val="4"/>
                <c:pt idx="0">
                  <c:v>2024</c:v>
                </c:pt>
                <c:pt idx="1">
                  <c:v>2025</c:v>
                </c:pt>
                <c:pt idx="2">
                  <c:v>2026</c:v>
                </c:pt>
                <c:pt idx="3">
                  <c:v>2026 Annualized</c:v>
                </c:pt>
              </c:strCache>
            </c:strRef>
          </c:cat>
          <c:val>
            <c:numRef>
              <c:f>'Summary Statistics - Enrollment'!$E$2:$E$5</c:f>
              <c:numCache>
                <c:formatCode>#,##0</c:formatCode>
                <c:ptCount val="4"/>
                <c:pt idx="0">
                  <c:v>149047</c:v>
                </c:pt>
                <c:pt idx="1">
                  <c:v>145973</c:v>
                </c:pt>
                <c:pt idx="2">
                  <c:v>24094</c:v>
                </c:pt>
                <c:pt idx="3">
                  <c:v>144564</c:v>
                </c:pt>
              </c:numCache>
            </c:numRef>
          </c:val>
          <c:extLst>
            <c:ext xmlns:c16="http://schemas.microsoft.com/office/drawing/2014/chart" uri="{C3380CC4-5D6E-409C-BE32-E72D297353CC}">
              <c16:uniqueId val="{00000013-F968-B344-9E4F-81F0F1512D12}"/>
            </c:ext>
          </c:extLst>
        </c:ser>
        <c:ser>
          <c:idx val="4"/>
          <c:order val="4"/>
          <c:tx>
            <c:v>Phase 2/3</c:v>
          </c:tx>
          <c:spPr>
            <a:solidFill>
              <a:srgbClr val="5A5A5A"/>
            </a:solidFill>
            <a:ln>
              <a:solidFill>
                <a:srgbClr val="5A5A5A"/>
              </a:solidFill>
            </a:ln>
          </c:spPr>
          <c:invertIfNegative val="0"/>
          <c:dPt>
            <c:idx val="0"/>
            <c:invertIfNegative val="0"/>
            <c:bubble3D val="0"/>
            <c:extLst>
              <c:ext xmlns:c16="http://schemas.microsoft.com/office/drawing/2014/chart" uri="{C3380CC4-5D6E-409C-BE32-E72D297353CC}">
                <c16:uniqueId val="{00000014-F968-B344-9E4F-81F0F1512D12}"/>
              </c:ext>
            </c:extLst>
          </c:dPt>
          <c:dPt>
            <c:idx val="1"/>
            <c:invertIfNegative val="0"/>
            <c:bubble3D val="0"/>
            <c:extLst>
              <c:ext xmlns:c16="http://schemas.microsoft.com/office/drawing/2014/chart" uri="{C3380CC4-5D6E-409C-BE32-E72D297353CC}">
                <c16:uniqueId val="{00000015-F968-B344-9E4F-81F0F1512D12}"/>
              </c:ext>
            </c:extLst>
          </c:dPt>
          <c:dPt>
            <c:idx val="2"/>
            <c:invertIfNegative val="0"/>
            <c:bubble3D val="0"/>
            <c:spPr>
              <a:solidFill>
                <a:srgbClr val="546D92"/>
              </a:solidFill>
              <a:ln>
                <a:solidFill>
                  <a:srgbClr val="546D92"/>
                </a:solidFill>
              </a:ln>
            </c:spPr>
            <c:extLst>
              <c:ext xmlns:c16="http://schemas.microsoft.com/office/drawing/2014/chart" uri="{C3380CC4-5D6E-409C-BE32-E72D297353CC}">
                <c16:uniqueId val="{00000016-F968-B344-9E4F-81F0F1512D12}"/>
              </c:ext>
            </c:extLst>
          </c:dPt>
          <c:dPt>
            <c:idx val="3"/>
            <c:invertIfNegative val="0"/>
            <c:bubble3D val="0"/>
            <c:spPr>
              <a:solidFill>
                <a:srgbClr val="546D92"/>
              </a:solidFill>
              <a:ln>
                <a:solidFill>
                  <a:srgbClr val="546D92"/>
                </a:solidFill>
              </a:ln>
            </c:spPr>
            <c:extLst>
              <c:ext xmlns:c16="http://schemas.microsoft.com/office/drawing/2014/chart" uri="{C3380CC4-5D6E-409C-BE32-E72D297353CC}">
                <c16:uniqueId val="{00000017-F968-B344-9E4F-81F0F1512D12}"/>
              </c:ext>
            </c:extLst>
          </c:dPt>
          <c:dLbls>
            <c:dLbl>
              <c:idx val="2"/>
              <c:delete val="1"/>
              <c:extLst>
                <c:ext xmlns:c15="http://schemas.microsoft.com/office/drawing/2012/chart" uri="{CE6537A1-D6FC-4f65-9D91-7224C49458BB}"/>
                <c:ext xmlns:c16="http://schemas.microsoft.com/office/drawing/2014/chart" uri="{C3380CC4-5D6E-409C-BE32-E72D297353CC}">
                  <c16:uniqueId val="{00000016-F968-B344-9E4F-81F0F1512D12}"/>
                </c:ext>
              </c:extLst>
            </c:dLbl>
            <c:numFmt formatCode="#,##0" sourceLinked="0"/>
            <c:spPr>
              <a:noFill/>
              <a:ln>
                <a:noFill/>
              </a:ln>
              <a:effectLst/>
            </c:spPr>
            <c:txPr>
              <a:bodyPr/>
              <a:lstStyle/>
              <a:p>
                <a:pPr>
                  <a:defRPr sz="700" baseline="0">
                    <a:solidFill>
                      <a:srgbClr val="FFFFFF"/>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Statistics - Enrollment'!$A$2:$A$5</c:f>
              <c:strCache>
                <c:ptCount val="4"/>
                <c:pt idx="0">
                  <c:v>2024</c:v>
                </c:pt>
                <c:pt idx="1">
                  <c:v>2025</c:v>
                </c:pt>
                <c:pt idx="2">
                  <c:v>2026</c:v>
                </c:pt>
                <c:pt idx="3">
                  <c:v>2026 Annualized</c:v>
                </c:pt>
              </c:strCache>
            </c:strRef>
          </c:cat>
          <c:val>
            <c:numRef>
              <c:f>'Summary Statistics - Enrollment'!$F$2:$F$5</c:f>
              <c:numCache>
                <c:formatCode>#,##0</c:formatCode>
                <c:ptCount val="4"/>
                <c:pt idx="0">
                  <c:v>28947</c:v>
                </c:pt>
                <c:pt idx="1">
                  <c:v>37515</c:v>
                </c:pt>
                <c:pt idx="2">
                  <c:v>6968</c:v>
                </c:pt>
                <c:pt idx="3">
                  <c:v>41808</c:v>
                </c:pt>
              </c:numCache>
            </c:numRef>
          </c:val>
          <c:extLst>
            <c:ext xmlns:c16="http://schemas.microsoft.com/office/drawing/2014/chart" uri="{C3380CC4-5D6E-409C-BE32-E72D297353CC}">
              <c16:uniqueId val="{00000018-F968-B344-9E4F-81F0F1512D12}"/>
            </c:ext>
          </c:extLst>
        </c:ser>
        <c:ser>
          <c:idx val="5"/>
          <c:order val="5"/>
          <c:tx>
            <c:v>Phase 3</c:v>
          </c:tx>
          <c:spPr>
            <a:solidFill>
              <a:srgbClr val="3A3A3A"/>
            </a:solidFill>
            <a:ln>
              <a:solidFill>
                <a:srgbClr val="3A3A3A"/>
              </a:solidFill>
            </a:ln>
          </c:spPr>
          <c:invertIfNegative val="0"/>
          <c:dPt>
            <c:idx val="0"/>
            <c:invertIfNegative val="0"/>
            <c:bubble3D val="0"/>
            <c:extLst>
              <c:ext xmlns:c16="http://schemas.microsoft.com/office/drawing/2014/chart" uri="{C3380CC4-5D6E-409C-BE32-E72D297353CC}">
                <c16:uniqueId val="{00000019-F968-B344-9E4F-81F0F1512D12}"/>
              </c:ext>
            </c:extLst>
          </c:dPt>
          <c:dPt>
            <c:idx val="1"/>
            <c:invertIfNegative val="0"/>
            <c:bubble3D val="0"/>
            <c:extLst>
              <c:ext xmlns:c16="http://schemas.microsoft.com/office/drawing/2014/chart" uri="{C3380CC4-5D6E-409C-BE32-E72D297353CC}">
                <c16:uniqueId val="{0000001A-F968-B344-9E4F-81F0F1512D12}"/>
              </c:ext>
            </c:extLst>
          </c:dPt>
          <c:dPt>
            <c:idx val="2"/>
            <c:invertIfNegative val="0"/>
            <c:bubble3D val="0"/>
            <c:spPr>
              <a:solidFill>
                <a:srgbClr val="3A527B"/>
              </a:solidFill>
              <a:ln>
                <a:solidFill>
                  <a:srgbClr val="3A527B"/>
                </a:solidFill>
              </a:ln>
            </c:spPr>
            <c:extLst>
              <c:ext xmlns:c16="http://schemas.microsoft.com/office/drawing/2014/chart" uri="{C3380CC4-5D6E-409C-BE32-E72D297353CC}">
                <c16:uniqueId val="{0000001B-F968-B344-9E4F-81F0F1512D12}"/>
              </c:ext>
            </c:extLst>
          </c:dPt>
          <c:dPt>
            <c:idx val="3"/>
            <c:invertIfNegative val="0"/>
            <c:bubble3D val="0"/>
            <c:spPr>
              <a:solidFill>
                <a:srgbClr val="3A527B"/>
              </a:solidFill>
              <a:ln>
                <a:solidFill>
                  <a:srgbClr val="3A527B"/>
                </a:solidFill>
              </a:ln>
            </c:spPr>
            <c:extLst>
              <c:ext xmlns:c16="http://schemas.microsoft.com/office/drawing/2014/chart" uri="{C3380CC4-5D6E-409C-BE32-E72D297353CC}">
                <c16:uniqueId val="{0000001C-F968-B344-9E4F-81F0F1512D12}"/>
              </c:ext>
            </c:extLst>
          </c:dPt>
          <c:dLbls>
            <c:dLbl>
              <c:idx val="2"/>
              <c:delete val="1"/>
              <c:extLst>
                <c:ext xmlns:c15="http://schemas.microsoft.com/office/drawing/2012/chart" uri="{CE6537A1-D6FC-4f65-9D91-7224C49458BB}"/>
                <c:ext xmlns:c16="http://schemas.microsoft.com/office/drawing/2014/chart" uri="{C3380CC4-5D6E-409C-BE32-E72D297353CC}">
                  <c16:uniqueId val="{0000001B-F968-B344-9E4F-81F0F1512D12}"/>
                </c:ext>
              </c:extLst>
            </c:dLbl>
            <c:numFmt formatCode="#,##0" sourceLinked="0"/>
            <c:spPr>
              <a:noFill/>
              <a:ln>
                <a:noFill/>
              </a:ln>
              <a:effectLst/>
            </c:spPr>
            <c:txPr>
              <a:bodyPr/>
              <a:lstStyle/>
              <a:p>
                <a:pPr>
                  <a:defRPr sz="700" baseline="0">
                    <a:solidFill>
                      <a:srgbClr val="FFFFFF"/>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Statistics - Enrollment'!$A$2:$A$5</c:f>
              <c:strCache>
                <c:ptCount val="4"/>
                <c:pt idx="0">
                  <c:v>2024</c:v>
                </c:pt>
                <c:pt idx="1">
                  <c:v>2025</c:v>
                </c:pt>
                <c:pt idx="2">
                  <c:v>2026</c:v>
                </c:pt>
                <c:pt idx="3">
                  <c:v>2026 Annualized</c:v>
                </c:pt>
              </c:strCache>
            </c:strRef>
          </c:cat>
          <c:val>
            <c:numRef>
              <c:f>'Summary Statistics - Enrollment'!$G$2:$G$5</c:f>
              <c:numCache>
                <c:formatCode>#,##0</c:formatCode>
                <c:ptCount val="4"/>
                <c:pt idx="0">
                  <c:v>560365</c:v>
                </c:pt>
                <c:pt idx="1">
                  <c:v>675336</c:v>
                </c:pt>
                <c:pt idx="2">
                  <c:v>71173</c:v>
                </c:pt>
                <c:pt idx="3">
                  <c:v>427038</c:v>
                </c:pt>
              </c:numCache>
            </c:numRef>
          </c:val>
          <c:extLst>
            <c:ext xmlns:c16="http://schemas.microsoft.com/office/drawing/2014/chart" uri="{C3380CC4-5D6E-409C-BE32-E72D297353CC}">
              <c16:uniqueId val="{0000001D-F968-B344-9E4F-81F0F1512D12}"/>
            </c:ext>
          </c:extLst>
        </c:ser>
        <c:ser>
          <c:idx val="6"/>
          <c:order val="6"/>
          <c:tx>
            <c:v>Phase 4</c:v>
          </c:tx>
          <c:spPr>
            <a:solidFill>
              <a:srgbClr val="1A1A1A"/>
            </a:solidFill>
            <a:ln>
              <a:solidFill>
                <a:srgbClr val="1A1A1A"/>
              </a:solidFill>
            </a:ln>
          </c:spPr>
          <c:invertIfNegative val="0"/>
          <c:dPt>
            <c:idx val="0"/>
            <c:invertIfNegative val="0"/>
            <c:bubble3D val="0"/>
            <c:extLst>
              <c:ext xmlns:c16="http://schemas.microsoft.com/office/drawing/2014/chart" uri="{C3380CC4-5D6E-409C-BE32-E72D297353CC}">
                <c16:uniqueId val="{0000001E-F968-B344-9E4F-81F0F1512D12}"/>
              </c:ext>
            </c:extLst>
          </c:dPt>
          <c:dPt>
            <c:idx val="1"/>
            <c:invertIfNegative val="0"/>
            <c:bubble3D val="0"/>
            <c:extLst>
              <c:ext xmlns:c16="http://schemas.microsoft.com/office/drawing/2014/chart" uri="{C3380CC4-5D6E-409C-BE32-E72D297353CC}">
                <c16:uniqueId val="{0000001F-F968-B344-9E4F-81F0F1512D12}"/>
              </c:ext>
            </c:extLst>
          </c:dPt>
          <c:dPt>
            <c:idx val="2"/>
            <c:invertIfNegative val="0"/>
            <c:bubble3D val="0"/>
            <c:spPr>
              <a:solidFill>
                <a:srgbClr val="1F3864"/>
              </a:solidFill>
              <a:ln>
                <a:solidFill>
                  <a:srgbClr val="1F3864"/>
                </a:solidFill>
              </a:ln>
            </c:spPr>
            <c:extLst>
              <c:ext xmlns:c16="http://schemas.microsoft.com/office/drawing/2014/chart" uri="{C3380CC4-5D6E-409C-BE32-E72D297353CC}">
                <c16:uniqueId val="{00000020-F968-B344-9E4F-81F0F1512D12}"/>
              </c:ext>
            </c:extLst>
          </c:dPt>
          <c:dPt>
            <c:idx val="3"/>
            <c:invertIfNegative val="0"/>
            <c:bubble3D val="0"/>
            <c:spPr>
              <a:solidFill>
                <a:srgbClr val="1F3864"/>
              </a:solidFill>
              <a:ln>
                <a:solidFill>
                  <a:srgbClr val="1F3864"/>
                </a:solidFill>
              </a:ln>
            </c:spPr>
            <c:extLst>
              <c:ext xmlns:c16="http://schemas.microsoft.com/office/drawing/2014/chart" uri="{C3380CC4-5D6E-409C-BE32-E72D297353CC}">
                <c16:uniqueId val="{00000021-F968-B344-9E4F-81F0F1512D12}"/>
              </c:ext>
            </c:extLst>
          </c:dPt>
          <c:dLbls>
            <c:dLbl>
              <c:idx val="2"/>
              <c:delete val="1"/>
              <c:extLst>
                <c:ext xmlns:c15="http://schemas.microsoft.com/office/drawing/2012/chart" uri="{CE6537A1-D6FC-4f65-9D91-7224C49458BB}"/>
                <c:ext xmlns:c16="http://schemas.microsoft.com/office/drawing/2014/chart" uri="{C3380CC4-5D6E-409C-BE32-E72D297353CC}">
                  <c16:uniqueId val="{00000020-F968-B344-9E4F-81F0F1512D12}"/>
                </c:ext>
              </c:extLst>
            </c:dLbl>
            <c:numFmt formatCode="#,##0" sourceLinked="0"/>
            <c:spPr>
              <a:noFill/>
              <a:ln>
                <a:noFill/>
              </a:ln>
              <a:effectLst/>
            </c:spPr>
            <c:txPr>
              <a:bodyPr/>
              <a:lstStyle/>
              <a:p>
                <a:pPr>
                  <a:defRPr sz="700" baseline="0">
                    <a:solidFill>
                      <a:srgbClr val="FFFFFF"/>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Statistics - Enrollment'!$A$2:$A$5</c:f>
              <c:strCache>
                <c:ptCount val="4"/>
                <c:pt idx="0">
                  <c:v>2024</c:v>
                </c:pt>
                <c:pt idx="1">
                  <c:v>2025</c:v>
                </c:pt>
                <c:pt idx="2">
                  <c:v>2026</c:v>
                </c:pt>
                <c:pt idx="3">
                  <c:v>2026 Annualized</c:v>
                </c:pt>
              </c:strCache>
            </c:strRef>
          </c:cat>
          <c:val>
            <c:numRef>
              <c:f>'Summary Statistics - Enrollment'!$H$2:$H$5</c:f>
              <c:numCache>
                <c:formatCode>#,##0</c:formatCode>
                <c:ptCount val="4"/>
                <c:pt idx="0">
                  <c:v>96419</c:v>
                </c:pt>
                <c:pt idx="1">
                  <c:v>134761</c:v>
                </c:pt>
                <c:pt idx="2">
                  <c:v>4921</c:v>
                </c:pt>
                <c:pt idx="3">
                  <c:v>29526</c:v>
                </c:pt>
              </c:numCache>
            </c:numRef>
          </c:val>
          <c:extLst>
            <c:ext xmlns:c16="http://schemas.microsoft.com/office/drawing/2014/chart" uri="{C3380CC4-5D6E-409C-BE32-E72D297353CC}">
              <c16:uniqueId val="{00000022-F968-B344-9E4F-81F0F1512D12}"/>
            </c:ext>
          </c:extLst>
        </c:ser>
        <c:dLbls>
          <c:showLegendKey val="0"/>
          <c:showVal val="0"/>
          <c:showCatName val="0"/>
          <c:showSerName val="0"/>
          <c:showPercent val="0"/>
          <c:showBubbleSize val="0"/>
        </c:dLbls>
        <c:gapWidth val="80"/>
        <c:overlap val="100"/>
        <c:axId val="50030001"/>
        <c:axId val="50030002"/>
      </c:barChart>
      <c:lineChart>
        <c:grouping val="standard"/>
        <c:varyColors val="0"/>
        <c:ser>
          <c:idx val="7"/>
          <c:order val="7"/>
          <c:tx>
            <c:v>_Total</c:v>
          </c:tx>
          <c:spPr>
            <a:ln>
              <a:noFill/>
            </a:ln>
          </c:spPr>
          <c:marker>
            <c:symbol val="none"/>
          </c:marker>
          <c:dLbls>
            <c:numFmt formatCode="#,##0" sourceLinked="0"/>
            <c:spPr>
              <a:noFill/>
              <a:ln>
                <a:noFill/>
              </a:ln>
              <a:effectLst/>
            </c:spPr>
            <c:txPr>
              <a:bodyPr/>
              <a:lstStyle/>
              <a:p>
                <a:pPr>
                  <a:defRPr sz="800" b="1" baseline="0">
                    <a:solidFill>
                      <a:srgbClr val="1F3864"/>
                    </a:solidFill>
                    <a:latin typeface="Arial"/>
                  </a:defRPr>
                </a:pPr>
                <a:endParaRPr lang="en-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Statistics - Enrollment'!$A$2:$A$5</c:f>
              <c:strCache>
                <c:ptCount val="4"/>
                <c:pt idx="0">
                  <c:v>2024</c:v>
                </c:pt>
                <c:pt idx="1">
                  <c:v>2025</c:v>
                </c:pt>
                <c:pt idx="2">
                  <c:v>2026</c:v>
                </c:pt>
                <c:pt idx="3">
                  <c:v>2026 Annualized</c:v>
                </c:pt>
              </c:strCache>
            </c:strRef>
          </c:cat>
          <c:val>
            <c:numRef>
              <c:f>'Summary Statistics - Enrollment'!$I$2:$I$5</c:f>
              <c:numCache>
                <c:formatCode>#,##0</c:formatCode>
                <c:ptCount val="4"/>
                <c:pt idx="0">
                  <c:v>1007465</c:v>
                </c:pt>
                <c:pt idx="1">
                  <c:v>1177957</c:v>
                </c:pt>
                <c:pt idx="2">
                  <c:v>138380</c:v>
                </c:pt>
                <c:pt idx="3">
                  <c:v>830280</c:v>
                </c:pt>
              </c:numCache>
            </c:numRef>
          </c:val>
          <c:smooth val="0"/>
          <c:extLst>
            <c:ext xmlns:c16="http://schemas.microsoft.com/office/drawing/2014/chart" uri="{C3380CC4-5D6E-409C-BE32-E72D297353CC}">
              <c16:uniqueId val="{00000023-F968-B344-9E4F-81F0F1512D12}"/>
            </c:ext>
          </c:extLst>
        </c:ser>
        <c:dLbls>
          <c:showLegendKey val="0"/>
          <c:showVal val="0"/>
          <c:showCatName val="0"/>
          <c:showSerName val="0"/>
          <c:showPercent val="0"/>
          <c:showBubbleSize val="0"/>
        </c:dLbls>
        <c:marker val="1"/>
        <c:smooth val="0"/>
        <c:axId val="50030001"/>
        <c:axId val="50030002"/>
      </c:lineChart>
      <c:catAx>
        <c:axId val="50030001"/>
        <c:scaling>
          <c:orientation val="minMax"/>
        </c:scaling>
        <c:delete val="0"/>
        <c:axPos val="b"/>
        <c:numFmt formatCode="General" sourceLinked="0"/>
        <c:majorTickMark val="out"/>
        <c:minorTickMark val="none"/>
        <c:tickLblPos val="low"/>
        <c:txPr>
          <a:bodyPr/>
          <a:lstStyle/>
          <a:p>
            <a:pPr>
              <a:defRPr sz="800" baseline="0">
                <a:latin typeface="Arial"/>
              </a:defRPr>
            </a:pPr>
            <a:endParaRPr lang="en-CN"/>
          </a:p>
        </c:txPr>
        <c:crossAx val="50030002"/>
        <c:crosses val="autoZero"/>
        <c:auto val="1"/>
        <c:lblAlgn val="ctr"/>
        <c:lblOffset val="100"/>
        <c:noMultiLvlLbl val="0"/>
      </c:catAx>
      <c:valAx>
        <c:axId val="50030002"/>
        <c:scaling>
          <c:orientation val="minMax"/>
        </c:scaling>
        <c:delete val="0"/>
        <c:axPos val="l"/>
        <c:numFmt formatCode="#,##0" sourceLinked="0"/>
        <c:majorTickMark val="out"/>
        <c:minorTickMark val="none"/>
        <c:tickLblPos val="nextTo"/>
        <c:crossAx val="50030001"/>
        <c:crosses val="autoZero"/>
        <c:crossBetween val="between"/>
      </c:valAx>
      <c:spPr>
        <a:ln>
          <a:noFill/>
        </a:ln>
      </c:spPr>
    </c:plotArea>
    <c:legend>
      <c:legendPos val="b"/>
      <c:legendEntry>
        <c:idx val="7"/>
        <c:delete val="1"/>
      </c:legendEntry>
      <c:overlay val="0"/>
      <c:txPr>
        <a:bodyPr/>
        <a:lstStyle/>
        <a:p>
          <a:pPr>
            <a:defRPr sz="800" baseline="0">
              <a:latin typeface="Arial"/>
            </a:defRPr>
          </a:pPr>
          <a:endParaRPr lang="en-CN"/>
        </a:p>
      </c:txPr>
    </c:legend>
    <c:plotVisOnly val="1"/>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latin typeface="Arial"/>
              </a:defRPr>
            </a:pPr>
            <a:r>
              <a:rPr lang="en-US" sz="1200" b="1" baseline="0">
                <a:latin typeface="Arial"/>
              </a:rPr>
              <a:t>Number of enrollment by phase, to date: Monthly</a:t>
            </a:r>
          </a:p>
        </c:rich>
      </c:tx>
      <c:overlay val="0"/>
    </c:title>
    <c:autoTitleDeleted val="0"/>
    <c:plotArea>
      <c:layout/>
      <c:barChart>
        <c:barDir val="col"/>
        <c:grouping val="stacked"/>
        <c:varyColors val="0"/>
        <c:ser>
          <c:idx val="0"/>
          <c:order val="0"/>
          <c:tx>
            <c:v>Early Phase 1</c:v>
          </c:tx>
          <c:spPr>
            <a:solidFill>
              <a:srgbClr val="D9D9D9"/>
            </a:solidFill>
            <a:ln>
              <a:solidFill>
                <a:srgbClr val="D9D9D9"/>
              </a:solidFill>
            </a:ln>
          </c:spPr>
          <c:invertIfNegative val="0"/>
          <c:dPt>
            <c:idx val="0"/>
            <c:invertIfNegative val="0"/>
            <c:bubble3D val="0"/>
            <c:spPr>
              <a:solidFill>
                <a:srgbClr val="D9D9D9"/>
              </a:solidFill>
              <a:ln>
                <a:solidFill>
                  <a:srgbClr val="D9D9D9"/>
                </a:solidFill>
              </a:ln>
            </c:spPr>
            <c:extLst>
              <c:ext xmlns:c16="http://schemas.microsoft.com/office/drawing/2014/chart" uri="{C3380CC4-5D6E-409C-BE32-E72D297353CC}">
                <c16:uniqueId val="{00000000-FE28-B647-94A4-D692918256A5}"/>
              </c:ext>
            </c:extLst>
          </c:dPt>
          <c:dPt>
            <c:idx val="1"/>
            <c:invertIfNegative val="0"/>
            <c:bubble3D val="0"/>
            <c:spPr>
              <a:solidFill>
                <a:srgbClr val="D9D9D9"/>
              </a:solidFill>
              <a:ln>
                <a:solidFill>
                  <a:srgbClr val="D9D9D9"/>
                </a:solidFill>
              </a:ln>
            </c:spPr>
            <c:extLst>
              <c:ext xmlns:c16="http://schemas.microsoft.com/office/drawing/2014/chart" uri="{C3380CC4-5D6E-409C-BE32-E72D297353CC}">
                <c16:uniqueId val="{00000001-FE28-B647-94A4-D692918256A5}"/>
              </c:ext>
            </c:extLst>
          </c:dPt>
          <c:dPt>
            <c:idx val="2"/>
            <c:invertIfNegative val="0"/>
            <c:bubble3D val="0"/>
            <c:spPr>
              <a:solidFill>
                <a:srgbClr val="D9D9D9"/>
              </a:solidFill>
              <a:ln>
                <a:solidFill>
                  <a:srgbClr val="D9D9D9"/>
                </a:solidFill>
              </a:ln>
            </c:spPr>
            <c:extLst>
              <c:ext xmlns:c16="http://schemas.microsoft.com/office/drawing/2014/chart" uri="{C3380CC4-5D6E-409C-BE32-E72D297353CC}">
                <c16:uniqueId val="{00000002-FE28-B647-94A4-D692918256A5}"/>
              </c:ext>
            </c:extLst>
          </c:dPt>
          <c:dPt>
            <c:idx val="3"/>
            <c:invertIfNegative val="0"/>
            <c:bubble3D val="0"/>
            <c:spPr>
              <a:solidFill>
                <a:srgbClr val="D9D9D9"/>
              </a:solidFill>
              <a:ln>
                <a:solidFill>
                  <a:srgbClr val="D9D9D9"/>
                </a:solidFill>
              </a:ln>
            </c:spPr>
            <c:extLst>
              <c:ext xmlns:c16="http://schemas.microsoft.com/office/drawing/2014/chart" uri="{C3380CC4-5D6E-409C-BE32-E72D297353CC}">
                <c16:uniqueId val="{00000003-FE28-B647-94A4-D692918256A5}"/>
              </c:ext>
            </c:extLst>
          </c:dPt>
          <c:dPt>
            <c:idx val="4"/>
            <c:invertIfNegative val="0"/>
            <c:bubble3D val="0"/>
            <c:spPr>
              <a:solidFill>
                <a:srgbClr val="D9D9D9"/>
              </a:solidFill>
              <a:ln>
                <a:solidFill>
                  <a:srgbClr val="D9D9D9"/>
                </a:solidFill>
              </a:ln>
            </c:spPr>
            <c:extLst>
              <c:ext xmlns:c16="http://schemas.microsoft.com/office/drawing/2014/chart" uri="{C3380CC4-5D6E-409C-BE32-E72D297353CC}">
                <c16:uniqueId val="{00000004-FE28-B647-94A4-D692918256A5}"/>
              </c:ext>
            </c:extLst>
          </c:dPt>
          <c:dPt>
            <c:idx val="5"/>
            <c:invertIfNegative val="0"/>
            <c:bubble3D val="0"/>
            <c:spPr>
              <a:solidFill>
                <a:srgbClr val="D9D9D9"/>
              </a:solidFill>
              <a:ln>
                <a:solidFill>
                  <a:srgbClr val="D9D9D9"/>
                </a:solidFill>
              </a:ln>
            </c:spPr>
            <c:extLst>
              <c:ext xmlns:c16="http://schemas.microsoft.com/office/drawing/2014/chart" uri="{C3380CC4-5D6E-409C-BE32-E72D297353CC}">
                <c16:uniqueId val="{00000005-FE28-B647-94A4-D692918256A5}"/>
              </c:ext>
            </c:extLst>
          </c:dPt>
          <c:dPt>
            <c:idx val="6"/>
            <c:invertIfNegative val="0"/>
            <c:bubble3D val="0"/>
            <c:spPr>
              <a:solidFill>
                <a:srgbClr val="D9D9D9"/>
              </a:solidFill>
              <a:ln>
                <a:solidFill>
                  <a:srgbClr val="D9D9D9"/>
                </a:solidFill>
              </a:ln>
            </c:spPr>
            <c:extLst>
              <c:ext xmlns:c16="http://schemas.microsoft.com/office/drawing/2014/chart" uri="{C3380CC4-5D6E-409C-BE32-E72D297353CC}">
                <c16:uniqueId val="{00000006-FE28-B647-94A4-D692918256A5}"/>
              </c:ext>
            </c:extLst>
          </c:dPt>
          <c:dPt>
            <c:idx val="7"/>
            <c:invertIfNegative val="0"/>
            <c:bubble3D val="0"/>
            <c:spPr>
              <a:solidFill>
                <a:srgbClr val="D9D9D9"/>
              </a:solidFill>
              <a:ln>
                <a:solidFill>
                  <a:srgbClr val="D9D9D9"/>
                </a:solidFill>
              </a:ln>
            </c:spPr>
            <c:extLst>
              <c:ext xmlns:c16="http://schemas.microsoft.com/office/drawing/2014/chart" uri="{C3380CC4-5D6E-409C-BE32-E72D297353CC}">
                <c16:uniqueId val="{00000007-FE28-B647-94A4-D692918256A5}"/>
              </c:ext>
            </c:extLst>
          </c:dPt>
          <c:dPt>
            <c:idx val="8"/>
            <c:invertIfNegative val="0"/>
            <c:bubble3D val="0"/>
            <c:spPr>
              <a:solidFill>
                <a:srgbClr val="D9D9D9"/>
              </a:solidFill>
              <a:ln>
                <a:solidFill>
                  <a:srgbClr val="D9D9D9"/>
                </a:solidFill>
              </a:ln>
            </c:spPr>
            <c:extLst>
              <c:ext xmlns:c16="http://schemas.microsoft.com/office/drawing/2014/chart" uri="{C3380CC4-5D6E-409C-BE32-E72D297353CC}">
                <c16:uniqueId val="{00000008-FE28-B647-94A4-D692918256A5}"/>
              </c:ext>
            </c:extLst>
          </c:dPt>
          <c:dPt>
            <c:idx val="9"/>
            <c:invertIfNegative val="0"/>
            <c:bubble3D val="0"/>
            <c:spPr>
              <a:solidFill>
                <a:srgbClr val="D9D9D9"/>
              </a:solidFill>
              <a:ln>
                <a:solidFill>
                  <a:srgbClr val="D9D9D9"/>
                </a:solidFill>
              </a:ln>
            </c:spPr>
            <c:extLst>
              <c:ext xmlns:c16="http://schemas.microsoft.com/office/drawing/2014/chart" uri="{C3380CC4-5D6E-409C-BE32-E72D297353CC}">
                <c16:uniqueId val="{00000009-FE28-B647-94A4-D692918256A5}"/>
              </c:ext>
            </c:extLst>
          </c:dPt>
          <c:dPt>
            <c:idx val="10"/>
            <c:invertIfNegative val="0"/>
            <c:bubble3D val="0"/>
            <c:spPr>
              <a:solidFill>
                <a:srgbClr val="D9D9D9"/>
              </a:solidFill>
              <a:ln>
                <a:solidFill>
                  <a:srgbClr val="D9D9D9"/>
                </a:solidFill>
              </a:ln>
            </c:spPr>
            <c:extLst>
              <c:ext xmlns:c16="http://schemas.microsoft.com/office/drawing/2014/chart" uri="{C3380CC4-5D6E-409C-BE32-E72D297353CC}">
                <c16:uniqueId val="{0000000A-FE28-B647-94A4-D692918256A5}"/>
              </c:ext>
            </c:extLst>
          </c:dPt>
          <c:dPt>
            <c:idx val="11"/>
            <c:invertIfNegative val="0"/>
            <c:bubble3D val="0"/>
            <c:spPr>
              <a:solidFill>
                <a:srgbClr val="D9D9D9"/>
              </a:solidFill>
              <a:ln>
                <a:solidFill>
                  <a:srgbClr val="D9D9D9"/>
                </a:solidFill>
              </a:ln>
            </c:spPr>
            <c:extLst>
              <c:ext xmlns:c16="http://schemas.microsoft.com/office/drawing/2014/chart" uri="{C3380CC4-5D6E-409C-BE32-E72D297353CC}">
                <c16:uniqueId val="{0000000B-FE28-B647-94A4-D692918256A5}"/>
              </c:ext>
            </c:extLst>
          </c:dPt>
          <c:dPt>
            <c:idx val="12"/>
            <c:invertIfNegative val="0"/>
            <c:bubble3D val="0"/>
            <c:spPr>
              <a:solidFill>
                <a:srgbClr val="D9D9D9"/>
              </a:solidFill>
              <a:ln>
                <a:solidFill>
                  <a:srgbClr val="D9D9D9"/>
                </a:solidFill>
              </a:ln>
            </c:spPr>
            <c:extLst>
              <c:ext xmlns:c16="http://schemas.microsoft.com/office/drawing/2014/chart" uri="{C3380CC4-5D6E-409C-BE32-E72D297353CC}">
                <c16:uniqueId val="{0000000C-FE28-B647-94A4-D692918256A5}"/>
              </c:ext>
            </c:extLst>
          </c:dPt>
          <c:dPt>
            <c:idx val="13"/>
            <c:invertIfNegative val="0"/>
            <c:bubble3D val="0"/>
            <c:spPr>
              <a:solidFill>
                <a:srgbClr val="D9D9D9"/>
              </a:solidFill>
              <a:ln>
                <a:solidFill>
                  <a:srgbClr val="D9D9D9"/>
                </a:solidFill>
              </a:ln>
            </c:spPr>
            <c:extLst>
              <c:ext xmlns:c16="http://schemas.microsoft.com/office/drawing/2014/chart" uri="{C3380CC4-5D6E-409C-BE32-E72D297353CC}">
                <c16:uniqueId val="{0000000D-FE28-B647-94A4-D692918256A5}"/>
              </c:ext>
            </c:extLst>
          </c:dPt>
          <c:dPt>
            <c:idx val="14"/>
            <c:invertIfNegative val="0"/>
            <c:bubble3D val="0"/>
            <c:spPr>
              <a:solidFill>
                <a:srgbClr val="D9D9D9"/>
              </a:solidFill>
              <a:ln>
                <a:solidFill>
                  <a:srgbClr val="D9D9D9"/>
                </a:solidFill>
              </a:ln>
            </c:spPr>
            <c:extLst>
              <c:ext xmlns:c16="http://schemas.microsoft.com/office/drawing/2014/chart" uri="{C3380CC4-5D6E-409C-BE32-E72D297353CC}">
                <c16:uniqueId val="{0000000E-FE28-B647-94A4-D692918256A5}"/>
              </c:ext>
            </c:extLst>
          </c:dPt>
          <c:dPt>
            <c:idx val="15"/>
            <c:invertIfNegative val="0"/>
            <c:bubble3D val="0"/>
            <c:spPr>
              <a:solidFill>
                <a:srgbClr val="D9D9D9"/>
              </a:solidFill>
              <a:ln>
                <a:solidFill>
                  <a:srgbClr val="D9D9D9"/>
                </a:solidFill>
              </a:ln>
            </c:spPr>
            <c:extLst>
              <c:ext xmlns:c16="http://schemas.microsoft.com/office/drawing/2014/chart" uri="{C3380CC4-5D6E-409C-BE32-E72D297353CC}">
                <c16:uniqueId val="{0000000F-FE28-B647-94A4-D692918256A5}"/>
              </c:ext>
            </c:extLst>
          </c:dPt>
          <c:dPt>
            <c:idx val="16"/>
            <c:invertIfNegative val="0"/>
            <c:bubble3D val="0"/>
            <c:spPr>
              <a:solidFill>
                <a:srgbClr val="D9D9D9"/>
              </a:solidFill>
              <a:ln>
                <a:solidFill>
                  <a:srgbClr val="D9D9D9"/>
                </a:solidFill>
              </a:ln>
            </c:spPr>
            <c:extLst>
              <c:ext xmlns:c16="http://schemas.microsoft.com/office/drawing/2014/chart" uri="{C3380CC4-5D6E-409C-BE32-E72D297353CC}">
                <c16:uniqueId val="{00000010-FE28-B647-94A4-D692918256A5}"/>
              </c:ext>
            </c:extLst>
          </c:dPt>
          <c:dPt>
            <c:idx val="17"/>
            <c:invertIfNegative val="0"/>
            <c:bubble3D val="0"/>
            <c:spPr>
              <a:solidFill>
                <a:srgbClr val="D9D9D9"/>
              </a:solidFill>
              <a:ln>
                <a:solidFill>
                  <a:srgbClr val="D9D9D9"/>
                </a:solidFill>
              </a:ln>
            </c:spPr>
            <c:extLst>
              <c:ext xmlns:c16="http://schemas.microsoft.com/office/drawing/2014/chart" uri="{C3380CC4-5D6E-409C-BE32-E72D297353CC}">
                <c16:uniqueId val="{00000011-FE28-B647-94A4-D692918256A5}"/>
              </c:ext>
            </c:extLst>
          </c:dPt>
          <c:dPt>
            <c:idx val="18"/>
            <c:invertIfNegative val="0"/>
            <c:bubble3D val="0"/>
            <c:spPr>
              <a:solidFill>
                <a:srgbClr val="D9D9D9"/>
              </a:solidFill>
              <a:ln>
                <a:solidFill>
                  <a:srgbClr val="D9D9D9"/>
                </a:solidFill>
              </a:ln>
            </c:spPr>
            <c:extLst>
              <c:ext xmlns:c16="http://schemas.microsoft.com/office/drawing/2014/chart" uri="{C3380CC4-5D6E-409C-BE32-E72D297353CC}">
                <c16:uniqueId val="{00000012-FE28-B647-94A4-D692918256A5}"/>
              </c:ext>
            </c:extLst>
          </c:dPt>
          <c:dPt>
            <c:idx val="19"/>
            <c:invertIfNegative val="0"/>
            <c:bubble3D val="0"/>
            <c:spPr>
              <a:solidFill>
                <a:srgbClr val="D9D9D9"/>
              </a:solidFill>
              <a:ln>
                <a:solidFill>
                  <a:srgbClr val="D9D9D9"/>
                </a:solidFill>
              </a:ln>
            </c:spPr>
            <c:extLst>
              <c:ext xmlns:c16="http://schemas.microsoft.com/office/drawing/2014/chart" uri="{C3380CC4-5D6E-409C-BE32-E72D297353CC}">
                <c16:uniqueId val="{00000013-FE28-B647-94A4-D692918256A5}"/>
              </c:ext>
            </c:extLst>
          </c:dPt>
          <c:dPt>
            <c:idx val="20"/>
            <c:invertIfNegative val="0"/>
            <c:bubble3D val="0"/>
            <c:spPr>
              <a:solidFill>
                <a:srgbClr val="D9D9D9"/>
              </a:solidFill>
              <a:ln>
                <a:solidFill>
                  <a:srgbClr val="D9D9D9"/>
                </a:solidFill>
              </a:ln>
            </c:spPr>
            <c:extLst>
              <c:ext xmlns:c16="http://schemas.microsoft.com/office/drawing/2014/chart" uri="{C3380CC4-5D6E-409C-BE32-E72D297353CC}">
                <c16:uniqueId val="{00000014-FE28-B647-94A4-D692918256A5}"/>
              </c:ext>
            </c:extLst>
          </c:dPt>
          <c:dPt>
            <c:idx val="21"/>
            <c:invertIfNegative val="0"/>
            <c:bubble3D val="0"/>
            <c:spPr>
              <a:solidFill>
                <a:srgbClr val="D9D9D9"/>
              </a:solidFill>
              <a:ln>
                <a:solidFill>
                  <a:srgbClr val="D9D9D9"/>
                </a:solidFill>
              </a:ln>
            </c:spPr>
            <c:extLst>
              <c:ext xmlns:c16="http://schemas.microsoft.com/office/drawing/2014/chart" uri="{C3380CC4-5D6E-409C-BE32-E72D297353CC}">
                <c16:uniqueId val="{00000015-FE28-B647-94A4-D692918256A5}"/>
              </c:ext>
            </c:extLst>
          </c:dPt>
          <c:dPt>
            <c:idx val="22"/>
            <c:invertIfNegative val="0"/>
            <c:bubble3D val="0"/>
            <c:spPr>
              <a:solidFill>
                <a:srgbClr val="D9D9D9"/>
              </a:solidFill>
              <a:ln>
                <a:solidFill>
                  <a:srgbClr val="D9D9D9"/>
                </a:solidFill>
              </a:ln>
            </c:spPr>
            <c:extLst>
              <c:ext xmlns:c16="http://schemas.microsoft.com/office/drawing/2014/chart" uri="{C3380CC4-5D6E-409C-BE32-E72D297353CC}">
                <c16:uniqueId val="{00000016-FE28-B647-94A4-D692918256A5}"/>
              </c:ext>
            </c:extLst>
          </c:dPt>
          <c:dPt>
            <c:idx val="23"/>
            <c:invertIfNegative val="0"/>
            <c:bubble3D val="0"/>
            <c:spPr>
              <a:solidFill>
                <a:srgbClr val="D9D9D9"/>
              </a:solidFill>
              <a:ln>
                <a:solidFill>
                  <a:srgbClr val="D9D9D9"/>
                </a:solidFill>
              </a:ln>
            </c:spPr>
            <c:extLst>
              <c:ext xmlns:c16="http://schemas.microsoft.com/office/drawing/2014/chart" uri="{C3380CC4-5D6E-409C-BE32-E72D297353CC}">
                <c16:uniqueId val="{00000017-FE28-B647-94A4-D692918256A5}"/>
              </c:ext>
            </c:extLst>
          </c:dPt>
          <c:dPt>
            <c:idx val="24"/>
            <c:invertIfNegative val="0"/>
            <c:bubble3D val="0"/>
            <c:spPr>
              <a:solidFill>
                <a:srgbClr val="D9D9D9"/>
              </a:solidFill>
              <a:ln>
                <a:solidFill>
                  <a:srgbClr val="D9D9D9"/>
                </a:solidFill>
              </a:ln>
            </c:spPr>
            <c:extLst>
              <c:ext xmlns:c16="http://schemas.microsoft.com/office/drawing/2014/chart" uri="{C3380CC4-5D6E-409C-BE32-E72D297353CC}">
                <c16:uniqueId val="{00000018-FE28-B647-94A4-D692918256A5}"/>
              </c:ext>
            </c:extLst>
          </c:dPt>
          <c:dPt>
            <c:idx val="25"/>
            <c:invertIfNegative val="0"/>
            <c:bubble3D val="0"/>
            <c:spPr>
              <a:solidFill>
                <a:srgbClr val="BDD7EE"/>
              </a:solidFill>
              <a:ln>
                <a:solidFill>
                  <a:srgbClr val="BDD7EE"/>
                </a:solidFill>
              </a:ln>
            </c:spPr>
            <c:extLst>
              <c:ext xmlns:c16="http://schemas.microsoft.com/office/drawing/2014/chart" uri="{C3380CC4-5D6E-409C-BE32-E72D297353CC}">
                <c16:uniqueId val="{00000019-FE28-B647-94A4-D692918256A5}"/>
              </c:ext>
            </c:extLst>
          </c:dPt>
          <c:dLbls>
            <c:numFmt formatCode="#,##0" sourceLinked="0"/>
            <c:spPr>
              <a:noFill/>
              <a:ln>
                <a:noFill/>
              </a:ln>
              <a:effectLst/>
            </c:spPr>
            <c:txPr>
              <a:bodyPr/>
              <a:lstStyle/>
              <a:p>
                <a:pPr>
                  <a:defRPr sz="700" baseline="0">
                    <a:solidFill>
                      <a:srgbClr val="1A1A1A"/>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'Summary Statistics - Enrollment'!$A$18:$A$43</c:f>
              <c:numCache>
                <c:formatCode>mmm\ yyyy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'Summary Statistics - Enrollment'!$B$18:$B$43</c:f>
              <c:numCache>
                <c:formatCode>#,##0</c:formatCode>
                <c:ptCount val="26"/>
                <c:pt idx="0">
                  <c:v>189</c:v>
                </c:pt>
                <c:pt idx="1">
                  <c:v>22</c:v>
                </c:pt>
                <c:pt idx="2">
                  <c:v>144</c:v>
                </c:pt>
                <c:pt idx="3">
                  <c:v>300</c:v>
                </c:pt>
                <c:pt idx="4">
                  <c:v>606</c:v>
                </c:pt>
                <c:pt idx="5">
                  <c:v>104</c:v>
                </c:pt>
                <c:pt idx="6">
                  <c:v>18</c:v>
                </c:pt>
                <c:pt idx="7">
                  <c:v>279</c:v>
                </c:pt>
                <c:pt idx="8">
                  <c:v>45</c:v>
                </c:pt>
                <c:pt idx="9">
                  <c:v>324</c:v>
                </c:pt>
                <c:pt idx="10">
                  <c:v>323</c:v>
                </c:pt>
                <c:pt idx="11">
                  <c:v>134</c:v>
                </c:pt>
                <c:pt idx="12">
                  <c:v>178</c:v>
                </c:pt>
                <c:pt idx="13">
                  <c:v>166</c:v>
                </c:pt>
                <c:pt idx="14">
                  <c:v>242</c:v>
                </c:pt>
                <c:pt idx="15">
                  <c:v>38</c:v>
                </c:pt>
                <c:pt idx="16">
                  <c:v>158</c:v>
                </c:pt>
                <c:pt idx="17">
                  <c:v>158</c:v>
                </c:pt>
                <c:pt idx="18">
                  <c:v>233</c:v>
                </c:pt>
                <c:pt idx="19">
                  <c:v>270</c:v>
                </c:pt>
                <c:pt idx="20">
                  <c:v>203</c:v>
                </c:pt>
                <c:pt idx="21">
                  <c:v>348</c:v>
                </c:pt>
                <c:pt idx="22">
                  <c:v>98</c:v>
                </c:pt>
                <c:pt idx="23">
                  <c:v>503</c:v>
                </c:pt>
                <c:pt idx="24">
                  <c:v>379</c:v>
                </c:pt>
                <c:pt idx="25">
                  <c:v>464</c:v>
                </c:pt>
              </c:numCache>
            </c:numRef>
          </c:val>
          <c:extLst>
            <c:ext xmlns:c16="http://schemas.microsoft.com/office/drawing/2014/chart" uri="{C3380CC4-5D6E-409C-BE32-E72D297353CC}">
              <c16:uniqueId val="{0000001A-FE28-B647-94A4-D692918256A5}"/>
            </c:ext>
          </c:extLst>
        </c:ser>
        <c:ser>
          <c:idx val="1"/>
          <c:order val="1"/>
          <c:tx>
            <c:v>Phase 1</c:v>
          </c:tx>
          <c:spPr>
            <a:solidFill>
              <a:srgbClr val="B9B9B9"/>
            </a:solidFill>
            <a:ln>
              <a:solidFill>
                <a:srgbClr val="B9B9B9"/>
              </a:solidFill>
            </a:ln>
          </c:spPr>
          <c:invertIfNegative val="0"/>
          <c:dPt>
            <c:idx val="0"/>
            <c:invertIfNegative val="0"/>
            <c:bubble3D val="0"/>
            <c:extLst>
              <c:ext xmlns:c16="http://schemas.microsoft.com/office/drawing/2014/chart" uri="{C3380CC4-5D6E-409C-BE32-E72D297353CC}">
                <c16:uniqueId val="{0000001B-FE28-B647-94A4-D692918256A5}"/>
              </c:ext>
            </c:extLst>
          </c:dPt>
          <c:dPt>
            <c:idx val="1"/>
            <c:invertIfNegative val="0"/>
            <c:bubble3D val="0"/>
            <c:extLst>
              <c:ext xmlns:c16="http://schemas.microsoft.com/office/drawing/2014/chart" uri="{C3380CC4-5D6E-409C-BE32-E72D297353CC}">
                <c16:uniqueId val="{0000001C-FE28-B647-94A4-D692918256A5}"/>
              </c:ext>
            </c:extLst>
          </c:dPt>
          <c:dPt>
            <c:idx val="2"/>
            <c:invertIfNegative val="0"/>
            <c:bubble3D val="0"/>
            <c:extLst>
              <c:ext xmlns:c16="http://schemas.microsoft.com/office/drawing/2014/chart" uri="{C3380CC4-5D6E-409C-BE32-E72D297353CC}">
                <c16:uniqueId val="{0000001D-FE28-B647-94A4-D692918256A5}"/>
              </c:ext>
            </c:extLst>
          </c:dPt>
          <c:dPt>
            <c:idx val="3"/>
            <c:invertIfNegative val="0"/>
            <c:bubble3D val="0"/>
            <c:extLst>
              <c:ext xmlns:c16="http://schemas.microsoft.com/office/drawing/2014/chart" uri="{C3380CC4-5D6E-409C-BE32-E72D297353CC}">
                <c16:uniqueId val="{0000001E-FE28-B647-94A4-D692918256A5}"/>
              </c:ext>
            </c:extLst>
          </c:dPt>
          <c:dPt>
            <c:idx val="4"/>
            <c:invertIfNegative val="0"/>
            <c:bubble3D val="0"/>
            <c:extLst>
              <c:ext xmlns:c16="http://schemas.microsoft.com/office/drawing/2014/chart" uri="{C3380CC4-5D6E-409C-BE32-E72D297353CC}">
                <c16:uniqueId val="{0000001F-FE28-B647-94A4-D692918256A5}"/>
              </c:ext>
            </c:extLst>
          </c:dPt>
          <c:dPt>
            <c:idx val="5"/>
            <c:invertIfNegative val="0"/>
            <c:bubble3D val="0"/>
            <c:extLst>
              <c:ext xmlns:c16="http://schemas.microsoft.com/office/drawing/2014/chart" uri="{C3380CC4-5D6E-409C-BE32-E72D297353CC}">
                <c16:uniqueId val="{00000020-FE28-B647-94A4-D692918256A5}"/>
              </c:ext>
            </c:extLst>
          </c:dPt>
          <c:dPt>
            <c:idx val="6"/>
            <c:invertIfNegative val="0"/>
            <c:bubble3D val="0"/>
            <c:extLst>
              <c:ext xmlns:c16="http://schemas.microsoft.com/office/drawing/2014/chart" uri="{C3380CC4-5D6E-409C-BE32-E72D297353CC}">
                <c16:uniqueId val="{00000021-FE28-B647-94A4-D692918256A5}"/>
              </c:ext>
            </c:extLst>
          </c:dPt>
          <c:dPt>
            <c:idx val="7"/>
            <c:invertIfNegative val="0"/>
            <c:bubble3D val="0"/>
            <c:extLst>
              <c:ext xmlns:c16="http://schemas.microsoft.com/office/drawing/2014/chart" uri="{C3380CC4-5D6E-409C-BE32-E72D297353CC}">
                <c16:uniqueId val="{00000022-FE28-B647-94A4-D692918256A5}"/>
              </c:ext>
            </c:extLst>
          </c:dPt>
          <c:dPt>
            <c:idx val="8"/>
            <c:invertIfNegative val="0"/>
            <c:bubble3D val="0"/>
            <c:extLst>
              <c:ext xmlns:c16="http://schemas.microsoft.com/office/drawing/2014/chart" uri="{C3380CC4-5D6E-409C-BE32-E72D297353CC}">
                <c16:uniqueId val="{00000023-FE28-B647-94A4-D692918256A5}"/>
              </c:ext>
            </c:extLst>
          </c:dPt>
          <c:dPt>
            <c:idx val="9"/>
            <c:invertIfNegative val="0"/>
            <c:bubble3D val="0"/>
            <c:extLst>
              <c:ext xmlns:c16="http://schemas.microsoft.com/office/drawing/2014/chart" uri="{C3380CC4-5D6E-409C-BE32-E72D297353CC}">
                <c16:uniqueId val="{00000024-FE28-B647-94A4-D692918256A5}"/>
              </c:ext>
            </c:extLst>
          </c:dPt>
          <c:dPt>
            <c:idx val="10"/>
            <c:invertIfNegative val="0"/>
            <c:bubble3D val="0"/>
            <c:extLst>
              <c:ext xmlns:c16="http://schemas.microsoft.com/office/drawing/2014/chart" uri="{C3380CC4-5D6E-409C-BE32-E72D297353CC}">
                <c16:uniqueId val="{00000025-FE28-B647-94A4-D692918256A5}"/>
              </c:ext>
            </c:extLst>
          </c:dPt>
          <c:dPt>
            <c:idx val="11"/>
            <c:invertIfNegative val="0"/>
            <c:bubble3D val="0"/>
            <c:extLst>
              <c:ext xmlns:c16="http://schemas.microsoft.com/office/drawing/2014/chart" uri="{C3380CC4-5D6E-409C-BE32-E72D297353CC}">
                <c16:uniqueId val="{00000026-FE28-B647-94A4-D692918256A5}"/>
              </c:ext>
            </c:extLst>
          </c:dPt>
          <c:dPt>
            <c:idx val="12"/>
            <c:invertIfNegative val="0"/>
            <c:bubble3D val="0"/>
            <c:extLst>
              <c:ext xmlns:c16="http://schemas.microsoft.com/office/drawing/2014/chart" uri="{C3380CC4-5D6E-409C-BE32-E72D297353CC}">
                <c16:uniqueId val="{00000027-FE28-B647-94A4-D692918256A5}"/>
              </c:ext>
            </c:extLst>
          </c:dPt>
          <c:dPt>
            <c:idx val="13"/>
            <c:invertIfNegative val="0"/>
            <c:bubble3D val="0"/>
            <c:extLst>
              <c:ext xmlns:c16="http://schemas.microsoft.com/office/drawing/2014/chart" uri="{C3380CC4-5D6E-409C-BE32-E72D297353CC}">
                <c16:uniqueId val="{00000028-FE28-B647-94A4-D692918256A5}"/>
              </c:ext>
            </c:extLst>
          </c:dPt>
          <c:dPt>
            <c:idx val="14"/>
            <c:invertIfNegative val="0"/>
            <c:bubble3D val="0"/>
            <c:extLst>
              <c:ext xmlns:c16="http://schemas.microsoft.com/office/drawing/2014/chart" uri="{C3380CC4-5D6E-409C-BE32-E72D297353CC}">
                <c16:uniqueId val="{00000029-FE28-B647-94A4-D692918256A5}"/>
              </c:ext>
            </c:extLst>
          </c:dPt>
          <c:dPt>
            <c:idx val="15"/>
            <c:invertIfNegative val="0"/>
            <c:bubble3D val="0"/>
            <c:extLst>
              <c:ext xmlns:c16="http://schemas.microsoft.com/office/drawing/2014/chart" uri="{C3380CC4-5D6E-409C-BE32-E72D297353CC}">
                <c16:uniqueId val="{0000002A-FE28-B647-94A4-D692918256A5}"/>
              </c:ext>
            </c:extLst>
          </c:dPt>
          <c:dPt>
            <c:idx val="16"/>
            <c:invertIfNegative val="0"/>
            <c:bubble3D val="0"/>
            <c:extLst>
              <c:ext xmlns:c16="http://schemas.microsoft.com/office/drawing/2014/chart" uri="{C3380CC4-5D6E-409C-BE32-E72D297353CC}">
                <c16:uniqueId val="{0000002B-FE28-B647-94A4-D692918256A5}"/>
              </c:ext>
            </c:extLst>
          </c:dPt>
          <c:dPt>
            <c:idx val="17"/>
            <c:invertIfNegative val="0"/>
            <c:bubble3D val="0"/>
            <c:extLst>
              <c:ext xmlns:c16="http://schemas.microsoft.com/office/drawing/2014/chart" uri="{C3380CC4-5D6E-409C-BE32-E72D297353CC}">
                <c16:uniqueId val="{0000002C-FE28-B647-94A4-D692918256A5}"/>
              </c:ext>
            </c:extLst>
          </c:dPt>
          <c:dPt>
            <c:idx val="18"/>
            <c:invertIfNegative val="0"/>
            <c:bubble3D val="0"/>
            <c:extLst>
              <c:ext xmlns:c16="http://schemas.microsoft.com/office/drawing/2014/chart" uri="{C3380CC4-5D6E-409C-BE32-E72D297353CC}">
                <c16:uniqueId val="{0000002D-FE28-B647-94A4-D692918256A5}"/>
              </c:ext>
            </c:extLst>
          </c:dPt>
          <c:dPt>
            <c:idx val="19"/>
            <c:invertIfNegative val="0"/>
            <c:bubble3D val="0"/>
            <c:extLst>
              <c:ext xmlns:c16="http://schemas.microsoft.com/office/drawing/2014/chart" uri="{C3380CC4-5D6E-409C-BE32-E72D297353CC}">
                <c16:uniqueId val="{0000002E-FE28-B647-94A4-D692918256A5}"/>
              </c:ext>
            </c:extLst>
          </c:dPt>
          <c:dPt>
            <c:idx val="20"/>
            <c:invertIfNegative val="0"/>
            <c:bubble3D val="0"/>
            <c:extLst>
              <c:ext xmlns:c16="http://schemas.microsoft.com/office/drawing/2014/chart" uri="{C3380CC4-5D6E-409C-BE32-E72D297353CC}">
                <c16:uniqueId val="{0000002F-FE28-B647-94A4-D692918256A5}"/>
              </c:ext>
            </c:extLst>
          </c:dPt>
          <c:dPt>
            <c:idx val="21"/>
            <c:invertIfNegative val="0"/>
            <c:bubble3D val="0"/>
            <c:extLst>
              <c:ext xmlns:c16="http://schemas.microsoft.com/office/drawing/2014/chart" uri="{C3380CC4-5D6E-409C-BE32-E72D297353CC}">
                <c16:uniqueId val="{00000030-FE28-B647-94A4-D692918256A5}"/>
              </c:ext>
            </c:extLst>
          </c:dPt>
          <c:dPt>
            <c:idx val="22"/>
            <c:invertIfNegative val="0"/>
            <c:bubble3D val="0"/>
            <c:extLst>
              <c:ext xmlns:c16="http://schemas.microsoft.com/office/drawing/2014/chart" uri="{C3380CC4-5D6E-409C-BE32-E72D297353CC}">
                <c16:uniqueId val="{00000031-FE28-B647-94A4-D692918256A5}"/>
              </c:ext>
            </c:extLst>
          </c:dPt>
          <c:dPt>
            <c:idx val="23"/>
            <c:invertIfNegative val="0"/>
            <c:bubble3D val="0"/>
            <c:extLst>
              <c:ext xmlns:c16="http://schemas.microsoft.com/office/drawing/2014/chart" uri="{C3380CC4-5D6E-409C-BE32-E72D297353CC}">
                <c16:uniqueId val="{00000032-FE28-B647-94A4-D692918256A5}"/>
              </c:ext>
            </c:extLst>
          </c:dPt>
          <c:dPt>
            <c:idx val="24"/>
            <c:invertIfNegative val="0"/>
            <c:bubble3D val="0"/>
            <c:extLst>
              <c:ext xmlns:c16="http://schemas.microsoft.com/office/drawing/2014/chart" uri="{C3380CC4-5D6E-409C-BE32-E72D297353CC}">
                <c16:uniqueId val="{00000033-FE28-B647-94A4-D692918256A5}"/>
              </c:ext>
            </c:extLst>
          </c:dPt>
          <c:dPt>
            <c:idx val="25"/>
            <c:invertIfNegative val="0"/>
            <c:bubble3D val="0"/>
            <c:spPr>
              <a:solidFill>
                <a:srgbClr val="A3BCD7"/>
              </a:solidFill>
              <a:ln>
                <a:solidFill>
                  <a:srgbClr val="A3BCD7"/>
                </a:solidFill>
              </a:ln>
            </c:spPr>
            <c:extLst>
              <c:ext xmlns:c16="http://schemas.microsoft.com/office/drawing/2014/chart" uri="{C3380CC4-5D6E-409C-BE32-E72D297353CC}">
                <c16:uniqueId val="{00000034-FE28-B647-94A4-D692918256A5}"/>
              </c:ext>
            </c:extLst>
          </c:dPt>
          <c:dLbls>
            <c:numFmt formatCode="#,##0" sourceLinked="0"/>
            <c:spPr>
              <a:noFill/>
              <a:ln>
                <a:noFill/>
              </a:ln>
              <a:effectLst/>
            </c:spPr>
            <c:txPr>
              <a:bodyPr/>
              <a:lstStyle/>
              <a:p>
                <a:pPr>
                  <a:defRPr sz="700" baseline="0">
                    <a:solidFill>
                      <a:srgbClr val="1A1A1A"/>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'Summary Statistics - Enrollment'!$A$18:$A$43</c:f>
              <c:numCache>
                <c:formatCode>mmm\ yyyy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'Summary Statistics - Enrollment'!$C$18:$C$43</c:f>
              <c:numCache>
                <c:formatCode>#,##0</c:formatCode>
                <c:ptCount val="26"/>
                <c:pt idx="0">
                  <c:v>9940</c:v>
                </c:pt>
                <c:pt idx="1">
                  <c:v>6820</c:v>
                </c:pt>
                <c:pt idx="2">
                  <c:v>9198</c:v>
                </c:pt>
                <c:pt idx="3">
                  <c:v>10812</c:v>
                </c:pt>
                <c:pt idx="4">
                  <c:v>10536</c:v>
                </c:pt>
                <c:pt idx="5">
                  <c:v>11028</c:v>
                </c:pt>
                <c:pt idx="6">
                  <c:v>8820</c:v>
                </c:pt>
                <c:pt idx="7">
                  <c:v>9692</c:v>
                </c:pt>
                <c:pt idx="8">
                  <c:v>9127</c:v>
                </c:pt>
                <c:pt idx="9">
                  <c:v>10304</c:v>
                </c:pt>
                <c:pt idx="10">
                  <c:v>8831</c:v>
                </c:pt>
                <c:pt idx="11">
                  <c:v>11044</c:v>
                </c:pt>
                <c:pt idx="12">
                  <c:v>7401</c:v>
                </c:pt>
                <c:pt idx="13">
                  <c:v>7615</c:v>
                </c:pt>
                <c:pt idx="14">
                  <c:v>9379</c:v>
                </c:pt>
                <c:pt idx="15">
                  <c:v>10990</c:v>
                </c:pt>
                <c:pt idx="16">
                  <c:v>10529</c:v>
                </c:pt>
                <c:pt idx="17">
                  <c:v>9454</c:v>
                </c:pt>
                <c:pt idx="18">
                  <c:v>10546</c:v>
                </c:pt>
                <c:pt idx="19">
                  <c:v>10674</c:v>
                </c:pt>
                <c:pt idx="20">
                  <c:v>6408</c:v>
                </c:pt>
                <c:pt idx="21">
                  <c:v>9145</c:v>
                </c:pt>
                <c:pt idx="22">
                  <c:v>8436</c:v>
                </c:pt>
                <c:pt idx="23">
                  <c:v>11157</c:v>
                </c:pt>
                <c:pt idx="24">
                  <c:v>9318</c:v>
                </c:pt>
                <c:pt idx="25">
                  <c:v>7021</c:v>
                </c:pt>
              </c:numCache>
            </c:numRef>
          </c:val>
          <c:extLst>
            <c:ext xmlns:c16="http://schemas.microsoft.com/office/drawing/2014/chart" uri="{C3380CC4-5D6E-409C-BE32-E72D297353CC}">
              <c16:uniqueId val="{00000035-FE28-B647-94A4-D692918256A5}"/>
            </c:ext>
          </c:extLst>
        </c:ser>
        <c:ser>
          <c:idx val="2"/>
          <c:order val="2"/>
          <c:tx>
            <c:v>Phase 1/2</c:v>
          </c:tx>
          <c:spPr>
            <a:solidFill>
              <a:srgbClr val="999999"/>
            </a:solidFill>
            <a:ln>
              <a:solidFill>
                <a:srgbClr val="999999"/>
              </a:solidFill>
            </a:ln>
          </c:spPr>
          <c:invertIfNegative val="0"/>
          <c:dPt>
            <c:idx val="0"/>
            <c:invertIfNegative val="0"/>
            <c:bubble3D val="0"/>
            <c:extLst>
              <c:ext xmlns:c16="http://schemas.microsoft.com/office/drawing/2014/chart" uri="{C3380CC4-5D6E-409C-BE32-E72D297353CC}">
                <c16:uniqueId val="{00000036-FE28-B647-94A4-D692918256A5}"/>
              </c:ext>
            </c:extLst>
          </c:dPt>
          <c:dPt>
            <c:idx val="1"/>
            <c:invertIfNegative val="0"/>
            <c:bubble3D val="0"/>
            <c:extLst>
              <c:ext xmlns:c16="http://schemas.microsoft.com/office/drawing/2014/chart" uri="{C3380CC4-5D6E-409C-BE32-E72D297353CC}">
                <c16:uniqueId val="{00000037-FE28-B647-94A4-D692918256A5}"/>
              </c:ext>
            </c:extLst>
          </c:dPt>
          <c:dPt>
            <c:idx val="2"/>
            <c:invertIfNegative val="0"/>
            <c:bubble3D val="0"/>
            <c:extLst>
              <c:ext xmlns:c16="http://schemas.microsoft.com/office/drawing/2014/chart" uri="{C3380CC4-5D6E-409C-BE32-E72D297353CC}">
                <c16:uniqueId val="{00000038-FE28-B647-94A4-D692918256A5}"/>
              </c:ext>
            </c:extLst>
          </c:dPt>
          <c:dPt>
            <c:idx val="3"/>
            <c:invertIfNegative val="0"/>
            <c:bubble3D val="0"/>
            <c:extLst>
              <c:ext xmlns:c16="http://schemas.microsoft.com/office/drawing/2014/chart" uri="{C3380CC4-5D6E-409C-BE32-E72D297353CC}">
                <c16:uniqueId val="{00000039-FE28-B647-94A4-D692918256A5}"/>
              </c:ext>
            </c:extLst>
          </c:dPt>
          <c:dPt>
            <c:idx val="4"/>
            <c:invertIfNegative val="0"/>
            <c:bubble3D val="0"/>
            <c:extLst>
              <c:ext xmlns:c16="http://schemas.microsoft.com/office/drawing/2014/chart" uri="{C3380CC4-5D6E-409C-BE32-E72D297353CC}">
                <c16:uniqueId val="{0000003A-FE28-B647-94A4-D692918256A5}"/>
              </c:ext>
            </c:extLst>
          </c:dPt>
          <c:dPt>
            <c:idx val="5"/>
            <c:invertIfNegative val="0"/>
            <c:bubble3D val="0"/>
            <c:extLst>
              <c:ext xmlns:c16="http://schemas.microsoft.com/office/drawing/2014/chart" uri="{C3380CC4-5D6E-409C-BE32-E72D297353CC}">
                <c16:uniqueId val="{0000003B-FE28-B647-94A4-D692918256A5}"/>
              </c:ext>
            </c:extLst>
          </c:dPt>
          <c:dPt>
            <c:idx val="6"/>
            <c:invertIfNegative val="0"/>
            <c:bubble3D val="0"/>
            <c:extLst>
              <c:ext xmlns:c16="http://schemas.microsoft.com/office/drawing/2014/chart" uri="{C3380CC4-5D6E-409C-BE32-E72D297353CC}">
                <c16:uniqueId val="{0000003C-FE28-B647-94A4-D692918256A5}"/>
              </c:ext>
            </c:extLst>
          </c:dPt>
          <c:dPt>
            <c:idx val="7"/>
            <c:invertIfNegative val="0"/>
            <c:bubble3D val="0"/>
            <c:extLst>
              <c:ext xmlns:c16="http://schemas.microsoft.com/office/drawing/2014/chart" uri="{C3380CC4-5D6E-409C-BE32-E72D297353CC}">
                <c16:uniqueId val="{0000003D-FE28-B647-94A4-D692918256A5}"/>
              </c:ext>
            </c:extLst>
          </c:dPt>
          <c:dPt>
            <c:idx val="8"/>
            <c:invertIfNegative val="0"/>
            <c:bubble3D val="0"/>
            <c:extLst>
              <c:ext xmlns:c16="http://schemas.microsoft.com/office/drawing/2014/chart" uri="{C3380CC4-5D6E-409C-BE32-E72D297353CC}">
                <c16:uniqueId val="{0000003E-FE28-B647-94A4-D692918256A5}"/>
              </c:ext>
            </c:extLst>
          </c:dPt>
          <c:dPt>
            <c:idx val="9"/>
            <c:invertIfNegative val="0"/>
            <c:bubble3D val="0"/>
            <c:extLst>
              <c:ext xmlns:c16="http://schemas.microsoft.com/office/drawing/2014/chart" uri="{C3380CC4-5D6E-409C-BE32-E72D297353CC}">
                <c16:uniqueId val="{0000003F-FE28-B647-94A4-D692918256A5}"/>
              </c:ext>
            </c:extLst>
          </c:dPt>
          <c:dPt>
            <c:idx val="10"/>
            <c:invertIfNegative val="0"/>
            <c:bubble3D val="0"/>
            <c:extLst>
              <c:ext xmlns:c16="http://schemas.microsoft.com/office/drawing/2014/chart" uri="{C3380CC4-5D6E-409C-BE32-E72D297353CC}">
                <c16:uniqueId val="{00000040-FE28-B647-94A4-D692918256A5}"/>
              </c:ext>
            </c:extLst>
          </c:dPt>
          <c:dPt>
            <c:idx val="11"/>
            <c:invertIfNegative val="0"/>
            <c:bubble3D val="0"/>
            <c:extLst>
              <c:ext xmlns:c16="http://schemas.microsoft.com/office/drawing/2014/chart" uri="{C3380CC4-5D6E-409C-BE32-E72D297353CC}">
                <c16:uniqueId val="{00000041-FE28-B647-94A4-D692918256A5}"/>
              </c:ext>
            </c:extLst>
          </c:dPt>
          <c:dPt>
            <c:idx val="12"/>
            <c:invertIfNegative val="0"/>
            <c:bubble3D val="0"/>
            <c:extLst>
              <c:ext xmlns:c16="http://schemas.microsoft.com/office/drawing/2014/chart" uri="{C3380CC4-5D6E-409C-BE32-E72D297353CC}">
                <c16:uniqueId val="{00000042-FE28-B647-94A4-D692918256A5}"/>
              </c:ext>
            </c:extLst>
          </c:dPt>
          <c:dPt>
            <c:idx val="13"/>
            <c:invertIfNegative val="0"/>
            <c:bubble3D val="0"/>
            <c:extLst>
              <c:ext xmlns:c16="http://schemas.microsoft.com/office/drawing/2014/chart" uri="{C3380CC4-5D6E-409C-BE32-E72D297353CC}">
                <c16:uniqueId val="{00000043-FE28-B647-94A4-D692918256A5}"/>
              </c:ext>
            </c:extLst>
          </c:dPt>
          <c:dPt>
            <c:idx val="14"/>
            <c:invertIfNegative val="0"/>
            <c:bubble3D val="0"/>
            <c:extLst>
              <c:ext xmlns:c16="http://schemas.microsoft.com/office/drawing/2014/chart" uri="{C3380CC4-5D6E-409C-BE32-E72D297353CC}">
                <c16:uniqueId val="{00000044-FE28-B647-94A4-D692918256A5}"/>
              </c:ext>
            </c:extLst>
          </c:dPt>
          <c:dPt>
            <c:idx val="15"/>
            <c:invertIfNegative val="0"/>
            <c:bubble3D val="0"/>
            <c:extLst>
              <c:ext xmlns:c16="http://schemas.microsoft.com/office/drawing/2014/chart" uri="{C3380CC4-5D6E-409C-BE32-E72D297353CC}">
                <c16:uniqueId val="{00000045-FE28-B647-94A4-D692918256A5}"/>
              </c:ext>
            </c:extLst>
          </c:dPt>
          <c:dPt>
            <c:idx val="16"/>
            <c:invertIfNegative val="0"/>
            <c:bubble3D val="0"/>
            <c:extLst>
              <c:ext xmlns:c16="http://schemas.microsoft.com/office/drawing/2014/chart" uri="{C3380CC4-5D6E-409C-BE32-E72D297353CC}">
                <c16:uniqueId val="{00000046-FE28-B647-94A4-D692918256A5}"/>
              </c:ext>
            </c:extLst>
          </c:dPt>
          <c:dPt>
            <c:idx val="17"/>
            <c:invertIfNegative val="0"/>
            <c:bubble3D val="0"/>
            <c:extLst>
              <c:ext xmlns:c16="http://schemas.microsoft.com/office/drawing/2014/chart" uri="{C3380CC4-5D6E-409C-BE32-E72D297353CC}">
                <c16:uniqueId val="{00000047-FE28-B647-94A4-D692918256A5}"/>
              </c:ext>
            </c:extLst>
          </c:dPt>
          <c:dPt>
            <c:idx val="18"/>
            <c:invertIfNegative val="0"/>
            <c:bubble3D val="0"/>
            <c:extLst>
              <c:ext xmlns:c16="http://schemas.microsoft.com/office/drawing/2014/chart" uri="{C3380CC4-5D6E-409C-BE32-E72D297353CC}">
                <c16:uniqueId val="{00000048-FE28-B647-94A4-D692918256A5}"/>
              </c:ext>
            </c:extLst>
          </c:dPt>
          <c:dPt>
            <c:idx val="19"/>
            <c:invertIfNegative val="0"/>
            <c:bubble3D val="0"/>
            <c:extLst>
              <c:ext xmlns:c16="http://schemas.microsoft.com/office/drawing/2014/chart" uri="{C3380CC4-5D6E-409C-BE32-E72D297353CC}">
                <c16:uniqueId val="{00000049-FE28-B647-94A4-D692918256A5}"/>
              </c:ext>
            </c:extLst>
          </c:dPt>
          <c:dPt>
            <c:idx val="20"/>
            <c:invertIfNegative val="0"/>
            <c:bubble3D val="0"/>
            <c:extLst>
              <c:ext xmlns:c16="http://schemas.microsoft.com/office/drawing/2014/chart" uri="{C3380CC4-5D6E-409C-BE32-E72D297353CC}">
                <c16:uniqueId val="{0000004A-FE28-B647-94A4-D692918256A5}"/>
              </c:ext>
            </c:extLst>
          </c:dPt>
          <c:dPt>
            <c:idx val="21"/>
            <c:invertIfNegative val="0"/>
            <c:bubble3D val="0"/>
            <c:extLst>
              <c:ext xmlns:c16="http://schemas.microsoft.com/office/drawing/2014/chart" uri="{C3380CC4-5D6E-409C-BE32-E72D297353CC}">
                <c16:uniqueId val="{0000004B-FE28-B647-94A4-D692918256A5}"/>
              </c:ext>
            </c:extLst>
          </c:dPt>
          <c:dPt>
            <c:idx val="22"/>
            <c:invertIfNegative val="0"/>
            <c:bubble3D val="0"/>
            <c:extLst>
              <c:ext xmlns:c16="http://schemas.microsoft.com/office/drawing/2014/chart" uri="{C3380CC4-5D6E-409C-BE32-E72D297353CC}">
                <c16:uniqueId val="{0000004C-FE28-B647-94A4-D692918256A5}"/>
              </c:ext>
            </c:extLst>
          </c:dPt>
          <c:dPt>
            <c:idx val="23"/>
            <c:invertIfNegative val="0"/>
            <c:bubble3D val="0"/>
            <c:extLst>
              <c:ext xmlns:c16="http://schemas.microsoft.com/office/drawing/2014/chart" uri="{C3380CC4-5D6E-409C-BE32-E72D297353CC}">
                <c16:uniqueId val="{0000004D-FE28-B647-94A4-D692918256A5}"/>
              </c:ext>
            </c:extLst>
          </c:dPt>
          <c:dPt>
            <c:idx val="24"/>
            <c:invertIfNegative val="0"/>
            <c:bubble3D val="0"/>
            <c:extLst>
              <c:ext xmlns:c16="http://schemas.microsoft.com/office/drawing/2014/chart" uri="{C3380CC4-5D6E-409C-BE32-E72D297353CC}">
                <c16:uniqueId val="{0000004E-FE28-B647-94A4-D692918256A5}"/>
              </c:ext>
            </c:extLst>
          </c:dPt>
          <c:dPt>
            <c:idx val="25"/>
            <c:invertIfNegative val="0"/>
            <c:bubble3D val="0"/>
            <c:spPr>
              <a:solidFill>
                <a:srgbClr val="89A2C0"/>
              </a:solidFill>
              <a:ln>
                <a:solidFill>
                  <a:srgbClr val="89A2C0"/>
                </a:solidFill>
              </a:ln>
            </c:spPr>
            <c:extLst>
              <c:ext xmlns:c16="http://schemas.microsoft.com/office/drawing/2014/chart" uri="{C3380CC4-5D6E-409C-BE32-E72D297353CC}">
                <c16:uniqueId val="{0000004F-FE28-B647-94A4-D692918256A5}"/>
              </c:ext>
            </c:extLst>
          </c:dPt>
          <c:dLbls>
            <c:numFmt formatCode="#,##0" sourceLinked="0"/>
            <c:spPr>
              <a:noFill/>
              <a:ln>
                <a:noFill/>
              </a:ln>
              <a:effectLst/>
            </c:spPr>
            <c:txPr>
              <a:bodyPr/>
              <a:lstStyle/>
              <a:p>
                <a:pPr>
                  <a:defRPr sz="700" baseline="0">
                    <a:solidFill>
                      <a:srgbClr val="1A1A1A"/>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'Summary Statistics - Enrollment'!$A$18:$A$43</c:f>
              <c:numCache>
                <c:formatCode>mmm\ yyyy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'Summary Statistics - Enrollment'!$D$18:$D$43</c:f>
              <c:numCache>
                <c:formatCode>#,##0</c:formatCode>
                <c:ptCount val="26"/>
                <c:pt idx="0">
                  <c:v>3557</c:v>
                </c:pt>
                <c:pt idx="1">
                  <c:v>2804</c:v>
                </c:pt>
                <c:pt idx="2">
                  <c:v>3688</c:v>
                </c:pt>
                <c:pt idx="3">
                  <c:v>7287</c:v>
                </c:pt>
                <c:pt idx="4">
                  <c:v>4074</c:v>
                </c:pt>
                <c:pt idx="5">
                  <c:v>4967</c:v>
                </c:pt>
                <c:pt idx="6">
                  <c:v>2841</c:v>
                </c:pt>
                <c:pt idx="7">
                  <c:v>3495</c:v>
                </c:pt>
                <c:pt idx="8">
                  <c:v>3723</c:v>
                </c:pt>
                <c:pt idx="9">
                  <c:v>3433</c:v>
                </c:pt>
                <c:pt idx="10">
                  <c:v>9887</c:v>
                </c:pt>
                <c:pt idx="11">
                  <c:v>4291</c:v>
                </c:pt>
                <c:pt idx="12">
                  <c:v>5672</c:v>
                </c:pt>
                <c:pt idx="13">
                  <c:v>9570</c:v>
                </c:pt>
                <c:pt idx="14">
                  <c:v>7260</c:v>
                </c:pt>
                <c:pt idx="15">
                  <c:v>6631</c:v>
                </c:pt>
                <c:pt idx="16">
                  <c:v>4733</c:v>
                </c:pt>
                <c:pt idx="17">
                  <c:v>4893</c:v>
                </c:pt>
                <c:pt idx="18">
                  <c:v>5145</c:v>
                </c:pt>
                <c:pt idx="19">
                  <c:v>4695</c:v>
                </c:pt>
                <c:pt idx="20">
                  <c:v>6620</c:v>
                </c:pt>
                <c:pt idx="21">
                  <c:v>4973</c:v>
                </c:pt>
                <c:pt idx="22">
                  <c:v>3785</c:v>
                </c:pt>
                <c:pt idx="23">
                  <c:v>6066</c:v>
                </c:pt>
                <c:pt idx="24">
                  <c:v>7947</c:v>
                </c:pt>
                <c:pt idx="25">
                  <c:v>6095</c:v>
                </c:pt>
              </c:numCache>
            </c:numRef>
          </c:val>
          <c:extLst>
            <c:ext xmlns:c16="http://schemas.microsoft.com/office/drawing/2014/chart" uri="{C3380CC4-5D6E-409C-BE32-E72D297353CC}">
              <c16:uniqueId val="{00000050-FE28-B647-94A4-D692918256A5}"/>
            </c:ext>
          </c:extLst>
        </c:ser>
        <c:ser>
          <c:idx val="3"/>
          <c:order val="3"/>
          <c:tx>
            <c:v>Phase 2</c:v>
          </c:tx>
          <c:spPr>
            <a:solidFill>
              <a:srgbClr val="7A7A7A"/>
            </a:solidFill>
            <a:ln>
              <a:solidFill>
                <a:srgbClr val="7A7A7A"/>
              </a:solidFill>
            </a:ln>
          </c:spPr>
          <c:invertIfNegative val="0"/>
          <c:dPt>
            <c:idx val="0"/>
            <c:invertIfNegative val="0"/>
            <c:bubble3D val="0"/>
            <c:extLst>
              <c:ext xmlns:c16="http://schemas.microsoft.com/office/drawing/2014/chart" uri="{C3380CC4-5D6E-409C-BE32-E72D297353CC}">
                <c16:uniqueId val="{00000051-FE28-B647-94A4-D692918256A5}"/>
              </c:ext>
            </c:extLst>
          </c:dPt>
          <c:dPt>
            <c:idx val="1"/>
            <c:invertIfNegative val="0"/>
            <c:bubble3D val="0"/>
            <c:extLst>
              <c:ext xmlns:c16="http://schemas.microsoft.com/office/drawing/2014/chart" uri="{C3380CC4-5D6E-409C-BE32-E72D297353CC}">
                <c16:uniqueId val="{00000052-FE28-B647-94A4-D692918256A5}"/>
              </c:ext>
            </c:extLst>
          </c:dPt>
          <c:dPt>
            <c:idx val="2"/>
            <c:invertIfNegative val="0"/>
            <c:bubble3D val="0"/>
            <c:extLst>
              <c:ext xmlns:c16="http://schemas.microsoft.com/office/drawing/2014/chart" uri="{C3380CC4-5D6E-409C-BE32-E72D297353CC}">
                <c16:uniqueId val="{00000053-FE28-B647-94A4-D692918256A5}"/>
              </c:ext>
            </c:extLst>
          </c:dPt>
          <c:dPt>
            <c:idx val="3"/>
            <c:invertIfNegative val="0"/>
            <c:bubble3D val="0"/>
            <c:extLst>
              <c:ext xmlns:c16="http://schemas.microsoft.com/office/drawing/2014/chart" uri="{C3380CC4-5D6E-409C-BE32-E72D297353CC}">
                <c16:uniqueId val="{00000054-FE28-B647-94A4-D692918256A5}"/>
              </c:ext>
            </c:extLst>
          </c:dPt>
          <c:dPt>
            <c:idx val="4"/>
            <c:invertIfNegative val="0"/>
            <c:bubble3D val="0"/>
            <c:extLst>
              <c:ext xmlns:c16="http://schemas.microsoft.com/office/drawing/2014/chart" uri="{C3380CC4-5D6E-409C-BE32-E72D297353CC}">
                <c16:uniqueId val="{00000055-FE28-B647-94A4-D692918256A5}"/>
              </c:ext>
            </c:extLst>
          </c:dPt>
          <c:dPt>
            <c:idx val="5"/>
            <c:invertIfNegative val="0"/>
            <c:bubble3D val="0"/>
            <c:extLst>
              <c:ext xmlns:c16="http://schemas.microsoft.com/office/drawing/2014/chart" uri="{C3380CC4-5D6E-409C-BE32-E72D297353CC}">
                <c16:uniqueId val="{00000056-FE28-B647-94A4-D692918256A5}"/>
              </c:ext>
            </c:extLst>
          </c:dPt>
          <c:dPt>
            <c:idx val="6"/>
            <c:invertIfNegative val="0"/>
            <c:bubble3D val="0"/>
            <c:extLst>
              <c:ext xmlns:c16="http://schemas.microsoft.com/office/drawing/2014/chart" uri="{C3380CC4-5D6E-409C-BE32-E72D297353CC}">
                <c16:uniqueId val="{00000057-FE28-B647-94A4-D692918256A5}"/>
              </c:ext>
            </c:extLst>
          </c:dPt>
          <c:dPt>
            <c:idx val="7"/>
            <c:invertIfNegative val="0"/>
            <c:bubble3D val="0"/>
            <c:extLst>
              <c:ext xmlns:c16="http://schemas.microsoft.com/office/drawing/2014/chart" uri="{C3380CC4-5D6E-409C-BE32-E72D297353CC}">
                <c16:uniqueId val="{00000058-FE28-B647-94A4-D692918256A5}"/>
              </c:ext>
            </c:extLst>
          </c:dPt>
          <c:dPt>
            <c:idx val="8"/>
            <c:invertIfNegative val="0"/>
            <c:bubble3D val="0"/>
            <c:extLst>
              <c:ext xmlns:c16="http://schemas.microsoft.com/office/drawing/2014/chart" uri="{C3380CC4-5D6E-409C-BE32-E72D297353CC}">
                <c16:uniqueId val="{00000059-FE28-B647-94A4-D692918256A5}"/>
              </c:ext>
            </c:extLst>
          </c:dPt>
          <c:dPt>
            <c:idx val="9"/>
            <c:invertIfNegative val="0"/>
            <c:bubble3D val="0"/>
            <c:extLst>
              <c:ext xmlns:c16="http://schemas.microsoft.com/office/drawing/2014/chart" uri="{C3380CC4-5D6E-409C-BE32-E72D297353CC}">
                <c16:uniqueId val="{0000005A-FE28-B647-94A4-D692918256A5}"/>
              </c:ext>
            </c:extLst>
          </c:dPt>
          <c:dPt>
            <c:idx val="10"/>
            <c:invertIfNegative val="0"/>
            <c:bubble3D val="0"/>
            <c:extLst>
              <c:ext xmlns:c16="http://schemas.microsoft.com/office/drawing/2014/chart" uri="{C3380CC4-5D6E-409C-BE32-E72D297353CC}">
                <c16:uniqueId val="{0000005B-FE28-B647-94A4-D692918256A5}"/>
              </c:ext>
            </c:extLst>
          </c:dPt>
          <c:dPt>
            <c:idx val="11"/>
            <c:invertIfNegative val="0"/>
            <c:bubble3D val="0"/>
            <c:extLst>
              <c:ext xmlns:c16="http://schemas.microsoft.com/office/drawing/2014/chart" uri="{C3380CC4-5D6E-409C-BE32-E72D297353CC}">
                <c16:uniqueId val="{0000005C-FE28-B647-94A4-D692918256A5}"/>
              </c:ext>
            </c:extLst>
          </c:dPt>
          <c:dPt>
            <c:idx val="12"/>
            <c:invertIfNegative val="0"/>
            <c:bubble3D val="0"/>
            <c:extLst>
              <c:ext xmlns:c16="http://schemas.microsoft.com/office/drawing/2014/chart" uri="{C3380CC4-5D6E-409C-BE32-E72D297353CC}">
                <c16:uniqueId val="{0000005D-FE28-B647-94A4-D692918256A5}"/>
              </c:ext>
            </c:extLst>
          </c:dPt>
          <c:dPt>
            <c:idx val="13"/>
            <c:invertIfNegative val="0"/>
            <c:bubble3D val="0"/>
            <c:extLst>
              <c:ext xmlns:c16="http://schemas.microsoft.com/office/drawing/2014/chart" uri="{C3380CC4-5D6E-409C-BE32-E72D297353CC}">
                <c16:uniqueId val="{0000005E-FE28-B647-94A4-D692918256A5}"/>
              </c:ext>
            </c:extLst>
          </c:dPt>
          <c:dPt>
            <c:idx val="14"/>
            <c:invertIfNegative val="0"/>
            <c:bubble3D val="0"/>
            <c:extLst>
              <c:ext xmlns:c16="http://schemas.microsoft.com/office/drawing/2014/chart" uri="{C3380CC4-5D6E-409C-BE32-E72D297353CC}">
                <c16:uniqueId val="{0000005F-FE28-B647-94A4-D692918256A5}"/>
              </c:ext>
            </c:extLst>
          </c:dPt>
          <c:dPt>
            <c:idx val="15"/>
            <c:invertIfNegative val="0"/>
            <c:bubble3D val="0"/>
            <c:extLst>
              <c:ext xmlns:c16="http://schemas.microsoft.com/office/drawing/2014/chart" uri="{C3380CC4-5D6E-409C-BE32-E72D297353CC}">
                <c16:uniqueId val="{00000060-FE28-B647-94A4-D692918256A5}"/>
              </c:ext>
            </c:extLst>
          </c:dPt>
          <c:dPt>
            <c:idx val="16"/>
            <c:invertIfNegative val="0"/>
            <c:bubble3D val="0"/>
            <c:extLst>
              <c:ext xmlns:c16="http://schemas.microsoft.com/office/drawing/2014/chart" uri="{C3380CC4-5D6E-409C-BE32-E72D297353CC}">
                <c16:uniqueId val="{00000061-FE28-B647-94A4-D692918256A5}"/>
              </c:ext>
            </c:extLst>
          </c:dPt>
          <c:dPt>
            <c:idx val="17"/>
            <c:invertIfNegative val="0"/>
            <c:bubble3D val="0"/>
            <c:extLst>
              <c:ext xmlns:c16="http://schemas.microsoft.com/office/drawing/2014/chart" uri="{C3380CC4-5D6E-409C-BE32-E72D297353CC}">
                <c16:uniqueId val="{00000062-FE28-B647-94A4-D692918256A5}"/>
              </c:ext>
            </c:extLst>
          </c:dPt>
          <c:dPt>
            <c:idx val="18"/>
            <c:invertIfNegative val="0"/>
            <c:bubble3D val="0"/>
            <c:extLst>
              <c:ext xmlns:c16="http://schemas.microsoft.com/office/drawing/2014/chart" uri="{C3380CC4-5D6E-409C-BE32-E72D297353CC}">
                <c16:uniqueId val="{00000063-FE28-B647-94A4-D692918256A5}"/>
              </c:ext>
            </c:extLst>
          </c:dPt>
          <c:dPt>
            <c:idx val="19"/>
            <c:invertIfNegative val="0"/>
            <c:bubble3D val="0"/>
            <c:extLst>
              <c:ext xmlns:c16="http://schemas.microsoft.com/office/drawing/2014/chart" uri="{C3380CC4-5D6E-409C-BE32-E72D297353CC}">
                <c16:uniqueId val="{00000064-FE28-B647-94A4-D692918256A5}"/>
              </c:ext>
            </c:extLst>
          </c:dPt>
          <c:dPt>
            <c:idx val="20"/>
            <c:invertIfNegative val="0"/>
            <c:bubble3D val="0"/>
            <c:extLst>
              <c:ext xmlns:c16="http://schemas.microsoft.com/office/drawing/2014/chart" uri="{C3380CC4-5D6E-409C-BE32-E72D297353CC}">
                <c16:uniqueId val="{00000065-FE28-B647-94A4-D692918256A5}"/>
              </c:ext>
            </c:extLst>
          </c:dPt>
          <c:dPt>
            <c:idx val="21"/>
            <c:invertIfNegative val="0"/>
            <c:bubble3D val="0"/>
            <c:extLst>
              <c:ext xmlns:c16="http://schemas.microsoft.com/office/drawing/2014/chart" uri="{C3380CC4-5D6E-409C-BE32-E72D297353CC}">
                <c16:uniqueId val="{00000066-FE28-B647-94A4-D692918256A5}"/>
              </c:ext>
            </c:extLst>
          </c:dPt>
          <c:dPt>
            <c:idx val="22"/>
            <c:invertIfNegative val="0"/>
            <c:bubble3D val="0"/>
            <c:extLst>
              <c:ext xmlns:c16="http://schemas.microsoft.com/office/drawing/2014/chart" uri="{C3380CC4-5D6E-409C-BE32-E72D297353CC}">
                <c16:uniqueId val="{00000067-FE28-B647-94A4-D692918256A5}"/>
              </c:ext>
            </c:extLst>
          </c:dPt>
          <c:dPt>
            <c:idx val="23"/>
            <c:invertIfNegative val="0"/>
            <c:bubble3D val="0"/>
            <c:extLst>
              <c:ext xmlns:c16="http://schemas.microsoft.com/office/drawing/2014/chart" uri="{C3380CC4-5D6E-409C-BE32-E72D297353CC}">
                <c16:uniqueId val="{00000068-FE28-B647-94A4-D692918256A5}"/>
              </c:ext>
            </c:extLst>
          </c:dPt>
          <c:dPt>
            <c:idx val="24"/>
            <c:invertIfNegative val="0"/>
            <c:bubble3D val="0"/>
            <c:extLst>
              <c:ext xmlns:c16="http://schemas.microsoft.com/office/drawing/2014/chart" uri="{C3380CC4-5D6E-409C-BE32-E72D297353CC}">
                <c16:uniqueId val="{00000069-FE28-B647-94A4-D692918256A5}"/>
              </c:ext>
            </c:extLst>
          </c:dPt>
          <c:dPt>
            <c:idx val="25"/>
            <c:invertIfNegative val="0"/>
            <c:bubble3D val="0"/>
            <c:spPr>
              <a:solidFill>
                <a:srgbClr val="6E87A9"/>
              </a:solidFill>
              <a:ln>
                <a:solidFill>
                  <a:srgbClr val="6E87A9"/>
                </a:solidFill>
              </a:ln>
            </c:spPr>
            <c:extLst>
              <c:ext xmlns:c16="http://schemas.microsoft.com/office/drawing/2014/chart" uri="{C3380CC4-5D6E-409C-BE32-E72D297353CC}">
                <c16:uniqueId val="{0000006A-FE28-B647-94A4-D692918256A5}"/>
              </c:ext>
            </c:extLst>
          </c:dPt>
          <c:dLbls>
            <c:numFmt formatCode="#,##0" sourceLinked="0"/>
            <c:spPr>
              <a:noFill/>
              <a:ln>
                <a:noFill/>
              </a:ln>
              <a:effectLst/>
            </c:spPr>
            <c:txPr>
              <a:bodyPr/>
              <a:lstStyle/>
              <a:p>
                <a:pPr>
                  <a:defRPr sz="700" baseline="0">
                    <a:solidFill>
                      <a:srgbClr val="FFFFFF"/>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'Summary Statistics - Enrollment'!$A$18:$A$43</c:f>
              <c:numCache>
                <c:formatCode>mmm\ yyyy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'Summary Statistics - Enrollment'!$E$18:$E$43</c:f>
              <c:numCache>
                <c:formatCode>#,##0</c:formatCode>
                <c:ptCount val="26"/>
                <c:pt idx="0">
                  <c:v>8163</c:v>
                </c:pt>
                <c:pt idx="1">
                  <c:v>11491</c:v>
                </c:pt>
                <c:pt idx="2">
                  <c:v>11647</c:v>
                </c:pt>
                <c:pt idx="3">
                  <c:v>13634</c:v>
                </c:pt>
                <c:pt idx="4">
                  <c:v>7299</c:v>
                </c:pt>
                <c:pt idx="5">
                  <c:v>8541</c:v>
                </c:pt>
                <c:pt idx="6">
                  <c:v>9681</c:v>
                </c:pt>
                <c:pt idx="7">
                  <c:v>10916</c:v>
                </c:pt>
                <c:pt idx="8">
                  <c:v>15421</c:v>
                </c:pt>
                <c:pt idx="9">
                  <c:v>26679</c:v>
                </c:pt>
                <c:pt idx="10">
                  <c:v>9868</c:v>
                </c:pt>
                <c:pt idx="11">
                  <c:v>15707</c:v>
                </c:pt>
                <c:pt idx="12">
                  <c:v>9726</c:v>
                </c:pt>
                <c:pt idx="13">
                  <c:v>7386</c:v>
                </c:pt>
                <c:pt idx="14">
                  <c:v>11822</c:v>
                </c:pt>
                <c:pt idx="15">
                  <c:v>10252</c:v>
                </c:pt>
                <c:pt idx="16">
                  <c:v>9603</c:v>
                </c:pt>
                <c:pt idx="17">
                  <c:v>13083</c:v>
                </c:pt>
                <c:pt idx="18">
                  <c:v>11192</c:v>
                </c:pt>
                <c:pt idx="19">
                  <c:v>15002</c:v>
                </c:pt>
                <c:pt idx="20">
                  <c:v>14565</c:v>
                </c:pt>
                <c:pt idx="21">
                  <c:v>15519</c:v>
                </c:pt>
                <c:pt idx="22">
                  <c:v>11407</c:v>
                </c:pt>
                <c:pt idx="23">
                  <c:v>16416</c:v>
                </c:pt>
                <c:pt idx="24">
                  <c:v>11871</c:v>
                </c:pt>
                <c:pt idx="25">
                  <c:v>12223</c:v>
                </c:pt>
              </c:numCache>
            </c:numRef>
          </c:val>
          <c:extLst>
            <c:ext xmlns:c16="http://schemas.microsoft.com/office/drawing/2014/chart" uri="{C3380CC4-5D6E-409C-BE32-E72D297353CC}">
              <c16:uniqueId val="{0000006B-FE28-B647-94A4-D692918256A5}"/>
            </c:ext>
          </c:extLst>
        </c:ser>
        <c:ser>
          <c:idx val="4"/>
          <c:order val="4"/>
          <c:tx>
            <c:v>Phase 2/3</c:v>
          </c:tx>
          <c:spPr>
            <a:solidFill>
              <a:srgbClr val="5A5A5A"/>
            </a:solidFill>
            <a:ln>
              <a:solidFill>
                <a:srgbClr val="5A5A5A"/>
              </a:solidFill>
            </a:ln>
          </c:spPr>
          <c:invertIfNegative val="0"/>
          <c:dPt>
            <c:idx val="0"/>
            <c:invertIfNegative val="0"/>
            <c:bubble3D val="0"/>
            <c:extLst>
              <c:ext xmlns:c16="http://schemas.microsoft.com/office/drawing/2014/chart" uri="{C3380CC4-5D6E-409C-BE32-E72D297353CC}">
                <c16:uniqueId val="{0000006C-FE28-B647-94A4-D692918256A5}"/>
              </c:ext>
            </c:extLst>
          </c:dPt>
          <c:dPt>
            <c:idx val="1"/>
            <c:invertIfNegative val="0"/>
            <c:bubble3D val="0"/>
            <c:extLst>
              <c:ext xmlns:c16="http://schemas.microsoft.com/office/drawing/2014/chart" uri="{C3380CC4-5D6E-409C-BE32-E72D297353CC}">
                <c16:uniqueId val="{0000006D-FE28-B647-94A4-D692918256A5}"/>
              </c:ext>
            </c:extLst>
          </c:dPt>
          <c:dPt>
            <c:idx val="2"/>
            <c:invertIfNegative val="0"/>
            <c:bubble3D val="0"/>
            <c:extLst>
              <c:ext xmlns:c16="http://schemas.microsoft.com/office/drawing/2014/chart" uri="{C3380CC4-5D6E-409C-BE32-E72D297353CC}">
                <c16:uniqueId val="{0000006E-FE28-B647-94A4-D692918256A5}"/>
              </c:ext>
            </c:extLst>
          </c:dPt>
          <c:dPt>
            <c:idx val="3"/>
            <c:invertIfNegative val="0"/>
            <c:bubble3D val="0"/>
            <c:extLst>
              <c:ext xmlns:c16="http://schemas.microsoft.com/office/drawing/2014/chart" uri="{C3380CC4-5D6E-409C-BE32-E72D297353CC}">
                <c16:uniqueId val="{0000006F-FE28-B647-94A4-D692918256A5}"/>
              </c:ext>
            </c:extLst>
          </c:dPt>
          <c:dPt>
            <c:idx val="4"/>
            <c:invertIfNegative val="0"/>
            <c:bubble3D val="0"/>
            <c:extLst>
              <c:ext xmlns:c16="http://schemas.microsoft.com/office/drawing/2014/chart" uri="{C3380CC4-5D6E-409C-BE32-E72D297353CC}">
                <c16:uniqueId val="{00000070-FE28-B647-94A4-D692918256A5}"/>
              </c:ext>
            </c:extLst>
          </c:dPt>
          <c:dPt>
            <c:idx val="5"/>
            <c:invertIfNegative val="0"/>
            <c:bubble3D val="0"/>
            <c:extLst>
              <c:ext xmlns:c16="http://schemas.microsoft.com/office/drawing/2014/chart" uri="{C3380CC4-5D6E-409C-BE32-E72D297353CC}">
                <c16:uniqueId val="{00000071-FE28-B647-94A4-D692918256A5}"/>
              </c:ext>
            </c:extLst>
          </c:dPt>
          <c:dPt>
            <c:idx val="6"/>
            <c:invertIfNegative val="0"/>
            <c:bubble3D val="0"/>
            <c:extLst>
              <c:ext xmlns:c16="http://schemas.microsoft.com/office/drawing/2014/chart" uri="{C3380CC4-5D6E-409C-BE32-E72D297353CC}">
                <c16:uniqueId val="{00000072-FE28-B647-94A4-D692918256A5}"/>
              </c:ext>
            </c:extLst>
          </c:dPt>
          <c:dPt>
            <c:idx val="7"/>
            <c:invertIfNegative val="0"/>
            <c:bubble3D val="0"/>
            <c:extLst>
              <c:ext xmlns:c16="http://schemas.microsoft.com/office/drawing/2014/chart" uri="{C3380CC4-5D6E-409C-BE32-E72D297353CC}">
                <c16:uniqueId val="{00000073-FE28-B647-94A4-D692918256A5}"/>
              </c:ext>
            </c:extLst>
          </c:dPt>
          <c:dPt>
            <c:idx val="8"/>
            <c:invertIfNegative val="0"/>
            <c:bubble3D val="0"/>
            <c:extLst>
              <c:ext xmlns:c16="http://schemas.microsoft.com/office/drawing/2014/chart" uri="{C3380CC4-5D6E-409C-BE32-E72D297353CC}">
                <c16:uniqueId val="{00000074-FE28-B647-94A4-D692918256A5}"/>
              </c:ext>
            </c:extLst>
          </c:dPt>
          <c:dPt>
            <c:idx val="9"/>
            <c:invertIfNegative val="0"/>
            <c:bubble3D val="0"/>
            <c:extLst>
              <c:ext xmlns:c16="http://schemas.microsoft.com/office/drawing/2014/chart" uri="{C3380CC4-5D6E-409C-BE32-E72D297353CC}">
                <c16:uniqueId val="{00000075-FE28-B647-94A4-D692918256A5}"/>
              </c:ext>
            </c:extLst>
          </c:dPt>
          <c:dPt>
            <c:idx val="10"/>
            <c:invertIfNegative val="0"/>
            <c:bubble3D val="0"/>
            <c:extLst>
              <c:ext xmlns:c16="http://schemas.microsoft.com/office/drawing/2014/chart" uri="{C3380CC4-5D6E-409C-BE32-E72D297353CC}">
                <c16:uniqueId val="{00000076-FE28-B647-94A4-D692918256A5}"/>
              </c:ext>
            </c:extLst>
          </c:dPt>
          <c:dPt>
            <c:idx val="11"/>
            <c:invertIfNegative val="0"/>
            <c:bubble3D val="0"/>
            <c:extLst>
              <c:ext xmlns:c16="http://schemas.microsoft.com/office/drawing/2014/chart" uri="{C3380CC4-5D6E-409C-BE32-E72D297353CC}">
                <c16:uniqueId val="{00000077-FE28-B647-94A4-D692918256A5}"/>
              </c:ext>
            </c:extLst>
          </c:dPt>
          <c:dPt>
            <c:idx val="12"/>
            <c:invertIfNegative val="0"/>
            <c:bubble3D val="0"/>
            <c:extLst>
              <c:ext xmlns:c16="http://schemas.microsoft.com/office/drawing/2014/chart" uri="{C3380CC4-5D6E-409C-BE32-E72D297353CC}">
                <c16:uniqueId val="{00000078-FE28-B647-94A4-D692918256A5}"/>
              </c:ext>
            </c:extLst>
          </c:dPt>
          <c:dPt>
            <c:idx val="13"/>
            <c:invertIfNegative val="0"/>
            <c:bubble3D val="0"/>
            <c:extLst>
              <c:ext xmlns:c16="http://schemas.microsoft.com/office/drawing/2014/chart" uri="{C3380CC4-5D6E-409C-BE32-E72D297353CC}">
                <c16:uniqueId val="{00000079-FE28-B647-94A4-D692918256A5}"/>
              </c:ext>
            </c:extLst>
          </c:dPt>
          <c:dPt>
            <c:idx val="14"/>
            <c:invertIfNegative val="0"/>
            <c:bubble3D val="0"/>
            <c:extLst>
              <c:ext xmlns:c16="http://schemas.microsoft.com/office/drawing/2014/chart" uri="{C3380CC4-5D6E-409C-BE32-E72D297353CC}">
                <c16:uniqueId val="{0000007A-FE28-B647-94A4-D692918256A5}"/>
              </c:ext>
            </c:extLst>
          </c:dPt>
          <c:dPt>
            <c:idx val="15"/>
            <c:invertIfNegative val="0"/>
            <c:bubble3D val="0"/>
            <c:extLst>
              <c:ext xmlns:c16="http://schemas.microsoft.com/office/drawing/2014/chart" uri="{C3380CC4-5D6E-409C-BE32-E72D297353CC}">
                <c16:uniqueId val="{0000007B-FE28-B647-94A4-D692918256A5}"/>
              </c:ext>
            </c:extLst>
          </c:dPt>
          <c:dPt>
            <c:idx val="16"/>
            <c:invertIfNegative val="0"/>
            <c:bubble3D val="0"/>
            <c:extLst>
              <c:ext xmlns:c16="http://schemas.microsoft.com/office/drawing/2014/chart" uri="{C3380CC4-5D6E-409C-BE32-E72D297353CC}">
                <c16:uniqueId val="{0000007C-FE28-B647-94A4-D692918256A5}"/>
              </c:ext>
            </c:extLst>
          </c:dPt>
          <c:dPt>
            <c:idx val="17"/>
            <c:invertIfNegative val="0"/>
            <c:bubble3D val="0"/>
            <c:extLst>
              <c:ext xmlns:c16="http://schemas.microsoft.com/office/drawing/2014/chart" uri="{C3380CC4-5D6E-409C-BE32-E72D297353CC}">
                <c16:uniqueId val="{0000007D-FE28-B647-94A4-D692918256A5}"/>
              </c:ext>
            </c:extLst>
          </c:dPt>
          <c:dPt>
            <c:idx val="18"/>
            <c:invertIfNegative val="0"/>
            <c:bubble3D val="0"/>
            <c:extLst>
              <c:ext xmlns:c16="http://schemas.microsoft.com/office/drawing/2014/chart" uri="{C3380CC4-5D6E-409C-BE32-E72D297353CC}">
                <c16:uniqueId val="{0000007E-FE28-B647-94A4-D692918256A5}"/>
              </c:ext>
            </c:extLst>
          </c:dPt>
          <c:dPt>
            <c:idx val="19"/>
            <c:invertIfNegative val="0"/>
            <c:bubble3D val="0"/>
            <c:extLst>
              <c:ext xmlns:c16="http://schemas.microsoft.com/office/drawing/2014/chart" uri="{C3380CC4-5D6E-409C-BE32-E72D297353CC}">
                <c16:uniqueId val="{0000007F-FE28-B647-94A4-D692918256A5}"/>
              </c:ext>
            </c:extLst>
          </c:dPt>
          <c:dPt>
            <c:idx val="20"/>
            <c:invertIfNegative val="0"/>
            <c:bubble3D val="0"/>
            <c:extLst>
              <c:ext xmlns:c16="http://schemas.microsoft.com/office/drawing/2014/chart" uri="{C3380CC4-5D6E-409C-BE32-E72D297353CC}">
                <c16:uniqueId val="{00000080-FE28-B647-94A4-D692918256A5}"/>
              </c:ext>
            </c:extLst>
          </c:dPt>
          <c:dPt>
            <c:idx val="21"/>
            <c:invertIfNegative val="0"/>
            <c:bubble3D val="0"/>
            <c:extLst>
              <c:ext xmlns:c16="http://schemas.microsoft.com/office/drawing/2014/chart" uri="{C3380CC4-5D6E-409C-BE32-E72D297353CC}">
                <c16:uniqueId val="{00000081-FE28-B647-94A4-D692918256A5}"/>
              </c:ext>
            </c:extLst>
          </c:dPt>
          <c:dPt>
            <c:idx val="22"/>
            <c:invertIfNegative val="0"/>
            <c:bubble3D val="0"/>
            <c:extLst>
              <c:ext xmlns:c16="http://schemas.microsoft.com/office/drawing/2014/chart" uri="{C3380CC4-5D6E-409C-BE32-E72D297353CC}">
                <c16:uniqueId val="{00000082-FE28-B647-94A4-D692918256A5}"/>
              </c:ext>
            </c:extLst>
          </c:dPt>
          <c:dPt>
            <c:idx val="23"/>
            <c:invertIfNegative val="0"/>
            <c:bubble3D val="0"/>
            <c:extLst>
              <c:ext xmlns:c16="http://schemas.microsoft.com/office/drawing/2014/chart" uri="{C3380CC4-5D6E-409C-BE32-E72D297353CC}">
                <c16:uniqueId val="{00000083-FE28-B647-94A4-D692918256A5}"/>
              </c:ext>
            </c:extLst>
          </c:dPt>
          <c:dPt>
            <c:idx val="24"/>
            <c:invertIfNegative val="0"/>
            <c:bubble3D val="0"/>
            <c:extLst>
              <c:ext xmlns:c16="http://schemas.microsoft.com/office/drawing/2014/chart" uri="{C3380CC4-5D6E-409C-BE32-E72D297353CC}">
                <c16:uniqueId val="{00000084-FE28-B647-94A4-D692918256A5}"/>
              </c:ext>
            </c:extLst>
          </c:dPt>
          <c:dPt>
            <c:idx val="25"/>
            <c:invertIfNegative val="0"/>
            <c:bubble3D val="0"/>
            <c:spPr>
              <a:solidFill>
                <a:srgbClr val="546D92"/>
              </a:solidFill>
              <a:ln>
                <a:solidFill>
                  <a:srgbClr val="546D92"/>
                </a:solidFill>
              </a:ln>
            </c:spPr>
            <c:extLst>
              <c:ext xmlns:c16="http://schemas.microsoft.com/office/drawing/2014/chart" uri="{C3380CC4-5D6E-409C-BE32-E72D297353CC}">
                <c16:uniqueId val="{00000085-FE28-B647-94A4-D692918256A5}"/>
              </c:ext>
            </c:extLst>
          </c:dPt>
          <c:dLbls>
            <c:numFmt formatCode="#,##0" sourceLinked="0"/>
            <c:spPr>
              <a:noFill/>
              <a:ln>
                <a:noFill/>
              </a:ln>
              <a:effectLst/>
            </c:spPr>
            <c:txPr>
              <a:bodyPr/>
              <a:lstStyle/>
              <a:p>
                <a:pPr>
                  <a:defRPr sz="700" baseline="0">
                    <a:solidFill>
                      <a:srgbClr val="FFFFFF"/>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'Summary Statistics - Enrollment'!$A$18:$A$43</c:f>
              <c:numCache>
                <c:formatCode>mmm\ yyyy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'Summary Statistics - Enrollment'!$F$18:$F$43</c:f>
              <c:numCache>
                <c:formatCode>#,##0</c:formatCode>
                <c:ptCount val="26"/>
                <c:pt idx="0">
                  <c:v>2219</c:v>
                </c:pt>
                <c:pt idx="1">
                  <c:v>1734</c:v>
                </c:pt>
                <c:pt idx="2">
                  <c:v>1554</c:v>
                </c:pt>
                <c:pt idx="3">
                  <c:v>4863</c:v>
                </c:pt>
                <c:pt idx="4">
                  <c:v>4836</c:v>
                </c:pt>
                <c:pt idx="5">
                  <c:v>1280</c:v>
                </c:pt>
                <c:pt idx="6">
                  <c:v>809</c:v>
                </c:pt>
                <c:pt idx="7">
                  <c:v>2700</c:v>
                </c:pt>
                <c:pt idx="8">
                  <c:v>2603</c:v>
                </c:pt>
                <c:pt idx="9">
                  <c:v>2061</c:v>
                </c:pt>
                <c:pt idx="10">
                  <c:v>854</c:v>
                </c:pt>
                <c:pt idx="11">
                  <c:v>3434</c:v>
                </c:pt>
                <c:pt idx="12">
                  <c:v>2994</c:v>
                </c:pt>
                <c:pt idx="13">
                  <c:v>1534</c:v>
                </c:pt>
                <c:pt idx="14">
                  <c:v>1462</c:v>
                </c:pt>
                <c:pt idx="15">
                  <c:v>3613</c:v>
                </c:pt>
                <c:pt idx="16">
                  <c:v>4251</c:v>
                </c:pt>
                <c:pt idx="17">
                  <c:v>3421</c:v>
                </c:pt>
                <c:pt idx="18">
                  <c:v>1614</c:v>
                </c:pt>
                <c:pt idx="19">
                  <c:v>3323</c:v>
                </c:pt>
                <c:pt idx="20">
                  <c:v>2813</c:v>
                </c:pt>
                <c:pt idx="21">
                  <c:v>6166</c:v>
                </c:pt>
                <c:pt idx="22">
                  <c:v>1406</c:v>
                </c:pt>
                <c:pt idx="23">
                  <c:v>4918</c:v>
                </c:pt>
                <c:pt idx="24">
                  <c:v>4718</c:v>
                </c:pt>
                <c:pt idx="25">
                  <c:v>2250</c:v>
                </c:pt>
              </c:numCache>
            </c:numRef>
          </c:val>
          <c:extLst>
            <c:ext xmlns:c16="http://schemas.microsoft.com/office/drawing/2014/chart" uri="{C3380CC4-5D6E-409C-BE32-E72D297353CC}">
              <c16:uniqueId val="{00000086-FE28-B647-94A4-D692918256A5}"/>
            </c:ext>
          </c:extLst>
        </c:ser>
        <c:ser>
          <c:idx val="5"/>
          <c:order val="5"/>
          <c:tx>
            <c:v>Phase 3</c:v>
          </c:tx>
          <c:spPr>
            <a:solidFill>
              <a:srgbClr val="3A3A3A"/>
            </a:solidFill>
            <a:ln>
              <a:solidFill>
                <a:srgbClr val="3A3A3A"/>
              </a:solidFill>
            </a:ln>
          </c:spPr>
          <c:invertIfNegative val="0"/>
          <c:dPt>
            <c:idx val="0"/>
            <c:invertIfNegative val="0"/>
            <c:bubble3D val="0"/>
            <c:extLst>
              <c:ext xmlns:c16="http://schemas.microsoft.com/office/drawing/2014/chart" uri="{C3380CC4-5D6E-409C-BE32-E72D297353CC}">
                <c16:uniqueId val="{00000087-FE28-B647-94A4-D692918256A5}"/>
              </c:ext>
            </c:extLst>
          </c:dPt>
          <c:dPt>
            <c:idx val="1"/>
            <c:invertIfNegative val="0"/>
            <c:bubble3D val="0"/>
            <c:extLst>
              <c:ext xmlns:c16="http://schemas.microsoft.com/office/drawing/2014/chart" uri="{C3380CC4-5D6E-409C-BE32-E72D297353CC}">
                <c16:uniqueId val="{00000088-FE28-B647-94A4-D692918256A5}"/>
              </c:ext>
            </c:extLst>
          </c:dPt>
          <c:dPt>
            <c:idx val="2"/>
            <c:invertIfNegative val="0"/>
            <c:bubble3D val="0"/>
            <c:extLst>
              <c:ext xmlns:c16="http://schemas.microsoft.com/office/drawing/2014/chart" uri="{C3380CC4-5D6E-409C-BE32-E72D297353CC}">
                <c16:uniqueId val="{00000089-FE28-B647-94A4-D692918256A5}"/>
              </c:ext>
            </c:extLst>
          </c:dPt>
          <c:dPt>
            <c:idx val="3"/>
            <c:invertIfNegative val="0"/>
            <c:bubble3D val="0"/>
            <c:extLst>
              <c:ext xmlns:c16="http://schemas.microsoft.com/office/drawing/2014/chart" uri="{C3380CC4-5D6E-409C-BE32-E72D297353CC}">
                <c16:uniqueId val="{0000008A-FE28-B647-94A4-D692918256A5}"/>
              </c:ext>
            </c:extLst>
          </c:dPt>
          <c:dPt>
            <c:idx val="4"/>
            <c:invertIfNegative val="0"/>
            <c:bubble3D val="0"/>
            <c:extLst>
              <c:ext xmlns:c16="http://schemas.microsoft.com/office/drawing/2014/chart" uri="{C3380CC4-5D6E-409C-BE32-E72D297353CC}">
                <c16:uniqueId val="{0000008B-FE28-B647-94A4-D692918256A5}"/>
              </c:ext>
            </c:extLst>
          </c:dPt>
          <c:dPt>
            <c:idx val="5"/>
            <c:invertIfNegative val="0"/>
            <c:bubble3D val="0"/>
            <c:extLst>
              <c:ext xmlns:c16="http://schemas.microsoft.com/office/drawing/2014/chart" uri="{C3380CC4-5D6E-409C-BE32-E72D297353CC}">
                <c16:uniqueId val="{0000008C-FE28-B647-94A4-D692918256A5}"/>
              </c:ext>
            </c:extLst>
          </c:dPt>
          <c:dPt>
            <c:idx val="6"/>
            <c:invertIfNegative val="0"/>
            <c:bubble3D val="0"/>
            <c:extLst>
              <c:ext xmlns:c16="http://schemas.microsoft.com/office/drawing/2014/chart" uri="{C3380CC4-5D6E-409C-BE32-E72D297353CC}">
                <c16:uniqueId val="{0000008D-FE28-B647-94A4-D692918256A5}"/>
              </c:ext>
            </c:extLst>
          </c:dPt>
          <c:dPt>
            <c:idx val="7"/>
            <c:invertIfNegative val="0"/>
            <c:bubble3D val="0"/>
            <c:extLst>
              <c:ext xmlns:c16="http://schemas.microsoft.com/office/drawing/2014/chart" uri="{C3380CC4-5D6E-409C-BE32-E72D297353CC}">
                <c16:uniqueId val="{0000008E-FE28-B647-94A4-D692918256A5}"/>
              </c:ext>
            </c:extLst>
          </c:dPt>
          <c:dPt>
            <c:idx val="8"/>
            <c:invertIfNegative val="0"/>
            <c:bubble3D val="0"/>
            <c:extLst>
              <c:ext xmlns:c16="http://schemas.microsoft.com/office/drawing/2014/chart" uri="{C3380CC4-5D6E-409C-BE32-E72D297353CC}">
                <c16:uniqueId val="{0000008F-FE28-B647-94A4-D692918256A5}"/>
              </c:ext>
            </c:extLst>
          </c:dPt>
          <c:dPt>
            <c:idx val="9"/>
            <c:invertIfNegative val="0"/>
            <c:bubble3D val="0"/>
            <c:extLst>
              <c:ext xmlns:c16="http://schemas.microsoft.com/office/drawing/2014/chart" uri="{C3380CC4-5D6E-409C-BE32-E72D297353CC}">
                <c16:uniqueId val="{00000090-FE28-B647-94A4-D692918256A5}"/>
              </c:ext>
            </c:extLst>
          </c:dPt>
          <c:dPt>
            <c:idx val="10"/>
            <c:invertIfNegative val="0"/>
            <c:bubble3D val="0"/>
            <c:extLst>
              <c:ext xmlns:c16="http://schemas.microsoft.com/office/drawing/2014/chart" uri="{C3380CC4-5D6E-409C-BE32-E72D297353CC}">
                <c16:uniqueId val="{00000091-FE28-B647-94A4-D692918256A5}"/>
              </c:ext>
            </c:extLst>
          </c:dPt>
          <c:dPt>
            <c:idx val="11"/>
            <c:invertIfNegative val="0"/>
            <c:bubble3D val="0"/>
            <c:extLst>
              <c:ext xmlns:c16="http://schemas.microsoft.com/office/drawing/2014/chart" uri="{C3380CC4-5D6E-409C-BE32-E72D297353CC}">
                <c16:uniqueId val="{00000092-FE28-B647-94A4-D692918256A5}"/>
              </c:ext>
            </c:extLst>
          </c:dPt>
          <c:dPt>
            <c:idx val="12"/>
            <c:invertIfNegative val="0"/>
            <c:bubble3D val="0"/>
            <c:extLst>
              <c:ext xmlns:c16="http://schemas.microsoft.com/office/drawing/2014/chart" uri="{C3380CC4-5D6E-409C-BE32-E72D297353CC}">
                <c16:uniqueId val="{00000093-FE28-B647-94A4-D692918256A5}"/>
              </c:ext>
            </c:extLst>
          </c:dPt>
          <c:dPt>
            <c:idx val="13"/>
            <c:invertIfNegative val="0"/>
            <c:bubble3D val="0"/>
            <c:extLst>
              <c:ext xmlns:c16="http://schemas.microsoft.com/office/drawing/2014/chart" uri="{C3380CC4-5D6E-409C-BE32-E72D297353CC}">
                <c16:uniqueId val="{00000094-FE28-B647-94A4-D692918256A5}"/>
              </c:ext>
            </c:extLst>
          </c:dPt>
          <c:dPt>
            <c:idx val="14"/>
            <c:invertIfNegative val="0"/>
            <c:bubble3D val="0"/>
            <c:extLst>
              <c:ext xmlns:c16="http://schemas.microsoft.com/office/drawing/2014/chart" uri="{C3380CC4-5D6E-409C-BE32-E72D297353CC}">
                <c16:uniqueId val="{00000095-FE28-B647-94A4-D692918256A5}"/>
              </c:ext>
            </c:extLst>
          </c:dPt>
          <c:dPt>
            <c:idx val="15"/>
            <c:invertIfNegative val="0"/>
            <c:bubble3D val="0"/>
            <c:extLst>
              <c:ext xmlns:c16="http://schemas.microsoft.com/office/drawing/2014/chart" uri="{C3380CC4-5D6E-409C-BE32-E72D297353CC}">
                <c16:uniqueId val="{00000096-FE28-B647-94A4-D692918256A5}"/>
              </c:ext>
            </c:extLst>
          </c:dPt>
          <c:dPt>
            <c:idx val="16"/>
            <c:invertIfNegative val="0"/>
            <c:bubble3D val="0"/>
            <c:extLst>
              <c:ext xmlns:c16="http://schemas.microsoft.com/office/drawing/2014/chart" uri="{C3380CC4-5D6E-409C-BE32-E72D297353CC}">
                <c16:uniqueId val="{00000097-FE28-B647-94A4-D692918256A5}"/>
              </c:ext>
            </c:extLst>
          </c:dPt>
          <c:dPt>
            <c:idx val="17"/>
            <c:invertIfNegative val="0"/>
            <c:bubble3D val="0"/>
            <c:extLst>
              <c:ext xmlns:c16="http://schemas.microsoft.com/office/drawing/2014/chart" uri="{C3380CC4-5D6E-409C-BE32-E72D297353CC}">
                <c16:uniqueId val="{00000098-FE28-B647-94A4-D692918256A5}"/>
              </c:ext>
            </c:extLst>
          </c:dPt>
          <c:dPt>
            <c:idx val="18"/>
            <c:invertIfNegative val="0"/>
            <c:bubble3D val="0"/>
            <c:extLst>
              <c:ext xmlns:c16="http://schemas.microsoft.com/office/drawing/2014/chart" uri="{C3380CC4-5D6E-409C-BE32-E72D297353CC}">
                <c16:uniqueId val="{00000099-FE28-B647-94A4-D692918256A5}"/>
              </c:ext>
            </c:extLst>
          </c:dPt>
          <c:dPt>
            <c:idx val="19"/>
            <c:invertIfNegative val="0"/>
            <c:bubble3D val="0"/>
            <c:extLst>
              <c:ext xmlns:c16="http://schemas.microsoft.com/office/drawing/2014/chart" uri="{C3380CC4-5D6E-409C-BE32-E72D297353CC}">
                <c16:uniqueId val="{0000009A-FE28-B647-94A4-D692918256A5}"/>
              </c:ext>
            </c:extLst>
          </c:dPt>
          <c:dPt>
            <c:idx val="20"/>
            <c:invertIfNegative val="0"/>
            <c:bubble3D val="0"/>
            <c:extLst>
              <c:ext xmlns:c16="http://schemas.microsoft.com/office/drawing/2014/chart" uri="{C3380CC4-5D6E-409C-BE32-E72D297353CC}">
                <c16:uniqueId val="{0000009B-FE28-B647-94A4-D692918256A5}"/>
              </c:ext>
            </c:extLst>
          </c:dPt>
          <c:dPt>
            <c:idx val="21"/>
            <c:invertIfNegative val="0"/>
            <c:bubble3D val="0"/>
            <c:extLst>
              <c:ext xmlns:c16="http://schemas.microsoft.com/office/drawing/2014/chart" uri="{C3380CC4-5D6E-409C-BE32-E72D297353CC}">
                <c16:uniqueId val="{0000009C-FE28-B647-94A4-D692918256A5}"/>
              </c:ext>
            </c:extLst>
          </c:dPt>
          <c:dPt>
            <c:idx val="22"/>
            <c:invertIfNegative val="0"/>
            <c:bubble3D val="0"/>
            <c:extLst>
              <c:ext xmlns:c16="http://schemas.microsoft.com/office/drawing/2014/chart" uri="{C3380CC4-5D6E-409C-BE32-E72D297353CC}">
                <c16:uniqueId val="{0000009D-FE28-B647-94A4-D692918256A5}"/>
              </c:ext>
            </c:extLst>
          </c:dPt>
          <c:dPt>
            <c:idx val="23"/>
            <c:invertIfNegative val="0"/>
            <c:bubble3D val="0"/>
            <c:extLst>
              <c:ext xmlns:c16="http://schemas.microsoft.com/office/drawing/2014/chart" uri="{C3380CC4-5D6E-409C-BE32-E72D297353CC}">
                <c16:uniqueId val="{0000009E-FE28-B647-94A4-D692918256A5}"/>
              </c:ext>
            </c:extLst>
          </c:dPt>
          <c:dPt>
            <c:idx val="24"/>
            <c:invertIfNegative val="0"/>
            <c:bubble3D val="0"/>
            <c:extLst>
              <c:ext xmlns:c16="http://schemas.microsoft.com/office/drawing/2014/chart" uri="{C3380CC4-5D6E-409C-BE32-E72D297353CC}">
                <c16:uniqueId val="{0000009F-FE28-B647-94A4-D692918256A5}"/>
              </c:ext>
            </c:extLst>
          </c:dPt>
          <c:dPt>
            <c:idx val="25"/>
            <c:invertIfNegative val="0"/>
            <c:bubble3D val="0"/>
            <c:spPr>
              <a:solidFill>
                <a:srgbClr val="3A527B"/>
              </a:solidFill>
              <a:ln>
                <a:solidFill>
                  <a:srgbClr val="3A527B"/>
                </a:solidFill>
              </a:ln>
            </c:spPr>
            <c:extLst>
              <c:ext xmlns:c16="http://schemas.microsoft.com/office/drawing/2014/chart" uri="{C3380CC4-5D6E-409C-BE32-E72D297353CC}">
                <c16:uniqueId val="{000000A0-FE28-B647-94A4-D692918256A5}"/>
              </c:ext>
            </c:extLst>
          </c:dPt>
          <c:dLbls>
            <c:numFmt formatCode="#,##0" sourceLinked="0"/>
            <c:spPr>
              <a:noFill/>
              <a:ln>
                <a:noFill/>
              </a:ln>
              <a:effectLst/>
            </c:spPr>
            <c:txPr>
              <a:bodyPr/>
              <a:lstStyle/>
              <a:p>
                <a:pPr>
                  <a:defRPr sz="700" baseline="0">
                    <a:solidFill>
                      <a:srgbClr val="FFFFFF"/>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'Summary Statistics - Enrollment'!$A$18:$A$43</c:f>
              <c:numCache>
                <c:formatCode>mmm\ yyyy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'Summary Statistics - Enrollment'!$G$18:$G$43</c:f>
              <c:numCache>
                <c:formatCode>#,##0</c:formatCode>
                <c:ptCount val="26"/>
                <c:pt idx="0">
                  <c:v>21448</c:v>
                </c:pt>
                <c:pt idx="1">
                  <c:v>29093</c:v>
                </c:pt>
                <c:pt idx="2">
                  <c:v>51776</c:v>
                </c:pt>
                <c:pt idx="3">
                  <c:v>43742</c:v>
                </c:pt>
                <c:pt idx="4">
                  <c:v>32472</c:v>
                </c:pt>
                <c:pt idx="5">
                  <c:v>42187</c:v>
                </c:pt>
                <c:pt idx="6">
                  <c:v>62047</c:v>
                </c:pt>
                <c:pt idx="7">
                  <c:v>45305</c:v>
                </c:pt>
                <c:pt idx="8">
                  <c:v>110266</c:v>
                </c:pt>
                <c:pt idx="9">
                  <c:v>31120</c:v>
                </c:pt>
                <c:pt idx="10">
                  <c:v>31506</c:v>
                </c:pt>
                <c:pt idx="11">
                  <c:v>59403</c:v>
                </c:pt>
                <c:pt idx="12">
                  <c:v>24062</c:v>
                </c:pt>
                <c:pt idx="13">
                  <c:v>31600</c:v>
                </c:pt>
                <c:pt idx="14">
                  <c:v>50394</c:v>
                </c:pt>
                <c:pt idx="15">
                  <c:v>37203</c:v>
                </c:pt>
                <c:pt idx="16">
                  <c:v>44504</c:v>
                </c:pt>
                <c:pt idx="17">
                  <c:v>71576</c:v>
                </c:pt>
                <c:pt idx="18">
                  <c:v>65700</c:v>
                </c:pt>
                <c:pt idx="19">
                  <c:v>51738</c:v>
                </c:pt>
                <c:pt idx="20">
                  <c:v>83039</c:v>
                </c:pt>
                <c:pt idx="21">
                  <c:v>59077</c:v>
                </c:pt>
                <c:pt idx="22">
                  <c:v>36740</c:v>
                </c:pt>
                <c:pt idx="23">
                  <c:v>119703</c:v>
                </c:pt>
                <c:pt idx="24">
                  <c:v>39023</c:v>
                </c:pt>
                <c:pt idx="25">
                  <c:v>32150</c:v>
                </c:pt>
              </c:numCache>
            </c:numRef>
          </c:val>
          <c:extLst>
            <c:ext xmlns:c16="http://schemas.microsoft.com/office/drawing/2014/chart" uri="{C3380CC4-5D6E-409C-BE32-E72D297353CC}">
              <c16:uniqueId val="{000000A1-FE28-B647-94A4-D692918256A5}"/>
            </c:ext>
          </c:extLst>
        </c:ser>
        <c:ser>
          <c:idx val="6"/>
          <c:order val="6"/>
          <c:tx>
            <c:v>Phase 4</c:v>
          </c:tx>
          <c:spPr>
            <a:solidFill>
              <a:srgbClr val="1A1A1A"/>
            </a:solidFill>
            <a:ln>
              <a:solidFill>
                <a:srgbClr val="1A1A1A"/>
              </a:solidFill>
            </a:ln>
          </c:spPr>
          <c:invertIfNegative val="0"/>
          <c:dPt>
            <c:idx val="0"/>
            <c:invertIfNegative val="0"/>
            <c:bubble3D val="0"/>
            <c:extLst>
              <c:ext xmlns:c16="http://schemas.microsoft.com/office/drawing/2014/chart" uri="{C3380CC4-5D6E-409C-BE32-E72D297353CC}">
                <c16:uniqueId val="{000000A2-FE28-B647-94A4-D692918256A5}"/>
              </c:ext>
            </c:extLst>
          </c:dPt>
          <c:dPt>
            <c:idx val="1"/>
            <c:invertIfNegative val="0"/>
            <c:bubble3D val="0"/>
            <c:extLst>
              <c:ext xmlns:c16="http://schemas.microsoft.com/office/drawing/2014/chart" uri="{C3380CC4-5D6E-409C-BE32-E72D297353CC}">
                <c16:uniqueId val="{000000A3-FE28-B647-94A4-D692918256A5}"/>
              </c:ext>
            </c:extLst>
          </c:dPt>
          <c:dPt>
            <c:idx val="2"/>
            <c:invertIfNegative val="0"/>
            <c:bubble3D val="0"/>
            <c:extLst>
              <c:ext xmlns:c16="http://schemas.microsoft.com/office/drawing/2014/chart" uri="{C3380CC4-5D6E-409C-BE32-E72D297353CC}">
                <c16:uniqueId val="{000000A4-FE28-B647-94A4-D692918256A5}"/>
              </c:ext>
            </c:extLst>
          </c:dPt>
          <c:dPt>
            <c:idx val="3"/>
            <c:invertIfNegative val="0"/>
            <c:bubble3D val="0"/>
            <c:extLst>
              <c:ext xmlns:c16="http://schemas.microsoft.com/office/drawing/2014/chart" uri="{C3380CC4-5D6E-409C-BE32-E72D297353CC}">
                <c16:uniqueId val="{000000A5-FE28-B647-94A4-D692918256A5}"/>
              </c:ext>
            </c:extLst>
          </c:dPt>
          <c:dPt>
            <c:idx val="4"/>
            <c:invertIfNegative val="0"/>
            <c:bubble3D val="0"/>
            <c:extLst>
              <c:ext xmlns:c16="http://schemas.microsoft.com/office/drawing/2014/chart" uri="{C3380CC4-5D6E-409C-BE32-E72D297353CC}">
                <c16:uniqueId val="{000000A6-FE28-B647-94A4-D692918256A5}"/>
              </c:ext>
            </c:extLst>
          </c:dPt>
          <c:dPt>
            <c:idx val="5"/>
            <c:invertIfNegative val="0"/>
            <c:bubble3D val="0"/>
            <c:extLst>
              <c:ext xmlns:c16="http://schemas.microsoft.com/office/drawing/2014/chart" uri="{C3380CC4-5D6E-409C-BE32-E72D297353CC}">
                <c16:uniqueId val="{000000A7-FE28-B647-94A4-D692918256A5}"/>
              </c:ext>
            </c:extLst>
          </c:dPt>
          <c:dPt>
            <c:idx val="6"/>
            <c:invertIfNegative val="0"/>
            <c:bubble3D val="0"/>
            <c:extLst>
              <c:ext xmlns:c16="http://schemas.microsoft.com/office/drawing/2014/chart" uri="{C3380CC4-5D6E-409C-BE32-E72D297353CC}">
                <c16:uniqueId val="{000000A8-FE28-B647-94A4-D692918256A5}"/>
              </c:ext>
            </c:extLst>
          </c:dPt>
          <c:dPt>
            <c:idx val="7"/>
            <c:invertIfNegative val="0"/>
            <c:bubble3D val="0"/>
            <c:extLst>
              <c:ext xmlns:c16="http://schemas.microsoft.com/office/drawing/2014/chart" uri="{C3380CC4-5D6E-409C-BE32-E72D297353CC}">
                <c16:uniqueId val="{000000A9-FE28-B647-94A4-D692918256A5}"/>
              </c:ext>
            </c:extLst>
          </c:dPt>
          <c:dPt>
            <c:idx val="8"/>
            <c:invertIfNegative val="0"/>
            <c:bubble3D val="0"/>
            <c:extLst>
              <c:ext xmlns:c16="http://schemas.microsoft.com/office/drawing/2014/chart" uri="{C3380CC4-5D6E-409C-BE32-E72D297353CC}">
                <c16:uniqueId val="{000000AA-FE28-B647-94A4-D692918256A5}"/>
              </c:ext>
            </c:extLst>
          </c:dPt>
          <c:dPt>
            <c:idx val="9"/>
            <c:invertIfNegative val="0"/>
            <c:bubble3D val="0"/>
            <c:extLst>
              <c:ext xmlns:c16="http://schemas.microsoft.com/office/drawing/2014/chart" uri="{C3380CC4-5D6E-409C-BE32-E72D297353CC}">
                <c16:uniqueId val="{000000AB-FE28-B647-94A4-D692918256A5}"/>
              </c:ext>
            </c:extLst>
          </c:dPt>
          <c:dPt>
            <c:idx val="10"/>
            <c:invertIfNegative val="0"/>
            <c:bubble3D val="0"/>
            <c:extLst>
              <c:ext xmlns:c16="http://schemas.microsoft.com/office/drawing/2014/chart" uri="{C3380CC4-5D6E-409C-BE32-E72D297353CC}">
                <c16:uniqueId val="{000000AC-FE28-B647-94A4-D692918256A5}"/>
              </c:ext>
            </c:extLst>
          </c:dPt>
          <c:dPt>
            <c:idx val="11"/>
            <c:invertIfNegative val="0"/>
            <c:bubble3D val="0"/>
            <c:extLst>
              <c:ext xmlns:c16="http://schemas.microsoft.com/office/drawing/2014/chart" uri="{C3380CC4-5D6E-409C-BE32-E72D297353CC}">
                <c16:uniqueId val="{000000AD-FE28-B647-94A4-D692918256A5}"/>
              </c:ext>
            </c:extLst>
          </c:dPt>
          <c:dPt>
            <c:idx val="12"/>
            <c:invertIfNegative val="0"/>
            <c:bubble3D val="0"/>
            <c:extLst>
              <c:ext xmlns:c16="http://schemas.microsoft.com/office/drawing/2014/chart" uri="{C3380CC4-5D6E-409C-BE32-E72D297353CC}">
                <c16:uniqueId val="{000000AE-FE28-B647-94A4-D692918256A5}"/>
              </c:ext>
            </c:extLst>
          </c:dPt>
          <c:dPt>
            <c:idx val="13"/>
            <c:invertIfNegative val="0"/>
            <c:bubble3D val="0"/>
            <c:extLst>
              <c:ext xmlns:c16="http://schemas.microsoft.com/office/drawing/2014/chart" uri="{C3380CC4-5D6E-409C-BE32-E72D297353CC}">
                <c16:uniqueId val="{000000AF-FE28-B647-94A4-D692918256A5}"/>
              </c:ext>
            </c:extLst>
          </c:dPt>
          <c:dPt>
            <c:idx val="14"/>
            <c:invertIfNegative val="0"/>
            <c:bubble3D val="0"/>
            <c:extLst>
              <c:ext xmlns:c16="http://schemas.microsoft.com/office/drawing/2014/chart" uri="{C3380CC4-5D6E-409C-BE32-E72D297353CC}">
                <c16:uniqueId val="{000000B0-FE28-B647-94A4-D692918256A5}"/>
              </c:ext>
            </c:extLst>
          </c:dPt>
          <c:dPt>
            <c:idx val="15"/>
            <c:invertIfNegative val="0"/>
            <c:bubble3D val="0"/>
            <c:extLst>
              <c:ext xmlns:c16="http://schemas.microsoft.com/office/drawing/2014/chart" uri="{C3380CC4-5D6E-409C-BE32-E72D297353CC}">
                <c16:uniqueId val="{000000B1-FE28-B647-94A4-D692918256A5}"/>
              </c:ext>
            </c:extLst>
          </c:dPt>
          <c:dPt>
            <c:idx val="16"/>
            <c:invertIfNegative val="0"/>
            <c:bubble3D val="0"/>
            <c:extLst>
              <c:ext xmlns:c16="http://schemas.microsoft.com/office/drawing/2014/chart" uri="{C3380CC4-5D6E-409C-BE32-E72D297353CC}">
                <c16:uniqueId val="{000000B2-FE28-B647-94A4-D692918256A5}"/>
              </c:ext>
            </c:extLst>
          </c:dPt>
          <c:dPt>
            <c:idx val="17"/>
            <c:invertIfNegative val="0"/>
            <c:bubble3D val="0"/>
            <c:extLst>
              <c:ext xmlns:c16="http://schemas.microsoft.com/office/drawing/2014/chart" uri="{C3380CC4-5D6E-409C-BE32-E72D297353CC}">
                <c16:uniqueId val="{000000B3-FE28-B647-94A4-D692918256A5}"/>
              </c:ext>
            </c:extLst>
          </c:dPt>
          <c:dPt>
            <c:idx val="18"/>
            <c:invertIfNegative val="0"/>
            <c:bubble3D val="0"/>
            <c:extLst>
              <c:ext xmlns:c16="http://schemas.microsoft.com/office/drawing/2014/chart" uri="{C3380CC4-5D6E-409C-BE32-E72D297353CC}">
                <c16:uniqueId val="{000000B4-FE28-B647-94A4-D692918256A5}"/>
              </c:ext>
            </c:extLst>
          </c:dPt>
          <c:dPt>
            <c:idx val="19"/>
            <c:invertIfNegative val="0"/>
            <c:bubble3D val="0"/>
            <c:extLst>
              <c:ext xmlns:c16="http://schemas.microsoft.com/office/drawing/2014/chart" uri="{C3380CC4-5D6E-409C-BE32-E72D297353CC}">
                <c16:uniqueId val="{000000B5-FE28-B647-94A4-D692918256A5}"/>
              </c:ext>
            </c:extLst>
          </c:dPt>
          <c:dPt>
            <c:idx val="20"/>
            <c:invertIfNegative val="0"/>
            <c:bubble3D val="0"/>
            <c:extLst>
              <c:ext xmlns:c16="http://schemas.microsoft.com/office/drawing/2014/chart" uri="{C3380CC4-5D6E-409C-BE32-E72D297353CC}">
                <c16:uniqueId val="{000000B6-FE28-B647-94A4-D692918256A5}"/>
              </c:ext>
            </c:extLst>
          </c:dPt>
          <c:dPt>
            <c:idx val="21"/>
            <c:invertIfNegative val="0"/>
            <c:bubble3D val="0"/>
            <c:extLst>
              <c:ext xmlns:c16="http://schemas.microsoft.com/office/drawing/2014/chart" uri="{C3380CC4-5D6E-409C-BE32-E72D297353CC}">
                <c16:uniqueId val="{000000B7-FE28-B647-94A4-D692918256A5}"/>
              </c:ext>
            </c:extLst>
          </c:dPt>
          <c:dPt>
            <c:idx val="22"/>
            <c:invertIfNegative val="0"/>
            <c:bubble3D val="0"/>
            <c:extLst>
              <c:ext xmlns:c16="http://schemas.microsoft.com/office/drawing/2014/chart" uri="{C3380CC4-5D6E-409C-BE32-E72D297353CC}">
                <c16:uniqueId val="{000000B8-FE28-B647-94A4-D692918256A5}"/>
              </c:ext>
            </c:extLst>
          </c:dPt>
          <c:dPt>
            <c:idx val="23"/>
            <c:invertIfNegative val="0"/>
            <c:bubble3D val="0"/>
            <c:extLst>
              <c:ext xmlns:c16="http://schemas.microsoft.com/office/drawing/2014/chart" uri="{C3380CC4-5D6E-409C-BE32-E72D297353CC}">
                <c16:uniqueId val="{000000B9-FE28-B647-94A4-D692918256A5}"/>
              </c:ext>
            </c:extLst>
          </c:dPt>
          <c:dPt>
            <c:idx val="24"/>
            <c:invertIfNegative val="0"/>
            <c:bubble3D val="0"/>
            <c:extLst>
              <c:ext xmlns:c16="http://schemas.microsoft.com/office/drawing/2014/chart" uri="{C3380CC4-5D6E-409C-BE32-E72D297353CC}">
                <c16:uniqueId val="{000000BA-FE28-B647-94A4-D692918256A5}"/>
              </c:ext>
            </c:extLst>
          </c:dPt>
          <c:dPt>
            <c:idx val="25"/>
            <c:invertIfNegative val="0"/>
            <c:bubble3D val="0"/>
            <c:spPr>
              <a:solidFill>
                <a:srgbClr val="1F3864"/>
              </a:solidFill>
              <a:ln>
                <a:solidFill>
                  <a:srgbClr val="1F3864"/>
                </a:solidFill>
              </a:ln>
            </c:spPr>
            <c:extLst>
              <c:ext xmlns:c16="http://schemas.microsoft.com/office/drawing/2014/chart" uri="{C3380CC4-5D6E-409C-BE32-E72D297353CC}">
                <c16:uniqueId val="{000000BB-FE28-B647-94A4-D692918256A5}"/>
              </c:ext>
            </c:extLst>
          </c:dPt>
          <c:dLbls>
            <c:numFmt formatCode="#,##0" sourceLinked="0"/>
            <c:spPr>
              <a:noFill/>
              <a:ln>
                <a:noFill/>
              </a:ln>
              <a:effectLst/>
            </c:spPr>
            <c:txPr>
              <a:bodyPr/>
              <a:lstStyle/>
              <a:p>
                <a:pPr>
                  <a:defRPr sz="700" baseline="0">
                    <a:solidFill>
                      <a:srgbClr val="FFFFFF"/>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'Summary Statistics - Enrollment'!$A$18:$A$43</c:f>
              <c:numCache>
                <c:formatCode>mmm\ yyyy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'Summary Statistics - Enrollment'!$H$18:$H$43</c:f>
              <c:numCache>
                <c:formatCode>#,##0</c:formatCode>
                <c:ptCount val="26"/>
                <c:pt idx="0">
                  <c:v>9366</c:v>
                </c:pt>
                <c:pt idx="1">
                  <c:v>1101</c:v>
                </c:pt>
                <c:pt idx="2">
                  <c:v>2893</c:v>
                </c:pt>
                <c:pt idx="3">
                  <c:v>3096</c:v>
                </c:pt>
                <c:pt idx="4">
                  <c:v>3730</c:v>
                </c:pt>
                <c:pt idx="5">
                  <c:v>4096</c:v>
                </c:pt>
                <c:pt idx="6">
                  <c:v>1438</c:v>
                </c:pt>
                <c:pt idx="7">
                  <c:v>59307</c:v>
                </c:pt>
                <c:pt idx="8">
                  <c:v>5010</c:v>
                </c:pt>
                <c:pt idx="9">
                  <c:v>3347</c:v>
                </c:pt>
                <c:pt idx="10">
                  <c:v>1209</c:v>
                </c:pt>
                <c:pt idx="11">
                  <c:v>1826</c:v>
                </c:pt>
                <c:pt idx="12">
                  <c:v>1172</c:v>
                </c:pt>
                <c:pt idx="13">
                  <c:v>3341</c:v>
                </c:pt>
                <c:pt idx="14">
                  <c:v>1721</c:v>
                </c:pt>
                <c:pt idx="15">
                  <c:v>1647</c:v>
                </c:pt>
                <c:pt idx="16">
                  <c:v>59483</c:v>
                </c:pt>
                <c:pt idx="17">
                  <c:v>2773</c:v>
                </c:pt>
                <c:pt idx="18">
                  <c:v>4044</c:v>
                </c:pt>
                <c:pt idx="19">
                  <c:v>2291</c:v>
                </c:pt>
                <c:pt idx="20">
                  <c:v>11248</c:v>
                </c:pt>
                <c:pt idx="21">
                  <c:v>871</c:v>
                </c:pt>
                <c:pt idx="22">
                  <c:v>44990</c:v>
                </c:pt>
                <c:pt idx="23">
                  <c:v>1180</c:v>
                </c:pt>
                <c:pt idx="24">
                  <c:v>3765</c:v>
                </c:pt>
                <c:pt idx="25">
                  <c:v>1156</c:v>
                </c:pt>
              </c:numCache>
            </c:numRef>
          </c:val>
          <c:extLst>
            <c:ext xmlns:c16="http://schemas.microsoft.com/office/drawing/2014/chart" uri="{C3380CC4-5D6E-409C-BE32-E72D297353CC}">
              <c16:uniqueId val="{000000BC-FE28-B647-94A4-D692918256A5}"/>
            </c:ext>
          </c:extLst>
        </c:ser>
        <c:dLbls>
          <c:showLegendKey val="0"/>
          <c:showVal val="0"/>
          <c:showCatName val="0"/>
          <c:showSerName val="0"/>
          <c:showPercent val="0"/>
          <c:showBubbleSize val="0"/>
        </c:dLbls>
        <c:gapWidth val="80"/>
        <c:overlap val="100"/>
        <c:axId val="50040001"/>
        <c:axId val="50040002"/>
      </c:barChart>
      <c:lineChart>
        <c:grouping val="standard"/>
        <c:varyColors val="0"/>
        <c:ser>
          <c:idx val="7"/>
          <c:order val="7"/>
          <c:tx>
            <c:v>_Total</c:v>
          </c:tx>
          <c:spPr>
            <a:ln>
              <a:noFill/>
            </a:ln>
          </c:spPr>
          <c:marker>
            <c:symbol val="none"/>
          </c:marker>
          <c:dLbls>
            <c:numFmt formatCode="#,##0" sourceLinked="0"/>
            <c:spPr>
              <a:noFill/>
              <a:ln>
                <a:noFill/>
              </a:ln>
              <a:effectLst/>
            </c:spPr>
            <c:txPr>
              <a:bodyPr/>
              <a:lstStyle/>
              <a:p>
                <a:pPr>
                  <a:defRPr sz="800" b="1" baseline="0">
                    <a:solidFill>
                      <a:srgbClr val="1F3864"/>
                    </a:solidFill>
                    <a:latin typeface="Arial"/>
                  </a:defRPr>
                </a:pPr>
                <a:endParaRPr lang="en-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'Summary Statistics - Enrollment'!$A$18:$A$43</c:f>
              <c:numCache>
                <c:formatCode>mmm\ yyyy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'Summary Statistics - Enrollment'!$I$18:$I$43</c:f>
              <c:numCache>
                <c:formatCode>#,##0</c:formatCode>
                <c:ptCount val="26"/>
                <c:pt idx="0">
                  <c:v>54882</c:v>
                </c:pt>
                <c:pt idx="1">
                  <c:v>53065</c:v>
                </c:pt>
                <c:pt idx="2">
                  <c:v>80900</c:v>
                </c:pt>
                <c:pt idx="3">
                  <c:v>83734</c:v>
                </c:pt>
                <c:pt idx="4">
                  <c:v>63553</c:v>
                </c:pt>
                <c:pt idx="5">
                  <c:v>72203</c:v>
                </c:pt>
                <c:pt idx="6">
                  <c:v>85654</c:v>
                </c:pt>
                <c:pt idx="7">
                  <c:v>131694</c:v>
                </c:pt>
                <c:pt idx="8">
                  <c:v>146195</c:v>
                </c:pt>
                <c:pt idx="9">
                  <c:v>77268</c:v>
                </c:pt>
                <c:pt idx="10">
                  <c:v>62478</c:v>
                </c:pt>
                <c:pt idx="11">
                  <c:v>95839</c:v>
                </c:pt>
                <c:pt idx="12">
                  <c:v>51205</c:v>
                </c:pt>
                <c:pt idx="13">
                  <c:v>61212</c:v>
                </c:pt>
                <c:pt idx="14">
                  <c:v>82280</c:v>
                </c:pt>
                <c:pt idx="15">
                  <c:v>70374</c:v>
                </c:pt>
                <c:pt idx="16">
                  <c:v>133261</c:v>
                </c:pt>
                <c:pt idx="17">
                  <c:v>105358</c:v>
                </c:pt>
                <c:pt idx="18">
                  <c:v>98474</c:v>
                </c:pt>
                <c:pt idx="19">
                  <c:v>87993</c:v>
                </c:pt>
                <c:pt idx="20">
                  <c:v>124896</c:v>
                </c:pt>
                <c:pt idx="21">
                  <c:v>96099</c:v>
                </c:pt>
                <c:pt idx="22">
                  <c:v>106862</c:v>
                </c:pt>
                <c:pt idx="23">
                  <c:v>159943</c:v>
                </c:pt>
                <c:pt idx="24">
                  <c:v>77021</c:v>
                </c:pt>
                <c:pt idx="25">
                  <c:v>61359</c:v>
                </c:pt>
              </c:numCache>
            </c:numRef>
          </c:val>
          <c:smooth val="0"/>
          <c:extLst>
            <c:ext xmlns:c16="http://schemas.microsoft.com/office/drawing/2014/chart" uri="{C3380CC4-5D6E-409C-BE32-E72D297353CC}">
              <c16:uniqueId val="{000000BD-FE28-B647-94A4-D692918256A5}"/>
            </c:ext>
          </c:extLst>
        </c:ser>
        <c:dLbls>
          <c:showLegendKey val="0"/>
          <c:showVal val="0"/>
          <c:showCatName val="0"/>
          <c:showSerName val="0"/>
          <c:showPercent val="0"/>
          <c:showBubbleSize val="0"/>
        </c:dLbls>
        <c:marker val="1"/>
        <c:smooth val="0"/>
        <c:axId val="50040001"/>
        <c:axId val="50040002"/>
      </c:lineChart>
      <c:dateAx>
        <c:axId val="50040001"/>
        <c:scaling>
          <c:orientation val="minMax"/>
        </c:scaling>
        <c:delete val="0"/>
        <c:axPos val="b"/>
        <c:numFmt formatCode="mmm\ yy" sourceLinked="0"/>
        <c:majorTickMark val="out"/>
        <c:minorTickMark val="none"/>
        <c:tickLblPos val="low"/>
        <c:txPr>
          <a:bodyPr rot="-2700000" vert="horz"/>
          <a:lstStyle/>
          <a:p>
            <a:pPr>
              <a:defRPr sz="700" baseline="0">
                <a:latin typeface="Arial"/>
              </a:defRPr>
            </a:pPr>
            <a:endParaRPr lang="en-CN"/>
          </a:p>
        </c:txPr>
        <c:crossAx val="50040002"/>
        <c:crosses val="autoZero"/>
        <c:auto val="1"/>
        <c:lblOffset val="100"/>
        <c:baseTimeUnit val="months"/>
      </c:dateAx>
      <c:valAx>
        <c:axId val="50040002"/>
        <c:scaling>
          <c:orientation val="minMax"/>
        </c:scaling>
        <c:delete val="0"/>
        <c:axPos val="l"/>
        <c:numFmt formatCode="#,##0" sourceLinked="0"/>
        <c:majorTickMark val="out"/>
        <c:minorTickMark val="none"/>
        <c:tickLblPos val="nextTo"/>
        <c:crossAx val="50040001"/>
        <c:crosses val="autoZero"/>
        <c:crossBetween val="between"/>
      </c:valAx>
      <c:spPr>
        <a:ln>
          <a:noFill/>
        </a:ln>
      </c:spPr>
    </c:plotArea>
    <c:legend>
      <c:legendPos val="b"/>
      <c:legendEntry>
        <c:idx val="7"/>
        <c:delete val="1"/>
      </c:legendEntry>
      <c:overlay val="0"/>
      <c:txPr>
        <a:bodyPr/>
        <a:lstStyle/>
        <a:p>
          <a:pPr>
            <a:defRPr sz="800" baseline="0">
              <a:latin typeface="Arial"/>
            </a:defRPr>
          </a:pPr>
          <a:endParaRPr lang="en-CN"/>
        </a:p>
      </c:txPr>
    </c:legend>
    <c:plotVisOnly val="1"/>
    <c:dispBlanksAs val="gap"/>
    <c:showDLblsOverMax val="0"/>
  </c:chart>
  <c:spPr>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latin typeface="Arial"/>
              </a:defRPr>
            </a:pPr>
            <a:r>
              <a:rPr lang="en-US" sz="1200" b="1" baseline="0">
                <a:latin typeface="Arial"/>
              </a:rPr>
              <a:t>FDA new drug approvals, to date: Yearly</a:t>
            </a:r>
          </a:p>
        </c:rich>
      </c:tx>
      <c:overlay val="0"/>
    </c:title>
    <c:autoTitleDeleted val="0"/>
    <c:plotArea>
      <c:layout/>
      <c:barChart>
        <c:barDir val="col"/>
        <c:grouping val="stacked"/>
        <c:varyColors val="0"/>
        <c:ser>
          <c:idx val="0"/>
          <c:order val="0"/>
          <c:tx>
            <c:v>Chemical (NDA)</c:v>
          </c:tx>
          <c:spPr>
            <a:solidFill>
              <a:srgbClr val="999999"/>
            </a:solidFill>
            <a:ln>
              <a:solidFill>
                <a:srgbClr val="999999"/>
              </a:solidFill>
            </a:ln>
          </c:spPr>
          <c:invertIfNegative val="0"/>
          <c:dPt>
            <c:idx val="0"/>
            <c:invertIfNegative val="0"/>
            <c:bubble3D val="0"/>
            <c:extLst>
              <c:ext xmlns:c16="http://schemas.microsoft.com/office/drawing/2014/chart" uri="{C3380CC4-5D6E-409C-BE32-E72D297353CC}">
                <c16:uniqueId val="{00000000-73FA-544A-ADC3-ADDACC28BECD}"/>
              </c:ext>
            </c:extLst>
          </c:dPt>
          <c:dPt>
            <c:idx val="1"/>
            <c:invertIfNegative val="0"/>
            <c:bubble3D val="0"/>
            <c:extLst>
              <c:ext xmlns:c16="http://schemas.microsoft.com/office/drawing/2014/chart" uri="{C3380CC4-5D6E-409C-BE32-E72D297353CC}">
                <c16:uniqueId val="{00000001-73FA-544A-ADC3-ADDACC28BECD}"/>
              </c:ext>
            </c:extLst>
          </c:dPt>
          <c:dPt>
            <c:idx val="2"/>
            <c:invertIfNegative val="0"/>
            <c:bubble3D val="0"/>
            <c:spPr>
              <a:solidFill>
                <a:srgbClr val="BDD7EE"/>
              </a:solidFill>
              <a:ln>
                <a:solidFill>
                  <a:srgbClr val="BDD7EE"/>
                </a:solidFill>
              </a:ln>
            </c:spPr>
            <c:extLst>
              <c:ext xmlns:c16="http://schemas.microsoft.com/office/drawing/2014/chart" uri="{C3380CC4-5D6E-409C-BE32-E72D297353CC}">
                <c16:uniqueId val="{00000002-73FA-544A-ADC3-ADDACC28BECD}"/>
              </c:ext>
            </c:extLst>
          </c:dPt>
          <c:dPt>
            <c:idx val="3"/>
            <c:invertIfNegative val="0"/>
            <c:bubble3D val="0"/>
            <c:spPr>
              <a:solidFill>
                <a:srgbClr val="BDD7EE"/>
              </a:solidFill>
              <a:ln>
                <a:solidFill>
                  <a:srgbClr val="BDD7EE"/>
                </a:solidFill>
              </a:ln>
            </c:spPr>
            <c:extLst>
              <c:ext xmlns:c16="http://schemas.microsoft.com/office/drawing/2014/chart" uri="{C3380CC4-5D6E-409C-BE32-E72D297353CC}">
                <c16:uniqueId val="{00000003-73FA-544A-ADC3-ADDACC28BECD}"/>
              </c:ext>
            </c:extLst>
          </c:dPt>
          <c:dLbls>
            <c:dLbl>
              <c:idx val="2"/>
              <c:delete val="1"/>
              <c:extLst>
                <c:ext xmlns:c15="http://schemas.microsoft.com/office/drawing/2012/chart" uri="{CE6537A1-D6FC-4f65-9D91-7224C49458BB}"/>
                <c:ext xmlns:c16="http://schemas.microsoft.com/office/drawing/2014/chart" uri="{C3380CC4-5D6E-409C-BE32-E72D297353CC}">
                  <c16:uniqueId val="{00000002-73FA-544A-ADC3-ADDACC28BECD}"/>
                </c:ext>
              </c:extLst>
            </c:dLbl>
            <c:numFmt formatCode="#,##0" sourceLinked="0"/>
            <c:spPr>
              <a:noFill/>
              <a:ln>
                <a:noFill/>
              </a:ln>
              <a:effectLst/>
            </c:spPr>
            <c:txPr>
              <a:bodyPr/>
              <a:lstStyle/>
              <a:p>
                <a:pPr>
                  <a:defRPr sz="800" baseline="0">
                    <a:solidFill>
                      <a:srgbClr val="FFFFFF"/>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'FDA Approval Summary'!$A$5:$A$8</c:f>
              <c:strCache>
                <c:ptCount val="4"/>
                <c:pt idx="0">
                  <c:v>2024</c:v>
                </c:pt>
                <c:pt idx="1">
                  <c:v>2025</c:v>
                </c:pt>
                <c:pt idx="2">
                  <c:v>2026</c:v>
                </c:pt>
                <c:pt idx="3">
                  <c:v>2026 Annualized</c:v>
                </c:pt>
              </c:strCache>
            </c:strRef>
          </c:cat>
          <c:val>
            <c:numRef>
              <c:f>'FDA Approval Summary'!$B$5:$B$8</c:f>
              <c:numCache>
                <c:formatCode>#,##0</c:formatCode>
                <c:ptCount val="4"/>
                <c:pt idx="0">
                  <c:v>34</c:v>
                </c:pt>
                <c:pt idx="1">
                  <c:v>34</c:v>
                </c:pt>
                <c:pt idx="2">
                  <c:v>4</c:v>
                </c:pt>
                <c:pt idx="3">
                  <c:v>24</c:v>
                </c:pt>
              </c:numCache>
            </c:numRef>
          </c:val>
          <c:extLst>
            <c:ext xmlns:c16="http://schemas.microsoft.com/office/drawing/2014/chart" uri="{C3380CC4-5D6E-409C-BE32-E72D297353CC}">
              <c16:uniqueId val="{00000004-73FA-544A-ADC3-ADDACC28BECD}"/>
            </c:ext>
          </c:extLst>
        </c:ser>
        <c:ser>
          <c:idx val="1"/>
          <c:order val="1"/>
          <c:tx>
            <c:v>Biologics (BLA)</c:v>
          </c:tx>
          <c:spPr>
            <a:solidFill>
              <a:srgbClr val="1A1A1A"/>
            </a:solidFill>
            <a:ln>
              <a:solidFill>
                <a:srgbClr val="1A1A1A"/>
              </a:solidFill>
            </a:ln>
          </c:spPr>
          <c:invertIfNegative val="0"/>
          <c:dPt>
            <c:idx val="0"/>
            <c:invertIfNegative val="0"/>
            <c:bubble3D val="0"/>
            <c:extLst>
              <c:ext xmlns:c16="http://schemas.microsoft.com/office/drawing/2014/chart" uri="{C3380CC4-5D6E-409C-BE32-E72D297353CC}">
                <c16:uniqueId val="{00000005-73FA-544A-ADC3-ADDACC28BECD}"/>
              </c:ext>
            </c:extLst>
          </c:dPt>
          <c:dPt>
            <c:idx val="1"/>
            <c:invertIfNegative val="0"/>
            <c:bubble3D val="0"/>
            <c:extLst>
              <c:ext xmlns:c16="http://schemas.microsoft.com/office/drawing/2014/chart" uri="{C3380CC4-5D6E-409C-BE32-E72D297353CC}">
                <c16:uniqueId val="{00000006-73FA-544A-ADC3-ADDACC28BECD}"/>
              </c:ext>
            </c:extLst>
          </c:dPt>
          <c:dPt>
            <c:idx val="2"/>
            <c:invertIfNegative val="0"/>
            <c:bubble3D val="0"/>
            <c:spPr>
              <a:solidFill>
                <a:srgbClr val="1F3864"/>
              </a:solidFill>
              <a:ln>
                <a:solidFill>
                  <a:srgbClr val="1F3864"/>
                </a:solidFill>
              </a:ln>
            </c:spPr>
            <c:extLst>
              <c:ext xmlns:c16="http://schemas.microsoft.com/office/drawing/2014/chart" uri="{C3380CC4-5D6E-409C-BE32-E72D297353CC}">
                <c16:uniqueId val="{00000007-73FA-544A-ADC3-ADDACC28BECD}"/>
              </c:ext>
            </c:extLst>
          </c:dPt>
          <c:dPt>
            <c:idx val="3"/>
            <c:invertIfNegative val="0"/>
            <c:bubble3D val="0"/>
            <c:spPr>
              <a:solidFill>
                <a:srgbClr val="1F3864"/>
              </a:solidFill>
              <a:ln>
                <a:solidFill>
                  <a:srgbClr val="1F3864"/>
                </a:solidFill>
              </a:ln>
            </c:spPr>
            <c:extLst>
              <c:ext xmlns:c16="http://schemas.microsoft.com/office/drawing/2014/chart" uri="{C3380CC4-5D6E-409C-BE32-E72D297353CC}">
                <c16:uniqueId val="{00000008-73FA-544A-ADC3-ADDACC28BECD}"/>
              </c:ext>
            </c:extLst>
          </c:dPt>
          <c:dLbls>
            <c:dLbl>
              <c:idx val="2"/>
              <c:delete val="1"/>
              <c:extLst>
                <c:ext xmlns:c15="http://schemas.microsoft.com/office/drawing/2012/chart" uri="{CE6537A1-D6FC-4f65-9D91-7224C49458BB}"/>
                <c:ext xmlns:c16="http://schemas.microsoft.com/office/drawing/2014/chart" uri="{C3380CC4-5D6E-409C-BE32-E72D297353CC}">
                  <c16:uniqueId val="{00000007-73FA-544A-ADC3-ADDACC28BECD}"/>
                </c:ext>
              </c:extLst>
            </c:dLbl>
            <c:numFmt formatCode="#,##0" sourceLinked="0"/>
            <c:spPr>
              <a:noFill/>
              <a:ln>
                <a:noFill/>
              </a:ln>
              <a:effectLst/>
            </c:spPr>
            <c:txPr>
              <a:bodyPr/>
              <a:lstStyle/>
              <a:p>
                <a:pPr>
                  <a:defRPr sz="800" baseline="0">
                    <a:solidFill>
                      <a:srgbClr val="FFFFFF"/>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'FDA Approval Summary'!$A$5:$A$8</c:f>
              <c:strCache>
                <c:ptCount val="4"/>
                <c:pt idx="0">
                  <c:v>2024</c:v>
                </c:pt>
                <c:pt idx="1">
                  <c:v>2025</c:v>
                </c:pt>
                <c:pt idx="2">
                  <c:v>2026</c:v>
                </c:pt>
                <c:pt idx="3">
                  <c:v>2026 Annualized</c:v>
                </c:pt>
              </c:strCache>
            </c:strRef>
          </c:cat>
          <c:val>
            <c:numRef>
              <c:f>'FDA Approval Summary'!$C$5:$C$8</c:f>
              <c:numCache>
                <c:formatCode>#,##0</c:formatCode>
                <c:ptCount val="4"/>
                <c:pt idx="0">
                  <c:v>28</c:v>
                </c:pt>
                <c:pt idx="1">
                  <c:v>22</c:v>
                </c:pt>
                <c:pt idx="2">
                  <c:v>1</c:v>
                </c:pt>
                <c:pt idx="3">
                  <c:v>6</c:v>
                </c:pt>
              </c:numCache>
            </c:numRef>
          </c:val>
          <c:extLst>
            <c:ext xmlns:c16="http://schemas.microsoft.com/office/drawing/2014/chart" uri="{C3380CC4-5D6E-409C-BE32-E72D297353CC}">
              <c16:uniqueId val="{00000009-73FA-544A-ADC3-ADDACC28BECD}"/>
            </c:ext>
          </c:extLst>
        </c:ser>
        <c:dLbls>
          <c:showLegendKey val="0"/>
          <c:showVal val="0"/>
          <c:showCatName val="0"/>
          <c:showSerName val="0"/>
          <c:showPercent val="0"/>
          <c:showBubbleSize val="0"/>
        </c:dLbls>
        <c:gapWidth val="80"/>
        <c:overlap val="100"/>
        <c:axId val="50050001"/>
        <c:axId val="50050002"/>
      </c:barChart>
      <c:lineChart>
        <c:grouping val="standard"/>
        <c:varyColors val="0"/>
        <c:ser>
          <c:idx val="2"/>
          <c:order val="2"/>
          <c:tx>
            <c:v>_Total</c:v>
          </c:tx>
          <c:spPr>
            <a:ln>
              <a:noFill/>
            </a:ln>
          </c:spPr>
          <c:marker>
            <c:symbol val="none"/>
          </c:marker>
          <c:dLbls>
            <c:numFmt formatCode="#,##0" sourceLinked="0"/>
            <c:spPr>
              <a:noFill/>
              <a:ln>
                <a:noFill/>
              </a:ln>
              <a:effectLst/>
            </c:spPr>
            <c:txPr>
              <a:bodyPr/>
              <a:lstStyle/>
              <a:p>
                <a:pPr>
                  <a:defRPr sz="900" b="1" baseline="0">
                    <a:solidFill>
                      <a:srgbClr val="1F3864"/>
                    </a:solidFill>
                    <a:latin typeface="Arial"/>
                  </a:defRPr>
                </a:pPr>
                <a:endParaRPr lang="en-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'FDA Approval Summary'!$A$5:$A$8</c:f>
              <c:strCache>
                <c:ptCount val="4"/>
                <c:pt idx="0">
                  <c:v>2024</c:v>
                </c:pt>
                <c:pt idx="1">
                  <c:v>2025</c:v>
                </c:pt>
                <c:pt idx="2">
                  <c:v>2026</c:v>
                </c:pt>
                <c:pt idx="3">
                  <c:v>2026 Annualized</c:v>
                </c:pt>
              </c:strCache>
            </c:strRef>
          </c:cat>
          <c:val>
            <c:numRef>
              <c:f>'FDA Approval Summary'!$D$5:$D$8</c:f>
              <c:numCache>
                <c:formatCode>#,##0</c:formatCode>
                <c:ptCount val="4"/>
                <c:pt idx="0">
                  <c:v>62</c:v>
                </c:pt>
                <c:pt idx="1">
                  <c:v>56</c:v>
                </c:pt>
                <c:pt idx="2">
                  <c:v>5</c:v>
                </c:pt>
                <c:pt idx="3">
                  <c:v>30</c:v>
                </c:pt>
              </c:numCache>
            </c:numRef>
          </c:val>
          <c:smooth val="0"/>
          <c:extLst>
            <c:ext xmlns:c16="http://schemas.microsoft.com/office/drawing/2014/chart" uri="{C3380CC4-5D6E-409C-BE32-E72D297353CC}">
              <c16:uniqueId val="{0000000A-73FA-544A-ADC3-ADDACC28BECD}"/>
            </c:ext>
          </c:extLst>
        </c:ser>
        <c:dLbls>
          <c:showLegendKey val="0"/>
          <c:showVal val="0"/>
          <c:showCatName val="0"/>
          <c:showSerName val="0"/>
          <c:showPercent val="0"/>
          <c:showBubbleSize val="0"/>
        </c:dLbls>
        <c:marker val="1"/>
        <c:smooth val="0"/>
        <c:axId val="50050001"/>
        <c:axId val="50050002"/>
      </c:lineChart>
      <c:catAx>
        <c:axId val="50050001"/>
        <c:scaling>
          <c:orientation val="minMax"/>
        </c:scaling>
        <c:delete val="0"/>
        <c:axPos val="b"/>
        <c:numFmt formatCode="General" sourceLinked="0"/>
        <c:majorTickMark val="out"/>
        <c:minorTickMark val="none"/>
        <c:tickLblPos val="low"/>
        <c:txPr>
          <a:bodyPr/>
          <a:lstStyle/>
          <a:p>
            <a:pPr>
              <a:defRPr sz="800" baseline="0">
                <a:latin typeface="Arial"/>
              </a:defRPr>
            </a:pPr>
            <a:endParaRPr lang="en-CN"/>
          </a:p>
        </c:txPr>
        <c:crossAx val="50050002"/>
        <c:crosses val="autoZero"/>
        <c:auto val="1"/>
        <c:lblAlgn val="ctr"/>
        <c:lblOffset val="100"/>
        <c:noMultiLvlLbl val="0"/>
      </c:catAx>
      <c:valAx>
        <c:axId val="50050002"/>
        <c:scaling>
          <c:orientation val="minMax"/>
        </c:scaling>
        <c:delete val="0"/>
        <c:axPos val="l"/>
        <c:numFmt formatCode="#,##0" sourceLinked="0"/>
        <c:majorTickMark val="out"/>
        <c:minorTickMark val="none"/>
        <c:tickLblPos val="nextTo"/>
        <c:crossAx val="50050001"/>
        <c:crosses val="autoZero"/>
        <c:crossBetween val="between"/>
      </c:valAx>
      <c:spPr>
        <a:ln>
          <a:noFill/>
        </a:ln>
      </c:spPr>
    </c:plotArea>
    <c:legend>
      <c:legendPos val="b"/>
      <c:legendEntry>
        <c:idx val="2"/>
        <c:delete val="1"/>
      </c:legendEntry>
      <c:overlay val="0"/>
      <c:txPr>
        <a:bodyPr/>
        <a:lstStyle/>
        <a:p>
          <a:pPr>
            <a:defRPr sz="800" baseline="0">
              <a:latin typeface="Arial"/>
            </a:defRPr>
          </a:pPr>
          <a:endParaRPr lang="en-CN"/>
        </a:p>
      </c:txPr>
    </c:legend>
    <c:plotVisOnly val="1"/>
    <c:dispBlanksAs val="gap"/>
    <c:showDLblsOverMax val="0"/>
  </c:chart>
  <c:spPr>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latin typeface="Arial"/>
              </a:defRPr>
            </a:pPr>
            <a:r>
              <a:rPr lang="en-US" sz="1200" b="1" baseline="0">
                <a:latin typeface="Arial"/>
              </a:rPr>
              <a:t>FDA new drug approvals, to date: Monthly</a:t>
            </a:r>
          </a:p>
        </c:rich>
      </c:tx>
      <c:overlay val="0"/>
    </c:title>
    <c:autoTitleDeleted val="0"/>
    <c:plotArea>
      <c:layout/>
      <c:barChart>
        <c:barDir val="col"/>
        <c:grouping val="stacked"/>
        <c:varyColors val="0"/>
        <c:ser>
          <c:idx val="0"/>
          <c:order val="0"/>
          <c:tx>
            <c:v>NDA</c:v>
          </c:tx>
          <c:spPr>
            <a:solidFill>
              <a:srgbClr val="D9D9D9"/>
            </a:solidFill>
            <a:ln>
              <a:solidFill>
                <a:srgbClr val="D9D9D9"/>
              </a:solidFill>
            </a:ln>
          </c:spPr>
          <c:invertIfNegative val="0"/>
          <c:dPt>
            <c:idx val="0"/>
            <c:invertIfNegative val="0"/>
            <c:bubble3D val="0"/>
            <c:spPr>
              <a:solidFill>
                <a:srgbClr val="D9D9D9"/>
              </a:solidFill>
              <a:ln>
                <a:solidFill>
                  <a:srgbClr val="D9D9D9"/>
                </a:solidFill>
              </a:ln>
            </c:spPr>
            <c:extLst>
              <c:ext xmlns:c16="http://schemas.microsoft.com/office/drawing/2014/chart" uri="{C3380CC4-5D6E-409C-BE32-E72D297353CC}">
                <c16:uniqueId val="{00000000-E682-D84C-B43B-99B4D748BCED}"/>
              </c:ext>
            </c:extLst>
          </c:dPt>
          <c:dPt>
            <c:idx val="1"/>
            <c:invertIfNegative val="0"/>
            <c:bubble3D val="0"/>
            <c:spPr>
              <a:solidFill>
                <a:srgbClr val="D9D9D9"/>
              </a:solidFill>
              <a:ln>
                <a:solidFill>
                  <a:srgbClr val="D9D9D9"/>
                </a:solidFill>
              </a:ln>
            </c:spPr>
            <c:extLst>
              <c:ext xmlns:c16="http://schemas.microsoft.com/office/drawing/2014/chart" uri="{C3380CC4-5D6E-409C-BE32-E72D297353CC}">
                <c16:uniqueId val="{00000001-E682-D84C-B43B-99B4D748BCED}"/>
              </c:ext>
            </c:extLst>
          </c:dPt>
          <c:dPt>
            <c:idx val="2"/>
            <c:invertIfNegative val="0"/>
            <c:bubble3D val="0"/>
            <c:spPr>
              <a:solidFill>
                <a:srgbClr val="D9D9D9"/>
              </a:solidFill>
              <a:ln>
                <a:solidFill>
                  <a:srgbClr val="D9D9D9"/>
                </a:solidFill>
              </a:ln>
            </c:spPr>
            <c:extLst>
              <c:ext xmlns:c16="http://schemas.microsoft.com/office/drawing/2014/chart" uri="{C3380CC4-5D6E-409C-BE32-E72D297353CC}">
                <c16:uniqueId val="{00000002-E682-D84C-B43B-99B4D748BCED}"/>
              </c:ext>
            </c:extLst>
          </c:dPt>
          <c:dPt>
            <c:idx val="3"/>
            <c:invertIfNegative val="0"/>
            <c:bubble3D val="0"/>
            <c:spPr>
              <a:solidFill>
                <a:srgbClr val="D9D9D9"/>
              </a:solidFill>
              <a:ln>
                <a:solidFill>
                  <a:srgbClr val="D9D9D9"/>
                </a:solidFill>
              </a:ln>
            </c:spPr>
            <c:extLst>
              <c:ext xmlns:c16="http://schemas.microsoft.com/office/drawing/2014/chart" uri="{C3380CC4-5D6E-409C-BE32-E72D297353CC}">
                <c16:uniqueId val="{00000003-E682-D84C-B43B-99B4D748BCED}"/>
              </c:ext>
            </c:extLst>
          </c:dPt>
          <c:dPt>
            <c:idx val="4"/>
            <c:invertIfNegative val="0"/>
            <c:bubble3D val="0"/>
            <c:spPr>
              <a:solidFill>
                <a:srgbClr val="D9D9D9"/>
              </a:solidFill>
              <a:ln>
                <a:solidFill>
                  <a:srgbClr val="D9D9D9"/>
                </a:solidFill>
              </a:ln>
            </c:spPr>
            <c:extLst>
              <c:ext xmlns:c16="http://schemas.microsoft.com/office/drawing/2014/chart" uri="{C3380CC4-5D6E-409C-BE32-E72D297353CC}">
                <c16:uniqueId val="{00000004-E682-D84C-B43B-99B4D748BCED}"/>
              </c:ext>
            </c:extLst>
          </c:dPt>
          <c:dPt>
            <c:idx val="5"/>
            <c:invertIfNegative val="0"/>
            <c:bubble3D val="0"/>
            <c:spPr>
              <a:solidFill>
                <a:srgbClr val="D9D9D9"/>
              </a:solidFill>
              <a:ln>
                <a:solidFill>
                  <a:srgbClr val="D9D9D9"/>
                </a:solidFill>
              </a:ln>
            </c:spPr>
            <c:extLst>
              <c:ext xmlns:c16="http://schemas.microsoft.com/office/drawing/2014/chart" uri="{C3380CC4-5D6E-409C-BE32-E72D297353CC}">
                <c16:uniqueId val="{00000005-E682-D84C-B43B-99B4D748BCED}"/>
              </c:ext>
            </c:extLst>
          </c:dPt>
          <c:dPt>
            <c:idx val="6"/>
            <c:invertIfNegative val="0"/>
            <c:bubble3D val="0"/>
            <c:spPr>
              <a:solidFill>
                <a:srgbClr val="D9D9D9"/>
              </a:solidFill>
              <a:ln>
                <a:solidFill>
                  <a:srgbClr val="D9D9D9"/>
                </a:solidFill>
              </a:ln>
            </c:spPr>
            <c:extLst>
              <c:ext xmlns:c16="http://schemas.microsoft.com/office/drawing/2014/chart" uri="{C3380CC4-5D6E-409C-BE32-E72D297353CC}">
                <c16:uniqueId val="{00000006-E682-D84C-B43B-99B4D748BCED}"/>
              </c:ext>
            </c:extLst>
          </c:dPt>
          <c:dPt>
            <c:idx val="7"/>
            <c:invertIfNegative val="0"/>
            <c:bubble3D val="0"/>
            <c:spPr>
              <a:solidFill>
                <a:srgbClr val="D9D9D9"/>
              </a:solidFill>
              <a:ln>
                <a:solidFill>
                  <a:srgbClr val="D9D9D9"/>
                </a:solidFill>
              </a:ln>
            </c:spPr>
            <c:extLst>
              <c:ext xmlns:c16="http://schemas.microsoft.com/office/drawing/2014/chart" uri="{C3380CC4-5D6E-409C-BE32-E72D297353CC}">
                <c16:uniqueId val="{00000007-E682-D84C-B43B-99B4D748BCED}"/>
              </c:ext>
            </c:extLst>
          </c:dPt>
          <c:dPt>
            <c:idx val="8"/>
            <c:invertIfNegative val="0"/>
            <c:bubble3D val="0"/>
            <c:spPr>
              <a:solidFill>
                <a:srgbClr val="D9D9D9"/>
              </a:solidFill>
              <a:ln>
                <a:solidFill>
                  <a:srgbClr val="D9D9D9"/>
                </a:solidFill>
              </a:ln>
            </c:spPr>
            <c:extLst>
              <c:ext xmlns:c16="http://schemas.microsoft.com/office/drawing/2014/chart" uri="{C3380CC4-5D6E-409C-BE32-E72D297353CC}">
                <c16:uniqueId val="{00000008-E682-D84C-B43B-99B4D748BCED}"/>
              </c:ext>
            </c:extLst>
          </c:dPt>
          <c:dPt>
            <c:idx val="9"/>
            <c:invertIfNegative val="0"/>
            <c:bubble3D val="0"/>
            <c:spPr>
              <a:solidFill>
                <a:srgbClr val="D9D9D9"/>
              </a:solidFill>
              <a:ln>
                <a:solidFill>
                  <a:srgbClr val="D9D9D9"/>
                </a:solidFill>
              </a:ln>
            </c:spPr>
            <c:extLst>
              <c:ext xmlns:c16="http://schemas.microsoft.com/office/drawing/2014/chart" uri="{C3380CC4-5D6E-409C-BE32-E72D297353CC}">
                <c16:uniqueId val="{00000009-E682-D84C-B43B-99B4D748BCED}"/>
              </c:ext>
            </c:extLst>
          </c:dPt>
          <c:dPt>
            <c:idx val="10"/>
            <c:invertIfNegative val="0"/>
            <c:bubble3D val="0"/>
            <c:spPr>
              <a:solidFill>
                <a:srgbClr val="D9D9D9"/>
              </a:solidFill>
              <a:ln>
                <a:solidFill>
                  <a:srgbClr val="D9D9D9"/>
                </a:solidFill>
              </a:ln>
            </c:spPr>
            <c:extLst>
              <c:ext xmlns:c16="http://schemas.microsoft.com/office/drawing/2014/chart" uri="{C3380CC4-5D6E-409C-BE32-E72D297353CC}">
                <c16:uniqueId val="{0000000A-E682-D84C-B43B-99B4D748BCED}"/>
              </c:ext>
            </c:extLst>
          </c:dPt>
          <c:dPt>
            <c:idx val="11"/>
            <c:invertIfNegative val="0"/>
            <c:bubble3D val="0"/>
            <c:spPr>
              <a:solidFill>
                <a:srgbClr val="D9D9D9"/>
              </a:solidFill>
              <a:ln>
                <a:solidFill>
                  <a:srgbClr val="D9D9D9"/>
                </a:solidFill>
              </a:ln>
            </c:spPr>
            <c:extLst>
              <c:ext xmlns:c16="http://schemas.microsoft.com/office/drawing/2014/chart" uri="{C3380CC4-5D6E-409C-BE32-E72D297353CC}">
                <c16:uniqueId val="{0000000B-E682-D84C-B43B-99B4D748BCED}"/>
              </c:ext>
            </c:extLst>
          </c:dPt>
          <c:dPt>
            <c:idx val="12"/>
            <c:invertIfNegative val="0"/>
            <c:bubble3D val="0"/>
            <c:spPr>
              <a:solidFill>
                <a:srgbClr val="D9D9D9"/>
              </a:solidFill>
              <a:ln>
                <a:solidFill>
                  <a:srgbClr val="D9D9D9"/>
                </a:solidFill>
              </a:ln>
            </c:spPr>
            <c:extLst>
              <c:ext xmlns:c16="http://schemas.microsoft.com/office/drawing/2014/chart" uri="{C3380CC4-5D6E-409C-BE32-E72D297353CC}">
                <c16:uniqueId val="{0000000C-E682-D84C-B43B-99B4D748BCED}"/>
              </c:ext>
            </c:extLst>
          </c:dPt>
          <c:dPt>
            <c:idx val="13"/>
            <c:invertIfNegative val="0"/>
            <c:bubble3D val="0"/>
            <c:spPr>
              <a:solidFill>
                <a:srgbClr val="D9D9D9"/>
              </a:solidFill>
              <a:ln>
                <a:solidFill>
                  <a:srgbClr val="D9D9D9"/>
                </a:solidFill>
              </a:ln>
            </c:spPr>
            <c:extLst>
              <c:ext xmlns:c16="http://schemas.microsoft.com/office/drawing/2014/chart" uri="{C3380CC4-5D6E-409C-BE32-E72D297353CC}">
                <c16:uniqueId val="{0000000D-E682-D84C-B43B-99B4D748BCED}"/>
              </c:ext>
            </c:extLst>
          </c:dPt>
          <c:dPt>
            <c:idx val="14"/>
            <c:invertIfNegative val="0"/>
            <c:bubble3D val="0"/>
            <c:spPr>
              <a:solidFill>
                <a:srgbClr val="D9D9D9"/>
              </a:solidFill>
              <a:ln>
                <a:solidFill>
                  <a:srgbClr val="D9D9D9"/>
                </a:solidFill>
              </a:ln>
            </c:spPr>
            <c:extLst>
              <c:ext xmlns:c16="http://schemas.microsoft.com/office/drawing/2014/chart" uri="{C3380CC4-5D6E-409C-BE32-E72D297353CC}">
                <c16:uniqueId val="{0000000E-E682-D84C-B43B-99B4D748BCED}"/>
              </c:ext>
            </c:extLst>
          </c:dPt>
          <c:dPt>
            <c:idx val="15"/>
            <c:invertIfNegative val="0"/>
            <c:bubble3D val="0"/>
            <c:spPr>
              <a:solidFill>
                <a:srgbClr val="D9D9D9"/>
              </a:solidFill>
              <a:ln>
                <a:solidFill>
                  <a:srgbClr val="D9D9D9"/>
                </a:solidFill>
              </a:ln>
            </c:spPr>
            <c:extLst>
              <c:ext xmlns:c16="http://schemas.microsoft.com/office/drawing/2014/chart" uri="{C3380CC4-5D6E-409C-BE32-E72D297353CC}">
                <c16:uniqueId val="{0000000F-E682-D84C-B43B-99B4D748BCED}"/>
              </c:ext>
            </c:extLst>
          </c:dPt>
          <c:dPt>
            <c:idx val="16"/>
            <c:invertIfNegative val="0"/>
            <c:bubble3D val="0"/>
            <c:spPr>
              <a:solidFill>
                <a:srgbClr val="D9D9D9"/>
              </a:solidFill>
              <a:ln>
                <a:solidFill>
                  <a:srgbClr val="D9D9D9"/>
                </a:solidFill>
              </a:ln>
            </c:spPr>
            <c:extLst>
              <c:ext xmlns:c16="http://schemas.microsoft.com/office/drawing/2014/chart" uri="{C3380CC4-5D6E-409C-BE32-E72D297353CC}">
                <c16:uniqueId val="{00000010-E682-D84C-B43B-99B4D748BCED}"/>
              </c:ext>
            </c:extLst>
          </c:dPt>
          <c:dPt>
            <c:idx val="17"/>
            <c:invertIfNegative val="0"/>
            <c:bubble3D val="0"/>
            <c:spPr>
              <a:solidFill>
                <a:srgbClr val="D9D9D9"/>
              </a:solidFill>
              <a:ln>
                <a:solidFill>
                  <a:srgbClr val="D9D9D9"/>
                </a:solidFill>
              </a:ln>
            </c:spPr>
            <c:extLst>
              <c:ext xmlns:c16="http://schemas.microsoft.com/office/drawing/2014/chart" uri="{C3380CC4-5D6E-409C-BE32-E72D297353CC}">
                <c16:uniqueId val="{00000011-E682-D84C-B43B-99B4D748BCED}"/>
              </c:ext>
            </c:extLst>
          </c:dPt>
          <c:dPt>
            <c:idx val="18"/>
            <c:invertIfNegative val="0"/>
            <c:bubble3D val="0"/>
            <c:spPr>
              <a:solidFill>
                <a:srgbClr val="D9D9D9"/>
              </a:solidFill>
              <a:ln>
                <a:solidFill>
                  <a:srgbClr val="D9D9D9"/>
                </a:solidFill>
              </a:ln>
            </c:spPr>
            <c:extLst>
              <c:ext xmlns:c16="http://schemas.microsoft.com/office/drawing/2014/chart" uri="{C3380CC4-5D6E-409C-BE32-E72D297353CC}">
                <c16:uniqueId val="{00000012-E682-D84C-B43B-99B4D748BCED}"/>
              </c:ext>
            </c:extLst>
          </c:dPt>
          <c:dPt>
            <c:idx val="19"/>
            <c:invertIfNegative val="0"/>
            <c:bubble3D val="0"/>
            <c:spPr>
              <a:solidFill>
                <a:srgbClr val="D9D9D9"/>
              </a:solidFill>
              <a:ln>
                <a:solidFill>
                  <a:srgbClr val="D9D9D9"/>
                </a:solidFill>
              </a:ln>
            </c:spPr>
            <c:extLst>
              <c:ext xmlns:c16="http://schemas.microsoft.com/office/drawing/2014/chart" uri="{C3380CC4-5D6E-409C-BE32-E72D297353CC}">
                <c16:uniqueId val="{00000013-E682-D84C-B43B-99B4D748BCED}"/>
              </c:ext>
            </c:extLst>
          </c:dPt>
          <c:dPt>
            <c:idx val="20"/>
            <c:invertIfNegative val="0"/>
            <c:bubble3D val="0"/>
            <c:spPr>
              <a:solidFill>
                <a:srgbClr val="D9D9D9"/>
              </a:solidFill>
              <a:ln>
                <a:solidFill>
                  <a:srgbClr val="D9D9D9"/>
                </a:solidFill>
              </a:ln>
            </c:spPr>
            <c:extLst>
              <c:ext xmlns:c16="http://schemas.microsoft.com/office/drawing/2014/chart" uri="{C3380CC4-5D6E-409C-BE32-E72D297353CC}">
                <c16:uniqueId val="{00000014-E682-D84C-B43B-99B4D748BCED}"/>
              </c:ext>
            </c:extLst>
          </c:dPt>
          <c:dPt>
            <c:idx val="21"/>
            <c:invertIfNegative val="0"/>
            <c:bubble3D val="0"/>
            <c:spPr>
              <a:solidFill>
                <a:srgbClr val="D9D9D9"/>
              </a:solidFill>
              <a:ln>
                <a:solidFill>
                  <a:srgbClr val="D9D9D9"/>
                </a:solidFill>
              </a:ln>
            </c:spPr>
            <c:extLst>
              <c:ext xmlns:c16="http://schemas.microsoft.com/office/drawing/2014/chart" uri="{C3380CC4-5D6E-409C-BE32-E72D297353CC}">
                <c16:uniqueId val="{00000015-E682-D84C-B43B-99B4D748BCED}"/>
              </c:ext>
            </c:extLst>
          </c:dPt>
          <c:dPt>
            <c:idx val="22"/>
            <c:invertIfNegative val="0"/>
            <c:bubble3D val="0"/>
            <c:spPr>
              <a:solidFill>
                <a:srgbClr val="D9D9D9"/>
              </a:solidFill>
              <a:ln>
                <a:solidFill>
                  <a:srgbClr val="D9D9D9"/>
                </a:solidFill>
              </a:ln>
            </c:spPr>
            <c:extLst>
              <c:ext xmlns:c16="http://schemas.microsoft.com/office/drawing/2014/chart" uri="{C3380CC4-5D6E-409C-BE32-E72D297353CC}">
                <c16:uniqueId val="{00000016-E682-D84C-B43B-99B4D748BCED}"/>
              </c:ext>
            </c:extLst>
          </c:dPt>
          <c:dPt>
            <c:idx val="23"/>
            <c:invertIfNegative val="0"/>
            <c:bubble3D val="0"/>
            <c:spPr>
              <a:solidFill>
                <a:srgbClr val="D9D9D9"/>
              </a:solidFill>
              <a:ln>
                <a:solidFill>
                  <a:srgbClr val="D9D9D9"/>
                </a:solidFill>
              </a:ln>
            </c:spPr>
            <c:extLst>
              <c:ext xmlns:c16="http://schemas.microsoft.com/office/drawing/2014/chart" uri="{C3380CC4-5D6E-409C-BE32-E72D297353CC}">
                <c16:uniqueId val="{00000017-E682-D84C-B43B-99B4D748BCED}"/>
              </c:ext>
            </c:extLst>
          </c:dPt>
          <c:dPt>
            <c:idx val="24"/>
            <c:invertIfNegative val="0"/>
            <c:bubble3D val="0"/>
            <c:spPr>
              <a:solidFill>
                <a:srgbClr val="D9D9D9"/>
              </a:solidFill>
              <a:ln>
                <a:solidFill>
                  <a:srgbClr val="D9D9D9"/>
                </a:solidFill>
              </a:ln>
            </c:spPr>
            <c:extLst>
              <c:ext xmlns:c16="http://schemas.microsoft.com/office/drawing/2014/chart" uri="{C3380CC4-5D6E-409C-BE32-E72D297353CC}">
                <c16:uniqueId val="{00000018-E682-D84C-B43B-99B4D748BCED}"/>
              </c:ext>
            </c:extLst>
          </c:dPt>
          <c:dPt>
            <c:idx val="25"/>
            <c:invertIfNegative val="0"/>
            <c:bubble3D val="0"/>
            <c:spPr>
              <a:solidFill>
                <a:srgbClr val="BDD7EE"/>
              </a:solidFill>
              <a:ln>
                <a:solidFill>
                  <a:srgbClr val="BDD7EE"/>
                </a:solidFill>
              </a:ln>
            </c:spPr>
            <c:extLst>
              <c:ext xmlns:c16="http://schemas.microsoft.com/office/drawing/2014/chart" uri="{C3380CC4-5D6E-409C-BE32-E72D297353CC}">
                <c16:uniqueId val="{00000019-E682-D84C-B43B-99B4D748BCED}"/>
              </c:ext>
            </c:extLst>
          </c:dPt>
          <c:dLbls>
            <c:numFmt formatCode="#,##0" sourceLinked="0"/>
            <c:spPr>
              <a:noFill/>
              <a:ln>
                <a:noFill/>
              </a:ln>
              <a:effectLst/>
            </c:spPr>
            <c:txPr>
              <a:bodyPr/>
              <a:lstStyle/>
              <a:p>
                <a:pPr>
                  <a:defRPr sz="800" baseline="0">
                    <a:solidFill>
                      <a:srgbClr val="1A1A1A"/>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'FDA Approval Summary'!$A$12:$A$37</c:f>
              <c:numCache>
                <c:formatCode>mmm\ yyyy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'FDA Approval Summary'!$B$12:$B$37</c:f>
              <c:numCache>
                <c:formatCode>#,##0</c:formatCode>
                <c:ptCount val="26"/>
                <c:pt idx="0">
                  <c:v>1</c:v>
                </c:pt>
                <c:pt idx="1">
                  <c:v>1</c:v>
                </c:pt>
                <c:pt idx="2">
                  <c:v>5</c:v>
                </c:pt>
                <c:pt idx="3">
                  <c:v>4</c:v>
                </c:pt>
                <c:pt idx="4">
                  <c:v>0</c:v>
                </c:pt>
                <c:pt idx="5">
                  <c:v>4</c:v>
                </c:pt>
                <c:pt idx="6">
                  <c:v>1</c:v>
                </c:pt>
                <c:pt idx="7">
                  <c:v>4</c:v>
                </c:pt>
                <c:pt idx="8">
                  <c:v>4</c:v>
                </c:pt>
                <c:pt idx="9">
                  <c:v>2</c:v>
                </c:pt>
                <c:pt idx="10">
                  <c:v>4</c:v>
                </c:pt>
                <c:pt idx="11">
                  <c:v>4</c:v>
                </c:pt>
                <c:pt idx="12">
                  <c:v>2</c:v>
                </c:pt>
                <c:pt idx="13">
                  <c:v>2</c:v>
                </c:pt>
                <c:pt idx="14">
                  <c:v>2</c:v>
                </c:pt>
                <c:pt idx="15">
                  <c:v>1</c:v>
                </c:pt>
                <c:pt idx="16">
                  <c:v>2</c:v>
                </c:pt>
                <c:pt idx="17">
                  <c:v>1</c:v>
                </c:pt>
                <c:pt idx="18">
                  <c:v>5</c:v>
                </c:pt>
                <c:pt idx="19">
                  <c:v>5</c:v>
                </c:pt>
                <c:pt idx="20">
                  <c:v>4</c:v>
                </c:pt>
                <c:pt idx="21">
                  <c:v>2</c:v>
                </c:pt>
                <c:pt idx="22">
                  <c:v>4</c:v>
                </c:pt>
                <c:pt idx="23">
                  <c:v>4</c:v>
                </c:pt>
                <c:pt idx="24">
                  <c:v>1</c:v>
                </c:pt>
                <c:pt idx="25">
                  <c:v>3</c:v>
                </c:pt>
              </c:numCache>
            </c:numRef>
          </c:val>
          <c:extLst>
            <c:ext xmlns:c16="http://schemas.microsoft.com/office/drawing/2014/chart" uri="{C3380CC4-5D6E-409C-BE32-E72D297353CC}">
              <c16:uniqueId val="{0000001A-E682-D84C-B43B-99B4D748BCED}"/>
            </c:ext>
          </c:extLst>
        </c:ser>
        <c:ser>
          <c:idx val="1"/>
          <c:order val="1"/>
          <c:tx>
            <c:v>BLA (CDER)</c:v>
          </c:tx>
          <c:spPr>
            <a:solidFill>
              <a:srgbClr val="999999"/>
            </a:solidFill>
            <a:ln>
              <a:solidFill>
                <a:srgbClr val="999999"/>
              </a:solidFill>
            </a:ln>
          </c:spPr>
          <c:invertIfNegative val="0"/>
          <c:dPt>
            <c:idx val="0"/>
            <c:invertIfNegative val="0"/>
            <c:bubble3D val="0"/>
            <c:extLst>
              <c:ext xmlns:c16="http://schemas.microsoft.com/office/drawing/2014/chart" uri="{C3380CC4-5D6E-409C-BE32-E72D297353CC}">
                <c16:uniqueId val="{0000001B-E682-D84C-B43B-99B4D748BCED}"/>
              </c:ext>
            </c:extLst>
          </c:dPt>
          <c:dPt>
            <c:idx val="1"/>
            <c:invertIfNegative val="0"/>
            <c:bubble3D val="0"/>
            <c:extLst>
              <c:ext xmlns:c16="http://schemas.microsoft.com/office/drawing/2014/chart" uri="{C3380CC4-5D6E-409C-BE32-E72D297353CC}">
                <c16:uniqueId val="{0000001C-E682-D84C-B43B-99B4D748BCED}"/>
              </c:ext>
            </c:extLst>
          </c:dPt>
          <c:dPt>
            <c:idx val="2"/>
            <c:invertIfNegative val="0"/>
            <c:bubble3D val="0"/>
            <c:extLst>
              <c:ext xmlns:c16="http://schemas.microsoft.com/office/drawing/2014/chart" uri="{C3380CC4-5D6E-409C-BE32-E72D297353CC}">
                <c16:uniqueId val="{0000001D-E682-D84C-B43B-99B4D748BCED}"/>
              </c:ext>
            </c:extLst>
          </c:dPt>
          <c:dPt>
            <c:idx val="3"/>
            <c:invertIfNegative val="0"/>
            <c:bubble3D val="0"/>
            <c:extLst>
              <c:ext xmlns:c16="http://schemas.microsoft.com/office/drawing/2014/chart" uri="{C3380CC4-5D6E-409C-BE32-E72D297353CC}">
                <c16:uniqueId val="{0000001E-E682-D84C-B43B-99B4D748BCED}"/>
              </c:ext>
            </c:extLst>
          </c:dPt>
          <c:dPt>
            <c:idx val="4"/>
            <c:invertIfNegative val="0"/>
            <c:bubble3D val="0"/>
            <c:extLst>
              <c:ext xmlns:c16="http://schemas.microsoft.com/office/drawing/2014/chart" uri="{C3380CC4-5D6E-409C-BE32-E72D297353CC}">
                <c16:uniqueId val="{0000001F-E682-D84C-B43B-99B4D748BCED}"/>
              </c:ext>
            </c:extLst>
          </c:dPt>
          <c:dPt>
            <c:idx val="5"/>
            <c:invertIfNegative val="0"/>
            <c:bubble3D val="0"/>
            <c:extLst>
              <c:ext xmlns:c16="http://schemas.microsoft.com/office/drawing/2014/chart" uri="{C3380CC4-5D6E-409C-BE32-E72D297353CC}">
                <c16:uniqueId val="{00000020-E682-D84C-B43B-99B4D748BCED}"/>
              </c:ext>
            </c:extLst>
          </c:dPt>
          <c:dPt>
            <c:idx val="6"/>
            <c:invertIfNegative val="0"/>
            <c:bubble3D val="0"/>
            <c:extLst>
              <c:ext xmlns:c16="http://schemas.microsoft.com/office/drawing/2014/chart" uri="{C3380CC4-5D6E-409C-BE32-E72D297353CC}">
                <c16:uniqueId val="{00000021-E682-D84C-B43B-99B4D748BCED}"/>
              </c:ext>
            </c:extLst>
          </c:dPt>
          <c:dPt>
            <c:idx val="7"/>
            <c:invertIfNegative val="0"/>
            <c:bubble3D val="0"/>
            <c:extLst>
              <c:ext xmlns:c16="http://schemas.microsoft.com/office/drawing/2014/chart" uri="{C3380CC4-5D6E-409C-BE32-E72D297353CC}">
                <c16:uniqueId val="{00000022-E682-D84C-B43B-99B4D748BCED}"/>
              </c:ext>
            </c:extLst>
          </c:dPt>
          <c:dPt>
            <c:idx val="8"/>
            <c:invertIfNegative val="0"/>
            <c:bubble3D val="0"/>
            <c:extLst>
              <c:ext xmlns:c16="http://schemas.microsoft.com/office/drawing/2014/chart" uri="{C3380CC4-5D6E-409C-BE32-E72D297353CC}">
                <c16:uniqueId val="{00000023-E682-D84C-B43B-99B4D748BCED}"/>
              </c:ext>
            </c:extLst>
          </c:dPt>
          <c:dPt>
            <c:idx val="9"/>
            <c:invertIfNegative val="0"/>
            <c:bubble3D val="0"/>
            <c:extLst>
              <c:ext xmlns:c16="http://schemas.microsoft.com/office/drawing/2014/chart" uri="{C3380CC4-5D6E-409C-BE32-E72D297353CC}">
                <c16:uniqueId val="{00000024-E682-D84C-B43B-99B4D748BCED}"/>
              </c:ext>
            </c:extLst>
          </c:dPt>
          <c:dPt>
            <c:idx val="10"/>
            <c:invertIfNegative val="0"/>
            <c:bubble3D val="0"/>
            <c:extLst>
              <c:ext xmlns:c16="http://schemas.microsoft.com/office/drawing/2014/chart" uri="{C3380CC4-5D6E-409C-BE32-E72D297353CC}">
                <c16:uniqueId val="{00000025-E682-D84C-B43B-99B4D748BCED}"/>
              </c:ext>
            </c:extLst>
          </c:dPt>
          <c:dPt>
            <c:idx val="11"/>
            <c:invertIfNegative val="0"/>
            <c:bubble3D val="0"/>
            <c:extLst>
              <c:ext xmlns:c16="http://schemas.microsoft.com/office/drawing/2014/chart" uri="{C3380CC4-5D6E-409C-BE32-E72D297353CC}">
                <c16:uniqueId val="{00000026-E682-D84C-B43B-99B4D748BCED}"/>
              </c:ext>
            </c:extLst>
          </c:dPt>
          <c:dPt>
            <c:idx val="12"/>
            <c:invertIfNegative val="0"/>
            <c:bubble3D val="0"/>
            <c:extLst>
              <c:ext xmlns:c16="http://schemas.microsoft.com/office/drawing/2014/chart" uri="{C3380CC4-5D6E-409C-BE32-E72D297353CC}">
                <c16:uniqueId val="{00000027-E682-D84C-B43B-99B4D748BCED}"/>
              </c:ext>
            </c:extLst>
          </c:dPt>
          <c:dPt>
            <c:idx val="13"/>
            <c:invertIfNegative val="0"/>
            <c:bubble3D val="0"/>
            <c:extLst>
              <c:ext xmlns:c16="http://schemas.microsoft.com/office/drawing/2014/chart" uri="{C3380CC4-5D6E-409C-BE32-E72D297353CC}">
                <c16:uniqueId val="{00000028-E682-D84C-B43B-99B4D748BCED}"/>
              </c:ext>
            </c:extLst>
          </c:dPt>
          <c:dPt>
            <c:idx val="14"/>
            <c:invertIfNegative val="0"/>
            <c:bubble3D val="0"/>
            <c:extLst>
              <c:ext xmlns:c16="http://schemas.microsoft.com/office/drawing/2014/chart" uri="{C3380CC4-5D6E-409C-BE32-E72D297353CC}">
                <c16:uniqueId val="{00000029-E682-D84C-B43B-99B4D748BCED}"/>
              </c:ext>
            </c:extLst>
          </c:dPt>
          <c:dPt>
            <c:idx val="15"/>
            <c:invertIfNegative val="0"/>
            <c:bubble3D val="0"/>
            <c:extLst>
              <c:ext xmlns:c16="http://schemas.microsoft.com/office/drawing/2014/chart" uri="{C3380CC4-5D6E-409C-BE32-E72D297353CC}">
                <c16:uniqueId val="{0000002A-E682-D84C-B43B-99B4D748BCED}"/>
              </c:ext>
            </c:extLst>
          </c:dPt>
          <c:dPt>
            <c:idx val="16"/>
            <c:invertIfNegative val="0"/>
            <c:bubble3D val="0"/>
            <c:extLst>
              <c:ext xmlns:c16="http://schemas.microsoft.com/office/drawing/2014/chart" uri="{C3380CC4-5D6E-409C-BE32-E72D297353CC}">
                <c16:uniqueId val="{0000002B-E682-D84C-B43B-99B4D748BCED}"/>
              </c:ext>
            </c:extLst>
          </c:dPt>
          <c:dPt>
            <c:idx val="17"/>
            <c:invertIfNegative val="0"/>
            <c:bubble3D val="0"/>
            <c:extLst>
              <c:ext xmlns:c16="http://schemas.microsoft.com/office/drawing/2014/chart" uri="{C3380CC4-5D6E-409C-BE32-E72D297353CC}">
                <c16:uniqueId val="{0000002C-E682-D84C-B43B-99B4D748BCED}"/>
              </c:ext>
            </c:extLst>
          </c:dPt>
          <c:dPt>
            <c:idx val="18"/>
            <c:invertIfNegative val="0"/>
            <c:bubble3D val="0"/>
            <c:extLst>
              <c:ext xmlns:c16="http://schemas.microsoft.com/office/drawing/2014/chart" uri="{C3380CC4-5D6E-409C-BE32-E72D297353CC}">
                <c16:uniqueId val="{0000002D-E682-D84C-B43B-99B4D748BCED}"/>
              </c:ext>
            </c:extLst>
          </c:dPt>
          <c:dPt>
            <c:idx val="19"/>
            <c:invertIfNegative val="0"/>
            <c:bubble3D val="0"/>
            <c:extLst>
              <c:ext xmlns:c16="http://schemas.microsoft.com/office/drawing/2014/chart" uri="{C3380CC4-5D6E-409C-BE32-E72D297353CC}">
                <c16:uniqueId val="{0000002E-E682-D84C-B43B-99B4D748BCED}"/>
              </c:ext>
            </c:extLst>
          </c:dPt>
          <c:dPt>
            <c:idx val="20"/>
            <c:invertIfNegative val="0"/>
            <c:bubble3D val="0"/>
            <c:extLst>
              <c:ext xmlns:c16="http://schemas.microsoft.com/office/drawing/2014/chart" uri="{C3380CC4-5D6E-409C-BE32-E72D297353CC}">
                <c16:uniqueId val="{0000002F-E682-D84C-B43B-99B4D748BCED}"/>
              </c:ext>
            </c:extLst>
          </c:dPt>
          <c:dPt>
            <c:idx val="21"/>
            <c:invertIfNegative val="0"/>
            <c:bubble3D val="0"/>
            <c:extLst>
              <c:ext xmlns:c16="http://schemas.microsoft.com/office/drawing/2014/chart" uri="{C3380CC4-5D6E-409C-BE32-E72D297353CC}">
                <c16:uniqueId val="{00000030-E682-D84C-B43B-99B4D748BCED}"/>
              </c:ext>
            </c:extLst>
          </c:dPt>
          <c:dPt>
            <c:idx val="22"/>
            <c:invertIfNegative val="0"/>
            <c:bubble3D val="0"/>
            <c:extLst>
              <c:ext xmlns:c16="http://schemas.microsoft.com/office/drawing/2014/chart" uri="{C3380CC4-5D6E-409C-BE32-E72D297353CC}">
                <c16:uniqueId val="{00000031-E682-D84C-B43B-99B4D748BCED}"/>
              </c:ext>
            </c:extLst>
          </c:dPt>
          <c:dPt>
            <c:idx val="23"/>
            <c:invertIfNegative val="0"/>
            <c:bubble3D val="0"/>
            <c:extLst>
              <c:ext xmlns:c16="http://schemas.microsoft.com/office/drawing/2014/chart" uri="{C3380CC4-5D6E-409C-BE32-E72D297353CC}">
                <c16:uniqueId val="{00000032-E682-D84C-B43B-99B4D748BCED}"/>
              </c:ext>
            </c:extLst>
          </c:dPt>
          <c:dPt>
            <c:idx val="24"/>
            <c:invertIfNegative val="0"/>
            <c:bubble3D val="0"/>
            <c:extLst>
              <c:ext xmlns:c16="http://schemas.microsoft.com/office/drawing/2014/chart" uri="{C3380CC4-5D6E-409C-BE32-E72D297353CC}">
                <c16:uniqueId val="{00000033-E682-D84C-B43B-99B4D748BCED}"/>
              </c:ext>
            </c:extLst>
          </c:dPt>
          <c:dPt>
            <c:idx val="25"/>
            <c:invertIfNegative val="0"/>
            <c:bubble3D val="0"/>
            <c:spPr>
              <a:solidFill>
                <a:srgbClr val="1F3864"/>
              </a:solidFill>
              <a:ln>
                <a:solidFill>
                  <a:srgbClr val="1F3864"/>
                </a:solidFill>
              </a:ln>
            </c:spPr>
            <c:extLst>
              <c:ext xmlns:c16="http://schemas.microsoft.com/office/drawing/2014/chart" uri="{C3380CC4-5D6E-409C-BE32-E72D297353CC}">
                <c16:uniqueId val="{00000034-E682-D84C-B43B-99B4D748BCED}"/>
              </c:ext>
            </c:extLst>
          </c:dPt>
          <c:dLbls>
            <c:numFmt formatCode="#,##0" sourceLinked="0"/>
            <c:spPr>
              <a:noFill/>
              <a:ln>
                <a:noFill/>
              </a:ln>
              <a:effectLst/>
            </c:spPr>
            <c:txPr>
              <a:bodyPr/>
              <a:lstStyle/>
              <a:p>
                <a:pPr>
                  <a:defRPr sz="800" baseline="0">
                    <a:solidFill>
                      <a:srgbClr val="FFFFFF"/>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'FDA Approval Summary'!$A$12:$A$37</c:f>
              <c:numCache>
                <c:formatCode>mmm\ yyyy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'FDA Approval Summary'!$C$12:$C$37</c:f>
              <c:numCache>
                <c:formatCode>#,##0</c:formatCode>
                <c:ptCount val="26"/>
                <c:pt idx="0">
                  <c:v>0</c:v>
                </c:pt>
                <c:pt idx="1">
                  <c:v>1</c:v>
                </c:pt>
                <c:pt idx="2">
                  <c:v>2</c:v>
                </c:pt>
                <c:pt idx="3">
                  <c:v>1</c:v>
                </c:pt>
                <c:pt idx="4">
                  <c:v>1</c:v>
                </c:pt>
                <c:pt idx="5">
                  <c:v>1</c:v>
                </c:pt>
                <c:pt idx="6">
                  <c:v>1</c:v>
                </c:pt>
                <c:pt idx="7">
                  <c:v>2</c:v>
                </c:pt>
                <c:pt idx="8">
                  <c:v>1</c:v>
                </c:pt>
                <c:pt idx="9">
                  <c:v>2</c:v>
                </c:pt>
                <c:pt idx="10">
                  <c:v>1</c:v>
                </c:pt>
                <c:pt idx="11">
                  <c:v>3</c:v>
                </c:pt>
                <c:pt idx="12">
                  <c:v>1</c:v>
                </c:pt>
                <c:pt idx="13">
                  <c:v>0</c:v>
                </c:pt>
                <c:pt idx="14">
                  <c:v>0</c:v>
                </c:pt>
                <c:pt idx="15">
                  <c:v>2</c:v>
                </c:pt>
                <c:pt idx="16">
                  <c:v>1</c:v>
                </c:pt>
                <c:pt idx="17">
                  <c:v>2</c:v>
                </c:pt>
                <c:pt idx="18">
                  <c:v>1</c:v>
                </c:pt>
                <c:pt idx="19">
                  <c:v>0</c:v>
                </c:pt>
                <c:pt idx="20">
                  <c:v>1</c:v>
                </c:pt>
                <c:pt idx="21">
                  <c:v>0</c:v>
                </c:pt>
                <c:pt idx="22">
                  <c:v>1</c:v>
                </c:pt>
                <c:pt idx="23">
                  <c:v>3</c:v>
                </c:pt>
                <c:pt idx="24">
                  <c:v>0</c:v>
                </c:pt>
                <c:pt idx="25">
                  <c:v>1</c:v>
                </c:pt>
              </c:numCache>
            </c:numRef>
          </c:val>
          <c:extLst>
            <c:ext xmlns:c16="http://schemas.microsoft.com/office/drawing/2014/chart" uri="{C3380CC4-5D6E-409C-BE32-E72D297353CC}">
              <c16:uniqueId val="{00000035-E682-D84C-B43B-99B4D748BCED}"/>
            </c:ext>
          </c:extLst>
        </c:ser>
        <c:ser>
          <c:idx val="2"/>
          <c:order val="2"/>
          <c:tx>
            <c:v>BLA (CBER)</c:v>
          </c:tx>
          <c:spPr>
            <a:solidFill>
              <a:srgbClr val="1A1A1A"/>
            </a:solidFill>
            <a:ln>
              <a:solidFill>
                <a:srgbClr val="1A1A1A"/>
              </a:solidFill>
            </a:ln>
          </c:spPr>
          <c:invertIfNegative val="0"/>
          <c:dPt>
            <c:idx val="0"/>
            <c:invertIfNegative val="0"/>
            <c:bubble3D val="0"/>
            <c:extLst>
              <c:ext xmlns:c16="http://schemas.microsoft.com/office/drawing/2014/chart" uri="{C3380CC4-5D6E-409C-BE32-E72D297353CC}">
                <c16:uniqueId val="{00000036-E682-D84C-B43B-99B4D748BCED}"/>
              </c:ext>
            </c:extLst>
          </c:dPt>
          <c:dPt>
            <c:idx val="1"/>
            <c:invertIfNegative val="0"/>
            <c:bubble3D val="0"/>
            <c:extLst>
              <c:ext xmlns:c16="http://schemas.microsoft.com/office/drawing/2014/chart" uri="{C3380CC4-5D6E-409C-BE32-E72D297353CC}">
                <c16:uniqueId val="{00000037-E682-D84C-B43B-99B4D748BCED}"/>
              </c:ext>
            </c:extLst>
          </c:dPt>
          <c:dPt>
            <c:idx val="2"/>
            <c:invertIfNegative val="0"/>
            <c:bubble3D val="0"/>
            <c:extLst>
              <c:ext xmlns:c16="http://schemas.microsoft.com/office/drawing/2014/chart" uri="{C3380CC4-5D6E-409C-BE32-E72D297353CC}">
                <c16:uniqueId val="{00000038-E682-D84C-B43B-99B4D748BCED}"/>
              </c:ext>
            </c:extLst>
          </c:dPt>
          <c:dPt>
            <c:idx val="3"/>
            <c:invertIfNegative val="0"/>
            <c:bubble3D val="0"/>
            <c:extLst>
              <c:ext xmlns:c16="http://schemas.microsoft.com/office/drawing/2014/chart" uri="{C3380CC4-5D6E-409C-BE32-E72D297353CC}">
                <c16:uniqueId val="{00000039-E682-D84C-B43B-99B4D748BCED}"/>
              </c:ext>
            </c:extLst>
          </c:dPt>
          <c:dPt>
            <c:idx val="4"/>
            <c:invertIfNegative val="0"/>
            <c:bubble3D val="0"/>
            <c:extLst>
              <c:ext xmlns:c16="http://schemas.microsoft.com/office/drawing/2014/chart" uri="{C3380CC4-5D6E-409C-BE32-E72D297353CC}">
                <c16:uniqueId val="{0000003A-E682-D84C-B43B-99B4D748BCED}"/>
              </c:ext>
            </c:extLst>
          </c:dPt>
          <c:dPt>
            <c:idx val="5"/>
            <c:invertIfNegative val="0"/>
            <c:bubble3D val="0"/>
            <c:extLst>
              <c:ext xmlns:c16="http://schemas.microsoft.com/office/drawing/2014/chart" uri="{C3380CC4-5D6E-409C-BE32-E72D297353CC}">
                <c16:uniqueId val="{0000003B-E682-D84C-B43B-99B4D748BCED}"/>
              </c:ext>
            </c:extLst>
          </c:dPt>
          <c:dPt>
            <c:idx val="6"/>
            <c:invertIfNegative val="0"/>
            <c:bubble3D val="0"/>
            <c:extLst>
              <c:ext xmlns:c16="http://schemas.microsoft.com/office/drawing/2014/chart" uri="{C3380CC4-5D6E-409C-BE32-E72D297353CC}">
                <c16:uniqueId val="{0000003C-E682-D84C-B43B-99B4D748BCED}"/>
              </c:ext>
            </c:extLst>
          </c:dPt>
          <c:dPt>
            <c:idx val="7"/>
            <c:invertIfNegative val="0"/>
            <c:bubble3D val="0"/>
            <c:extLst>
              <c:ext xmlns:c16="http://schemas.microsoft.com/office/drawing/2014/chart" uri="{C3380CC4-5D6E-409C-BE32-E72D297353CC}">
                <c16:uniqueId val="{0000003D-E682-D84C-B43B-99B4D748BCED}"/>
              </c:ext>
            </c:extLst>
          </c:dPt>
          <c:dPt>
            <c:idx val="8"/>
            <c:invertIfNegative val="0"/>
            <c:bubble3D val="0"/>
            <c:extLst>
              <c:ext xmlns:c16="http://schemas.microsoft.com/office/drawing/2014/chart" uri="{C3380CC4-5D6E-409C-BE32-E72D297353CC}">
                <c16:uniqueId val="{0000003E-E682-D84C-B43B-99B4D748BCED}"/>
              </c:ext>
            </c:extLst>
          </c:dPt>
          <c:dPt>
            <c:idx val="9"/>
            <c:invertIfNegative val="0"/>
            <c:bubble3D val="0"/>
            <c:extLst>
              <c:ext xmlns:c16="http://schemas.microsoft.com/office/drawing/2014/chart" uri="{C3380CC4-5D6E-409C-BE32-E72D297353CC}">
                <c16:uniqueId val="{0000003F-E682-D84C-B43B-99B4D748BCED}"/>
              </c:ext>
            </c:extLst>
          </c:dPt>
          <c:dPt>
            <c:idx val="10"/>
            <c:invertIfNegative val="0"/>
            <c:bubble3D val="0"/>
            <c:extLst>
              <c:ext xmlns:c16="http://schemas.microsoft.com/office/drawing/2014/chart" uri="{C3380CC4-5D6E-409C-BE32-E72D297353CC}">
                <c16:uniqueId val="{00000040-E682-D84C-B43B-99B4D748BCED}"/>
              </c:ext>
            </c:extLst>
          </c:dPt>
          <c:dPt>
            <c:idx val="11"/>
            <c:invertIfNegative val="0"/>
            <c:bubble3D val="0"/>
            <c:extLst>
              <c:ext xmlns:c16="http://schemas.microsoft.com/office/drawing/2014/chart" uri="{C3380CC4-5D6E-409C-BE32-E72D297353CC}">
                <c16:uniqueId val="{00000041-E682-D84C-B43B-99B4D748BCED}"/>
              </c:ext>
            </c:extLst>
          </c:dPt>
          <c:dPt>
            <c:idx val="12"/>
            <c:invertIfNegative val="0"/>
            <c:bubble3D val="0"/>
            <c:extLst>
              <c:ext xmlns:c16="http://schemas.microsoft.com/office/drawing/2014/chart" uri="{C3380CC4-5D6E-409C-BE32-E72D297353CC}">
                <c16:uniqueId val="{00000042-E682-D84C-B43B-99B4D748BCED}"/>
              </c:ext>
            </c:extLst>
          </c:dPt>
          <c:dPt>
            <c:idx val="13"/>
            <c:invertIfNegative val="0"/>
            <c:bubble3D val="0"/>
            <c:extLst>
              <c:ext xmlns:c16="http://schemas.microsoft.com/office/drawing/2014/chart" uri="{C3380CC4-5D6E-409C-BE32-E72D297353CC}">
                <c16:uniqueId val="{00000043-E682-D84C-B43B-99B4D748BCED}"/>
              </c:ext>
            </c:extLst>
          </c:dPt>
          <c:dPt>
            <c:idx val="14"/>
            <c:invertIfNegative val="0"/>
            <c:bubble3D val="0"/>
            <c:extLst>
              <c:ext xmlns:c16="http://schemas.microsoft.com/office/drawing/2014/chart" uri="{C3380CC4-5D6E-409C-BE32-E72D297353CC}">
                <c16:uniqueId val="{00000044-E682-D84C-B43B-99B4D748BCED}"/>
              </c:ext>
            </c:extLst>
          </c:dPt>
          <c:dPt>
            <c:idx val="15"/>
            <c:invertIfNegative val="0"/>
            <c:bubble3D val="0"/>
            <c:extLst>
              <c:ext xmlns:c16="http://schemas.microsoft.com/office/drawing/2014/chart" uri="{C3380CC4-5D6E-409C-BE32-E72D297353CC}">
                <c16:uniqueId val="{00000045-E682-D84C-B43B-99B4D748BCED}"/>
              </c:ext>
            </c:extLst>
          </c:dPt>
          <c:dPt>
            <c:idx val="16"/>
            <c:invertIfNegative val="0"/>
            <c:bubble3D val="0"/>
            <c:extLst>
              <c:ext xmlns:c16="http://schemas.microsoft.com/office/drawing/2014/chart" uri="{C3380CC4-5D6E-409C-BE32-E72D297353CC}">
                <c16:uniqueId val="{00000046-E682-D84C-B43B-99B4D748BCED}"/>
              </c:ext>
            </c:extLst>
          </c:dPt>
          <c:dPt>
            <c:idx val="17"/>
            <c:invertIfNegative val="0"/>
            <c:bubble3D val="0"/>
            <c:extLst>
              <c:ext xmlns:c16="http://schemas.microsoft.com/office/drawing/2014/chart" uri="{C3380CC4-5D6E-409C-BE32-E72D297353CC}">
                <c16:uniqueId val="{00000047-E682-D84C-B43B-99B4D748BCED}"/>
              </c:ext>
            </c:extLst>
          </c:dPt>
          <c:dPt>
            <c:idx val="18"/>
            <c:invertIfNegative val="0"/>
            <c:bubble3D val="0"/>
            <c:extLst>
              <c:ext xmlns:c16="http://schemas.microsoft.com/office/drawing/2014/chart" uri="{C3380CC4-5D6E-409C-BE32-E72D297353CC}">
                <c16:uniqueId val="{00000048-E682-D84C-B43B-99B4D748BCED}"/>
              </c:ext>
            </c:extLst>
          </c:dPt>
          <c:dPt>
            <c:idx val="19"/>
            <c:invertIfNegative val="0"/>
            <c:bubble3D val="0"/>
            <c:extLst>
              <c:ext xmlns:c16="http://schemas.microsoft.com/office/drawing/2014/chart" uri="{C3380CC4-5D6E-409C-BE32-E72D297353CC}">
                <c16:uniqueId val="{00000049-E682-D84C-B43B-99B4D748BCED}"/>
              </c:ext>
            </c:extLst>
          </c:dPt>
          <c:dPt>
            <c:idx val="20"/>
            <c:invertIfNegative val="0"/>
            <c:bubble3D val="0"/>
            <c:extLst>
              <c:ext xmlns:c16="http://schemas.microsoft.com/office/drawing/2014/chart" uri="{C3380CC4-5D6E-409C-BE32-E72D297353CC}">
                <c16:uniqueId val="{0000004A-E682-D84C-B43B-99B4D748BCED}"/>
              </c:ext>
            </c:extLst>
          </c:dPt>
          <c:dPt>
            <c:idx val="21"/>
            <c:invertIfNegative val="0"/>
            <c:bubble3D val="0"/>
            <c:extLst>
              <c:ext xmlns:c16="http://schemas.microsoft.com/office/drawing/2014/chart" uri="{C3380CC4-5D6E-409C-BE32-E72D297353CC}">
                <c16:uniqueId val="{0000004B-E682-D84C-B43B-99B4D748BCED}"/>
              </c:ext>
            </c:extLst>
          </c:dPt>
          <c:dPt>
            <c:idx val="22"/>
            <c:invertIfNegative val="0"/>
            <c:bubble3D val="0"/>
            <c:extLst>
              <c:ext xmlns:c16="http://schemas.microsoft.com/office/drawing/2014/chart" uri="{C3380CC4-5D6E-409C-BE32-E72D297353CC}">
                <c16:uniqueId val="{0000004C-E682-D84C-B43B-99B4D748BCED}"/>
              </c:ext>
            </c:extLst>
          </c:dPt>
          <c:dPt>
            <c:idx val="23"/>
            <c:invertIfNegative val="0"/>
            <c:bubble3D val="0"/>
            <c:extLst>
              <c:ext xmlns:c16="http://schemas.microsoft.com/office/drawing/2014/chart" uri="{C3380CC4-5D6E-409C-BE32-E72D297353CC}">
                <c16:uniqueId val="{0000004D-E682-D84C-B43B-99B4D748BCED}"/>
              </c:ext>
            </c:extLst>
          </c:dPt>
          <c:dPt>
            <c:idx val="24"/>
            <c:invertIfNegative val="0"/>
            <c:bubble3D val="0"/>
            <c:extLst>
              <c:ext xmlns:c16="http://schemas.microsoft.com/office/drawing/2014/chart" uri="{C3380CC4-5D6E-409C-BE32-E72D297353CC}">
                <c16:uniqueId val="{0000004E-E682-D84C-B43B-99B4D748BCED}"/>
              </c:ext>
            </c:extLst>
          </c:dPt>
          <c:dPt>
            <c:idx val="25"/>
            <c:invertIfNegative val="0"/>
            <c:bubble3D val="0"/>
            <c:spPr>
              <a:solidFill>
                <a:srgbClr val="0D3B5E"/>
              </a:solidFill>
              <a:ln>
                <a:solidFill>
                  <a:srgbClr val="0D3B5E"/>
                </a:solidFill>
              </a:ln>
            </c:spPr>
            <c:extLst>
              <c:ext xmlns:c16="http://schemas.microsoft.com/office/drawing/2014/chart" uri="{C3380CC4-5D6E-409C-BE32-E72D297353CC}">
                <c16:uniqueId val="{0000004F-E682-D84C-B43B-99B4D748BCED}"/>
              </c:ext>
            </c:extLst>
          </c:dPt>
          <c:dLbls>
            <c:numFmt formatCode="#,##0" sourceLinked="0"/>
            <c:spPr>
              <a:noFill/>
              <a:ln>
                <a:noFill/>
              </a:ln>
              <a:effectLst/>
            </c:spPr>
            <c:txPr>
              <a:bodyPr/>
              <a:lstStyle/>
              <a:p>
                <a:pPr>
                  <a:defRPr sz="800" baseline="0">
                    <a:solidFill>
                      <a:srgbClr val="FFFFFF"/>
                    </a:solidFill>
                    <a:latin typeface="Arial"/>
                  </a:defRPr>
                </a:pPr>
                <a:endParaRPr lang="en-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'FDA Approval Summary'!$A$12:$A$37</c:f>
              <c:numCache>
                <c:formatCode>mmm\ yyyy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'FDA Approval Summary'!$D$12:$D$37</c:f>
              <c:numCache>
                <c:formatCode>#,##0</c:formatCode>
                <c:ptCount val="26"/>
                <c:pt idx="0">
                  <c:v>1</c:v>
                </c:pt>
                <c:pt idx="1">
                  <c:v>1</c:v>
                </c:pt>
                <c:pt idx="2">
                  <c:v>2</c:v>
                </c:pt>
                <c:pt idx="3">
                  <c:v>1</c:v>
                </c:pt>
                <c:pt idx="4">
                  <c:v>1</c:v>
                </c:pt>
                <c:pt idx="5">
                  <c:v>1</c:v>
                </c:pt>
                <c:pt idx="6">
                  <c:v>0</c:v>
                </c:pt>
                <c:pt idx="7">
                  <c:v>1</c:v>
                </c:pt>
                <c:pt idx="8">
                  <c:v>0</c:v>
                </c:pt>
                <c:pt idx="9">
                  <c:v>0</c:v>
                </c:pt>
                <c:pt idx="10">
                  <c:v>2</c:v>
                </c:pt>
                <c:pt idx="11">
                  <c:v>2</c:v>
                </c:pt>
                <c:pt idx="12">
                  <c:v>0</c:v>
                </c:pt>
                <c:pt idx="13">
                  <c:v>2</c:v>
                </c:pt>
                <c:pt idx="14">
                  <c:v>1</c:v>
                </c:pt>
                <c:pt idx="15">
                  <c:v>1</c:v>
                </c:pt>
                <c:pt idx="16">
                  <c:v>2</c:v>
                </c:pt>
                <c:pt idx="17">
                  <c:v>0</c:v>
                </c:pt>
                <c:pt idx="18">
                  <c:v>0</c:v>
                </c:pt>
                <c:pt idx="19">
                  <c:v>1</c:v>
                </c:pt>
                <c:pt idx="20">
                  <c:v>0</c:v>
                </c:pt>
                <c:pt idx="21">
                  <c:v>0</c:v>
                </c:pt>
                <c:pt idx="22">
                  <c:v>1</c:v>
                </c:pt>
                <c:pt idx="23">
                  <c:v>2</c:v>
                </c:pt>
                <c:pt idx="24">
                  <c:v>0</c:v>
                </c:pt>
                <c:pt idx="25">
                  <c:v>0</c:v>
                </c:pt>
              </c:numCache>
            </c:numRef>
          </c:val>
          <c:extLst>
            <c:ext xmlns:c16="http://schemas.microsoft.com/office/drawing/2014/chart" uri="{C3380CC4-5D6E-409C-BE32-E72D297353CC}">
              <c16:uniqueId val="{00000050-E682-D84C-B43B-99B4D748BCED}"/>
            </c:ext>
          </c:extLst>
        </c:ser>
        <c:dLbls>
          <c:showLegendKey val="0"/>
          <c:showVal val="0"/>
          <c:showCatName val="0"/>
          <c:showSerName val="0"/>
          <c:showPercent val="0"/>
          <c:showBubbleSize val="0"/>
        </c:dLbls>
        <c:gapWidth val="80"/>
        <c:overlap val="100"/>
        <c:axId val="50060001"/>
        <c:axId val="50060002"/>
      </c:barChart>
      <c:lineChart>
        <c:grouping val="standard"/>
        <c:varyColors val="0"/>
        <c:ser>
          <c:idx val="3"/>
          <c:order val="3"/>
          <c:tx>
            <c:v>_Total</c:v>
          </c:tx>
          <c:spPr>
            <a:ln>
              <a:noFill/>
            </a:ln>
          </c:spPr>
          <c:marker>
            <c:symbol val="none"/>
          </c:marker>
          <c:dLbls>
            <c:numFmt formatCode="#,##0" sourceLinked="0"/>
            <c:spPr>
              <a:noFill/>
              <a:ln>
                <a:noFill/>
              </a:ln>
              <a:effectLst/>
            </c:spPr>
            <c:txPr>
              <a:bodyPr/>
              <a:lstStyle/>
              <a:p>
                <a:pPr>
                  <a:defRPr sz="900" b="1" baseline="0">
                    <a:solidFill>
                      <a:srgbClr val="1F3864"/>
                    </a:solidFill>
                    <a:latin typeface="Arial"/>
                  </a:defRPr>
                </a:pPr>
                <a:endParaRPr lang="en-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'FDA Approval Summary'!$A$12:$A$37</c:f>
              <c:numCache>
                <c:formatCode>mmm\ yyyy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'FDA Approval Summary'!$E$12:$E$37</c:f>
              <c:numCache>
                <c:formatCode>#,##0</c:formatCode>
                <c:ptCount val="26"/>
                <c:pt idx="0">
                  <c:v>2</c:v>
                </c:pt>
                <c:pt idx="1">
                  <c:v>3</c:v>
                </c:pt>
                <c:pt idx="2">
                  <c:v>9</c:v>
                </c:pt>
                <c:pt idx="3">
                  <c:v>6</c:v>
                </c:pt>
                <c:pt idx="4">
                  <c:v>2</c:v>
                </c:pt>
                <c:pt idx="5">
                  <c:v>6</c:v>
                </c:pt>
                <c:pt idx="6">
                  <c:v>2</c:v>
                </c:pt>
                <c:pt idx="7">
                  <c:v>7</c:v>
                </c:pt>
                <c:pt idx="8">
                  <c:v>5</c:v>
                </c:pt>
                <c:pt idx="9">
                  <c:v>4</c:v>
                </c:pt>
                <c:pt idx="10">
                  <c:v>7</c:v>
                </c:pt>
                <c:pt idx="11">
                  <c:v>9</c:v>
                </c:pt>
                <c:pt idx="12">
                  <c:v>3</c:v>
                </c:pt>
                <c:pt idx="13">
                  <c:v>4</c:v>
                </c:pt>
                <c:pt idx="14">
                  <c:v>3</c:v>
                </c:pt>
                <c:pt idx="15">
                  <c:v>4</c:v>
                </c:pt>
                <c:pt idx="16">
                  <c:v>5</c:v>
                </c:pt>
                <c:pt idx="17">
                  <c:v>3</c:v>
                </c:pt>
                <c:pt idx="18">
                  <c:v>6</c:v>
                </c:pt>
                <c:pt idx="19">
                  <c:v>6</c:v>
                </c:pt>
                <c:pt idx="20">
                  <c:v>5</c:v>
                </c:pt>
                <c:pt idx="21">
                  <c:v>2</c:v>
                </c:pt>
                <c:pt idx="22">
                  <c:v>6</c:v>
                </c:pt>
                <c:pt idx="23">
                  <c:v>9</c:v>
                </c:pt>
                <c:pt idx="24">
                  <c:v>1</c:v>
                </c:pt>
                <c:pt idx="25">
                  <c:v>4</c:v>
                </c:pt>
              </c:numCache>
            </c:numRef>
          </c:val>
          <c:smooth val="0"/>
          <c:extLst>
            <c:ext xmlns:c16="http://schemas.microsoft.com/office/drawing/2014/chart" uri="{C3380CC4-5D6E-409C-BE32-E72D297353CC}">
              <c16:uniqueId val="{00000051-E682-D84C-B43B-99B4D748BCED}"/>
            </c:ext>
          </c:extLst>
        </c:ser>
        <c:dLbls>
          <c:showLegendKey val="0"/>
          <c:showVal val="0"/>
          <c:showCatName val="0"/>
          <c:showSerName val="0"/>
          <c:showPercent val="0"/>
          <c:showBubbleSize val="0"/>
        </c:dLbls>
        <c:marker val="1"/>
        <c:smooth val="0"/>
        <c:axId val="50060001"/>
        <c:axId val="50060002"/>
      </c:lineChart>
      <c:dateAx>
        <c:axId val="50060001"/>
        <c:scaling>
          <c:orientation val="minMax"/>
        </c:scaling>
        <c:delete val="0"/>
        <c:axPos val="b"/>
        <c:numFmt formatCode="mmm\ yy" sourceLinked="0"/>
        <c:majorTickMark val="out"/>
        <c:minorTickMark val="none"/>
        <c:tickLblPos val="low"/>
        <c:txPr>
          <a:bodyPr rot="-2700000" vert="horz"/>
          <a:lstStyle/>
          <a:p>
            <a:pPr>
              <a:defRPr sz="700" baseline="0">
                <a:latin typeface="Arial"/>
              </a:defRPr>
            </a:pPr>
            <a:endParaRPr lang="en-CN"/>
          </a:p>
        </c:txPr>
        <c:crossAx val="50060002"/>
        <c:crosses val="autoZero"/>
        <c:auto val="1"/>
        <c:lblOffset val="100"/>
        <c:baseTimeUnit val="months"/>
      </c:dateAx>
      <c:valAx>
        <c:axId val="50060002"/>
        <c:scaling>
          <c:orientation val="minMax"/>
        </c:scaling>
        <c:delete val="0"/>
        <c:axPos val="l"/>
        <c:numFmt formatCode="#,##0" sourceLinked="0"/>
        <c:majorTickMark val="out"/>
        <c:minorTickMark val="none"/>
        <c:tickLblPos val="nextTo"/>
        <c:crossAx val="50060001"/>
        <c:crosses val="autoZero"/>
        <c:crossBetween val="between"/>
      </c:valAx>
      <c:spPr>
        <a:ln>
          <a:noFill/>
        </a:ln>
      </c:spPr>
    </c:plotArea>
    <c:legend>
      <c:legendPos val="b"/>
      <c:legendEntry>
        <c:idx val="3"/>
        <c:delete val="1"/>
      </c:legendEntry>
      <c:overlay val="0"/>
      <c:txPr>
        <a:bodyPr/>
        <a:lstStyle/>
        <a:p>
          <a:pPr>
            <a:defRPr sz="800" baseline="0">
              <a:latin typeface="Arial"/>
            </a:defRPr>
          </a:pPr>
          <a:endParaRPr lang="en-CN"/>
        </a:p>
      </c:txPr>
    </c:legend>
    <c:plotVisOnly val="1"/>
    <c:dispBlanksAs val="gap"/>
    <c:showDLblsOverMax val="0"/>
  </c:chart>
  <c:spPr>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latin typeface="Arial"/>
              </a:defRPr>
            </a:pPr>
            <a:r>
              <a:rPr lang="en-US" sz="1200" b="1" baseline="0">
                <a:latin typeface="Arial"/>
              </a:rPr>
              <a:t>FDA biosimilar approvals, to date: Yearly</a:t>
            </a:r>
          </a:p>
        </c:rich>
      </c:tx>
      <c:overlay val="0"/>
    </c:title>
    <c:autoTitleDeleted val="0"/>
    <c:plotArea>
      <c:layout/>
      <c:barChart>
        <c:barDir val="col"/>
        <c:grouping val="clustered"/>
        <c:varyColors val="0"/>
        <c:ser>
          <c:idx val="0"/>
          <c:order val="0"/>
          <c:tx>
            <c:v>Approvals</c:v>
          </c:tx>
          <c:spPr>
            <a:solidFill>
              <a:srgbClr val="999999"/>
            </a:solidFill>
            <a:ln>
              <a:solidFill>
                <a:srgbClr val="999999"/>
              </a:solidFill>
            </a:ln>
          </c:spPr>
          <c:invertIfNegative val="0"/>
          <c:dPt>
            <c:idx val="0"/>
            <c:invertIfNegative val="0"/>
            <c:bubble3D val="0"/>
            <c:spPr>
              <a:solidFill>
                <a:srgbClr val="999999"/>
              </a:solidFill>
              <a:ln>
                <a:solidFill>
                  <a:srgbClr val="999999"/>
                </a:solidFill>
              </a:ln>
            </c:spPr>
            <c:extLst>
              <c:ext xmlns:c16="http://schemas.microsoft.com/office/drawing/2014/chart" uri="{C3380CC4-5D6E-409C-BE32-E72D297353CC}">
                <c16:uniqueId val="{00000000-EAB9-C64A-BE28-ACD9130C5A07}"/>
              </c:ext>
            </c:extLst>
          </c:dPt>
          <c:dPt>
            <c:idx val="1"/>
            <c:invertIfNegative val="0"/>
            <c:bubble3D val="0"/>
            <c:spPr>
              <a:solidFill>
                <a:srgbClr val="999999"/>
              </a:solidFill>
              <a:ln>
                <a:solidFill>
                  <a:srgbClr val="999999"/>
                </a:solidFill>
              </a:ln>
            </c:spPr>
            <c:extLst>
              <c:ext xmlns:c16="http://schemas.microsoft.com/office/drawing/2014/chart" uri="{C3380CC4-5D6E-409C-BE32-E72D297353CC}">
                <c16:uniqueId val="{00000001-EAB9-C64A-BE28-ACD9130C5A07}"/>
              </c:ext>
            </c:extLst>
          </c:dPt>
          <c:dPt>
            <c:idx val="2"/>
            <c:invertIfNegative val="0"/>
            <c:bubble3D val="0"/>
            <c:spPr>
              <a:solidFill>
                <a:srgbClr val="1E9BD7"/>
              </a:solidFill>
              <a:ln>
                <a:solidFill>
                  <a:srgbClr val="1E9BD7"/>
                </a:solidFill>
              </a:ln>
            </c:spPr>
            <c:extLst>
              <c:ext xmlns:c16="http://schemas.microsoft.com/office/drawing/2014/chart" uri="{C3380CC4-5D6E-409C-BE32-E72D297353CC}">
                <c16:uniqueId val="{00000002-EAB9-C64A-BE28-ACD9130C5A07}"/>
              </c:ext>
            </c:extLst>
          </c:dPt>
          <c:dPt>
            <c:idx val="3"/>
            <c:invertIfNegative val="0"/>
            <c:bubble3D val="0"/>
            <c:spPr>
              <a:solidFill>
                <a:srgbClr val="1E9BD7"/>
              </a:solidFill>
              <a:ln>
                <a:solidFill>
                  <a:srgbClr val="1E9BD7"/>
                </a:solidFill>
              </a:ln>
            </c:spPr>
            <c:extLst>
              <c:ext xmlns:c16="http://schemas.microsoft.com/office/drawing/2014/chart" uri="{C3380CC4-5D6E-409C-BE32-E72D297353CC}">
                <c16:uniqueId val="{00000003-EAB9-C64A-BE28-ACD9130C5A07}"/>
              </c:ext>
            </c:extLst>
          </c:dPt>
          <c:dLbls>
            <c:numFmt formatCode="#,##0" sourceLinked="0"/>
            <c:spPr>
              <a:noFill/>
              <a:ln>
                <a:noFill/>
              </a:ln>
              <a:effectLst/>
            </c:spPr>
            <c:txPr>
              <a:bodyPr/>
              <a:lstStyle/>
              <a:p>
                <a:pPr>
                  <a:defRPr sz="900" b="1" baseline="0">
                    <a:solidFill>
                      <a:srgbClr val="1F3864"/>
                    </a:solidFill>
                    <a:latin typeface="Arial"/>
                  </a:defRPr>
                </a:pPr>
                <a:endParaRPr lang="en-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'FDA Approval Summary'!$A$42:$A$45</c:f>
              <c:strCache>
                <c:ptCount val="4"/>
                <c:pt idx="0">
                  <c:v>2024</c:v>
                </c:pt>
                <c:pt idx="1">
                  <c:v>2025</c:v>
                </c:pt>
                <c:pt idx="2">
                  <c:v>2026</c:v>
                </c:pt>
                <c:pt idx="3">
                  <c:v>2026 Annualized</c:v>
                </c:pt>
              </c:strCache>
            </c:strRef>
          </c:cat>
          <c:val>
            <c:numRef>
              <c:f>'FDA Approval Summary'!$B$42:$B$45</c:f>
              <c:numCache>
                <c:formatCode>#,##0</c:formatCode>
                <c:ptCount val="4"/>
                <c:pt idx="0">
                  <c:v>19</c:v>
                </c:pt>
                <c:pt idx="1">
                  <c:v>26</c:v>
                </c:pt>
                <c:pt idx="2">
                  <c:v>1</c:v>
                </c:pt>
                <c:pt idx="3">
                  <c:v>6</c:v>
                </c:pt>
              </c:numCache>
            </c:numRef>
          </c:val>
          <c:extLst>
            <c:ext xmlns:c16="http://schemas.microsoft.com/office/drawing/2014/chart" uri="{C3380CC4-5D6E-409C-BE32-E72D297353CC}">
              <c16:uniqueId val="{00000004-EAB9-C64A-BE28-ACD9130C5A07}"/>
            </c:ext>
          </c:extLst>
        </c:ser>
        <c:dLbls>
          <c:showLegendKey val="0"/>
          <c:showVal val="0"/>
          <c:showCatName val="0"/>
          <c:showSerName val="0"/>
          <c:showPercent val="0"/>
          <c:showBubbleSize val="0"/>
        </c:dLbls>
        <c:gapWidth val="80"/>
        <c:axId val="50070001"/>
        <c:axId val="50070002"/>
      </c:barChart>
      <c:catAx>
        <c:axId val="50070001"/>
        <c:scaling>
          <c:orientation val="minMax"/>
        </c:scaling>
        <c:delete val="0"/>
        <c:axPos val="b"/>
        <c:numFmt formatCode="General" sourceLinked="0"/>
        <c:majorTickMark val="out"/>
        <c:minorTickMark val="none"/>
        <c:tickLblPos val="low"/>
        <c:txPr>
          <a:bodyPr/>
          <a:lstStyle/>
          <a:p>
            <a:pPr>
              <a:defRPr sz="800" baseline="0">
                <a:latin typeface="Arial"/>
              </a:defRPr>
            </a:pPr>
            <a:endParaRPr lang="en-CN"/>
          </a:p>
        </c:txPr>
        <c:crossAx val="50070002"/>
        <c:crosses val="autoZero"/>
        <c:auto val="1"/>
        <c:lblAlgn val="ctr"/>
        <c:lblOffset val="100"/>
        <c:noMultiLvlLbl val="0"/>
      </c:catAx>
      <c:valAx>
        <c:axId val="50070002"/>
        <c:scaling>
          <c:orientation val="minMax"/>
        </c:scaling>
        <c:delete val="0"/>
        <c:axPos val="l"/>
        <c:numFmt formatCode="#,##0" sourceLinked="0"/>
        <c:majorTickMark val="out"/>
        <c:minorTickMark val="none"/>
        <c:tickLblPos val="nextTo"/>
        <c:crossAx val="50070001"/>
        <c:crosses val="autoZero"/>
        <c:crossBetween val="between"/>
      </c:valAx>
      <c:spPr>
        <a:ln>
          <a:noFill/>
        </a:ln>
      </c:spPr>
    </c:plotArea>
    <c:plotVisOnly val="1"/>
    <c:dispBlanksAs val="gap"/>
    <c:showDLblsOverMax val="0"/>
  </c:chart>
  <c:spPr>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latin typeface="Arial"/>
              </a:defRPr>
            </a:pPr>
            <a:r>
              <a:rPr lang="en-US" sz="1200" b="1" baseline="0">
                <a:latin typeface="Arial"/>
              </a:rPr>
              <a:t>FDA biosimilar approvals, to date: Monthly</a:t>
            </a:r>
          </a:p>
        </c:rich>
      </c:tx>
      <c:overlay val="0"/>
    </c:title>
    <c:autoTitleDeleted val="0"/>
    <c:plotArea>
      <c:layout/>
      <c:barChart>
        <c:barDir val="col"/>
        <c:grouping val="clustered"/>
        <c:varyColors val="0"/>
        <c:ser>
          <c:idx val="0"/>
          <c:order val="0"/>
          <c:tx>
            <c:v>Approvals</c:v>
          </c:tx>
          <c:spPr>
            <a:solidFill>
              <a:srgbClr val="999999"/>
            </a:solidFill>
            <a:ln>
              <a:solidFill>
                <a:srgbClr val="999999"/>
              </a:solidFill>
            </a:ln>
          </c:spPr>
          <c:invertIfNegative val="0"/>
          <c:dPt>
            <c:idx val="0"/>
            <c:invertIfNegative val="0"/>
            <c:bubble3D val="0"/>
            <c:spPr>
              <a:solidFill>
                <a:srgbClr val="999999"/>
              </a:solidFill>
              <a:ln>
                <a:solidFill>
                  <a:srgbClr val="999999"/>
                </a:solidFill>
              </a:ln>
            </c:spPr>
            <c:extLst>
              <c:ext xmlns:c16="http://schemas.microsoft.com/office/drawing/2014/chart" uri="{C3380CC4-5D6E-409C-BE32-E72D297353CC}">
                <c16:uniqueId val="{00000000-1D43-DA42-B89E-8932DEF48033}"/>
              </c:ext>
            </c:extLst>
          </c:dPt>
          <c:dPt>
            <c:idx val="1"/>
            <c:invertIfNegative val="0"/>
            <c:bubble3D val="0"/>
            <c:spPr>
              <a:solidFill>
                <a:srgbClr val="999999"/>
              </a:solidFill>
              <a:ln>
                <a:solidFill>
                  <a:srgbClr val="999999"/>
                </a:solidFill>
              </a:ln>
            </c:spPr>
            <c:extLst>
              <c:ext xmlns:c16="http://schemas.microsoft.com/office/drawing/2014/chart" uri="{C3380CC4-5D6E-409C-BE32-E72D297353CC}">
                <c16:uniqueId val="{00000001-1D43-DA42-B89E-8932DEF48033}"/>
              </c:ext>
            </c:extLst>
          </c:dPt>
          <c:dPt>
            <c:idx val="2"/>
            <c:invertIfNegative val="0"/>
            <c:bubble3D val="0"/>
            <c:spPr>
              <a:solidFill>
                <a:srgbClr val="999999"/>
              </a:solidFill>
              <a:ln>
                <a:solidFill>
                  <a:srgbClr val="999999"/>
                </a:solidFill>
              </a:ln>
            </c:spPr>
            <c:extLst>
              <c:ext xmlns:c16="http://schemas.microsoft.com/office/drawing/2014/chart" uri="{C3380CC4-5D6E-409C-BE32-E72D297353CC}">
                <c16:uniqueId val="{00000002-1D43-DA42-B89E-8932DEF48033}"/>
              </c:ext>
            </c:extLst>
          </c:dPt>
          <c:dPt>
            <c:idx val="3"/>
            <c:invertIfNegative val="0"/>
            <c:bubble3D val="0"/>
            <c:spPr>
              <a:solidFill>
                <a:srgbClr val="999999"/>
              </a:solidFill>
              <a:ln>
                <a:solidFill>
                  <a:srgbClr val="999999"/>
                </a:solidFill>
              </a:ln>
            </c:spPr>
            <c:extLst>
              <c:ext xmlns:c16="http://schemas.microsoft.com/office/drawing/2014/chart" uri="{C3380CC4-5D6E-409C-BE32-E72D297353CC}">
                <c16:uniqueId val="{00000003-1D43-DA42-B89E-8932DEF48033}"/>
              </c:ext>
            </c:extLst>
          </c:dPt>
          <c:dPt>
            <c:idx val="4"/>
            <c:invertIfNegative val="0"/>
            <c:bubble3D val="0"/>
            <c:spPr>
              <a:solidFill>
                <a:srgbClr val="999999"/>
              </a:solidFill>
              <a:ln>
                <a:solidFill>
                  <a:srgbClr val="999999"/>
                </a:solidFill>
              </a:ln>
            </c:spPr>
            <c:extLst>
              <c:ext xmlns:c16="http://schemas.microsoft.com/office/drawing/2014/chart" uri="{C3380CC4-5D6E-409C-BE32-E72D297353CC}">
                <c16:uniqueId val="{00000004-1D43-DA42-B89E-8932DEF48033}"/>
              </c:ext>
            </c:extLst>
          </c:dPt>
          <c:dPt>
            <c:idx val="5"/>
            <c:invertIfNegative val="0"/>
            <c:bubble3D val="0"/>
            <c:spPr>
              <a:solidFill>
                <a:srgbClr val="999999"/>
              </a:solidFill>
              <a:ln>
                <a:solidFill>
                  <a:srgbClr val="999999"/>
                </a:solidFill>
              </a:ln>
            </c:spPr>
            <c:extLst>
              <c:ext xmlns:c16="http://schemas.microsoft.com/office/drawing/2014/chart" uri="{C3380CC4-5D6E-409C-BE32-E72D297353CC}">
                <c16:uniqueId val="{00000005-1D43-DA42-B89E-8932DEF48033}"/>
              </c:ext>
            </c:extLst>
          </c:dPt>
          <c:dPt>
            <c:idx val="6"/>
            <c:invertIfNegative val="0"/>
            <c:bubble3D val="0"/>
            <c:spPr>
              <a:solidFill>
                <a:srgbClr val="999999"/>
              </a:solidFill>
              <a:ln>
                <a:solidFill>
                  <a:srgbClr val="999999"/>
                </a:solidFill>
              </a:ln>
            </c:spPr>
            <c:extLst>
              <c:ext xmlns:c16="http://schemas.microsoft.com/office/drawing/2014/chart" uri="{C3380CC4-5D6E-409C-BE32-E72D297353CC}">
                <c16:uniqueId val="{00000006-1D43-DA42-B89E-8932DEF48033}"/>
              </c:ext>
            </c:extLst>
          </c:dPt>
          <c:dPt>
            <c:idx val="7"/>
            <c:invertIfNegative val="0"/>
            <c:bubble3D val="0"/>
            <c:spPr>
              <a:solidFill>
                <a:srgbClr val="999999"/>
              </a:solidFill>
              <a:ln>
                <a:solidFill>
                  <a:srgbClr val="999999"/>
                </a:solidFill>
              </a:ln>
            </c:spPr>
            <c:extLst>
              <c:ext xmlns:c16="http://schemas.microsoft.com/office/drawing/2014/chart" uri="{C3380CC4-5D6E-409C-BE32-E72D297353CC}">
                <c16:uniqueId val="{00000007-1D43-DA42-B89E-8932DEF48033}"/>
              </c:ext>
            </c:extLst>
          </c:dPt>
          <c:dPt>
            <c:idx val="8"/>
            <c:invertIfNegative val="0"/>
            <c:bubble3D val="0"/>
            <c:spPr>
              <a:solidFill>
                <a:srgbClr val="999999"/>
              </a:solidFill>
              <a:ln>
                <a:solidFill>
                  <a:srgbClr val="999999"/>
                </a:solidFill>
              </a:ln>
            </c:spPr>
            <c:extLst>
              <c:ext xmlns:c16="http://schemas.microsoft.com/office/drawing/2014/chart" uri="{C3380CC4-5D6E-409C-BE32-E72D297353CC}">
                <c16:uniqueId val="{00000008-1D43-DA42-B89E-8932DEF48033}"/>
              </c:ext>
            </c:extLst>
          </c:dPt>
          <c:dPt>
            <c:idx val="9"/>
            <c:invertIfNegative val="0"/>
            <c:bubble3D val="0"/>
            <c:spPr>
              <a:solidFill>
                <a:srgbClr val="999999"/>
              </a:solidFill>
              <a:ln>
                <a:solidFill>
                  <a:srgbClr val="999999"/>
                </a:solidFill>
              </a:ln>
            </c:spPr>
            <c:extLst>
              <c:ext xmlns:c16="http://schemas.microsoft.com/office/drawing/2014/chart" uri="{C3380CC4-5D6E-409C-BE32-E72D297353CC}">
                <c16:uniqueId val="{00000009-1D43-DA42-B89E-8932DEF48033}"/>
              </c:ext>
            </c:extLst>
          </c:dPt>
          <c:dPt>
            <c:idx val="10"/>
            <c:invertIfNegative val="0"/>
            <c:bubble3D val="0"/>
            <c:spPr>
              <a:solidFill>
                <a:srgbClr val="999999"/>
              </a:solidFill>
              <a:ln>
                <a:solidFill>
                  <a:srgbClr val="999999"/>
                </a:solidFill>
              </a:ln>
            </c:spPr>
            <c:extLst>
              <c:ext xmlns:c16="http://schemas.microsoft.com/office/drawing/2014/chart" uri="{C3380CC4-5D6E-409C-BE32-E72D297353CC}">
                <c16:uniqueId val="{0000000A-1D43-DA42-B89E-8932DEF48033}"/>
              </c:ext>
            </c:extLst>
          </c:dPt>
          <c:dPt>
            <c:idx val="11"/>
            <c:invertIfNegative val="0"/>
            <c:bubble3D val="0"/>
            <c:spPr>
              <a:solidFill>
                <a:srgbClr val="999999"/>
              </a:solidFill>
              <a:ln>
                <a:solidFill>
                  <a:srgbClr val="999999"/>
                </a:solidFill>
              </a:ln>
            </c:spPr>
            <c:extLst>
              <c:ext xmlns:c16="http://schemas.microsoft.com/office/drawing/2014/chart" uri="{C3380CC4-5D6E-409C-BE32-E72D297353CC}">
                <c16:uniqueId val="{0000000B-1D43-DA42-B89E-8932DEF48033}"/>
              </c:ext>
            </c:extLst>
          </c:dPt>
          <c:dPt>
            <c:idx val="12"/>
            <c:invertIfNegative val="0"/>
            <c:bubble3D val="0"/>
            <c:spPr>
              <a:solidFill>
                <a:srgbClr val="999999"/>
              </a:solidFill>
              <a:ln>
                <a:solidFill>
                  <a:srgbClr val="999999"/>
                </a:solidFill>
              </a:ln>
            </c:spPr>
            <c:extLst>
              <c:ext xmlns:c16="http://schemas.microsoft.com/office/drawing/2014/chart" uri="{C3380CC4-5D6E-409C-BE32-E72D297353CC}">
                <c16:uniqueId val="{0000000C-1D43-DA42-B89E-8932DEF48033}"/>
              </c:ext>
            </c:extLst>
          </c:dPt>
          <c:dPt>
            <c:idx val="13"/>
            <c:invertIfNegative val="0"/>
            <c:bubble3D val="0"/>
            <c:spPr>
              <a:solidFill>
                <a:srgbClr val="999999"/>
              </a:solidFill>
              <a:ln>
                <a:solidFill>
                  <a:srgbClr val="999999"/>
                </a:solidFill>
              </a:ln>
            </c:spPr>
            <c:extLst>
              <c:ext xmlns:c16="http://schemas.microsoft.com/office/drawing/2014/chart" uri="{C3380CC4-5D6E-409C-BE32-E72D297353CC}">
                <c16:uniqueId val="{0000000D-1D43-DA42-B89E-8932DEF48033}"/>
              </c:ext>
            </c:extLst>
          </c:dPt>
          <c:dPt>
            <c:idx val="14"/>
            <c:invertIfNegative val="0"/>
            <c:bubble3D val="0"/>
            <c:spPr>
              <a:solidFill>
                <a:srgbClr val="999999"/>
              </a:solidFill>
              <a:ln>
                <a:solidFill>
                  <a:srgbClr val="999999"/>
                </a:solidFill>
              </a:ln>
            </c:spPr>
            <c:extLst>
              <c:ext xmlns:c16="http://schemas.microsoft.com/office/drawing/2014/chart" uri="{C3380CC4-5D6E-409C-BE32-E72D297353CC}">
                <c16:uniqueId val="{0000000E-1D43-DA42-B89E-8932DEF48033}"/>
              </c:ext>
            </c:extLst>
          </c:dPt>
          <c:dPt>
            <c:idx val="15"/>
            <c:invertIfNegative val="0"/>
            <c:bubble3D val="0"/>
            <c:spPr>
              <a:solidFill>
                <a:srgbClr val="999999"/>
              </a:solidFill>
              <a:ln>
                <a:solidFill>
                  <a:srgbClr val="999999"/>
                </a:solidFill>
              </a:ln>
            </c:spPr>
            <c:extLst>
              <c:ext xmlns:c16="http://schemas.microsoft.com/office/drawing/2014/chart" uri="{C3380CC4-5D6E-409C-BE32-E72D297353CC}">
                <c16:uniqueId val="{0000000F-1D43-DA42-B89E-8932DEF48033}"/>
              </c:ext>
            </c:extLst>
          </c:dPt>
          <c:dPt>
            <c:idx val="16"/>
            <c:invertIfNegative val="0"/>
            <c:bubble3D val="0"/>
            <c:spPr>
              <a:solidFill>
                <a:srgbClr val="999999"/>
              </a:solidFill>
              <a:ln>
                <a:solidFill>
                  <a:srgbClr val="999999"/>
                </a:solidFill>
              </a:ln>
            </c:spPr>
            <c:extLst>
              <c:ext xmlns:c16="http://schemas.microsoft.com/office/drawing/2014/chart" uri="{C3380CC4-5D6E-409C-BE32-E72D297353CC}">
                <c16:uniqueId val="{00000010-1D43-DA42-B89E-8932DEF48033}"/>
              </c:ext>
            </c:extLst>
          </c:dPt>
          <c:dPt>
            <c:idx val="17"/>
            <c:invertIfNegative val="0"/>
            <c:bubble3D val="0"/>
            <c:spPr>
              <a:solidFill>
                <a:srgbClr val="999999"/>
              </a:solidFill>
              <a:ln>
                <a:solidFill>
                  <a:srgbClr val="999999"/>
                </a:solidFill>
              </a:ln>
            </c:spPr>
            <c:extLst>
              <c:ext xmlns:c16="http://schemas.microsoft.com/office/drawing/2014/chart" uri="{C3380CC4-5D6E-409C-BE32-E72D297353CC}">
                <c16:uniqueId val="{00000011-1D43-DA42-B89E-8932DEF48033}"/>
              </c:ext>
            </c:extLst>
          </c:dPt>
          <c:dPt>
            <c:idx val="18"/>
            <c:invertIfNegative val="0"/>
            <c:bubble3D val="0"/>
            <c:spPr>
              <a:solidFill>
                <a:srgbClr val="999999"/>
              </a:solidFill>
              <a:ln>
                <a:solidFill>
                  <a:srgbClr val="999999"/>
                </a:solidFill>
              </a:ln>
            </c:spPr>
            <c:extLst>
              <c:ext xmlns:c16="http://schemas.microsoft.com/office/drawing/2014/chart" uri="{C3380CC4-5D6E-409C-BE32-E72D297353CC}">
                <c16:uniqueId val="{00000012-1D43-DA42-B89E-8932DEF48033}"/>
              </c:ext>
            </c:extLst>
          </c:dPt>
          <c:dPt>
            <c:idx val="19"/>
            <c:invertIfNegative val="0"/>
            <c:bubble3D val="0"/>
            <c:spPr>
              <a:solidFill>
                <a:srgbClr val="999999"/>
              </a:solidFill>
              <a:ln>
                <a:solidFill>
                  <a:srgbClr val="999999"/>
                </a:solidFill>
              </a:ln>
            </c:spPr>
            <c:extLst>
              <c:ext xmlns:c16="http://schemas.microsoft.com/office/drawing/2014/chart" uri="{C3380CC4-5D6E-409C-BE32-E72D297353CC}">
                <c16:uniqueId val="{00000013-1D43-DA42-B89E-8932DEF48033}"/>
              </c:ext>
            </c:extLst>
          </c:dPt>
          <c:dPt>
            <c:idx val="20"/>
            <c:invertIfNegative val="0"/>
            <c:bubble3D val="0"/>
            <c:spPr>
              <a:solidFill>
                <a:srgbClr val="999999"/>
              </a:solidFill>
              <a:ln>
                <a:solidFill>
                  <a:srgbClr val="999999"/>
                </a:solidFill>
              </a:ln>
            </c:spPr>
            <c:extLst>
              <c:ext xmlns:c16="http://schemas.microsoft.com/office/drawing/2014/chart" uri="{C3380CC4-5D6E-409C-BE32-E72D297353CC}">
                <c16:uniqueId val="{00000014-1D43-DA42-B89E-8932DEF48033}"/>
              </c:ext>
            </c:extLst>
          </c:dPt>
          <c:dPt>
            <c:idx val="21"/>
            <c:invertIfNegative val="0"/>
            <c:bubble3D val="0"/>
            <c:spPr>
              <a:solidFill>
                <a:srgbClr val="999999"/>
              </a:solidFill>
              <a:ln>
                <a:solidFill>
                  <a:srgbClr val="999999"/>
                </a:solidFill>
              </a:ln>
            </c:spPr>
            <c:extLst>
              <c:ext xmlns:c16="http://schemas.microsoft.com/office/drawing/2014/chart" uri="{C3380CC4-5D6E-409C-BE32-E72D297353CC}">
                <c16:uniqueId val="{00000015-1D43-DA42-B89E-8932DEF48033}"/>
              </c:ext>
            </c:extLst>
          </c:dPt>
          <c:dPt>
            <c:idx val="22"/>
            <c:invertIfNegative val="0"/>
            <c:bubble3D val="0"/>
            <c:spPr>
              <a:solidFill>
                <a:srgbClr val="999999"/>
              </a:solidFill>
              <a:ln>
                <a:solidFill>
                  <a:srgbClr val="999999"/>
                </a:solidFill>
              </a:ln>
            </c:spPr>
            <c:extLst>
              <c:ext xmlns:c16="http://schemas.microsoft.com/office/drawing/2014/chart" uri="{C3380CC4-5D6E-409C-BE32-E72D297353CC}">
                <c16:uniqueId val="{00000016-1D43-DA42-B89E-8932DEF48033}"/>
              </c:ext>
            </c:extLst>
          </c:dPt>
          <c:dPt>
            <c:idx val="23"/>
            <c:invertIfNegative val="0"/>
            <c:bubble3D val="0"/>
            <c:spPr>
              <a:solidFill>
                <a:srgbClr val="999999"/>
              </a:solidFill>
              <a:ln>
                <a:solidFill>
                  <a:srgbClr val="999999"/>
                </a:solidFill>
              </a:ln>
            </c:spPr>
            <c:extLst>
              <c:ext xmlns:c16="http://schemas.microsoft.com/office/drawing/2014/chart" uri="{C3380CC4-5D6E-409C-BE32-E72D297353CC}">
                <c16:uniqueId val="{00000017-1D43-DA42-B89E-8932DEF48033}"/>
              </c:ext>
            </c:extLst>
          </c:dPt>
          <c:dPt>
            <c:idx val="24"/>
            <c:invertIfNegative val="0"/>
            <c:bubble3D val="0"/>
            <c:spPr>
              <a:solidFill>
                <a:srgbClr val="999999"/>
              </a:solidFill>
              <a:ln>
                <a:solidFill>
                  <a:srgbClr val="999999"/>
                </a:solidFill>
              </a:ln>
            </c:spPr>
            <c:extLst>
              <c:ext xmlns:c16="http://schemas.microsoft.com/office/drawing/2014/chart" uri="{C3380CC4-5D6E-409C-BE32-E72D297353CC}">
                <c16:uniqueId val="{00000018-1D43-DA42-B89E-8932DEF48033}"/>
              </c:ext>
            </c:extLst>
          </c:dPt>
          <c:dPt>
            <c:idx val="25"/>
            <c:invertIfNegative val="0"/>
            <c:bubble3D val="0"/>
            <c:spPr>
              <a:solidFill>
                <a:srgbClr val="1E9BD7"/>
              </a:solidFill>
              <a:ln>
                <a:solidFill>
                  <a:srgbClr val="1E9BD7"/>
                </a:solidFill>
              </a:ln>
            </c:spPr>
            <c:extLst>
              <c:ext xmlns:c16="http://schemas.microsoft.com/office/drawing/2014/chart" uri="{C3380CC4-5D6E-409C-BE32-E72D297353CC}">
                <c16:uniqueId val="{00000019-1D43-DA42-B89E-8932DEF48033}"/>
              </c:ext>
            </c:extLst>
          </c:dPt>
          <c:dLbls>
            <c:numFmt formatCode="#,##0" sourceLinked="0"/>
            <c:spPr>
              <a:noFill/>
              <a:ln>
                <a:noFill/>
              </a:ln>
              <a:effectLst/>
            </c:spPr>
            <c:txPr>
              <a:bodyPr/>
              <a:lstStyle/>
              <a:p>
                <a:pPr>
                  <a:defRPr sz="900" b="1" baseline="0">
                    <a:solidFill>
                      <a:srgbClr val="1F3864"/>
                    </a:solidFill>
                    <a:latin typeface="Arial"/>
                  </a:defRPr>
                </a:pPr>
                <a:endParaRPr lang="en-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'FDA Approval Summary'!$A$49:$A$74</c:f>
              <c:numCache>
                <c:formatCode>mmm\ yyyy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'FDA Approval Summary'!$B$49:$B$74</c:f>
              <c:numCache>
                <c:formatCode>#,##0</c:formatCode>
                <c:ptCount val="26"/>
                <c:pt idx="0">
                  <c:v>0</c:v>
                </c:pt>
                <c:pt idx="1">
                  <c:v>1</c:v>
                </c:pt>
                <c:pt idx="2">
                  <c:v>3</c:v>
                </c:pt>
                <c:pt idx="3">
                  <c:v>2</c:v>
                </c:pt>
                <c:pt idx="4">
                  <c:v>3</c:v>
                </c:pt>
                <c:pt idx="5">
                  <c:v>3</c:v>
                </c:pt>
                <c:pt idx="6">
                  <c:v>1</c:v>
                </c:pt>
                <c:pt idx="7">
                  <c:v>2</c:v>
                </c:pt>
                <c:pt idx="8">
                  <c:v>1</c:v>
                </c:pt>
                <c:pt idx="9">
                  <c:v>1</c:v>
                </c:pt>
                <c:pt idx="10">
                  <c:v>1</c:v>
                </c:pt>
                <c:pt idx="11">
                  <c:v>1</c:v>
                </c:pt>
                <c:pt idx="12">
                  <c:v>1</c:v>
                </c:pt>
                <c:pt idx="13">
                  <c:v>5</c:v>
                </c:pt>
                <c:pt idx="14">
                  <c:v>3</c:v>
                </c:pt>
                <c:pt idx="15">
                  <c:v>1</c:v>
                </c:pt>
                <c:pt idx="16">
                  <c:v>1</c:v>
                </c:pt>
                <c:pt idx="17">
                  <c:v>0</c:v>
                </c:pt>
                <c:pt idx="18">
                  <c:v>1</c:v>
                </c:pt>
                <c:pt idx="19">
                  <c:v>2</c:v>
                </c:pt>
                <c:pt idx="20">
                  <c:v>4</c:v>
                </c:pt>
                <c:pt idx="21">
                  <c:v>3</c:v>
                </c:pt>
                <c:pt idx="22">
                  <c:v>2</c:v>
                </c:pt>
                <c:pt idx="23">
                  <c:v>3</c:v>
                </c:pt>
                <c:pt idx="24">
                  <c:v>1</c:v>
                </c:pt>
                <c:pt idx="25">
                  <c:v>0</c:v>
                </c:pt>
              </c:numCache>
            </c:numRef>
          </c:val>
          <c:extLst>
            <c:ext xmlns:c16="http://schemas.microsoft.com/office/drawing/2014/chart" uri="{C3380CC4-5D6E-409C-BE32-E72D297353CC}">
              <c16:uniqueId val="{0000001A-1D43-DA42-B89E-8932DEF48033}"/>
            </c:ext>
          </c:extLst>
        </c:ser>
        <c:dLbls>
          <c:showLegendKey val="0"/>
          <c:showVal val="0"/>
          <c:showCatName val="0"/>
          <c:showSerName val="0"/>
          <c:showPercent val="0"/>
          <c:showBubbleSize val="0"/>
        </c:dLbls>
        <c:gapWidth val="80"/>
        <c:axId val="50080001"/>
        <c:axId val="50080002"/>
      </c:barChart>
      <c:dateAx>
        <c:axId val="50080001"/>
        <c:scaling>
          <c:orientation val="minMax"/>
        </c:scaling>
        <c:delete val="0"/>
        <c:axPos val="b"/>
        <c:numFmt formatCode="mmm\ yyyy" sourceLinked="1"/>
        <c:majorTickMark val="out"/>
        <c:minorTickMark val="none"/>
        <c:tickLblPos val="low"/>
        <c:txPr>
          <a:bodyPr/>
          <a:lstStyle/>
          <a:p>
            <a:pPr>
              <a:defRPr sz="800" baseline="0">
                <a:latin typeface="Arial"/>
              </a:defRPr>
            </a:pPr>
            <a:endParaRPr lang="en-CN"/>
          </a:p>
        </c:txPr>
        <c:crossAx val="50080002"/>
        <c:crosses val="autoZero"/>
        <c:auto val="1"/>
        <c:lblOffset val="100"/>
        <c:baseTimeUnit val="months"/>
      </c:dateAx>
      <c:valAx>
        <c:axId val="50080002"/>
        <c:scaling>
          <c:orientation val="minMax"/>
        </c:scaling>
        <c:delete val="0"/>
        <c:axPos val="l"/>
        <c:numFmt formatCode="#,##0" sourceLinked="0"/>
        <c:majorTickMark val="out"/>
        <c:minorTickMark val="none"/>
        <c:tickLblPos val="nextTo"/>
        <c:crossAx val="50080001"/>
        <c:crosses val="autoZero"/>
        <c:crossBetween val="between"/>
      </c:valAx>
      <c:spPr>
        <a:ln>
          <a:noFill/>
        </a:ln>
      </c:spPr>
    </c:plotArea>
    <c:plotVisOnly val="1"/>
    <c:dispBlanksAs val="gap"/>
    <c:showDLblsOverMax val="0"/>
  </c:chart>
  <c:spPr>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solidFill>
                  <a:srgbClr val="1F3864"/>
                </a:solidFill>
                <a:latin typeface="Arial"/>
              </a:defRPr>
            </a:pPr>
            <a:r>
              <a:rPr lang="en-US" sz="1200" b="1" baseline="0">
                <a:solidFill>
                  <a:srgbClr val="1F3864"/>
                </a:solidFill>
                <a:latin typeface="Arial"/>
              </a:rPr>
              <a:t>NIH Treasury Outlays ($B): Yearly</a:t>
            </a:r>
          </a:p>
        </c:rich>
      </c:tx>
      <c:overlay val="0"/>
    </c:title>
    <c:autoTitleDeleted val="0"/>
    <c:plotArea>
      <c:layout/>
      <c:barChart>
        <c:barDir val="col"/>
        <c:grouping val="clustered"/>
        <c:varyColors val="0"/>
        <c:ser>
          <c:idx val="0"/>
          <c:order val="0"/>
          <c:tx>
            <c:v>NIH Outlays</c:v>
          </c:tx>
          <c:spPr>
            <a:solidFill>
              <a:srgbClr val="8C8C8C"/>
            </a:solidFill>
          </c:spPr>
          <c:invertIfNegative val="0"/>
          <c:dPt>
            <c:idx val="0"/>
            <c:invertIfNegative val="0"/>
            <c:bubble3D val="0"/>
            <c:spPr>
              <a:solidFill>
                <a:srgbClr val="8C8C8C"/>
              </a:solidFill>
              <a:ln>
                <a:solidFill>
                  <a:srgbClr val="8C8C8C"/>
                </a:solidFill>
              </a:ln>
            </c:spPr>
            <c:extLst>
              <c:ext xmlns:c16="http://schemas.microsoft.com/office/drawing/2014/chart" uri="{C3380CC4-5D6E-409C-BE32-E72D297353CC}">
                <c16:uniqueId val="{00000000-4167-8E43-84F3-D4761AF92E59}"/>
              </c:ext>
            </c:extLst>
          </c:dPt>
          <c:dPt>
            <c:idx val="1"/>
            <c:invertIfNegative val="0"/>
            <c:bubble3D val="0"/>
            <c:spPr>
              <a:solidFill>
                <a:srgbClr val="8C8C8C"/>
              </a:solidFill>
              <a:ln>
                <a:solidFill>
                  <a:srgbClr val="8C8C8C"/>
                </a:solidFill>
              </a:ln>
            </c:spPr>
            <c:extLst>
              <c:ext xmlns:c16="http://schemas.microsoft.com/office/drawing/2014/chart" uri="{C3380CC4-5D6E-409C-BE32-E72D297353CC}">
                <c16:uniqueId val="{00000001-4167-8E43-84F3-D4761AF92E59}"/>
              </c:ext>
            </c:extLst>
          </c:dPt>
          <c:dPt>
            <c:idx val="2"/>
            <c:invertIfNegative val="0"/>
            <c:bubble3D val="0"/>
            <c:spPr>
              <a:solidFill>
                <a:srgbClr val="8C8C8C"/>
              </a:solidFill>
              <a:ln>
                <a:solidFill>
                  <a:srgbClr val="8C8C8C"/>
                </a:solidFill>
              </a:ln>
            </c:spPr>
            <c:extLst>
              <c:ext xmlns:c16="http://schemas.microsoft.com/office/drawing/2014/chart" uri="{C3380CC4-5D6E-409C-BE32-E72D297353CC}">
                <c16:uniqueId val="{00000002-4167-8E43-84F3-D4761AF92E59}"/>
              </c:ext>
            </c:extLst>
          </c:dPt>
          <c:dPt>
            <c:idx val="3"/>
            <c:invertIfNegative val="0"/>
            <c:bubble3D val="0"/>
            <c:spPr>
              <a:solidFill>
                <a:srgbClr val="1E9BD7"/>
              </a:solidFill>
              <a:ln>
                <a:solidFill>
                  <a:srgbClr val="1E9BD7"/>
                </a:solidFill>
              </a:ln>
            </c:spPr>
            <c:extLst>
              <c:ext xmlns:c16="http://schemas.microsoft.com/office/drawing/2014/chart" uri="{C3380CC4-5D6E-409C-BE32-E72D297353CC}">
                <c16:uniqueId val="{00000003-4167-8E43-84F3-D4761AF92E59}"/>
              </c:ext>
            </c:extLst>
          </c:dPt>
          <c:dPt>
            <c:idx val="4"/>
            <c:invertIfNegative val="0"/>
            <c:bubble3D val="0"/>
            <c:spPr>
              <a:solidFill>
                <a:srgbClr val="1E9BD7"/>
              </a:solidFill>
              <a:ln>
                <a:solidFill>
                  <a:srgbClr val="1E9BD7"/>
                </a:solidFill>
              </a:ln>
            </c:spPr>
            <c:extLst>
              <c:ext xmlns:c16="http://schemas.microsoft.com/office/drawing/2014/chart" uri="{C3380CC4-5D6E-409C-BE32-E72D297353CC}">
                <c16:uniqueId val="{00000004-4167-8E43-84F3-D4761AF92E59}"/>
              </c:ext>
            </c:extLst>
          </c:dPt>
          <c:dLbls>
            <c:numFmt formatCode="\$#,##0.0" sourceLinked="0"/>
            <c:spPr>
              <a:noFill/>
              <a:ln>
                <a:noFill/>
              </a:ln>
              <a:effectLst/>
            </c:spPr>
            <c:txPr>
              <a:bodyPr/>
              <a:lstStyle/>
              <a:p>
                <a:pPr>
                  <a:defRPr sz="800" b="1" baseline="0">
                    <a:solidFill>
                      <a:srgbClr val="1F3864"/>
                    </a:solidFill>
                    <a:latin typeface="Arial"/>
                  </a:defRPr>
                </a:pPr>
                <a:endParaRPr lang="en-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_MTS_ChartData!$A$1:$A$5</c:f>
              <c:strCache>
                <c:ptCount val="5"/>
                <c:pt idx="0">
                  <c:v>2023</c:v>
                </c:pt>
                <c:pt idx="1">
                  <c:v>2024</c:v>
                </c:pt>
                <c:pt idx="2">
                  <c:v>2025</c:v>
                </c:pt>
                <c:pt idx="3">
                  <c:v>2026</c:v>
                </c:pt>
                <c:pt idx="4">
                  <c:v>2026 Ann.</c:v>
                </c:pt>
              </c:strCache>
            </c:strRef>
          </c:cat>
          <c:val>
            <c:numRef>
              <c:f>_MTS_ChartData!$B$1:$B$5</c:f>
              <c:numCache>
                <c:formatCode>General</c:formatCode>
                <c:ptCount val="5"/>
                <c:pt idx="0">
                  <c:v>46.47934122246</c:v>
                </c:pt>
                <c:pt idx="1">
                  <c:v>48.980221834269997</c:v>
                </c:pt>
                <c:pt idx="2">
                  <c:v>46.748457850059999</c:v>
                </c:pt>
                <c:pt idx="3">
                  <c:v>6.9708724466299996</c:v>
                </c:pt>
                <c:pt idx="4">
                  <c:v>41.8</c:v>
                </c:pt>
              </c:numCache>
            </c:numRef>
          </c:val>
          <c:extLst>
            <c:ext xmlns:c16="http://schemas.microsoft.com/office/drawing/2014/chart" uri="{C3380CC4-5D6E-409C-BE32-E72D297353CC}">
              <c16:uniqueId val="{00000005-4167-8E43-84F3-D4761AF92E59}"/>
            </c:ext>
          </c:extLst>
        </c:ser>
        <c:dLbls>
          <c:showLegendKey val="0"/>
          <c:showVal val="0"/>
          <c:showCatName val="0"/>
          <c:showSerName val="0"/>
          <c:showPercent val="0"/>
          <c:showBubbleSize val="0"/>
        </c:dLbls>
        <c:gapWidth val="80"/>
        <c:axId val="50090001"/>
        <c:axId val="50090002"/>
      </c:barChart>
      <c:catAx>
        <c:axId val="50090001"/>
        <c:scaling>
          <c:orientation val="minMax"/>
        </c:scaling>
        <c:delete val="0"/>
        <c:axPos val="b"/>
        <c:numFmt formatCode="General" sourceLinked="0"/>
        <c:majorTickMark val="out"/>
        <c:minorTickMark val="none"/>
        <c:tickLblPos val="nextTo"/>
        <c:txPr>
          <a:bodyPr/>
          <a:lstStyle/>
          <a:p>
            <a:pPr>
              <a:defRPr sz="800" baseline="0">
                <a:latin typeface="Arial"/>
              </a:defRPr>
            </a:pPr>
            <a:endParaRPr lang="en-CN"/>
          </a:p>
        </c:txPr>
        <c:crossAx val="50090002"/>
        <c:crosses val="autoZero"/>
        <c:auto val="1"/>
        <c:lblAlgn val="ctr"/>
        <c:lblOffset val="100"/>
        <c:noMultiLvlLbl val="0"/>
      </c:catAx>
      <c:valAx>
        <c:axId val="50090002"/>
        <c:scaling>
          <c:orientation val="minMax"/>
        </c:scaling>
        <c:delete val="0"/>
        <c:axPos val="l"/>
        <c:numFmt formatCode="\$#,##0" sourceLinked="0"/>
        <c:majorTickMark val="out"/>
        <c:minorTickMark val="none"/>
        <c:tickLblPos val="nextTo"/>
        <c:crossAx val="50090001"/>
        <c:crosses val="autoZero"/>
        <c:crossBetween val="between"/>
      </c:valAx>
      <c:spPr>
        <a:ln>
          <a:noFill/>
        </a:ln>
      </c:spPr>
    </c:plotArea>
    <c:plotVisOnly val="1"/>
    <c:dispBlanksAs val="gap"/>
    <c:showDLblsOverMax val="0"/>
  </c:chart>
  <c:spPr>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solidFill>
                  <a:srgbClr val="1F3864"/>
                </a:solidFill>
                <a:latin typeface="Arial"/>
              </a:defRPr>
            </a:pPr>
            <a:r>
              <a:rPr lang="en-US" sz="1200" b="1" baseline="0">
                <a:solidFill>
                  <a:srgbClr val="1F3864"/>
                </a:solidFill>
                <a:latin typeface="Arial"/>
              </a:rPr>
              <a:t>NIH Treasury Outlays ($B): Monthly</a:t>
            </a:r>
          </a:p>
        </c:rich>
      </c:tx>
      <c:overlay val="0"/>
    </c:title>
    <c:autoTitleDeleted val="0"/>
    <c:plotArea>
      <c:layout/>
      <c:barChart>
        <c:barDir val="col"/>
        <c:grouping val="clustered"/>
        <c:varyColors val="0"/>
        <c:ser>
          <c:idx val="0"/>
          <c:order val="0"/>
          <c:tx>
            <c:v>NIH Outlays</c:v>
          </c:tx>
          <c:spPr>
            <a:solidFill>
              <a:srgbClr val="8C8C8C"/>
            </a:solidFill>
          </c:spPr>
          <c:invertIfNegative val="0"/>
          <c:dPt>
            <c:idx val="0"/>
            <c:invertIfNegative val="0"/>
            <c:bubble3D val="0"/>
            <c:spPr>
              <a:solidFill>
                <a:srgbClr val="8C8C8C"/>
              </a:solidFill>
              <a:ln>
                <a:solidFill>
                  <a:srgbClr val="8C8C8C"/>
                </a:solidFill>
              </a:ln>
            </c:spPr>
            <c:extLst>
              <c:ext xmlns:c16="http://schemas.microsoft.com/office/drawing/2014/chart" uri="{C3380CC4-5D6E-409C-BE32-E72D297353CC}">
                <c16:uniqueId val="{00000000-A784-4245-AE25-B93E9171BFAA}"/>
              </c:ext>
            </c:extLst>
          </c:dPt>
          <c:dPt>
            <c:idx val="1"/>
            <c:invertIfNegative val="0"/>
            <c:bubble3D val="0"/>
            <c:spPr>
              <a:solidFill>
                <a:srgbClr val="8C8C8C"/>
              </a:solidFill>
              <a:ln>
                <a:solidFill>
                  <a:srgbClr val="8C8C8C"/>
                </a:solidFill>
              </a:ln>
            </c:spPr>
            <c:extLst>
              <c:ext xmlns:c16="http://schemas.microsoft.com/office/drawing/2014/chart" uri="{C3380CC4-5D6E-409C-BE32-E72D297353CC}">
                <c16:uniqueId val="{00000001-A784-4245-AE25-B93E9171BFAA}"/>
              </c:ext>
            </c:extLst>
          </c:dPt>
          <c:dPt>
            <c:idx val="2"/>
            <c:invertIfNegative val="0"/>
            <c:bubble3D val="0"/>
            <c:spPr>
              <a:solidFill>
                <a:srgbClr val="8C8C8C"/>
              </a:solidFill>
              <a:ln>
                <a:solidFill>
                  <a:srgbClr val="8C8C8C"/>
                </a:solidFill>
              </a:ln>
            </c:spPr>
            <c:extLst>
              <c:ext xmlns:c16="http://schemas.microsoft.com/office/drawing/2014/chart" uri="{C3380CC4-5D6E-409C-BE32-E72D297353CC}">
                <c16:uniqueId val="{00000002-A784-4245-AE25-B93E9171BFAA}"/>
              </c:ext>
            </c:extLst>
          </c:dPt>
          <c:dPt>
            <c:idx val="3"/>
            <c:invertIfNegative val="0"/>
            <c:bubble3D val="0"/>
            <c:spPr>
              <a:solidFill>
                <a:srgbClr val="8C8C8C"/>
              </a:solidFill>
              <a:ln>
                <a:solidFill>
                  <a:srgbClr val="8C8C8C"/>
                </a:solidFill>
              </a:ln>
            </c:spPr>
            <c:extLst>
              <c:ext xmlns:c16="http://schemas.microsoft.com/office/drawing/2014/chart" uri="{C3380CC4-5D6E-409C-BE32-E72D297353CC}">
                <c16:uniqueId val="{00000003-A784-4245-AE25-B93E9171BFAA}"/>
              </c:ext>
            </c:extLst>
          </c:dPt>
          <c:dPt>
            <c:idx val="4"/>
            <c:invertIfNegative val="0"/>
            <c:bubble3D val="0"/>
            <c:spPr>
              <a:solidFill>
                <a:srgbClr val="8C8C8C"/>
              </a:solidFill>
              <a:ln>
                <a:solidFill>
                  <a:srgbClr val="8C8C8C"/>
                </a:solidFill>
              </a:ln>
            </c:spPr>
            <c:extLst>
              <c:ext xmlns:c16="http://schemas.microsoft.com/office/drawing/2014/chart" uri="{C3380CC4-5D6E-409C-BE32-E72D297353CC}">
                <c16:uniqueId val="{00000004-A784-4245-AE25-B93E9171BFAA}"/>
              </c:ext>
            </c:extLst>
          </c:dPt>
          <c:dPt>
            <c:idx val="5"/>
            <c:invertIfNegative val="0"/>
            <c:bubble3D val="0"/>
            <c:spPr>
              <a:solidFill>
                <a:srgbClr val="8C8C8C"/>
              </a:solidFill>
              <a:ln>
                <a:solidFill>
                  <a:srgbClr val="8C8C8C"/>
                </a:solidFill>
              </a:ln>
            </c:spPr>
            <c:extLst>
              <c:ext xmlns:c16="http://schemas.microsoft.com/office/drawing/2014/chart" uri="{C3380CC4-5D6E-409C-BE32-E72D297353CC}">
                <c16:uniqueId val="{00000005-A784-4245-AE25-B93E9171BFAA}"/>
              </c:ext>
            </c:extLst>
          </c:dPt>
          <c:dPt>
            <c:idx val="6"/>
            <c:invertIfNegative val="0"/>
            <c:bubble3D val="0"/>
            <c:spPr>
              <a:solidFill>
                <a:srgbClr val="8C8C8C"/>
              </a:solidFill>
              <a:ln>
                <a:solidFill>
                  <a:srgbClr val="8C8C8C"/>
                </a:solidFill>
              </a:ln>
            </c:spPr>
            <c:extLst>
              <c:ext xmlns:c16="http://schemas.microsoft.com/office/drawing/2014/chart" uri="{C3380CC4-5D6E-409C-BE32-E72D297353CC}">
                <c16:uniqueId val="{00000006-A784-4245-AE25-B93E9171BFAA}"/>
              </c:ext>
            </c:extLst>
          </c:dPt>
          <c:dPt>
            <c:idx val="7"/>
            <c:invertIfNegative val="0"/>
            <c:bubble3D val="0"/>
            <c:spPr>
              <a:solidFill>
                <a:srgbClr val="8C8C8C"/>
              </a:solidFill>
              <a:ln>
                <a:solidFill>
                  <a:srgbClr val="8C8C8C"/>
                </a:solidFill>
              </a:ln>
            </c:spPr>
            <c:extLst>
              <c:ext xmlns:c16="http://schemas.microsoft.com/office/drawing/2014/chart" uri="{C3380CC4-5D6E-409C-BE32-E72D297353CC}">
                <c16:uniqueId val="{00000007-A784-4245-AE25-B93E9171BFAA}"/>
              </c:ext>
            </c:extLst>
          </c:dPt>
          <c:dPt>
            <c:idx val="8"/>
            <c:invertIfNegative val="0"/>
            <c:bubble3D val="0"/>
            <c:spPr>
              <a:solidFill>
                <a:srgbClr val="8C8C8C"/>
              </a:solidFill>
              <a:ln>
                <a:solidFill>
                  <a:srgbClr val="8C8C8C"/>
                </a:solidFill>
              </a:ln>
            </c:spPr>
            <c:extLst>
              <c:ext xmlns:c16="http://schemas.microsoft.com/office/drawing/2014/chart" uri="{C3380CC4-5D6E-409C-BE32-E72D297353CC}">
                <c16:uniqueId val="{00000008-A784-4245-AE25-B93E9171BFAA}"/>
              </c:ext>
            </c:extLst>
          </c:dPt>
          <c:dPt>
            <c:idx val="9"/>
            <c:invertIfNegative val="0"/>
            <c:bubble3D val="0"/>
            <c:spPr>
              <a:solidFill>
                <a:srgbClr val="8C8C8C"/>
              </a:solidFill>
              <a:ln>
                <a:solidFill>
                  <a:srgbClr val="8C8C8C"/>
                </a:solidFill>
              </a:ln>
            </c:spPr>
            <c:extLst>
              <c:ext xmlns:c16="http://schemas.microsoft.com/office/drawing/2014/chart" uri="{C3380CC4-5D6E-409C-BE32-E72D297353CC}">
                <c16:uniqueId val="{00000009-A784-4245-AE25-B93E9171BFAA}"/>
              </c:ext>
            </c:extLst>
          </c:dPt>
          <c:dPt>
            <c:idx val="10"/>
            <c:invertIfNegative val="0"/>
            <c:bubble3D val="0"/>
            <c:spPr>
              <a:solidFill>
                <a:srgbClr val="8C8C8C"/>
              </a:solidFill>
              <a:ln>
                <a:solidFill>
                  <a:srgbClr val="8C8C8C"/>
                </a:solidFill>
              </a:ln>
            </c:spPr>
            <c:extLst>
              <c:ext xmlns:c16="http://schemas.microsoft.com/office/drawing/2014/chart" uri="{C3380CC4-5D6E-409C-BE32-E72D297353CC}">
                <c16:uniqueId val="{0000000A-A784-4245-AE25-B93E9171BFAA}"/>
              </c:ext>
            </c:extLst>
          </c:dPt>
          <c:dPt>
            <c:idx val="11"/>
            <c:invertIfNegative val="0"/>
            <c:bubble3D val="0"/>
            <c:spPr>
              <a:solidFill>
                <a:srgbClr val="8C8C8C"/>
              </a:solidFill>
              <a:ln>
                <a:solidFill>
                  <a:srgbClr val="8C8C8C"/>
                </a:solidFill>
              </a:ln>
            </c:spPr>
            <c:extLst>
              <c:ext xmlns:c16="http://schemas.microsoft.com/office/drawing/2014/chart" uri="{C3380CC4-5D6E-409C-BE32-E72D297353CC}">
                <c16:uniqueId val="{0000000B-A784-4245-AE25-B93E9171BFAA}"/>
              </c:ext>
            </c:extLst>
          </c:dPt>
          <c:dPt>
            <c:idx val="12"/>
            <c:invertIfNegative val="0"/>
            <c:bubble3D val="0"/>
            <c:spPr>
              <a:solidFill>
                <a:srgbClr val="8C8C8C"/>
              </a:solidFill>
              <a:ln>
                <a:solidFill>
                  <a:srgbClr val="8C8C8C"/>
                </a:solidFill>
              </a:ln>
            </c:spPr>
            <c:extLst>
              <c:ext xmlns:c16="http://schemas.microsoft.com/office/drawing/2014/chart" uri="{C3380CC4-5D6E-409C-BE32-E72D297353CC}">
                <c16:uniqueId val="{0000000C-A784-4245-AE25-B93E9171BFAA}"/>
              </c:ext>
            </c:extLst>
          </c:dPt>
          <c:dPt>
            <c:idx val="13"/>
            <c:invertIfNegative val="0"/>
            <c:bubble3D val="0"/>
            <c:spPr>
              <a:solidFill>
                <a:srgbClr val="8C8C8C"/>
              </a:solidFill>
              <a:ln>
                <a:solidFill>
                  <a:srgbClr val="8C8C8C"/>
                </a:solidFill>
              </a:ln>
            </c:spPr>
            <c:extLst>
              <c:ext xmlns:c16="http://schemas.microsoft.com/office/drawing/2014/chart" uri="{C3380CC4-5D6E-409C-BE32-E72D297353CC}">
                <c16:uniqueId val="{0000000D-A784-4245-AE25-B93E9171BFAA}"/>
              </c:ext>
            </c:extLst>
          </c:dPt>
          <c:dPt>
            <c:idx val="14"/>
            <c:invertIfNegative val="0"/>
            <c:bubble3D val="0"/>
            <c:spPr>
              <a:solidFill>
                <a:srgbClr val="8C8C8C"/>
              </a:solidFill>
              <a:ln>
                <a:solidFill>
                  <a:srgbClr val="8C8C8C"/>
                </a:solidFill>
              </a:ln>
            </c:spPr>
            <c:extLst>
              <c:ext xmlns:c16="http://schemas.microsoft.com/office/drawing/2014/chart" uri="{C3380CC4-5D6E-409C-BE32-E72D297353CC}">
                <c16:uniqueId val="{0000000E-A784-4245-AE25-B93E9171BFAA}"/>
              </c:ext>
            </c:extLst>
          </c:dPt>
          <c:dPt>
            <c:idx val="15"/>
            <c:invertIfNegative val="0"/>
            <c:bubble3D val="0"/>
            <c:spPr>
              <a:solidFill>
                <a:srgbClr val="8C8C8C"/>
              </a:solidFill>
              <a:ln>
                <a:solidFill>
                  <a:srgbClr val="8C8C8C"/>
                </a:solidFill>
              </a:ln>
            </c:spPr>
            <c:extLst>
              <c:ext xmlns:c16="http://schemas.microsoft.com/office/drawing/2014/chart" uri="{C3380CC4-5D6E-409C-BE32-E72D297353CC}">
                <c16:uniqueId val="{0000000F-A784-4245-AE25-B93E9171BFAA}"/>
              </c:ext>
            </c:extLst>
          </c:dPt>
          <c:dPt>
            <c:idx val="16"/>
            <c:invertIfNegative val="0"/>
            <c:bubble3D val="0"/>
            <c:spPr>
              <a:solidFill>
                <a:srgbClr val="8C8C8C"/>
              </a:solidFill>
              <a:ln>
                <a:solidFill>
                  <a:srgbClr val="8C8C8C"/>
                </a:solidFill>
              </a:ln>
            </c:spPr>
            <c:extLst>
              <c:ext xmlns:c16="http://schemas.microsoft.com/office/drawing/2014/chart" uri="{C3380CC4-5D6E-409C-BE32-E72D297353CC}">
                <c16:uniqueId val="{00000010-A784-4245-AE25-B93E9171BFAA}"/>
              </c:ext>
            </c:extLst>
          </c:dPt>
          <c:dPt>
            <c:idx val="17"/>
            <c:invertIfNegative val="0"/>
            <c:bubble3D val="0"/>
            <c:spPr>
              <a:solidFill>
                <a:srgbClr val="8C8C8C"/>
              </a:solidFill>
              <a:ln>
                <a:solidFill>
                  <a:srgbClr val="8C8C8C"/>
                </a:solidFill>
              </a:ln>
            </c:spPr>
            <c:extLst>
              <c:ext xmlns:c16="http://schemas.microsoft.com/office/drawing/2014/chart" uri="{C3380CC4-5D6E-409C-BE32-E72D297353CC}">
                <c16:uniqueId val="{00000011-A784-4245-AE25-B93E9171BFAA}"/>
              </c:ext>
            </c:extLst>
          </c:dPt>
          <c:dPt>
            <c:idx val="18"/>
            <c:invertIfNegative val="0"/>
            <c:bubble3D val="0"/>
            <c:spPr>
              <a:solidFill>
                <a:srgbClr val="8C8C8C"/>
              </a:solidFill>
              <a:ln>
                <a:solidFill>
                  <a:srgbClr val="8C8C8C"/>
                </a:solidFill>
              </a:ln>
            </c:spPr>
            <c:extLst>
              <c:ext xmlns:c16="http://schemas.microsoft.com/office/drawing/2014/chart" uri="{C3380CC4-5D6E-409C-BE32-E72D297353CC}">
                <c16:uniqueId val="{00000012-A784-4245-AE25-B93E9171BFAA}"/>
              </c:ext>
            </c:extLst>
          </c:dPt>
          <c:dPt>
            <c:idx val="19"/>
            <c:invertIfNegative val="0"/>
            <c:bubble3D val="0"/>
            <c:spPr>
              <a:solidFill>
                <a:srgbClr val="8C8C8C"/>
              </a:solidFill>
              <a:ln>
                <a:solidFill>
                  <a:srgbClr val="8C8C8C"/>
                </a:solidFill>
              </a:ln>
            </c:spPr>
            <c:extLst>
              <c:ext xmlns:c16="http://schemas.microsoft.com/office/drawing/2014/chart" uri="{C3380CC4-5D6E-409C-BE32-E72D297353CC}">
                <c16:uniqueId val="{00000013-A784-4245-AE25-B93E9171BFAA}"/>
              </c:ext>
            </c:extLst>
          </c:dPt>
          <c:dPt>
            <c:idx val="20"/>
            <c:invertIfNegative val="0"/>
            <c:bubble3D val="0"/>
            <c:spPr>
              <a:solidFill>
                <a:srgbClr val="8C8C8C"/>
              </a:solidFill>
              <a:ln>
                <a:solidFill>
                  <a:srgbClr val="8C8C8C"/>
                </a:solidFill>
              </a:ln>
            </c:spPr>
            <c:extLst>
              <c:ext xmlns:c16="http://schemas.microsoft.com/office/drawing/2014/chart" uri="{C3380CC4-5D6E-409C-BE32-E72D297353CC}">
                <c16:uniqueId val="{00000014-A784-4245-AE25-B93E9171BFAA}"/>
              </c:ext>
            </c:extLst>
          </c:dPt>
          <c:dPt>
            <c:idx val="21"/>
            <c:invertIfNegative val="0"/>
            <c:bubble3D val="0"/>
            <c:spPr>
              <a:solidFill>
                <a:srgbClr val="8C8C8C"/>
              </a:solidFill>
              <a:ln>
                <a:solidFill>
                  <a:srgbClr val="8C8C8C"/>
                </a:solidFill>
              </a:ln>
            </c:spPr>
            <c:extLst>
              <c:ext xmlns:c16="http://schemas.microsoft.com/office/drawing/2014/chart" uri="{C3380CC4-5D6E-409C-BE32-E72D297353CC}">
                <c16:uniqueId val="{00000015-A784-4245-AE25-B93E9171BFAA}"/>
              </c:ext>
            </c:extLst>
          </c:dPt>
          <c:dPt>
            <c:idx val="22"/>
            <c:invertIfNegative val="0"/>
            <c:bubble3D val="0"/>
            <c:spPr>
              <a:solidFill>
                <a:srgbClr val="8C8C8C"/>
              </a:solidFill>
              <a:ln>
                <a:solidFill>
                  <a:srgbClr val="8C8C8C"/>
                </a:solidFill>
              </a:ln>
            </c:spPr>
            <c:extLst>
              <c:ext xmlns:c16="http://schemas.microsoft.com/office/drawing/2014/chart" uri="{C3380CC4-5D6E-409C-BE32-E72D297353CC}">
                <c16:uniqueId val="{00000016-A784-4245-AE25-B93E9171BFAA}"/>
              </c:ext>
            </c:extLst>
          </c:dPt>
          <c:dPt>
            <c:idx val="23"/>
            <c:invertIfNegative val="0"/>
            <c:bubble3D val="0"/>
            <c:spPr>
              <a:solidFill>
                <a:srgbClr val="1E9BD7"/>
              </a:solidFill>
              <a:ln>
                <a:solidFill>
                  <a:srgbClr val="1E9BD7"/>
                </a:solidFill>
              </a:ln>
            </c:spPr>
            <c:extLst>
              <c:ext xmlns:c16="http://schemas.microsoft.com/office/drawing/2014/chart" uri="{C3380CC4-5D6E-409C-BE32-E72D297353CC}">
                <c16:uniqueId val="{00000017-A784-4245-AE25-B93E9171BFAA}"/>
              </c:ext>
            </c:extLst>
          </c:dPt>
          <c:dLbls>
            <c:numFmt formatCode="\$#,##0.0" sourceLinked="0"/>
            <c:spPr>
              <a:noFill/>
              <a:ln>
                <a:noFill/>
              </a:ln>
              <a:effectLst/>
            </c:spPr>
            <c:txPr>
              <a:bodyPr/>
              <a:lstStyle/>
              <a:p>
                <a:pPr>
                  <a:defRPr sz="700" b="1" baseline="0">
                    <a:solidFill>
                      <a:srgbClr val="1F3864"/>
                    </a:solidFill>
                    <a:latin typeface="Arial"/>
                  </a:defRPr>
                </a:pPr>
                <a:endParaRPr lang="en-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_MTS_ChartData!$D$1:$D$24</c:f>
              <c:strCache>
                <c:ptCount val="24"/>
                <c:pt idx="0">
                  <c:v>Mar 24</c:v>
                </c:pt>
                <c:pt idx="1">
                  <c:v>Apr 24</c:v>
                </c:pt>
                <c:pt idx="2">
                  <c:v>May 24</c:v>
                </c:pt>
                <c:pt idx="3">
                  <c:v>Jun 24</c:v>
                </c:pt>
                <c:pt idx="4">
                  <c:v>Jul 24</c:v>
                </c:pt>
                <c:pt idx="5">
                  <c:v>Aug 24</c:v>
                </c:pt>
                <c:pt idx="6">
                  <c:v>Sep 24</c:v>
                </c:pt>
                <c:pt idx="7">
                  <c:v>Oct 24</c:v>
                </c:pt>
                <c:pt idx="8">
                  <c:v>Nov 24</c:v>
                </c:pt>
                <c:pt idx="9">
                  <c:v>Dec 24</c:v>
                </c:pt>
                <c:pt idx="10">
                  <c:v>Jan 25</c:v>
                </c:pt>
                <c:pt idx="11">
                  <c:v>Feb 25</c:v>
                </c:pt>
                <c:pt idx="12">
                  <c:v>Mar 25</c:v>
                </c:pt>
                <c:pt idx="13">
                  <c:v>Apr 25</c:v>
                </c:pt>
                <c:pt idx="14">
                  <c:v>May 25</c:v>
                </c:pt>
                <c:pt idx="15">
                  <c:v>Jun 25</c:v>
                </c:pt>
                <c:pt idx="16">
                  <c:v>Jul 25</c:v>
                </c:pt>
                <c:pt idx="17">
                  <c:v>Aug 25</c:v>
                </c:pt>
                <c:pt idx="18">
                  <c:v>Sep 25</c:v>
                </c:pt>
                <c:pt idx="19">
                  <c:v>Oct 25</c:v>
                </c:pt>
                <c:pt idx="20">
                  <c:v>Nov 25</c:v>
                </c:pt>
                <c:pt idx="21">
                  <c:v>Dec 25</c:v>
                </c:pt>
                <c:pt idx="22">
                  <c:v>Jan 26</c:v>
                </c:pt>
                <c:pt idx="23">
                  <c:v>Feb 26</c:v>
                </c:pt>
              </c:strCache>
            </c:strRef>
          </c:cat>
          <c:val>
            <c:numRef>
              <c:f>_MTS_ChartData!$E$1:$E$24</c:f>
              <c:numCache>
                <c:formatCode>General</c:formatCode>
                <c:ptCount val="24"/>
                <c:pt idx="0">
                  <c:v>4.0653265216900003</c:v>
                </c:pt>
                <c:pt idx="1">
                  <c:v>4.2044746687600014</c:v>
                </c:pt>
                <c:pt idx="2">
                  <c:v>4.0512583488500002</c:v>
                </c:pt>
                <c:pt idx="3">
                  <c:v>4.2175936653299999</c:v>
                </c:pt>
                <c:pt idx="4">
                  <c:v>4.1120841659199998</c:v>
                </c:pt>
                <c:pt idx="5">
                  <c:v>4.5237146772800001</c:v>
                </c:pt>
                <c:pt idx="6">
                  <c:v>4.2577705426599994</c:v>
                </c:pt>
                <c:pt idx="7">
                  <c:v>4.2827096196300003</c:v>
                </c:pt>
                <c:pt idx="8">
                  <c:v>3.9062612722700001</c:v>
                </c:pt>
                <c:pt idx="9">
                  <c:v>3.9532512945899998</c:v>
                </c:pt>
                <c:pt idx="10">
                  <c:v>3.5543499345299998</c:v>
                </c:pt>
                <c:pt idx="11">
                  <c:v>3.7391571680200002</c:v>
                </c:pt>
                <c:pt idx="12">
                  <c:v>3.5495494949999999</c:v>
                </c:pt>
                <c:pt idx="13">
                  <c:v>3.8495310511700001</c:v>
                </c:pt>
                <c:pt idx="14">
                  <c:v>2.7680988099400001</c:v>
                </c:pt>
                <c:pt idx="15">
                  <c:v>4.2518098897199996</c:v>
                </c:pt>
                <c:pt idx="16">
                  <c:v>4.5197166605100003</c:v>
                </c:pt>
                <c:pt idx="17">
                  <c:v>4.3715123146300003</c:v>
                </c:pt>
                <c:pt idx="18">
                  <c:v>4.5950413983599994</c:v>
                </c:pt>
                <c:pt idx="19">
                  <c:v>3.3139683847899999</c:v>
                </c:pt>
                <c:pt idx="20">
                  <c:v>3.5981446080500001</c:v>
                </c:pt>
                <c:pt idx="21">
                  <c:v>4.6375781353400001</c:v>
                </c:pt>
                <c:pt idx="22">
                  <c:v>3.5594050260199999</c:v>
                </c:pt>
                <c:pt idx="23">
                  <c:v>3.4114674206100002</c:v>
                </c:pt>
              </c:numCache>
            </c:numRef>
          </c:val>
          <c:extLst>
            <c:ext xmlns:c16="http://schemas.microsoft.com/office/drawing/2014/chart" uri="{C3380CC4-5D6E-409C-BE32-E72D297353CC}">
              <c16:uniqueId val="{00000018-A784-4245-AE25-B93E9171BFAA}"/>
            </c:ext>
          </c:extLst>
        </c:ser>
        <c:dLbls>
          <c:showLegendKey val="0"/>
          <c:showVal val="0"/>
          <c:showCatName val="0"/>
          <c:showSerName val="0"/>
          <c:showPercent val="0"/>
          <c:showBubbleSize val="0"/>
        </c:dLbls>
        <c:gapWidth val="60"/>
        <c:axId val="50100001"/>
        <c:axId val="50100002"/>
      </c:barChart>
      <c:catAx>
        <c:axId val="50100001"/>
        <c:scaling>
          <c:orientation val="minMax"/>
        </c:scaling>
        <c:delete val="0"/>
        <c:axPos val="b"/>
        <c:numFmt formatCode="General" sourceLinked="0"/>
        <c:majorTickMark val="out"/>
        <c:minorTickMark val="none"/>
        <c:tickLblPos val="low"/>
        <c:txPr>
          <a:bodyPr/>
          <a:lstStyle/>
          <a:p>
            <a:pPr>
              <a:defRPr sz="700" baseline="0">
                <a:latin typeface="Arial"/>
              </a:defRPr>
            </a:pPr>
            <a:endParaRPr lang="en-CN"/>
          </a:p>
        </c:txPr>
        <c:crossAx val="50100002"/>
        <c:crosses val="autoZero"/>
        <c:auto val="1"/>
        <c:lblAlgn val="ctr"/>
        <c:lblOffset val="100"/>
        <c:noMultiLvlLbl val="0"/>
      </c:catAx>
      <c:valAx>
        <c:axId val="50100002"/>
        <c:scaling>
          <c:orientation val="minMax"/>
        </c:scaling>
        <c:delete val="0"/>
        <c:axPos val="l"/>
        <c:numFmt formatCode="\$#,##0.0" sourceLinked="0"/>
        <c:majorTickMark val="out"/>
        <c:minorTickMark val="none"/>
        <c:tickLblPos val="nextTo"/>
        <c:crossAx val="50100001"/>
        <c:crosses val="autoZero"/>
        <c:crossBetween val="between"/>
      </c:valAx>
      <c:spPr>
        <a:ln>
          <a:noFill/>
        </a:ln>
      </c:spPr>
    </c:plotArea>
    <c:plotVisOnly val="1"/>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0</xdr:colOff>
      <xdr:row>26</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0</xdr:rowOff>
    </xdr:from>
    <xdr:to>
      <xdr:col>15</xdr:col>
      <xdr:colOff>0</xdr:colOff>
      <xdr:row>53</xdr:row>
      <xdr:rowOff>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54</xdr:row>
      <xdr:rowOff>0</xdr:rowOff>
    </xdr:from>
    <xdr:to>
      <xdr:col>15</xdr:col>
      <xdr:colOff>0</xdr:colOff>
      <xdr:row>80</xdr:row>
      <xdr:rowOff>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81</xdr:row>
      <xdr:rowOff>0</xdr:rowOff>
    </xdr:from>
    <xdr:to>
      <xdr:col>15</xdr:col>
      <xdr:colOff>0</xdr:colOff>
      <xdr:row>107</xdr:row>
      <xdr:rowOff>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0</xdr:colOff>
      <xdr:row>26</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0</xdr:rowOff>
    </xdr:from>
    <xdr:to>
      <xdr:col>15</xdr:col>
      <xdr:colOff>0</xdr:colOff>
      <xdr:row>53</xdr:row>
      <xdr:rowOff>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54</xdr:row>
      <xdr:rowOff>0</xdr:rowOff>
    </xdr:from>
    <xdr:to>
      <xdr:col>15</xdr:col>
      <xdr:colOff>0</xdr:colOff>
      <xdr:row>80</xdr:row>
      <xdr:rowOff>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81</xdr:row>
      <xdr:rowOff>0</xdr:rowOff>
    </xdr:from>
    <xdr:to>
      <xdr:col>15</xdr:col>
      <xdr:colOff>0</xdr:colOff>
      <xdr:row>107</xdr:row>
      <xdr:rowOff>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152400</xdr:colOff>
      <xdr:row>21</xdr:row>
      <xdr:rowOff>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0</xdr:rowOff>
    </xdr:from>
    <xdr:to>
      <xdr:col>11</xdr:col>
      <xdr:colOff>152400</xdr:colOff>
      <xdr:row>42</xdr:row>
      <xdr:rowOff>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26" Type="http://schemas.openxmlformats.org/officeDocument/2006/relationships/hyperlink" Target="https://www.fda.gov/drugs/novel-drug-approvals-fda/novel-drug-approvals-2025" TargetMode="External"/><Relationship Id="rId117" Type="http://schemas.openxmlformats.org/officeDocument/2006/relationships/hyperlink" Target="https://www.fda.gov/drugs/novel-drug-approvals-fda/novel-drug-approvals-2024" TargetMode="External"/><Relationship Id="rId21" Type="http://schemas.openxmlformats.org/officeDocument/2006/relationships/hyperlink" Target="https://www.fda.gov/drugs/novel-drug-approvals-fda/novel-drug-approvals-2025" TargetMode="External"/><Relationship Id="rId42" Type="http://schemas.openxmlformats.org/officeDocument/2006/relationships/hyperlink" Target="https://www.fda.gov/drugs/novel-drug-approvals-fda/novel-drug-approvals-2025" TargetMode="External"/><Relationship Id="rId47" Type="http://schemas.openxmlformats.org/officeDocument/2006/relationships/hyperlink" Target="https://www.fda.gov/drugs/novel-drug-approvals-fda/novel-drug-approvals-2025" TargetMode="External"/><Relationship Id="rId63" Type="http://schemas.openxmlformats.org/officeDocument/2006/relationships/hyperlink" Target="https://www.fda.gov/drugs/novel-drug-approvals-fda/novel-drug-approvals-2024" TargetMode="External"/><Relationship Id="rId68" Type="http://schemas.openxmlformats.org/officeDocument/2006/relationships/hyperlink" Target="https://www.fda.gov/drugs/novel-drug-approvals-fda/novel-drug-approvals-2024" TargetMode="External"/><Relationship Id="rId84" Type="http://schemas.openxmlformats.org/officeDocument/2006/relationships/hyperlink" Target="https://www.fda.gov/drugs/novel-drug-approvals-fda/novel-drug-approvals-2024" TargetMode="External"/><Relationship Id="rId89" Type="http://schemas.openxmlformats.org/officeDocument/2006/relationships/hyperlink" Target="https://www.fda.gov/drugs/novel-drug-approvals-fda/novel-drug-approvals-2024" TargetMode="External"/><Relationship Id="rId112" Type="http://schemas.openxmlformats.org/officeDocument/2006/relationships/hyperlink" Target="https://www.fda.gov/drugs/novel-drug-approvals-fda/novel-drug-approvals-2024" TargetMode="External"/><Relationship Id="rId16" Type="http://schemas.openxmlformats.org/officeDocument/2006/relationships/hyperlink" Target="https://www.fda.gov/vaccines-blood-biologics/development-approval-process-cber/2025-biological-license-application-approvals" TargetMode="External"/><Relationship Id="rId107" Type="http://schemas.openxmlformats.org/officeDocument/2006/relationships/hyperlink" Target="https://www.fda.gov/drugs/novel-drug-approvals-fda/novel-drug-approvals-2024" TargetMode="External"/><Relationship Id="rId11" Type="http://schemas.openxmlformats.org/officeDocument/2006/relationships/hyperlink" Target="https://www.fda.gov/drugs/novel-drug-approvals-fda/novel-drug-approvals-2025" TargetMode="External"/><Relationship Id="rId32" Type="http://schemas.openxmlformats.org/officeDocument/2006/relationships/hyperlink" Target="https://www.fda.gov/drugs/novel-drug-approvals-fda/novel-drug-approvals-2025" TargetMode="External"/><Relationship Id="rId37" Type="http://schemas.openxmlformats.org/officeDocument/2006/relationships/hyperlink" Target="https://www.fda.gov/drugs/novel-drug-approvals-fda/novel-drug-approvals-2025" TargetMode="External"/><Relationship Id="rId53" Type="http://schemas.openxmlformats.org/officeDocument/2006/relationships/hyperlink" Target="https://www.fda.gov/drugs/novel-drug-approvals-fda/novel-drug-approvals-2025" TargetMode="External"/><Relationship Id="rId58" Type="http://schemas.openxmlformats.org/officeDocument/2006/relationships/hyperlink" Target="https://www.fda.gov/drugs/novel-drug-approvals-fda/novel-drug-approvals-2025" TargetMode="External"/><Relationship Id="rId74" Type="http://schemas.openxmlformats.org/officeDocument/2006/relationships/hyperlink" Target="https://www.fda.gov/drugs/novel-drug-approvals-fda/novel-drug-approvals-2024" TargetMode="External"/><Relationship Id="rId79" Type="http://schemas.openxmlformats.org/officeDocument/2006/relationships/hyperlink" Target="https://www.fda.gov/drugs/novel-drug-approvals-fda/novel-drug-approvals-2024" TargetMode="External"/><Relationship Id="rId102" Type="http://schemas.openxmlformats.org/officeDocument/2006/relationships/hyperlink" Target="https://www.fda.gov/vaccines-blood-biologics/development-approval-process-cber/2024-biological-license-application-approvals" TargetMode="External"/><Relationship Id="rId123" Type="http://schemas.openxmlformats.org/officeDocument/2006/relationships/hyperlink" Target="https://www.fda.gov/drugs/novel-drug-approvals-fda/novel-drug-approvals-2024" TargetMode="External"/><Relationship Id="rId5" Type="http://schemas.openxmlformats.org/officeDocument/2006/relationships/hyperlink" Target="https://www.fda.gov/drugs/novel-drug-approvals-fda/novel-drug-approvals-2026" TargetMode="External"/><Relationship Id="rId90" Type="http://schemas.openxmlformats.org/officeDocument/2006/relationships/hyperlink" Target="https://www.fda.gov/drugs/novel-drug-approvals-fda/novel-drug-approvals-2024" TargetMode="External"/><Relationship Id="rId95" Type="http://schemas.openxmlformats.org/officeDocument/2006/relationships/hyperlink" Target="https://www.fda.gov/drugs/novel-drug-approvals-fda/novel-drug-approvals-2024" TargetMode="External"/><Relationship Id="rId22" Type="http://schemas.openxmlformats.org/officeDocument/2006/relationships/hyperlink" Target="https://www.fda.gov/drugs/novel-drug-approvals-fda/novel-drug-approvals-2025" TargetMode="External"/><Relationship Id="rId27" Type="http://schemas.openxmlformats.org/officeDocument/2006/relationships/hyperlink" Target="https://www.fda.gov/drugs/novel-drug-approvals-fda/novel-drug-approvals-2025" TargetMode="External"/><Relationship Id="rId43" Type="http://schemas.openxmlformats.org/officeDocument/2006/relationships/hyperlink" Target="https://www.fda.gov/vaccines-blood-biologics/development-approval-process-cber/2025-biological-license-application-approvals" TargetMode="External"/><Relationship Id="rId48" Type="http://schemas.openxmlformats.org/officeDocument/2006/relationships/hyperlink" Target="https://www.fda.gov/drugs/novel-drug-approvals-fda/novel-drug-approvals-2025" TargetMode="External"/><Relationship Id="rId64" Type="http://schemas.openxmlformats.org/officeDocument/2006/relationships/hyperlink" Target="https://www.fda.gov/vaccines-blood-biologics/development-approval-process-cber/2024-biological-license-application-approvals" TargetMode="External"/><Relationship Id="rId69" Type="http://schemas.openxmlformats.org/officeDocument/2006/relationships/hyperlink" Target="https://www.fda.gov/drugs/novel-drug-approvals-fda/novel-drug-approvals-2024" TargetMode="External"/><Relationship Id="rId113" Type="http://schemas.openxmlformats.org/officeDocument/2006/relationships/hyperlink" Target="https://www.fda.gov/drugs/novel-drug-approvals-fda/novel-drug-approvals-2024" TargetMode="External"/><Relationship Id="rId118" Type="http://schemas.openxmlformats.org/officeDocument/2006/relationships/hyperlink" Target="https://www.fda.gov/drugs/novel-drug-approvals-fda/novel-drug-approvals-2024" TargetMode="External"/><Relationship Id="rId80" Type="http://schemas.openxmlformats.org/officeDocument/2006/relationships/hyperlink" Target="https://www.fda.gov/drugs/novel-drug-approvals-fda/novel-drug-approvals-2024" TargetMode="External"/><Relationship Id="rId85" Type="http://schemas.openxmlformats.org/officeDocument/2006/relationships/hyperlink" Target="https://www.fda.gov/drugs/novel-drug-approvals-fda/novel-drug-approvals-2024" TargetMode="External"/><Relationship Id="rId12" Type="http://schemas.openxmlformats.org/officeDocument/2006/relationships/hyperlink" Target="https://www.fda.gov/drugs/novel-drug-approvals-fda/novel-drug-approvals-2025" TargetMode="External"/><Relationship Id="rId17" Type="http://schemas.openxmlformats.org/officeDocument/2006/relationships/hyperlink" Target="https://www.fda.gov/drugs/novel-drug-approvals-fda/novel-drug-approvals-2025" TargetMode="External"/><Relationship Id="rId33" Type="http://schemas.openxmlformats.org/officeDocument/2006/relationships/hyperlink" Target="https://www.fda.gov/drugs/novel-drug-approvals-fda/novel-drug-approvals-2025" TargetMode="External"/><Relationship Id="rId38" Type="http://schemas.openxmlformats.org/officeDocument/2006/relationships/hyperlink" Target="https://www.fda.gov/drugs/novel-drug-approvals-fda/novel-drug-approvals-2025" TargetMode="External"/><Relationship Id="rId59" Type="http://schemas.openxmlformats.org/officeDocument/2006/relationships/hyperlink" Target="https://www.fda.gov/drugs/novel-drug-approvals-fda/novel-drug-approvals-2025" TargetMode="External"/><Relationship Id="rId103" Type="http://schemas.openxmlformats.org/officeDocument/2006/relationships/hyperlink" Target="https://www.fda.gov/drugs/novel-drug-approvals-fda/novel-drug-approvals-2024" TargetMode="External"/><Relationship Id="rId108" Type="http://schemas.openxmlformats.org/officeDocument/2006/relationships/hyperlink" Target="https://www.fda.gov/drugs/novel-drug-approvals-fda/novel-drug-approvals-2024" TargetMode="External"/><Relationship Id="rId54" Type="http://schemas.openxmlformats.org/officeDocument/2006/relationships/hyperlink" Target="https://www.fda.gov/vaccines-blood-biologics/development-approval-process-cber/2025-biological-license-application-approvals" TargetMode="External"/><Relationship Id="rId70" Type="http://schemas.openxmlformats.org/officeDocument/2006/relationships/hyperlink" Target="https://www.fda.gov/drugs/novel-drug-approvals-fda/novel-drug-approvals-2024" TargetMode="External"/><Relationship Id="rId75" Type="http://schemas.openxmlformats.org/officeDocument/2006/relationships/hyperlink" Target="https://www.fda.gov/drugs/novel-drug-approvals-fda/novel-drug-approvals-2024" TargetMode="External"/><Relationship Id="rId91" Type="http://schemas.openxmlformats.org/officeDocument/2006/relationships/hyperlink" Target="https://www.fda.gov/drugs/novel-drug-approvals-fda/novel-drug-approvals-2024" TargetMode="External"/><Relationship Id="rId96" Type="http://schemas.openxmlformats.org/officeDocument/2006/relationships/hyperlink" Target="https://www.fda.gov/drugs/novel-drug-approvals-fda/novel-drug-approvals-2024" TargetMode="External"/><Relationship Id="rId1" Type="http://schemas.openxmlformats.org/officeDocument/2006/relationships/hyperlink" Target="https://www.fda.gov/drugs/novel-drug-approvals-fda/novel-drug-approvals-2026" TargetMode="External"/><Relationship Id="rId6" Type="http://schemas.openxmlformats.org/officeDocument/2006/relationships/hyperlink" Target="https://www.fda.gov/drugs/novel-drug-approvals-fda/novel-drug-approvals-2025" TargetMode="External"/><Relationship Id="rId23" Type="http://schemas.openxmlformats.org/officeDocument/2006/relationships/hyperlink" Target="https://www.fda.gov/drugs/novel-drug-approvals-fda/novel-drug-approvals-2025" TargetMode="External"/><Relationship Id="rId28" Type="http://schemas.openxmlformats.org/officeDocument/2006/relationships/hyperlink" Target="https://www.fda.gov/drugs/novel-drug-approvals-fda/novel-drug-approvals-2025" TargetMode="External"/><Relationship Id="rId49" Type="http://schemas.openxmlformats.org/officeDocument/2006/relationships/hyperlink" Target="https://www.fda.gov/vaccines-blood-biologics/development-approval-process-cber/2025-biological-license-application-approvals" TargetMode="External"/><Relationship Id="rId114" Type="http://schemas.openxmlformats.org/officeDocument/2006/relationships/hyperlink" Target="https://www.fda.gov/vaccines-blood-biologics/development-approval-process-cber/2024-biological-license-application-approvals" TargetMode="External"/><Relationship Id="rId119" Type="http://schemas.openxmlformats.org/officeDocument/2006/relationships/hyperlink" Target="https://www.fda.gov/drugs/novel-drug-approvals-fda/novel-drug-approvals-2024" TargetMode="External"/><Relationship Id="rId44" Type="http://schemas.openxmlformats.org/officeDocument/2006/relationships/hyperlink" Target="https://www.fda.gov/drugs/novel-drug-approvals-fda/novel-drug-approvals-2025" TargetMode="External"/><Relationship Id="rId60" Type="http://schemas.openxmlformats.org/officeDocument/2006/relationships/hyperlink" Target="https://www.fda.gov/drugs/novel-drug-approvals-fda/novel-drug-approvals-2025" TargetMode="External"/><Relationship Id="rId65" Type="http://schemas.openxmlformats.org/officeDocument/2006/relationships/hyperlink" Target="https://www.fda.gov/drugs/novel-drug-approvals-fda/novel-drug-approvals-2024" TargetMode="External"/><Relationship Id="rId81" Type="http://schemas.openxmlformats.org/officeDocument/2006/relationships/hyperlink" Target="https://www.fda.gov/drugs/novel-drug-approvals-fda/novel-drug-approvals-2024" TargetMode="External"/><Relationship Id="rId86" Type="http://schemas.openxmlformats.org/officeDocument/2006/relationships/hyperlink" Target="https://www.fda.gov/drugs/novel-drug-approvals-fda/novel-drug-approvals-2024" TargetMode="External"/><Relationship Id="rId4" Type="http://schemas.openxmlformats.org/officeDocument/2006/relationships/hyperlink" Target="https://www.fda.gov/drugs/novel-drug-approvals-fda/novel-drug-approvals-2026" TargetMode="External"/><Relationship Id="rId9" Type="http://schemas.openxmlformats.org/officeDocument/2006/relationships/hyperlink" Target="https://www.fda.gov/drugs/novel-drug-approvals-fda/novel-drug-approvals-2025" TargetMode="External"/><Relationship Id="rId13" Type="http://schemas.openxmlformats.org/officeDocument/2006/relationships/hyperlink" Target="https://www.fda.gov/vaccines-blood-biologics/development-approval-process-cber/2025-biological-license-application-approvals" TargetMode="External"/><Relationship Id="rId18" Type="http://schemas.openxmlformats.org/officeDocument/2006/relationships/hyperlink" Target="https://www.fda.gov/drugs/novel-drug-approvals-fda/novel-drug-approvals-2025" TargetMode="External"/><Relationship Id="rId39" Type="http://schemas.openxmlformats.org/officeDocument/2006/relationships/hyperlink" Target="https://www.fda.gov/drugs/novel-drug-approvals-fda/novel-drug-approvals-2025" TargetMode="External"/><Relationship Id="rId109" Type="http://schemas.openxmlformats.org/officeDocument/2006/relationships/hyperlink" Target="https://www.fda.gov/drugs/novel-drug-approvals-fda/novel-drug-approvals-2024" TargetMode="External"/><Relationship Id="rId34" Type="http://schemas.openxmlformats.org/officeDocument/2006/relationships/hyperlink" Target="https://www.fda.gov/drugs/novel-drug-approvals-fda/novel-drug-approvals-2025" TargetMode="External"/><Relationship Id="rId50" Type="http://schemas.openxmlformats.org/officeDocument/2006/relationships/hyperlink" Target="https://www.fda.gov/drugs/novel-drug-approvals-fda/novel-drug-approvals-2025" TargetMode="External"/><Relationship Id="rId55" Type="http://schemas.openxmlformats.org/officeDocument/2006/relationships/hyperlink" Target="https://www.fda.gov/drugs/novel-drug-approvals-fda/novel-drug-approvals-2025" TargetMode="External"/><Relationship Id="rId76" Type="http://schemas.openxmlformats.org/officeDocument/2006/relationships/hyperlink" Target="https://www.fda.gov/vaccines-blood-biologics/development-approval-process-cber/2024-biological-license-application-approvals" TargetMode="External"/><Relationship Id="rId97" Type="http://schemas.openxmlformats.org/officeDocument/2006/relationships/hyperlink" Target="https://www.fda.gov/drugs/novel-drug-approvals-fda/novel-drug-approvals-2024" TargetMode="External"/><Relationship Id="rId104" Type="http://schemas.openxmlformats.org/officeDocument/2006/relationships/hyperlink" Target="https://www.fda.gov/drugs/novel-drug-approvals-fda/novel-drug-approvals-2024" TargetMode="External"/><Relationship Id="rId120" Type="http://schemas.openxmlformats.org/officeDocument/2006/relationships/hyperlink" Target="https://www.fda.gov/drugs/novel-drug-approvals-fda/novel-drug-approvals-2024" TargetMode="External"/><Relationship Id="rId7" Type="http://schemas.openxmlformats.org/officeDocument/2006/relationships/hyperlink" Target="https://www.fda.gov/drugs/novel-drug-approvals-fda/novel-drug-approvals-2025" TargetMode="External"/><Relationship Id="rId71" Type="http://schemas.openxmlformats.org/officeDocument/2006/relationships/hyperlink" Target="https://www.fda.gov/drugs/novel-drug-approvals-fda/novel-drug-approvals-2024" TargetMode="External"/><Relationship Id="rId92" Type="http://schemas.openxmlformats.org/officeDocument/2006/relationships/hyperlink" Target="https://www.fda.gov/drugs/novel-drug-approvals-fda/novel-drug-approvals-2024" TargetMode="External"/><Relationship Id="rId2" Type="http://schemas.openxmlformats.org/officeDocument/2006/relationships/hyperlink" Target="https://www.fda.gov/drugs/novel-drug-approvals-fda/novel-drug-approvals-2026" TargetMode="External"/><Relationship Id="rId29" Type="http://schemas.openxmlformats.org/officeDocument/2006/relationships/hyperlink" Target="https://www.fda.gov/drugs/novel-drug-approvals-fda/novel-drug-approvals-2025" TargetMode="External"/><Relationship Id="rId24" Type="http://schemas.openxmlformats.org/officeDocument/2006/relationships/hyperlink" Target="https://www.fda.gov/drugs/novel-drug-approvals-fda/novel-drug-approvals-2025" TargetMode="External"/><Relationship Id="rId40" Type="http://schemas.openxmlformats.org/officeDocument/2006/relationships/hyperlink" Target="https://www.fda.gov/drugs/novel-drug-approvals-fda/novel-drug-approvals-2025" TargetMode="External"/><Relationship Id="rId45" Type="http://schemas.openxmlformats.org/officeDocument/2006/relationships/hyperlink" Target="https://www.fda.gov/vaccines-blood-biologics/development-approval-process-cber/2025-biological-license-application-approvals" TargetMode="External"/><Relationship Id="rId66" Type="http://schemas.openxmlformats.org/officeDocument/2006/relationships/hyperlink" Target="https://www.fda.gov/vaccines-blood-biologics/development-approval-process-cber/2024-biological-license-application-approvals" TargetMode="External"/><Relationship Id="rId87" Type="http://schemas.openxmlformats.org/officeDocument/2006/relationships/hyperlink" Target="https://www.fda.gov/drugs/novel-drug-approvals-fda/novel-drug-approvals-2024" TargetMode="External"/><Relationship Id="rId110" Type="http://schemas.openxmlformats.org/officeDocument/2006/relationships/hyperlink" Target="https://www.fda.gov/drugs/novel-drug-approvals-fda/novel-drug-approvals-2024" TargetMode="External"/><Relationship Id="rId115" Type="http://schemas.openxmlformats.org/officeDocument/2006/relationships/hyperlink" Target="https://www.fda.gov/drugs/novel-drug-approvals-fda/novel-drug-approvals-2024" TargetMode="External"/><Relationship Id="rId61" Type="http://schemas.openxmlformats.org/officeDocument/2006/relationships/hyperlink" Target="https://www.fda.gov/drugs/novel-drug-approvals-fda/novel-drug-approvals-2025" TargetMode="External"/><Relationship Id="rId82" Type="http://schemas.openxmlformats.org/officeDocument/2006/relationships/hyperlink" Target="https://www.fda.gov/drugs/novel-drug-approvals-fda/novel-drug-approvals-2024" TargetMode="External"/><Relationship Id="rId19" Type="http://schemas.openxmlformats.org/officeDocument/2006/relationships/hyperlink" Target="https://www.fda.gov/drugs/novel-drug-approvals-fda/novel-drug-approvals-2025" TargetMode="External"/><Relationship Id="rId14" Type="http://schemas.openxmlformats.org/officeDocument/2006/relationships/hyperlink" Target="https://www.fda.gov/vaccines-blood-biologics/development-approval-process-cber/2025-biological-license-application-approvals" TargetMode="External"/><Relationship Id="rId30" Type="http://schemas.openxmlformats.org/officeDocument/2006/relationships/hyperlink" Target="https://www.fda.gov/vaccines-blood-biologics/development-approval-process-cber/2025-biological-license-application-approvals" TargetMode="External"/><Relationship Id="rId35" Type="http://schemas.openxmlformats.org/officeDocument/2006/relationships/hyperlink" Target="https://www.fda.gov/drugs/novel-drug-approvals-fda/novel-drug-approvals-2025" TargetMode="External"/><Relationship Id="rId56" Type="http://schemas.openxmlformats.org/officeDocument/2006/relationships/hyperlink" Target="https://www.fda.gov/vaccines-blood-biologics/development-approval-process-cber/2025-biological-license-application-approvals" TargetMode="External"/><Relationship Id="rId77" Type="http://schemas.openxmlformats.org/officeDocument/2006/relationships/hyperlink" Target="https://www.fda.gov/vaccines-blood-biologics/development-approval-process-cber/2024-biological-license-application-approvals" TargetMode="External"/><Relationship Id="rId100" Type="http://schemas.openxmlformats.org/officeDocument/2006/relationships/hyperlink" Target="https://www.fda.gov/drugs/novel-drug-approvals-fda/novel-drug-approvals-2024" TargetMode="External"/><Relationship Id="rId105" Type="http://schemas.openxmlformats.org/officeDocument/2006/relationships/hyperlink" Target="https://www.fda.gov/vaccines-blood-biologics/development-approval-process-cber/2024-biological-license-application-approvals" TargetMode="External"/><Relationship Id="rId8" Type="http://schemas.openxmlformats.org/officeDocument/2006/relationships/hyperlink" Target="https://www.fda.gov/drugs/novel-drug-approvals-fda/novel-drug-approvals-2025" TargetMode="External"/><Relationship Id="rId51" Type="http://schemas.openxmlformats.org/officeDocument/2006/relationships/hyperlink" Target="https://www.fda.gov/drugs/novel-drug-approvals-fda/novel-drug-approvals-2025" TargetMode="External"/><Relationship Id="rId72" Type="http://schemas.openxmlformats.org/officeDocument/2006/relationships/hyperlink" Target="https://www.fda.gov/drugs/novel-drug-approvals-fda/novel-drug-approvals-2024" TargetMode="External"/><Relationship Id="rId93" Type="http://schemas.openxmlformats.org/officeDocument/2006/relationships/hyperlink" Target="https://www.fda.gov/vaccines-blood-biologics/development-approval-process-cber/2024-biological-license-application-approvals" TargetMode="External"/><Relationship Id="rId98" Type="http://schemas.openxmlformats.org/officeDocument/2006/relationships/hyperlink" Target="https://www.fda.gov/drugs/novel-drug-approvals-fda/novel-drug-approvals-2024" TargetMode="External"/><Relationship Id="rId121" Type="http://schemas.openxmlformats.org/officeDocument/2006/relationships/hyperlink" Target="https://www.fda.gov/vaccines-blood-biologics/development-approval-process-cber/2024-biological-license-application-approvals" TargetMode="External"/><Relationship Id="rId3" Type="http://schemas.openxmlformats.org/officeDocument/2006/relationships/hyperlink" Target="https://www.fda.gov/drugs/novel-drug-approvals-fda/novel-drug-approvals-2026" TargetMode="External"/><Relationship Id="rId25" Type="http://schemas.openxmlformats.org/officeDocument/2006/relationships/hyperlink" Target="https://www.fda.gov/drugs/novel-drug-approvals-fda/novel-drug-approvals-2025" TargetMode="External"/><Relationship Id="rId46" Type="http://schemas.openxmlformats.org/officeDocument/2006/relationships/hyperlink" Target="https://www.fda.gov/drugs/novel-drug-approvals-fda/novel-drug-approvals-2025" TargetMode="External"/><Relationship Id="rId67" Type="http://schemas.openxmlformats.org/officeDocument/2006/relationships/hyperlink" Target="https://www.fda.gov/drugs/novel-drug-approvals-fda/novel-drug-approvals-2024" TargetMode="External"/><Relationship Id="rId116" Type="http://schemas.openxmlformats.org/officeDocument/2006/relationships/hyperlink" Target="https://www.fda.gov/vaccines-blood-biologics/development-approval-process-cber/2024-biological-license-application-approvals" TargetMode="External"/><Relationship Id="rId20" Type="http://schemas.openxmlformats.org/officeDocument/2006/relationships/hyperlink" Target="https://www.fda.gov/drugs/novel-drug-approvals-fda/novel-drug-approvals-2025" TargetMode="External"/><Relationship Id="rId41" Type="http://schemas.openxmlformats.org/officeDocument/2006/relationships/hyperlink" Target="https://www.fda.gov/drugs/novel-drug-approvals-fda/novel-drug-approvals-2025" TargetMode="External"/><Relationship Id="rId62" Type="http://schemas.openxmlformats.org/officeDocument/2006/relationships/hyperlink" Target="https://www.fda.gov/drugs/novel-drug-approvals-fda/novel-drug-approvals-2024" TargetMode="External"/><Relationship Id="rId83" Type="http://schemas.openxmlformats.org/officeDocument/2006/relationships/hyperlink" Target="https://www.fda.gov/drugs/novel-drug-approvals-fda/novel-drug-approvals-2024" TargetMode="External"/><Relationship Id="rId88" Type="http://schemas.openxmlformats.org/officeDocument/2006/relationships/hyperlink" Target="https://www.fda.gov/drugs/novel-drug-approvals-fda/novel-drug-approvals-2024" TargetMode="External"/><Relationship Id="rId111" Type="http://schemas.openxmlformats.org/officeDocument/2006/relationships/hyperlink" Target="https://www.fda.gov/drugs/novel-drug-approvals-fda/novel-drug-approvals-2024" TargetMode="External"/><Relationship Id="rId15" Type="http://schemas.openxmlformats.org/officeDocument/2006/relationships/hyperlink" Target="https://www.fda.gov/drugs/novel-drug-approvals-fda/novel-drug-approvals-2025" TargetMode="External"/><Relationship Id="rId36" Type="http://schemas.openxmlformats.org/officeDocument/2006/relationships/hyperlink" Target="https://www.fda.gov/drugs/novel-drug-approvals-fda/novel-drug-approvals-2025" TargetMode="External"/><Relationship Id="rId57" Type="http://schemas.openxmlformats.org/officeDocument/2006/relationships/hyperlink" Target="https://www.fda.gov/vaccines-blood-biologics/development-approval-process-cber/2025-biological-license-application-approvals" TargetMode="External"/><Relationship Id="rId106" Type="http://schemas.openxmlformats.org/officeDocument/2006/relationships/hyperlink" Target="https://www.fda.gov/drugs/novel-drug-approvals-fda/novel-drug-approvals-2024" TargetMode="External"/><Relationship Id="rId10" Type="http://schemas.openxmlformats.org/officeDocument/2006/relationships/hyperlink" Target="https://www.fda.gov/drugs/novel-drug-approvals-fda/novel-drug-approvals-2025" TargetMode="External"/><Relationship Id="rId31" Type="http://schemas.openxmlformats.org/officeDocument/2006/relationships/hyperlink" Target="https://www.fda.gov/drugs/novel-drug-approvals-fda/novel-drug-approvals-2025" TargetMode="External"/><Relationship Id="rId52" Type="http://schemas.openxmlformats.org/officeDocument/2006/relationships/hyperlink" Target="https://www.fda.gov/drugs/novel-drug-approvals-fda/novel-drug-approvals-2025" TargetMode="External"/><Relationship Id="rId73" Type="http://schemas.openxmlformats.org/officeDocument/2006/relationships/hyperlink" Target="https://www.fda.gov/drugs/novel-drug-approvals-fda/novel-drug-approvals-2024" TargetMode="External"/><Relationship Id="rId78" Type="http://schemas.openxmlformats.org/officeDocument/2006/relationships/hyperlink" Target="https://www.fda.gov/drugs/novel-drug-approvals-fda/novel-drug-approvals-2024" TargetMode="External"/><Relationship Id="rId94" Type="http://schemas.openxmlformats.org/officeDocument/2006/relationships/hyperlink" Target="https://www.fda.gov/drugs/novel-drug-approvals-fda/novel-drug-approvals-2024" TargetMode="External"/><Relationship Id="rId99" Type="http://schemas.openxmlformats.org/officeDocument/2006/relationships/hyperlink" Target="https://www.fda.gov/vaccines-blood-biologics/development-approval-process-cber/2024-biological-license-application-approvals" TargetMode="External"/><Relationship Id="rId101" Type="http://schemas.openxmlformats.org/officeDocument/2006/relationships/hyperlink" Target="https://www.fda.gov/drugs/novel-drug-approvals-fda/novel-drug-approvals-2024" TargetMode="External"/><Relationship Id="rId122" Type="http://schemas.openxmlformats.org/officeDocument/2006/relationships/hyperlink" Target="https://www.fda.gov/vaccines-blood-biologics/development-approval-process-cber/2024-biological-license-application-approvals"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www.fda.gov/drugs/biosimilars/biosimilar-product-information" TargetMode="External"/><Relationship Id="rId18" Type="http://schemas.openxmlformats.org/officeDocument/2006/relationships/hyperlink" Target="https://www.fda.gov/drugs/biosimilars/biosimilar-product-information" TargetMode="External"/><Relationship Id="rId26" Type="http://schemas.openxmlformats.org/officeDocument/2006/relationships/hyperlink" Target="https://www.fda.gov/drugs/biosimilars/biosimilar-product-information" TargetMode="External"/><Relationship Id="rId21" Type="http://schemas.openxmlformats.org/officeDocument/2006/relationships/hyperlink" Target="https://www.fda.gov/drugs/biosimilars/biosimilar-product-information" TargetMode="External"/><Relationship Id="rId34" Type="http://schemas.openxmlformats.org/officeDocument/2006/relationships/hyperlink" Target="https://www.fda.gov/drugs/biosimilars/biosimilar-product-information" TargetMode="External"/><Relationship Id="rId7" Type="http://schemas.openxmlformats.org/officeDocument/2006/relationships/hyperlink" Target="https://www.fda.gov/drugs/biosimilars/biosimilar-product-information" TargetMode="External"/><Relationship Id="rId12" Type="http://schemas.openxmlformats.org/officeDocument/2006/relationships/hyperlink" Target="https://www.fda.gov/drugs/biosimilars/biosimilar-product-information" TargetMode="External"/><Relationship Id="rId17" Type="http://schemas.openxmlformats.org/officeDocument/2006/relationships/hyperlink" Target="https://www.fda.gov/drugs/biosimilars/biosimilar-product-information" TargetMode="External"/><Relationship Id="rId25" Type="http://schemas.openxmlformats.org/officeDocument/2006/relationships/hyperlink" Target="https://www.fda.gov/drugs/biosimilars/biosimilar-product-information" TargetMode="External"/><Relationship Id="rId33" Type="http://schemas.openxmlformats.org/officeDocument/2006/relationships/hyperlink" Target="https://www.fda.gov/drugs/biosimilars/biosimilar-product-information" TargetMode="External"/><Relationship Id="rId2" Type="http://schemas.openxmlformats.org/officeDocument/2006/relationships/hyperlink" Target="https://www.fda.gov/drugs/biosimilars/biosimilar-product-information" TargetMode="External"/><Relationship Id="rId16" Type="http://schemas.openxmlformats.org/officeDocument/2006/relationships/hyperlink" Target="https://www.fda.gov/drugs/biosimilars/biosimilar-product-information" TargetMode="External"/><Relationship Id="rId20" Type="http://schemas.openxmlformats.org/officeDocument/2006/relationships/hyperlink" Target="https://www.fda.gov/drugs/biosimilars/biosimilar-product-information" TargetMode="External"/><Relationship Id="rId29" Type="http://schemas.openxmlformats.org/officeDocument/2006/relationships/hyperlink" Target="https://www.fda.gov/drugs/biosimilars/biosimilar-product-information" TargetMode="External"/><Relationship Id="rId1" Type="http://schemas.openxmlformats.org/officeDocument/2006/relationships/hyperlink" Target="https://www.fda.gov/drugs/biosimilars/biosimilar-product-information" TargetMode="External"/><Relationship Id="rId6" Type="http://schemas.openxmlformats.org/officeDocument/2006/relationships/hyperlink" Target="https://www.fda.gov/drugs/biosimilars/biosimilar-product-information" TargetMode="External"/><Relationship Id="rId11" Type="http://schemas.openxmlformats.org/officeDocument/2006/relationships/hyperlink" Target="https://www.fda.gov/drugs/biosimilars/biosimilar-product-information" TargetMode="External"/><Relationship Id="rId24" Type="http://schemas.openxmlformats.org/officeDocument/2006/relationships/hyperlink" Target="https://www.fda.gov/drugs/biosimilars/biosimilar-product-information" TargetMode="External"/><Relationship Id="rId32" Type="http://schemas.openxmlformats.org/officeDocument/2006/relationships/hyperlink" Target="https://www.fda.gov/drugs/biosimilars/biosimilar-product-information" TargetMode="External"/><Relationship Id="rId37" Type="http://schemas.openxmlformats.org/officeDocument/2006/relationships/hyperlink" Target="https://www.fda.gov/drugs/biosimilars/biosimilar-product-information" TargetMode="External"/><Relationship Id="rId5" Type="http://schemas.openxmlformats.org/officeDocument/2006/relationships/hyperlink" Target="https://www.fda.gov/drugs/biosimilars/biosimilar-product-information" TargetMode="External"/><Relationship Id="rId15" Type="http://schemas.openxmlformats.org/officeDocument/2006/relationships/hyperlink" Target="https://www.fda.gov/drugs/biosimilars/biosimilar-product-information" TargetMode="External"/><Relationship Id="rId23" Type="http://schemas.openxmlformats.org/officeDocument/2006/relationships/hyperlink" Target="https://www.fda.gov/drugs/biosimilars/biosimilar-product-information" TargetMode="External"/><Relationship Id="rId28" Type="http://schemas.openxmlformats.org/officeDocument/2006/relationships/hyperlink" Target="https://www.fda.gov/drugs/biosimilars/biosimilar-product-information" TargetMode="External"/><Relationship Id="rId36" Type="http://schemas.openxmlformats.org/officeDocument/2006/relationships/hyperlink" Target="https://www.fda.gov/drugs/biosimilars/biosimilar-product-information" TargetMode="External"/><Relationship Id="rId10" Type="http://schemas.openxmlformats.org/officeDocument/2006/relationships/hyperlink" Target="https://www.fda.gov/drugs/biosimilars/biosimilar-product-information" TargetMode="External"/><Relationship Id="rId19" Type="http://schemas.openxmlformats.org/officeDocument/2006/relationships/hyperlink" Target="https://www.fda.gov/drugs/biosimilars/biosimilar-product-information" TargetMode="External"/><Relationship Id="rId31" Type="http://schemas.openxmlformats.org/officeDocument/2006/relationships/hyperlink" Target="https://www.fda.gov/drugs/biosimilars/biosimilar-product-information" TargetMode="External"/><Relationship Id="rId4" Type="http://schemas.openxmlformats.org/officeDocument/2006/relationships/hyperlink" Target="https://www.fda.gov/drugs/biosimilars/biosimilar-product-information" TargetMode="External"/><Relationship Id="rId9" Type="http://schemas.openxmlformats.org/officeDocument/2006/relationships/hyperlink" Target="https://www.fda.gov/drugs/biosimilars/biosimilar-product-information" TargetMode="External"/><Relationship Id="rId14" Type="http://schemas.openxmlformats.org/officeDocument/2006/relationships/hyperlink" Target="https://www.fda.gov/drugs/biosimilars/biosimilar-product-information" TargetMode="External"/><Relationship Id="rId22" Type="http://schemas.openxmlformats.org/officeDocument/2006/relationships/hyperlink" Target="https://www.fda.gov/drugs/biosimilars/biosimilar-product-information" TargetMode="External"/><Relationship Id="rId27" Type="http://schemas.openxmlformats.org/officeDocument/2006/relationships/hyperlink" Target="https://www.fda.gov/drugs/biosimilars/biosimilar-product-information" TargetMode="External"/><Relationship Id="rId30" Type="http://schemas.openxmlformats.org/officeDocument/2006/relationships/hyperlink" Target="https://www.fda.gov/drugs/biosimilars/biosimilar-product-information" TargetMode="External"/><Relationship Id="rId35" Type="http://schemas.openxmlformats.org/officeDocument/2006/relationships/hyperlink" Target="https://www.fda.gov/drugs/biosimilars/biosimilar-product-information" TargetMode="External"/><Relationship Id="rId8" Type="http://schemas.openxmlformats.org/officeDocument/2006/relationships/hyperlink" Target="https://www.fda.gov/drugs/biosimilars/biosimilar-product-information" TargetMode="External"/><Relationship Id="rId3" Type="http://schemas.openxmlformats.org/officeDocument/2006/relationships/hyperlink" Target="https://www.fda.gov/drugs/biosimilars/biosimilar-product-inform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D28"/>
  <sheetViews>
    <sheetView showGridLines="0" workbookViewId="0">
      <selection activeCell="C28" sqref="C28"/>
    </sheetView>
  </sheetViews>
  <sheetFormatPr baseColWidth="10" defaultColWidth="8.83203125" defaultRowHeight="15" x14ac:dyDescent="0.2"/>
  <cols>
    <col min="1" max="1" width="5.6640625" customWidth="1"/>
    <col min="2" max="2" width="35.6640625" customWidth="1"/>
    <col min="3" max="3" width="55.6640625" customWidth="1"/>
    <col min="4" max="4" width="25.6640625" customWidth="1"/>
  </cols>
  <sheetData>
    <row r="1" spans="1:4" x14ac:dyDescent="0.2">
      <c r="A1" s="40" t="s">
        <v>22021</v>
      </c>
      <c r="B1" s="40"/>
      <c r="C1" s="40"/>
      <c r="D1" s="40"/>
    </row>
    <row r="2" spans="1:4" x14ac:dyDescent="0.2">
      <c r="A2" s="40"/>
      <c r="B2" s="40"/>
      <c r="C2" s="40"/>
      <c r="D2" s="40"/>
    </row>
    <row r="3" spans="1:4" x14ac:dyDescent="0.2">
      <c r="A3" s="40"/>
      <c r="B3" s="40"/>
      <c r="C3" s="40"/>
      <c r="D3" s="40"/>
    </row>
    <row r="4" spans="1:4" x14ac:dyDescent="0.2">
      <c r="A4" s="41" t="s">
        <v>22022</v>
      </c>
      <c r="B4" s="41"/>
      <c r="C4" s="41"/>
      <c r="D4" s="41"/>
    </row>
    <row r="5" spans="1:4" x14ac:dyDescent="0.2">
      <c r="A5" s="42"/>
      <c r="B5" s="42"/>
      <c r="C5" s="42"/>
      <c r="D5" s="42"/>
    </row>
    <row r="7" spans="1:4" ht="17" x14ac:dyDescent="0.2">
      <c r="B7" s="43" t="s">
        <v>22023</v>
      </c>
      <c r="C7" s="43"/>
      <c r="D7" s="43"/>
    </row>
    <row r="8" spans="1:4" x14ac:dyDescent="0.2">
      <c r="B8" s="1" t="s">
        <v>22024</v>
      </c>
      <c r="C8" s="1" t="s">
        <v>22025</v>
      </c>
      <c r="D8" s="1" t="s">
        <v>9</v>
      </c>
    </row>
    <row r="9" spans="1:4" x14ac:dyDescent="0.2">
      <c r="B9" s="2" t="s">
        <v>22026</v>
      </c>
      <c r="C9" s="2" t="s">
        <v>22027</v>
      </c>
      <c r="D9" s="3" t="s">
        <v>22028</v>
      </c>
    </row>
    <row r="10" spans="1:4" x14ac:dyDescent="0.2">
      <c r="B10" s="2" t="s">
        <v>22029</v>
      </c>
      <c r="C10" s="2" t="s">
        <v>22030</v>
      </c>
      <c r="D10" s="3" t="s">
        <v>22028</v>
      </c>
    </row>
    <row r="11" spans="1:4" x14ac:dyDescent="0.2">
      <c r="B11" s="2" t="s">
        <v>22031</v>
      </c>
      <c r="C11" s="2" t="s">
        <v>22032</v>
      </c>
      <c r="D11" s="3" t="s">
        <v>22028</v>
      </c>
    </row>
    <row r="14" spans="1:4" ht="17" x14ac:dyDescent="0.2">
      <c r="B14" s="43" t="s">
        <v>22033</v>
      </c>
      <c r="C14" s="43"/>
      <c r="D14" s="43"/>
    </row>
    <row r="15" spans="1:4" x14ac:dyDescent="0.2">
      <c r="B15" s="4" t="s">
        <v>0</v>
      </c>
    </row>
    <row r="16" spans="1:4" x14ac:dyDescent="0.2">
      <c r="C16" s="5" t="s">
        <v>22034</v>
      </c>
    </row>
    <row r="17" spans="2:3" x14ac:dyDescent="0.2">
      <c r="C17" s="5" t="s">
        <v>22035</v>
      </c>
    </row>
    <row r="18" spans="2:3" x14ac:dyDescent="0.2">
      <c r="C18" s="5" t="s">
        <v>22036</v>
      </c>
    </row>
    <row r="19" spans="2:3" x14ac:dyDescent="0.2">
      <c r="B19" s="4" t="s">
        <v>1</v>
      </c>
    </row>
    <row r="20" spans="2:3" x14ac:dyDescent="0.2">
      <c r="C20" s="5" t="s">
        <v>22037</v>
      </c>
    </row>
    <row r="21" spans="2:3" x14ac:dyDescent="0.2">
      <c r="C21" s="5" t="s">
        <v>22038</v>
      </c>
    </row>
    <row r="22" spans="2:3" x14ac:dyDescent="0.2">
      <c r="C22" s="5" t="s">
        <v>22039</v>
      </c>
    </row>
    <row r="23" spans="2:3" x14ac:dyDescent="0.2">
      <c r="C23" s="5" t="s">
        <v>22040</v>
      </c>
    </row>
    <row r="24" spans="2:3" x14ac:dyDescent="0.2">
      <c r="B24" s="4" t="s">
        <v>2</v>
      </c>
    </row>
    <row r="25" spans="2:3" x14ac:dyDescent="0.2">
      <c r="C25" s="5" t="s">
        <v>22041</v>
      </c>
    </row>
    <row r="26" spans="2:3" x14ac:dyDescent="0.2">
      <c r="C26" s="5" t="s">
        <v>22042</v>
      </c>
    </row>
    <row r="27" spans="2:3" x14ac:dyDescent="0.2">
      <c r="C27" s="5" t="s">
        <v>22043</v>
      </c>
    </row>
    <row r="28" spans="2:3" x14ac:dyDescent="0.2">
      <c r="C28" s="5" t="s">
        <v>22044</v>
      </c>
    </row>
  </sheetData>
  <mergeCells count="5">
    <mergeCell ref="A1:D3"/>
    <mergeCell ref="A4:D4"/>
    <mergeCell ref="A5:D5"/>
    <mergeCell ref="B7:D7"/>
    <mergeCell ref="B14:D14"/>
  </mergeCells>
  <hyperlinks>
    <hyperlink ref="C16" location="'CT Charts'!A1" display="CT Charts" xr:uid="{00000000-0004-0000-0000-000000000000}"/>
    <hyperlink ref="C17" location="'FDA Charts'!A1" display="FDA Charts" xr:uid="{00000000-0004-0000-0000-000001000000}"/>
    <hyperlink ref="C18" location="'MTS Charts'!A1" display="MTS Charts" xr:uid="{00000000-0004-0000-0000-000002000000}"/>
    <hyperlink ref="C20" location="'Summary Statistics'!A1" display="Summary Statistics" xr:uid="{00000000-0004-0000-0000-000003000000}"/>
    <hyperlink ref="C21" location="'Summary Statistics - Enrollment'!A1" display="Summary Statistics - Enrollment" xr:uid="{00000000-0004-0000-0000-000004000000}"/>
    <hyperlink ref="C22" location="'FDA Approval Summary'!A1" display="FDA Approval Summary" xr:uid="{00000000-0004-0000-0000-000005000000}"/>
    <hyperlink ref="C23" location="'MTS Summary Statistics'!A1" display="MTS Summary Statistics" xr:uid="{00000000-0004-0000-0000-000006000000}"/>
    <hyperlink ref="C25" location="'Trial Database'!A1" display="Trial Database" xr:uid="{00000000-0004-0000-0000-000007000000}"/>
    <hyperlink ref="C26" location="'Novel Approval Database'!A1" display="Novel Approval Database" xr:uid="{00000000-0004-0000-0000-000008000000}"/>
    <hyperlink ref="C27" location="'Biosimilar Approval Database'!A1" display="Biosimilar Approval Database" xr:uid="{00000000-0004-0000-0000-000009000000}"/>
    <hyperlink ref="C28" location="'MTS Database'!A1" display="MTS Database" xr:uid="{00000000-0004-0000-0000-00000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E3"/>
  <sheetViews>
    <sheetView showGridLines="0" workbookViewId="0"/>
  </sheetViews>
  <sheetFormatPr baseColWidth="10" defaultColWidth="8.83203125" defaultRowHeight="15" x14ac:dyDescent="0.2"/>
  <cols>
    <col min="1" max="5" width="20.6640625" customWidth="1"/>
  </cols>
  <sheetData>
    <row r="1" spans="1:5" x14ac:dyDescent="0.2">
      <c r="A1" s="44" t="s">
        <v>0</v>
      </c>
      <c r="B1" s="44"/>
      <c r="C1" s="44"/>
      <c r="D1" s="44"/>
      <c r="E1" s="44"/>
    </row>
    <row r="2" spans="1:5" x14ac:dyDescent="0.2">
      <c r="A2" s="44"/>
      <c r="B2" s="44"/>
      <c r="C2" s="44"/>
      <c r="D2" s="44"/>
      <c r="E2" s="44"/>
    </row>
    <row r="3" spans="1:5" x14ac:dyDescent="0.2">
      <c r="A3" s="44"/>
      <c r="B3" s="44"/>
      <c r="C3" s="44"/>
      <c r="D3" s="44"/>
      <c r="E3" s="44"/>
    </row>
  </sheetData>
  <mergeCells count="1">
    <mergeCell ref="A1: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DD7EE"/>
  </sheetPr>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DD7EE"/>
  </sheetPr>
  <dimension ref="A1"/>
  <sheetViews>
    <sheetView topLeftCell="A79" workbookViewId="0"/>
  </sheetViews>
  <sheetFormatPr baseColWidth="10" defaultColWidth="8.83203125" defaultRowHeight="15" x14ac:dyDescent="0.2"/>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4"/>
  <sheetViews>
    <sheetView workbookViewId="0"/>
  </sheetViews>
  <sheetFormatPr baseColWidth="10" defaultColWidth="8.83203125" defaultRowHeight="15" x14ac:dyDescent="0.2"/>
  <sheetData>
    <row r="1" spans="1:5" x14ac:dyDescent="0.2">
      <c r="A1" t="s">
        <v>21985</v>
      </c>
      <c r="B1">
        <v>46.47934122246</v>
      </c>
      <c r="D1" t="s">
        <v>21997</v>
      </c>
      <c r="E1">
        <v>4.0653265216900003</v>
      </c>
    </row>
    <row r="2" spans="1:5" x14ac:dyDescent="0.2">
      <c r="A2" t="s">
        <v>21426</v>
      </c>
      <c r="B2">
        <v>48.980221834269997</v>
      </c>
      <c r="D2" t="s">
        <v>21998</v>
      </c>
      <c r="E2">
        <v>4.2044746687600014</v>
      </c>
    </row>
    <row r="3" spans="1:5" x14ac:dyDescent="0.2">
      <c r="A3" t="s">
        <v>21427</v>
      </c>
      <c r="B3">
        <v>46.748457850059999</v>
      </c>
      <c r="D3" t="s">
        <v>21999</v>
      </c>
      <c r="E3">
        <v>4.0512583488500002</v>
      </c>
    </row>
    <row r="4" spans="1:5" x14ac:dyDescent="0.2">
      <c r="A4" t="s">
        <v>21428</v>
      </c>
      <c r="B4">
        <v>6.9708724466299996</v>
      </c>
      <c r="D4" t="s">
        <v>22000</v>
      </c>
      <c r="E4">
        <v>4.2175936653299999</v>
      </c>
    </row>
    <row r="5" spans="1:5" x14ac:dyDescent="0.2">
      <c r="A5" t="s">
        <v>21986</v>
      </c>
      <c r="B5">
        <v>41.8</v>
      </c>
      <c r="D5" t="s">
        <v>22001</v>
      </c>
      <c r="E5">
        <v>4.1120841659199998</v>
      </c>
    </row>
    <row r="6" spans="1:5" x14ac:dyDescent="0.2">
      <c r="D6" t="s">
        <v>22002</v>
      </c>
      <c r="E6">
        <v>4.5237146772800001</v>
      </c>
    </row>
    <row r="7" spans="1:5" x14ac:dyDescent="0.2">
      <c r="D7" t="s">
        <v>22003</v>
      </c>
      <c r="E7">
        <v>4.2577705426599994</v>
      </c>
    </row>
    <row r="8" spans="1:5" x14ac:dyDescent="0.2">
      <c r="D8" t="s">
        <v>22004</v>
      </c>
      <c r="E8">
        <v>4.2827096196300003</v>
      </c>
    </row>
    <row r="9" spans="1:5" x14ac:dyDescent="0.2">
      <c r="D9" t="s">
        <v>22005</v>
      </c>
      <c r="E9">
        <v>3.9062612722700001</v>
      </c>
    </row>
    <row r="10" spans="1:5" x14ac:dyDescent="0.2">
      <c r="D10" t="s">
        <v>22006</v>
      </c>
      <c r="E10">
        <v>3.9532512945899998</v>
      </c>
    </row>
    <row r="11" spans="1:5" x14ac:dyDescent="0.2">
      <c r="D11" t="s">
        <v>22007</v>
      </c>
      <c r="E11">
        <v>3.5543499345299998</v>
      </c>
    </row>
    <row r="12" spans="1:5" x14ac:dyDescent="0.2">
      <c r="D12" t="s">
        <v>22008</v>
      </c>
      <c r="E12">
        <v>3.7391571680200002</v>
      </c>
    </row>
    <row r="13" spans="1:5" x14ac:dyDescent="0.2">
      <c r="D13" t="s">
        <v>22009</v>
      </c>
      <c r="E13">
        <v>3.5495494949999999</v>
      </c>
    </row>
    <row r="14" spans="1:5" x14ac:dyDescent="0.2">
      <c r="D14" t="s">
        <v>22010</v>
      </c>
      <c r="E14">
        <v>3.8495310511700001</v>
      </c>
    </row>
    <row r="15" spans="1:5" x14ac:dyDescent="0.2">
      <c r="D15" t="s">
        <v>22011</v>
      </c>
      <c r="E15">
        <v>2.7680988099400001</v>
      </c>
    </row>
    <row r="16" spans="1:5" x14ac:dyDescent="0.2">
      <c r="D16" t="s">
        <v>22012</v>
      </c>
      <c r="E16">
        <v>4.2518098897199996</v>
      </c>
    </row>
    <row r="17" spans="4:5" x14ac:dyDescent="0.2">
      <c r="D17" t="s">
        <v>22013</v>
      </c>
      <c r="E17">
        <v>4.5197166605100003</v>
      </c>
    </row>
    <row r="18" spans="4:5" x14ac:dyDescent="0.2">
      <c r="D18" t="s">
        <v>22014</v>
      </c>
      <c r="E18">
        <v>4.3715123146300003</v>
      </c>
    </row>
    <row r="19" spans="4:5" x14ac:dyDescent="0.2">
      <c r="D19" t="s">
        <v>22015</v>
      </c>
      <c r="E19">
        <v>4.5950413983599994</v>
      </c>
    </row>
    <row r="20" spans="4:5" x14ac:dyDescent="0.2">
      <c r="D20" t="s">
        <v>22016</v>
      </c>
      <c r="E20">
        <v>3.3139683847899999</v>
      </c>
    </row>
    <row r="21" spans="4:5" x14ac:dyDescent="0.2">
      <c r="D21" t="s">
        <v>22017</v>
      </c>
      <c r="E21">
        <v>3.5981446080500001</v>
      </c>
    </row>
    <row r="22" spans="4:5" x14ac:dyDescent="0.2">
      <c r="D22" t="s">
        <v>22018</v>
      </c>
      <c r="E22">
        <v>4.6375781353400001</v>
      </c>
    </row>
    <row r="23" spans="4:5" x14ac:dyDescent="0.2">
      <c r="D23" t="s">
        <v>22019</v>
      </c>
      <c r="E23">
        <v>3.5594050260199999</v>
      </c>
    </row>
    <row r="24" spans="4:5" x14ac:dyDescent="0.2">
      <c r="D24" t="s">
        <v>22020</v>
      </c>
      <c r="E24">
        <v>3.4114674206100002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DD7EE"/>
  </sheetPr>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E3"/>
  <sheetViews>
    <sheetView showGridLines="0" workbookViewId="0">
      <selection sqref="A1:E3"/>
    </sheetView>
  </sheetViews>
  <sheetFormatPr baseColWidth="10" defaultColWidth="8.83203125" defaultRowHeight="15" x14ac:dyDescent="0.2"/>
  <cols>
    <col min="1" max="5" width="20.6640625" customWidth="1"/>
  </cols>
  <sheetData>
    <row r="1" spans="1:5" x14ac:dyDescent="0.2">
      <c r="A1" s="44" t="s">
        <v>1</v>
      </c>
      <c r="B1" s="44"/>
      <c r="C1" s="44"/>
      <c r="D1" s="44"/>
      <c r="E1" s="44"/>
    </row>
    <row r="2" spans="1:5" x14ac:dyDescent="0.2">
      <c r="A2" s="44"/>
      <c r="B2" s="44"/>
      <c r="C2" s="44"/>
      <c r="D2" s="44"/>
      <c r="E2" s="44"/>
    </row>
    <row r="3" spans="1:5" x14ac:dyDescent="0.2">
      <c r="A3" s="44"/>
      <c r="B3" s="44"/>
      <c r="C3" s="44"/>
      <c r="D3" s="44"/>
      <c r="E3" s="44"/>
    </row>
  </sheetData>
  <mergeCells count="1">
    <mergeCell ref="A1:E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DD7EE"/>
  </sheetPr>
  <dimension ref="A1:K43"/>
  <sheetViews>
    <sheetView workbookViewId="0"/>
  </sheetViews>
  <sheetFormatPr baseColWidth="10" defaultColWidth="8.83203125" defaultRowHeight="15" x14ac:dyDescent="0.2"/>
  <cols>
    <col min="1" max="1" width="28.6640625" customWidth="1"/>
    <col min="2" max="9" width="14.6640625" customWidth="1"/>
    <col min="10" max="10" width="8.6640625" customWidth="1"/>
    <col min="11" max="11" width="12.6640625" customWidth="1"/>
  </cols>
  <sheetData>
    <row r="1" spans="1:9" x14ac:dyDescent="0.2">
      <c r="A1" s="6" t="s">
        <v>21424</v>
      </c>
      <c r="B1" s="6" t="s">
        <v>163</v>
      </c>
      <c r="C1" s="6" t="s">
        <v>18</v>
      </c>
      <c r="D1" s="6" t="s">
        <v>26</v>
      </c>
      <c r="E1" s="6" t="s">
        <v>48</v>
      </c>
      <c r="F1" s="6" t="s">
        <v>33</v>
      </c>
      <c r="G1" s="6" t="s">
        <v>42</v>
      </c>
      <c r="H1" s="6" t="s">
        <v>81</v>
      </c>
      <c r="I1" s="6" t="s">
        <v>21425</v>
      </c>
    </row>
    <row r="2" spans="1:9" x14ac:dyDescent="0.2">
      <c r="A2" s="7" t="s">
        <v>21426</v>
      </c>
      <c r="B2" s="7">
        <f>COUNTIFS('Trial Database'!$J$2:$J$9253,"&gt;="&amp;DATE(2024,1,1),'Trial Database'!$J$2:$J$9253,"&lt;"&amp;DATE(2025,1,1),'Trial Database'!$E$2:$E$9253,"Early Phase 1")</f>
        <v>73</v>
      </c>
      <c r="C2" s="7">
        <f>COUNTIFS('Trial Database'!$J$2:$J$9253,"&gt;="&amp;DATE(2024,1,1),'Trial Database'!$J$2:$J$9253,"&lt;"&amp;DATE(2025,1,1),'Trial Database'!$E$2:$E$9253,"Phase 1")</f>
        <v>1659</v>
      </c>
      <c r="D2" s="7">
        <f>COUNTIFS('Trial Database'!$J$2:$J$9253,"&gt;="&amp;DATE(2024,1,1),'Trial Database'!$J$2:$J$9253,"&lt;"&amp;DATE(2025,1,1),'Trial Database'!$E$2:$E$9253,"Phase 1/2")</f>
        <v>419</v>
      </c>
      <c r="E2" s="7">
        <f>COUNTIFS('Trial Database'!$J$2:$J$9253,"&gt;="&amp;DATE(2024,1,1),'Trial Database'!$J$2:$J$9253,"&lt;"&amp;DATE(2025,1,1),'Trial Database'!$E$2:$E$9253,"Phase 2")</f>
        <v>866</v>
      </c>
      <c r="F2" s="7">
        <f>COUNTIFS('Trial Database'!$J$2:$J$9253,"&gt;="&amp;DATE(2024,1,1),'Trial Database'!$J$2:$J$9253,"&lt;"&amp;DATE(2025,1,1),'Trial Database'!$E$2:$E$9253,"Phase 2/3")</f>
        <v>94</v>
      </c>
      <c r="G2" s="7">
        <f>COUNTIFS('Trial Database'!$J$2:$J$9253,"&gt;="&amp;DATE(2024,1,1),'Trial Database'!$J$2:$J$9253,"&lt;"&amp;DATE(2025,1,1),'Trial Database'!$E$2:$E$9253,"Phase 3")</f>
        <v>852</v>
      </c>
      <c r="H2" s="7">
        <f>COUNTIFS('Trial Database'!$J$2:$J$9253,"&gt;="&amp;DATE(2024,1,1),'Trial Database'!$J$2:$J$9253,"&lt;"&amp;DATE(2025,1,1),'Trial Database'!$E$2:$E$9253,"Phase 4")</f>
        <v>145</v>
      </c>
      <c r="I2" s="8">
        <f>SUM(B2:H2)</f>
        <v>4108</v>
      </c>
    </row>
    <row r="3" spans="1:9" x14ac:dyDescent="0.2">
      <c r="A3" s="7" t="s">
        <v>21427</v>
      </c>
      <c r="B3" s="7">
        <f>COUNTIFS('Trial Database'!$J$2:$J$9253,"&gt;="&amp;DATE(2025,1,1),'Trial Database'!$J$2:$J$9253,"&lt;"&amp;DATE(2026,1,1),'Trial Database'!$E$2:$E$9253,"Early Phase 1")</f>
        <v>91</v>
      </c>
      <c r="C3" s="7">
        <f>COUNTIFS('Trial Database'!$J$2:$J$9253,"&gt;="&amp;DATE(2025,1,1),'Trial Database'!$J$2:$J$9253,"&lt;"&amp;DATE(2026,1,1),'Trial Database'!$E$2:$E$9253,"Phase 1")</f>
        <v>1621</v>
      </c>
      <c r="D3" s="7">
        <f>COUNTIFS('Trial Database'!$J$2:$J$9253,"&gt;="&amp;DATE(2025,1,1),'Trial Database'!$J$2:$J$9253,"&lt;"&amp;DATE(2026,1,1),'Trial Database'!$E$2:$E$9253,"Phase 1/2")</f>
        <v>496</v>
      </c>
      <c r="E3" s="7">
        <f>COUNTIFS('Trial Database'!$J$2:$J$9253,"&gt;="&amp;DATE(2025,1,1),'Trial Database'!$J$2:$J$9253,"&lt;"&amp;DATE(2026,1,1),'Trial Database'!$E$2:$E$9253,"Phase 2")</f>
        <v>1031</v>
      </c>
      <c r="F3" s="7">
        <f>COUNTIFS('Trial Database'!$J$2:$J$9253,"&gt;="&amp;DATE(2025,1,1),'Trial Database'!$J$2:$J$9253,"&lt;"&amp;DATE(2026,1,1),'Trial Database'!$E$2:$E$9253,"Phase 2/3")</f>
        <v>86</v>
      </c>
      <c r="G3" s="7">
        <f>COUNTIFS('Trial Database'!$J$2:$J$9253,"&gt;="&amp;DATE(2025,1,1),'Trial Database'!$J$2:$J$9253,"&lt;"&amp;DATE(2026,1,1),'Trial Database'!$E$2:$E$9253,"Phase 3")</f>
        <v>923</v>
      </c>
      <c r="H3" s="7">
        <f>COUNTIFS('Trial Database'!$J$2:$J$9253,"&gt;="&amp;DATE(2025,1,1),'Trial Database'!$J$2:$J$9253,"&lt;"&amp;DATE(2026,1,1),'Trial Database'!$E$2:$E$9253,"Phase 4")</f>
        <v>149</v>
      </c>
      <c r="I3" s="8">
        <f>SUM(B3:H3)</f>
        <v>4397</v>
      </c>
    </row>
    <row r="4" spans="1:9" x14ac:dyDescent="0.2">
      <c r="A4" s="7" t="s">
        <v>21428</v>
      </c>
      <c r="B4" s="7">
        <f>COUNTIFS('Trial Database'!$J$2:$J$9253,"&gt;="&amp;DATE(2026,1,1),'Trial Database'!$J$2:$J$9253,"&lt;"&amp;DATE(2027,1,1),'Trial Database'!$E$2:$E$9253,"Early Phase 1")</f>
        <v>15</v>
      </c>
      <c r="C4" s="7">
        <f>COUNTIFS('Trial Database'!$J$2:$J$9253,"&gt;="&amp;DATE(2026,1,1),'Trial Database'!$J$2:$J$9253,"&lt;"&amp;DATE(2027,1,1),'Trial Database'!$E$2:$E$9253,"Phase 1")</f>
        <v>252</v>
      </c>
      <c r="D4" s="7">
        <f>COUNTIFS('Trial Database'!$J$2:$J$9253,"&gt;="&amp;DATE(2026,1,1),'Trial Database'!$J$2:$J$9253,"&lt;"&amp;DATE(2027,1,1),'Trial Database'!$E$2:$E$9253,"Phase 1/2")</f>
        <v>111</v>
      </c>
      <c r="E4" s="7">
        <f>COUNTIFS('Trial Database'!$J$2:$J$9253,"&gt;="&amp;DATE(2026,1,1),'Trial Database'!$J$2:$J$9253,"&lt;"&amp;DATE(2027,1,1),'Trial Database'!$E$2:$E$9253,"Phase 2")</f>
        <v>173</v>
      </c>
      <c r="F4" s="7">
        <f>COUNTIFS('Trial Database'!$J$2:$J$9253,"&gt;="&amp;DATE(2026,1,1),'Trial Database'!$J$2:$J$9253,"&lt;"&amp;DATE(2027,1,1),'Trial Database'!$E$2:$E$9253,"Phase 2/3")</f>
        <v>18</v>
      </c>
      <c r="G4" s="7">
        <f>COUNTIFS('Trial Database'!$J$2:$J$9253,"&gt;="&amp;DATE(2026,1,1),'Trial Database'!$J$2:$J$9253,"&lt;"&amp;DATE(2027,1,1),'Trial Database'!$E$2:$E$9253,"Phase 3")</f>
        <v>152</v>
      </c>
      <c r="H4" s="7">
        <f>COUNTIFS('Trial Database'!$J$2:$J$9253,"&gt;="&amp;DATE(2026,1,1),'Trial Database'!$J$2:$J$9253,"&lt;"&amp;DATE(2027,1,1),'Trial Database'!$E$2:$E$9253,"Phase 4")</f>
        <v>26</v>
      </c>
      <c r="I4" s="8">
        <f>SUM(B4:H4)</f>
        <v>747</v>
      </c>
    </row>
    <row r="5" spans="1:9" x14ac:dyDescent="0.2">
      <c r="A5" s="9" t="s">
        <v>21429</v>
      </c>
      <c r="B5" s="10">
        <f t="shared" ref="B5:H5" ca="1" si="0">ROUND(B4*12/MONTH(EOMONTH(TODAY(),-1)),0)</f>
        <v>90</v>
      </c>
      <c r="C5" s="10">
        <f t="shared" ca="1" si="0"/>
        <v>1512</v>
      </c>
      <c r="D5" s="10">
        <f t="shared" ca="1" si="0"/>
        <v>666</v>
      </c>
      <c r="E5" s="10">
        <f t="shared" ca="1" si="0"/>
        <v>1038</v>
      </c>
      <c r="F5" s="10">
        <f t="shared" ca="1" si="0"/>
        <v>108</v>
      </c>
      <c r="G5" s="10">
        <f t="shared" ca="1" si="0"/>
        <v>912</v>
      </c>
      <c r="H5" s="10">
        <f t="shared" ca="1" si="0"/>
        <v>156</v>
      </c>
      <c r="I5" s="11">
        <f ca="1">SUM(B5:H5)</f>
        <v>4482</v>
      </c>
    </row>
    <row r="8" spans="1:9" x14ac:dyDescent="0.2">
      <c r="A8" s="12" t="s">
        <v>21430</v>
      </c>
      <c r="B8" s="12" t="s">
        <v>21431</v>
      </c>
    </row>
    <row r="9" spans="1:9" x14ac:dyDescent="0.2">
      <c r="A9" s="13" t="s">
        <v>21432</v>
      </c>
      <c r="B9" s="7">
        <v>4523</v>
      </c>
    </row>
    <row r="10" spans="1:9" x14ac:dyDescent="0.2">
      <c r="A10" s="13" t="s">
        <v>21433</v>
      </c>
      <c r="B10" s="7">
        <v>4133</v>
      </c>
    </row>
    <row r="11" spans="1:9" x14ac:dyDescent="0.2">
      <c r="A11" s="13" t="s">
        <v>21434</v>
      </c>
      <c r="B11" s="14">
        <v>9.4362448584563274E-2</v>
      </c>
    </row>
    <row r="12" spans="1:9" x14ac:dyDescent="0.2">
      <c r="A12" s="13" t="s">
        <v>21435</v>
      </c>
      <c r="B12" s="14">
        <v>0.1278688524590165</v>
      </c>
    </row>
    <row r="13" spans="1:9" x14ac:dyDescent="0.2">
      <c r="A13" s="13" t="s">
        <v>21436</v>
      </c>
      <c r="B13" s="15">
        <v>-5.4945054945054889E-2</v>
      </c>
    </row>
    <row r="14" spans="1:9" x14ac:dyDescent="0.2">
      <c r="A14" s="13" t="s">
        <v>21437</v>
      </c>
      <c r="B14" s="15">
        <v>-0.15157894736842101</v>
      </c>
    </row>
    <row r="17" spans="1:11" x14ac:dyDescent="0.2">
      <c r="A17" s="6" t="s">
        <v>21438</v>
      </c>
      <c r="B17" s="6" t="s">
        <v>163</v>
      </c>
      <c r="C17" s="6" t="s">
        <v>18</v>
      </c>
      <c r="D17" s="6" t="s">
        <v>26</v>
      </c>
      <c r="E17" s="6" t="s">
        <v>48</v>
      </c>
      <c r="F17" s="6" t="s">
        <v>33</v>
      </c>
      <c r="G17" s="6" t="s">
        <v>42</v>
      </c>
      <c r="H17" s="6" t="s">
        <v>81</v>
      </c>
      <c r="I17" s="6" t="s">
        <v>21425</v>
      </c>
      <c r="J17" s="6" t="s">
        <v>21439</v>
      </c>
      <c r="K17" s="6" t="s">
        <v>21440</v>
      </c>
    </row>
    <row r="18" spans="1:11" x14ac:dyDescent="0.2">
      <c r="A18" s="16">
        <v>45292</v>
      </c>
      <c r="B18" s="7">
        <f>COUNTIFS('Trial Database'!$J$2:$J$9253,"&gt;="&amp;DATE(2024,1,1),'Trial Database'!$J$2:$J$9253,"&lt;"&amp;DATE(2024,2,1),'Trial Database'!$E$2:$E$9253,"Early Phase 1")</f>
        <v>7</v>
      </c>
      <c r="C18" s="7">
        <f>COUNTIFS('Trial Database'!$J$2:$J$9253,"&gt;="&amp;DATE(2024,1,1),'Trial Database'!$J$2:$J$9253,"&lt;"&amp;DATE(2024,2,1),'Trial Database'!$E$2:$E$9253,"Phase 1")</f>
        <v>136</v>
      </c>
      <c r="D18" s="7">
        <f>COUNTIFS('Trial Database'!$J$2:$J$9253,"&gt;="&amp;DATE(2024,1,1),'Trial Database'!$J$2:$J$9253,"&lt;"&amp;DATE(2024,2,1),'Trial Database'!$E$2:$E$9253,"Phase 1/2")</f>
        <v>32</v>
      </c>
      <c r="E18" s="7">
        <f>COUNTIFS('Trial Database'!$J$2:$J$9253,"&gt;="&amp;DATE(2024,1,1),'Trial Database'!$J$2:$J$9253,"&lt;"&amp;DATE(2024,2,1),'Trial Database'!$E$2:$E$9253,"Phase 2")</f>
        <v>70</v>
      </c>
      <c r="F18" s="7">
        <f>COUNTIFS('Trial Database'!$J$2:$J$9253,"&gt;="&amp;DATE(2024,1,1),'Trial Database'!$J$2:$J$9253,"&lt;"&amp;DATE(2024,2,1),'Trial Database'!$E$2:$E$9253,"Phase 2/3")</f>
        <v>5</v>
      </c>
      <c r="G18" s="7">
        <f>COUNTIFS('Trial Database'!$J$2:$J$9253,"&gt;="&amp;DATE(2024,1,1),'Trial Database'!$J$2:$J$9253,"&lt;"&amp;DATE(2024,2,1),'Trial Database'!$E$2:$E$9253,"Phase 3")</f>
        <v>57</v>
      </c>
      <c r="H18" s="7">
        <f>COUNTIFS('Trial Database'!$J$2:$J$9253,"&gt;="&amp;DATE(2024,1,1),'Trial Database'!$J$2:$J$9253,"&lt;"&amp;DATE(2024,2,1),'Trial Database'!$E$2:$E$9253,"Phase 4")</f>
        <v>10</v>
      </c>
      <c r="I18" s="8">
        <f t="shared" ref="I18:I43" si="1">SUM(B18:H18)</f>
        <v>317</v>
      </c>
      <c r="J18" s="7">
        <f t="shared" ref="J18:J43" si="2">DAY(EOMONTH(A18,0))</f>
        <v>31</v>
      </c>
      <c r="K18" s="17">
        <f t="shared" ref="K18:K43" si="3">IF(J18=0,0,I18/J18)</f>
        <v>10.225806451612904</v>
      </c>
    </row>
    <row r="19" spans="1:11" x14ac:dyDescent="0.2">
      <c r="A19" s="16">
        <v>45323</v>
      </c>
      <c r="B19" s="7">
        <f>COUNTIFS('Trial Database'!$J$2:$J$9253,"&gt;="&amp;DATE(2024,2,1),'Trial Database'!$J$2:$J$9253,"&lt;"&amp;DATE(2024,3,1),'Trial Database'!$E$2:$E$9253,"Early Phase 1")</f>
        <v>2</v>
      </c>
      <c r="C19" s="7">
        <f>COUNTIFS('Trial Database'!$J$2:$J$9253,"&gt;="&amp;DATE(2024,2,1),'Trial Database'!$J$2:$J$9253,"&lt;"&amp;DATE(2024,3,1),'Trial Database'!$E$2:$E$9253,"Phase 1")</f>
        <v>111</v>
      </c>
      <c r="D19" s="7">
        <f>COUNTIFS('Trial Database'!$J$2:$J$9253,"&gt;="&amp;DATE(2024,2,1),'Trial Database'!$J$2:$J$9253,"&lt;"&amp;DATE(2024,3,1),'Trial Database'!$E$2:$E$9253,"Phase 1/2")</f>
        <v>30</v>
      </c>
      <c r="E19" s="7">
        <f>COUNTIFS('Trial Database'!$J$2:$J$9253,"&gt;="&amp;DATE(2024,2,1),'Trial Database'!$J$2:$J$9253,"&lt;"&amp;DATE(2024,3,1),'Trial Database'!$E$2:$E$9253,"Phase 2")</f>
        <v>71</v>
      </c>
      <c r="F19" s="7">
        <f>COUNTIFS('Trial Database'!$J$2:$J$9253,"&gt;="&amp;DATE(2024,2,1),'Trial Database'!$J$2:$J$9253,"&lt;"&amp;DATE(2024,3,1),'Trial Database'!$E$2:$E$9253,"Phase 2/3")</f>
        <v>4</v>
      </c>
      <c r="G19" s="7">
        <f>COUNTIFS('Trial Database'!$J$2:$J$9253,"&gt;="&amp;DATE(2024,2,1),'Trial Database'!$J$2:$J$9253,"&lt;"&amp;DATE(2024,3,1),'Trial Database'!$E$2:$E$9253,"Phase 3")</f>
        <v>49</v>
      </c>
      <c r="H19" s="7">
        <f>COUNTIFS('Trial Database'!$J$2:$J$9253,"&gt;="&amp;DATE(2024,2,1),'Trial Database'!$J$2:$J$9253,"&lt;"&amp;DATE(2024,3,1),'Trial Database'!$E$2:$E$9253,"Phase 4")</f>
        <v>12</v>
      </c>
      <c r="I19" s="8">
        <f t="shared" si="1"/>
        <v>279</v>
      </c>
      <c r="J19" s="7">
        <f t="shared" si="2"/>
        <v>29</v>
      </c>
      <c r="K19" s="17">
        <f t="shared" si="3"/>
        <v>9.6206896551724146</v>
      </c>
    </row>
    <row r="20" spans="1:11" x14ac:dyDescent="0.2">
      <c r="A20" s="16">
        <v>45352</v>
      </c>
      <c r="B20" s="7">
        <f>COUNTIFS('Trial Database'!$J$2:$J$9253,"&gt;="&amp;DATE(2024,3,1),'Trial Database'!$J$2:$J$9253,"&lt;"&amp;DATE(2024,4,1),'Trial Database'!$E$2:$E$9253,"Early Phase 1")</f>
        <v>5</v>
      </c>
      <c r="C20" s="7">
        <f>COUNTIFS('Trial Database'!$J$2:$J$9253,"&gt;="&amp;DATE(2024,3,1),'Trial Database'!$J$2:$J$9253,"&lt;"&amp;DATE(2024,4,1),'Trial Database'!$E$2:$E$9253,"Phase 1")</f>
        <v>136</v>
      </c>
      <c r="D20" s="7">
        <f>COUNTIFS('Trial Database'!$J$2:$J$9253,"&gt;="&amp;DATE(2024,3,1),'Trial Database'!$J$2:$J$9253,"&lt;"&amp;DATE(2024,4,1),'Trial Database'!$E$2:$E$9253,"Phase 1/2")</f>
        <v>36</v>
      </c>
      <c r="E20" s="7">
        <f>COUNTIFS('Trial Database'!$J$2:$J$9253,"&gt;="&amp;DATE(2024,3,1),'Trial Database'!$J$2:$J$9253,"&lt;"&amp;DATE(2024,4,1),'Trial Database'!$E$2:$E$9253,"Phase 2")</f>
        <v>73</v>
      </c>
      <c r="F20" s="7">
        <f>COUNTIFS('Trial Database'!$J$2:$J$9253,"&gt;="&amp;DATE(2024,3,1),'Trial Database'!$J$2:$J$9253,"&lt;"&amp;DATE(2024,4,1),'Trial Database'!$E$2:$E$9253,"Phase 2/3")</f>
        <v>8</v>
      </c>
      <c r="G20" s="7">
        <f>COUNTIFS('Trial Database'!$J$2:$J$9253,"&gt;="&amp;DATE(2024,3,1),'Trial Database'!$J$2:$J$9253,"&lt;"&amp;DATE(2024,4,1),'Trial Database'!$E$2:$E$9253,"Phase 3")</f>
        <v>86</v>
      </c>
      <c r="H20" s="7">
        <f>COUNTIFS('Trial Database'!$J$2:$J$9253,"&gt;="&amp;DATE(2024,3,1),'Trial Database'!$J$2:$J$9253,"&lt;"&amp;DATE(2024,4,1),'Trial Database'!$E$2:$E$9253,"Phase 4")</f>
        <v>10</v>
      </c>
      <c r="I20" s="8">
        <f t="shared" si="1"/>
        <v>354</v>
      </c>
      <c r="J20" s="7">
        <f t="shared" si="2"/>
        <v>31</v>
      </c>
      <c r="K20" s="17">
        <f t="shared" si="3"/>
        <v>11.419354838709678</v>
      </c>
    </row>
    <row r="21" spans="1:11" x14ac:dyDescent="0.2">
      <c r="A21" s="16">
        <v>45383</v>
      </c>
      <c r="B21" s="7">
        <f>COUNTIFS('Trial Database'!$J$2:$J$9253,"&gt;="&amp;DATE(2024,4,1),'Trial Database'!$J$2:$J$9253,"&lt;"&amp;DATE(2024,5,1),'Trial Database'!$E$2:$E$9253,"Early Phase 1")</f>
        <v>4</v>
      </c>
      <c r="C21" s="7">
        <f>COUNTIFS('Trial Database'!$J$2:$J$9253,"&gt;="&amp;DATE(2024,4,1),'Trial Database'!$J$2:$J$9253,"&lt;"&amp;DATE(2024,5,1),'Trial Database'!$E$2:$E$9253,"Phase 1")</f>
        <v>143</v>
      </c>
      <c r="D21" s="7">
        <f>COUNTIFS('Trial Database'!$J$2:$J$9253,"&gt;="&amp;DATE(2024,4,1),'Trial Database'!$J$2:$J$9253,"&lt;"&amp;DATE(2024,5,1),'Trial Database'!$E$2:$E$9253,"Phase 1/2")</f>
        <v>35</v>
      </c>
      <c r="E21" s="7">
        <f>COUNTIFS('Trial Database'!$J$2:$J$9253,"&gt;="&amp;DATE(2024,4,1),'Trial Database'!$J$2:$J$9253,"&lt;"&amp;DATE(2024,5,1),'Trial Database'!$E$2:$E$9253,"Phase 2")</f>
        <v>66</v>
      </c>
      <c r="F21" s="7">
        <f>COUNTIFS('Trial Database'!$J$2:$J$9253,"&gt;="&amp;DATE(2024,4,1),'Trial Database'!$J$2:$J$9253,"&lt;"&amp;DATE(2024,5,1),'Trial Database'!$E$2:$E$9253,"Phase 2/3")</f>
        <v>9</v>
      </c>
      <c r="G21" s="7">
        <f>COUNTIFS('Trial Database'!$J$2:$J$9253,"&gt;="&amp;DATE(2024,4,1),'Trial Database'!$J$2:$J$9253,"&lt;"&amp;DATE(2024,5,1),'Trial Database'!$E$2:$E$9253,"Phase 3")</f>
        <v>78</v>
      </c>
      <c r="H21" s="7">
        <f>COUNTIFS('Trial Database'!$J$2:$J$9253,"&gt;="&amp;DATE(2024,4,1),'Trial Database'!$J$2:$J$9253,"&lt;"&amp;DATE(2024,5,1),'Trial Database'!$E$2:$E$9253,"Phase 4")</f>
        <v>17</v>
      </c>
      <c r="I21" s="8">
        <f t="shared" si="1"/>
        <v>352</v>
      </c>
      <c r="J21" s="7">
        <f t="shared" si="2"/>
        <v>30</v>
      </c>
      <c r="K21" s="17">
        <f t="shared" si="3"/>
        <v>11.733333333333333</v>
      </c>
    </row>
    <row r="22" spans="1:11" x14ac:dyDescent="0.2">
      <c r="A22" s="16">
        <v>45413</v>
      </c>
      <c r="B22" s="7">
        <f>COUNTIFS('Trial Database'!$J$2:$J$9253,"&gt;="&amp;DATE(2024,5,1),'Trial Database'!$J$2:$J$9253,"&lt;"&amp;DATE(2024,6,1),'Trial Database'!$E$2:$E$9253,"Early Phase 1")</f>
        <v>7</v>
      </c>
      <c r="C22" s="7">
        <f>COUNTIFS('Trial Database'!$J$2:$J$9253,"&gt;="&amp;DATE(2024,5,1),'Trial Database'!$J$2:$J$9253,"&lt;"&amp;DATE(2024,6,1),'Trial Database'!$E$2:$E$9253,"Phase 1")</f>
        <v>148</v>
      </c>
      <c r="D22" s="7">
        <f>COUNTIFS('Trial Database'!$J$2:$J$9253,"&gt;="&amp;DATE(2024,5,1),'Trial Database'!$J$2:$J$9253,"&lt;"&amp;DATE(2024,6,1),'Trial Database'!$E$2:$E$9253,"Phase 1/2")</f>
        <v>36</v>
      </c>
      <c r="E22" s="7">
        <f>COUNTIFS('Trial Database'!$J$2:$J$9253,"&gt;="&amp;DATE(2024,5,1),'Trial Database'!$J$2:$J$9253,"&lt;"&amp;DATE(2024,6,1),'Trial Database'!$E$2:$E$9253,"Phase 2")</f>
        <v>45</v>
      </c>
      <c r="F22" s="7">
        <f>COUNTIFS('Trial Database'!$J$2:$J$9253,"&gt;="&amp;DATE(2024,5,1),'Trial Database'!$J$2:$J$9253,"&lt;"&amp;DATE(2024,6,1),'Trial Database'!$E$2:$E$9253,"Phase 2/3")</f>
        <v>14</v>
      </c>
      <c r="G22" s="7">
        <f>COUNTIFS('Trial Database'!$J$2:$J$9253,"&gt;="&amp;DATE(2024,5,1),'Trial Database'!$J$2:$J$9253,"&lt;"&amp;DATE(2024,6,1),'Trial Database'!$E$2:$E$9253,"Phase 3")</f>
        <v>67</v>
      </c>
      <c r="H22" s="7">
        <f>COUNTIFS('Trial Database'!$J$2:$J$9253,"&gt;="&amp;DATE(2024,5,1),'Trial Database'!$J$2:$J$9253,"&lt;"&amp;DATE(2024,6,1),'Trial Database'!$E$2:$E$9253,"Phase 4")</f>
        <v>11</v>
      </c>
      <c r="I22" s="8">
        <f t="shared" si="1"/>
        <v>328</v>
      </c>
      <c r="J22" s="7">
        <f t="shared" si="2"/>
        <v>31</v>
      </c>
      <c r="K22" s="17">
        <f t="shared" si="3"/>
        <v>10.580645161290322</v>
      </c>
    </row>
    <row r="23" spans="1:11" x14ac:dyDescent="0.2">
      <c r="A23" s="16">
        <v>45444</v>
      </c>
      <c r="B23" s="7">
        <f>COUNTIFS('Trial Database'!$J$2:$J$9253,"&gt;="&amp;DATE(2024,6,1),'Trial Database'!$J$2:$J$9253,"&lt;"&amp;DATE(2024,7,1),'Trial Database'!$E$2:$E$9253,"Early Phase 1")</f>
        <v>6</v>
      </c>
      <c r="C23" s="7">
        <f>COUNTIFS('Trial Database'!$J$2:$J$9253,"&gt;="&amp;DATE(2024,6,1),'Trial Database'!$J$2:$J$9253,"&lt;"&amp;DATE(2024,7,1),'Trial Database'!$E$2:$E$9253,"Phase 1")</f>
        <v>127</v>
      </c>
      <c r="D23" s="7">
        <f>COUNTIFS('Trial Database'!$J$2:$J$9253,"&gt;="&amp;DATE(2024,6,1),'Trial Database'!$J$2:$J$9253,"&lt;"&amp;DATE(2024,7,1),'Trial Database'!$E$2:$E$9253,"Phase 1/2")</f>
        <v>41</v>
      </c>
      <c r="E23" s="7">
        <f>COUNTIFS('Trial Database'!$J$2:$J$9253,"&gt;="&amp;DATE(2024,6,1),'Trial Database'!$J$2:$J$9253,"&lt;"&amp;DATE(2024,7,1),'Trial Database'!$E$2:$E$9253,"Phase 2")</f>
        <v>58</v>
      </c>
      <c r="F23" s="7">
        <f>COUNTIFS('Trial Database'!$J$2:$J$9253,"&gt;="&amp;DATE(2024,6,1),'Trial Database'!$J$2:$J$9253,"&lt;"&amp;DATE(2024,7,1),'Trial Database'!$E$2:$E$9253,"Phase 2/3")</f>
        <v>8</v>
      </c>
      <c r="G23" s="7">
        <f>COUNTIFS('Trial Database'!$J$2:$J$9253,"&gt;="&amp;DATE(2024,6,1),'Trial Database'!$J$2:$J$9253,"&lt;"&amp;DATE(2024,7,1),'Trial Database'!$E$2:$E$9253,"Phase 3")</f>
        <v>72</v>
      </c>
      <c r="H23" s="7">
        <f>COUNTIFS('Trial Database'!$J$2:$J$9253,"&gt;="&amp;DATE(2024,6,1),'Trial Database'!$J$2:$J$9253,"&lt;"&amp;DATE(2024,7,1),'Trial Database'!$E$2:$E$9253,"Phase 4")</f>
        <v>10</v>
      </c>
      <c r="I23" s="8">
        <f t="shared" si="1"/>
        <v>322</v>
      </c>
      <c r="J23" s="7">
        <f t="shared" si="2"/>
        <v>30</v>
      </c>
      <c r="K23" s="17">
        <f t="shared" si="3"/>
        <v>10.733333333333333</v>
      </c>
    </row>
    <row r="24" spans="1:11" x14ac:dyDescent="0.2">
      <c r="A24" s="16">
        <v>45474</v>
      </c>
      <c r="B24" s="7">
        <f>COUNTIFS('Trial Database'!$J$2:$J$9253,"&gt;="&amp;DATE(2024,7,1),'Trial Database'!$J$2:$J$9253,"&lt;"&amp;DATE(2024,8,1),'Trial Database'!$E$2:$E$9253,"Early Phase 1")</f>
        <v>2</v>
      </c>
      <c r="C24" s="7">
        <f>COUNTIFS('Trial Database'!$J$2:$J$9253,"&gt;="&amp;DATE(2024,7,1),'Trial Database'!$J$2:$J$9253,"&lt;"&amp;DATE(2024,8,1),'Trial Database'!$E$2:$E$9253,"Phase 1")</f>
        <v>139</v>
      </c>
      <c r="D24" s="7">
        <f>COUNTIFS('Trial Database'!$J$2:$J$9253,"&gt;="&amp;DATE(2024,7,1),'Trial Database'!$J$2:$J$9253,"&lt;"&amp;DATE(2024,8,1),'Trial Database'!$E$2:$E$9253,"Phase 1/2")</f>
        <v>32</v>
      </c>
      <c r="E24" s="7">
        <f>COUNTIFS('Trial Database'!$J$2:$J$9253,"&gt;="&amp;DATE(2024,7,1),'Trial Database'!$J$2:$J$9253,"&lt;"&amp;DATE(2024,8,1),'Trial Database'!$E$2:$E$9253,"Phase 2")</f>
        <v>69</v>
      </c>
      <c r="F24" s="7">
        <f>COUNTIFS('Trial Database'!$J$2:$J$9253,"&gt;="&amp;DATE(2024,7,1),'Trial Database'!$J$2:$J$9253,"&lt;"&amp;DATE(2024,8,1),'Trial Database'!$E$2:$E$9253,"Phase 2/3")</f>
        <v>7</v>
      </c>
      <c r="G24" s="7">
        <f>COUNTIFS('Trial Database'!$J$2:$J$9253,"&gt;="&amp;DATE(2024,7,1),'Trial Database'!$J$2:$J$9253,"&lt;"&amp;DATE(2024,8,1),'Trial Database'!$E$2:$E$9253,"Phase 3")</f>
        <v>71</v>
      </c>
      <c r="H24" s="7">
        <f>COUNTIFS('Trial Database'!$J$2:$J$9253,"&gt;="&amp;DATE(2024,7,1),'Trial Database'!$J$2:$J$9253,"&lt;"&amp;DATE(2024,8,1),'Trial Database'!$E$2:$E$9253,"Phase 4")</f>
        <v>9</v>
      </c>
      <c r="I24" s="8">
        <f t="shared" si="1"/>
        <v>329</v>
      </c>
      <c r="J24" s="7">
        <f t="shared" si="2"/>
        <v>31</v>
      </c>
      <c r="K24" s="17">
        <f t="shared" si="3"/>
        <v>10.612903225806452</v>
      </c>
    </row>
    <row r="25" spans="1:11" x14ac:dyDescent="0.2">
      <c r="A25" s="16">
        <v>45505</v>
      </c>
      <c r="B25" s="7">
        <f>COUNTIFS('Trial Database'!$J$2:$J$9253,"&gt;="&amp;DATE(2024,8,1),'Trial Database'!$J$2:$J$9253,"&lt;"&amp;DATE(2024,9,1),'Trial Database'!$E$2:$E$9253,"Early Phase 1")</f>
        <v>8</v>
      </c>
      <c r="C25" s="7">
        <f>COUNTIFS('Trial Database'!$J$2:$J$9253,"&gt;="&amp;DATE(2024,8,1),'Trial Database'!$J$2:$J$9253,"&lt;"&amp;DATE(2024,9,1),'Trial Database'!$E$2:$E$9253,"Phase 1")</f>
        <v>150</v>
      </c>
      <c r="D25" s="7">
        <f>COUNTIFS('Trial Database'!$J$2:$J$9253,"&gt;="&amp;DATE(2024,8,1),'Trial Database'!$J$2:$J$9253,"&lt;"&amp;DATE(2024,9,1),'Trial Database'!$E$2:$E$9253,"Phase 1/2")</f>
        <v>35</v>
      </c>
      <c r="E25" s="7">
        <f>COUNTIFS('Trial Database'!$J$2:$J$9253,"&gt;="&amp;DATE(2024,8,1),'Trial Database'!$J$2:$J$9253,"&lt;"&amp;DATE(2024,9,1),'Trial Database'!$E$2:$E$9253,"Phase 2")</f>
        <v>85</v>
      </c>
      <c r="F25" s="7">
        <f>COUNTIFS('Trial Database'!$J$2:$J$9253,"&gt;="&amp;DATE(2024,8,1),'Trial Database'!$J$2:$J$9253,"&lt;"&amp;DATE(2024,9,1),'Trial Database'!$E$2:$E$9253,"Phase 2/3")</f>
        <v>7</v>
      </c>
      <c r="G25" s="7">
        <f>COUNTIFS('Trial Database'!$J$2:$J$9253,"&gt;="&amp;DATE(2024,8,1),'Trial Database'!$J$2:$J$9253,"&lt;"&amp;DATE(2024,9,1),'Trial Database'!$E$2:$E$9253,"Phase 3")</f>
        <v>62</v>
      </c>
      <c r="H25" s="7">
        <f>COUNTIFS('Trial Database'!$J$2:$J$9253,"&gt;="&amp;DATE(2024,8,1),'Trial Database'!$J$2:$J$9253,"&lt;"&amp;DATE(2024,9,1),'Trial Database'!$E$2:$E$9253,"Phase 4")</f>
        <v>14</v>
      </c>
      <c r="I25" s="8">
        <f t="shared" si="1"/>
        <v>361</v>
      </c>
      <c r="J25" s="7">
        <f t="shared" si="2"/>
        <v>31</v>
      </c>
      <c r="K25" s="17">
        <f t="shared" si="3"/>
        <v>11.64516129032258</v>
      </c>
    </row>
    <row r="26" spans="1:11" x14ac:dyDescent="0.2">
      <c r="A26" s="16">
        <v>45536</v>
      </c>
      <c r="B26" s="7">
        <f>COUNTIFS('Trial Database'!$J$2:$J$9253,"&gt;="&amp;DATE(2024,9,1),'Trial Database'!$J$2:$J$9253,"&lt;"&amp;DATE(2024,10,1),'Trial Database'!$E$2:$E$9253,"Early Phase 1")</f>
        <v>4</v>
      </c>
      <c r="C26" s="7">
        <f>COUNTIFS('Trial Database'!$J$2:$J$9253,"&gt;="&amp;DATE(2024,9,1),'Trial Database'!$J$2:$J$9253,"&lt;"&amp;DATE(2024,10,1),'Trial Database'!$E$2:$E$9253,"Phase 1")</f>
        <v>134</v>
      </c>
      <c r="D26" s="7">
        <f>COUNTIFS('Trial Database'!$J$2:$J$9253,"&gt;="&amp;DATE(2024,9,1),'Trial Database'!$J$2:$J$9253,"&lt;"&amp;DATE(2024,10,1),'Trial Database'!$E$2:$E$9253,"Phase 1/2")</f>
        <v>36</v>
      </c>
      <c r="E26" s="7">
        <f>COUNTIFS('Trial Database'!$J$2:$J$9253,"&gt;="&amp;DATE(2024,9,1),'Trial Database'!$J$2:$J$9253,"&lt;"&amp;DATE(2024,10,1),'Trial Database'!$E$2:$E$9253,"Phase 2")</f>
        <v>72</v>
      </c>
      <c r="F26" s="7">
        <f>COUNTIFS('Trial Database'!$J$2:$J$9253,"&gt;="&amp;DATE(2024,9,1),'Trial Database'!$J$2:$J$9253,"&lt;"&amp;DATE(2024,10,1),'Trial Database'!$E$2:$E$9253,"Phase 2/3")</f>
        <v>8</v>
      </c>
      <c r="G26" s="7">
        <f>COUNTIFS('Trial Database'!$J$2:$J$9253,"&gt;="&amp;DATE(2024,9,1),'Trial Database'!$J$2:$J$9253,"&lt;"&amp;DATE(2024,10,1),'Trial Database'!$E$2:$E$9253,"Phase 3")</f>
        <v>76</v>
      </c>
      <c r="H26" s="7">
        <f>COUNTIFS('Trial Database'!$J$2:$J$9253,"&gt;="&amp;DATE(2024,9,1),'Trial Database'!$J$2:$J$9253,"&lt;"&amp;DATE(2024,10,1),'Trial Database'!$E$2:$E$9253,"Phase 4")</f>
        <v>14</v>
      </c>
      <c r="I26" s="8">
        <f t="shared" si="1"/>
        <v>344</v>
      </c>
      <c r="J26" s="7">
        <f t="shared" si="2"/>
        <v>30</v>
      </c>
      <c r="K26" s="17">
        <f t="shared" si="3"/>
        <v>11.466666666666667</v>
      </c>
    </row>
    <row r="27" spans="1:11" x14ac:dyDescent="0.2">
      <c r="A27" s="16">
        <v>45566</v>
      </c>
      <c r="B27" s="7">
        <f>COUNTIFS('Trial Database'!$J$2:$J$9253,"&gt;="&amp;DATE(2024,10,1),'Trial Database'!$J$2:$J$9253,"&lt;"&amp;DATE(2024,11,1),'Trial Database'!$E$2:$E$9253,"Early Phase 1")</f>
        <v>9</v>
      </c>
      <c r="C27" s="7">
        <f>COUNTIFS('Trial Database'!$J$2:$J$9253,"&gt;="&amp;DATE(2024,10,1),'Trial Database'!$J$2:$J$9253,"&lt;"&amp;DATE(2024,11,1),'Trial Database'!$E$2:$E$9253,"Phase 1")</f>
        <v>149</v>
      </c>
      <c r="D27" s="7">
        <f>COUNTIFS('Trial Database'!$J$2:$J$9253,"&gt;="&amp;DATE(2024,10,1),'Trial Database'!$J$2:$J$9253,"&lt;"&amp;DATE(2024,11,1),'Trial Database'!$E$2:$E$9253,"Phase 1/2")</f>
        <v>29</v>
      </c>
      <c r="E27" s="7">
        <f>COUNTIFS('Trial Database'!$J$2:$J$9253,"&gt;="&amp;DATE(2024,10,1),'Trial Database'!$J$2:$J$9253,"&lt;"&amp;DATE(2024,11,1),'Trial Database'!$E$2:$E$9253,"Phase 2")</f>
        <v>92</v>
      </c>
      <c r="F27" s="7">
        <f>COUNTIFS('Trial Database'!$J$2:$J$9253,"&gt;="&amp;DATE(2024,10,1),'Trial Database'!$J$2:$J$9253,"&lt;"&amp;DATE(2024,11,1),'Trial Database'!$E$2:$E$9253,"Phase 2/3")</f>
        <v>9</v>
      </c>
      <c r="G27" s="7">
        <f>COUNTIFS('Trial Database'!$J$2:$J$9253,"&gt;="&amp;DATE(2024,10,1),'Trial Database'!$J$2:$J$9253,"&lt;"&amp;DATE(2024,11,1),'Trial Database'!$E$2:$E$9253,"Phase 3")</f>
        <v>77</v>
      </c>
      <c r="H27" s="7">
        <f>COUNTIFS('Trial Database'!$J$2:$J$9253,"&gt;="&amp;DATE(2024,10,1),'Trial Database'!$J$2:$J$9253,"&lt;"&amp;DATE(2024,11,1),'Trial Database'!$E$2:$E$9253,"Phase 4")</f>
        <v>14</v>
      </c>
      <c r="I27" s="8">
        <f t="shared" si="1"/>
        <v>379</v>
      </c>
      <c r="J27" s="7">
        <f t="shared" si="2"/>
        <v>31</v>
      </c>
      <c r="K27" s="17">
        <f t="shared" si="3"/>
        <v>12.225806451612904</v>
      </c>
    </row>
    <row r="28" spans="1:11" x14ac:dyDescent="0.2">
      <c r="A28" s="16">
        <v>45597</v>
      </c>
      <c r="B28" s="7">
        <f>COUNTIFS('Trial Database'!$J$2:$J$9253,"&gt;="&amp;DATE(2024,11,1),'Trial Database'!$J$2:$J$9253,"&lt;"&amp;DATE(2024,12,1),'Trial Database'!$E$2:$E$9253,"Early Phase 1")</f>
        <v>12</v>
      </c>
      <c r="C28" s="7">
        <f>COUNTIFS('Trial Database'!$J$2:$J$9253,"&gt;="&amp;DATE(2024,11,1),'Trial Database'!$J$2:$J$9253,"&lt;"&amp;DATE(2024,12,1),'Trial Database'!$E$2:$E$9253,"Phase 1")</f>
        <v>143</v>
      </c>
      <c r="D28" s="7">
        <f>COUNTIFS('Trial Database'!$J$2:$J$9253,"&gt;="&amp;DATE(2024,11,1),'Trial Database'!$J$2:$J$9253,"&lt;"&amp;DATE(2024,12,1),'Trial Database'!$E$2:$E$9253,"Phase 1/2")</f>
        <v>41</v>
      </c>
      <c r="E28" s="7">
        <f>COUNTIFS('Trial Database'!$J$2:$J$9253,"&gt;="&amp;DATE(2024,11,1),'Trial Database'!$J$2:$J$9253,"&lt;"&amp;DATE(2024,12,1),'Trial Database'!$E$2:$E$9253,"Phase 2")</f>
        <v>72</v>
      </c>
      <c r="F28" s="7">
        <f>COUNTIFS('Trial Database'!$J$2:$J$9253,"&gt;="&amp;DATE(2024,11,1),'Trial Database'!$J$2:$J$9253,"&lt;"&amp;DATE(2024,12,1),'Trial Database'!$E$2:$E$9253,"Phase 2/3")</f>
        <v>6</v>
      </c>
      <c r="G28" s="7">
        <f>COUNTIFS('Trial Database'!$J$2:$J$9253,"&gt;="&amp;DATE(2024,11,1),'Trial Database'!$J$2:$J$9253,"&lt;"&amp;DATE(2024,12,1),'Trial Database'!$E$2:$E$9253,"Phase 3")</f>
        <v>80</v>
      </c>
      <c r="H28" s="7">
        <f>COUNTIFS('Trial Database'!$J$2:$J$9253,"&gt;="&amp;DATE(2024,11,1),'Trial Database'!$J$2:$J$9253,"&lt;"&amp;DATE(2024,12,1),'Trial Database'!$E$2:$E$9253,"Phase 4")</f>
        <v>12</v>
      </c>
      <c r="I28" s="8">
        <f t="shared" si="1"/>
        <v>366</v>
      </c>
      <c r="J28" s="7">
        <f t="shared" si="2"/>
        <v>30</v>
      </c>
      <c r="K28" s="17">
        <f t="shared" si="3"/>
        <v>12.2</v>
      </c>
    </row>
    <row r="29" spans="1:11" x14ac:dyDescent="0.2">
      <c r="A29" s="16">
        <v>45627</v>
      </c>
      <c r="B29" s="7">
        <f>COUNTIFS('Trial Database'!$J$2:$J$9253,"&gt;="&amp;DATE(2024,12,1),'Trial Database'!$J$2:$J$9253,"&lt;"&amp;DATE(2024,13,1),'Trial Database'!$E$2:$E$9253,"Early Phase 1")</f>
        <v>7</v>
      </c>
      <c r="C29" s="7">
        <f>COUNTIFS('Trial Database'!$J$2:$J$9253,"&gt;="&amp;DATE(2024,12,1),'Trial Database'!$J$2:$J$9253,"&lt;"&amp;DATE(2024,13,1),'Trial Database'!$E$2:$E$9253,"Phase 1")</f>
        <v>143</v>
      </c>
      <c r="D29" s="7">
        <f>COUNTIFS('Trial Database'!$J$2:$J$9253,"&gt;="&amp;DATE(2024,12,1),'Trial Database'!$J$2:$J$9253,"&lt;"&amp;DATE(2024,13,1),'Trial Database'!$E$2:$E$9253,"Phase 1/2")</f>
        <v>36</v>
      </c>
      <c r="E29" s="7">
        <f>COUNTIFS('Trial Database'!$J$2:$J$9253,"&gt;="&amp;DATE(2024,12,1),'Trial Database'!$J$2:$J$9253,"&lt;"&amp;DATE(2024,13,1),'Trial Database'!$E$2:$E$9253,"Phase 2")</f>
        <v>93</v>
      </c>
      <c r="F29" s="7">
        <f>COUNTIFS('Trial Database'!$J$2:$J$9253,"&gt;="&amp;DATE(2024,12,1),'Trial Database'!$J$2:$J$9253,"&lt;"&amp;DATE(2024,13,1),'Trial Database'!$E$2:$E$9253,"Phase 2/3")</f>
        <v>9</v>
      </c>
      <c r="G29" s="7">
        <f>COUNTIFS('Trial Database'!$J$2:$J$9253,"&gt;="&amp;DATE(2024,12,1),'Trial Database'!$J$2:$J$9253,"&lt;"&amp;DATE(2024,13,1),'Trial Database'!$E$2:$E$9253,"Phase 3")</f>
        <v>77</v>
      </c>
      <c r="H29" s="7">
        <f>COUNTIFS('Trial Database'!$J$2:$J$9253,"&gt;="&amp;DATE(2024,12,1),'Trial Database'!$J$2:$J$9253,"&lt;"&amp;DATE(2024,13,1),'Trial Database'!$E$2:$E$9253,"Phase 4")</f>
        <v>12</v>
      </c>
      <c r="I29" s="8">
        <f t="shared" si="1"/>
        <v>377</v>
      </c>
      <c r="J29" s="7">
        <f t="shared" si="2"/>
        <v>31</v>
      </c>
      <c r="K29" s="17">
        <f t="shared" si="3"/>
        <v>12.161290322580646</v>
      </c>
    </row>
    <row r="30" spans="1:11" x14ac:dyDescent="0.2">
      <c r="A30" s="16">
        <v>45658</v>
      </c>
      <c r="B30" s="7">
        <f>COUNTIFS('Trial Database'!$J$2:$J$9253,"&gt;="&amp;DATE(2025,1,1),'Trial Database'!$J$2:$J$9253,"&lt;"&amp;DATE(2025,2,1),'Trial Database'!$E$2:$E$9253,"Early Phase 1")</f>
        <v>4</v>
      </c>
      <c r="C30" s="7">
        <f>COUNTIFS('Trial Database'!$J$2:$J$9253,"&gt;="&amp;DATE(2025,1,1),'Trial Database'!$J$2:$J$9253,"&lt;"&amp;DATE(2025,2,1),'Trial Database'!$E$2:$E$9253,"Phase 1")</f>
        <v>116</v>
      </c>
      <c r="D30" s="7">
        <f>COUNTIFS('Trial Database'!$J$2:$J$9253,"&gt;="&amp;DATE(2025,1,1),'Trial Database'!$J$2:$J$9253,"&lt;"&amp;DATE(2025,2,1),'Trial Database'!$E$2:$E$9253,"Phase 1/2")</f>
        <v>39</v>
      </c>
      <c r="E30" s="7">
        <f>COUNTIFS('Trial Database'!$J$2:$J$9253,"&gt;="&amp;DATE(2025,1,1),'Trial Database'!$J$2:$J$9253,"&lt;"&amp;DATE(2025,2,1),'Trial Database'!$E$2:$E$9253,"Phase 2")</f>
        <v>75</v>
      </c>
      <c r="F30" s="7">
        <f>COUNTIFS('Trial Database'!$J$2:$J$9253,"&gt;="&amp;DATE(2025,1,1),'Trial Database'!$J$2:$J$9253,"&lt;"&amp;DATE(2025,2,1),'Trial Database'!$E$2:$E$9253,"Phase 2/3")</f>
        <v>7</v>
      </c>
      <c r="G30" s="7">
        <f>COUNTIFS('Trial Database'!$J$2:$J$9253,"&gt;="&amp;DATE(2025,1,1),'Trial Database'!$J$2:$J$9253,"&lt;"&amp;DATE(2025,2,1),'Trial Database'!$E$2:$E$9253,"Phase 3")</f>
        <v>62</v>
      </c>
      <c r="H30" s="7">
        <f>COUNTIFS('Trial Database'!$J$2:$J$9253,"&gt;="&amp;DATE(2025,1,1),'Trial Database'!$J$2:$J$9253,"&lt;"&amp;DATE(2025,2,1),'Trial Database'!$E$2:$E$9253,"Phase 4")</f>
        <v>13</v>
      </c>
      <c r="I30" s="8">
        <f t="shared" si="1"/>
        <v>316</v>
      </c>
      <c r="J30" s="7">
        <f t="shared" si="2"/>
        <v>31</v>
      </c>
      <c r="K30" s="17">
        <f t="shared" si="3"/>
        <v>10.193548387096774</v>
      </c>
    </row>
    <row r="31" spans="1:11" x14ac:dyDescent="0.2">
      <c r="A31" s="16">
        <v>45689</v>
      </c>
      <c r="B31" s="7">
        <f>COUNTIFS('Trial Database'!$J$2:$J$9253,"&gt;="&amp;DATE(2025,2,1),'Trial Database'!$J$2:$J$9253,"&lt;"&amp;DATE(2025,3,1),'Trial Database'!$E$2:$E$9253,"Early Phase 1")</f>
        <v>5</v>
      </c>
      <c r="C31" s="7">
        <f>COUNTIFS('Trial Database'!$J$2:$J$9253,"&gt;="&amp;DATE(2025,2,1),'Trial Database'!$J$2:$J$9253,"&lt;"&amp;DATE(2025,3,1),'Trial Database'!$E$2:$E$9253,"Phase 1")</f>
        <v>116</v>
      </c>
      <c r="D31" s="7">
        <f>COUNTIFS('Trial Database'!$J$2:$J$9253,"&gt;="&amp;DATE(2025,2,1),'Trial Database'!$J$2:$J$9253,"&lt;"&amp;DATE(2025,3,1),'Trial Database'!$E$2:$E$9253,"Phase 1/2")</f>
        <v>36</v>
      </c>
      <c r="E31" s="7">
        <f>COUNTIFS('Trial Database'!$J$2:$J$9253,"&gt;="&amp;DATE(2025,2,1),'Trial Database'!$J$2:$J$9253,"&lt;"&amp;DATE(2025,3,1),'Trial Database'!$E$2:$E$9253,"Phase 2")</f>
        <v>63</v>
      </c>
      <c r="F31" s="7">
        <f>COUNTIFS('Trial Database'!$J$2:$J$9253,"&gt;="&amp;DATE(2025,2,1),'Trial Database'!$J$2:$J$9253,"&lt;"&amp;DATE(2025,3,1),'Trial Database'!$E$2:$E$9253,"Phase 2/3")</f>
        <v>4</v>
      </c>
      <c r="G31" s="7">
        <f>COUNTIFS('Trial Database'!$J$2:$J$9253,"&gt;="&amp;DATE(2025,2,1),'Trial Database'!$J$2:$J$9253,"&lt;"&amp;DATE(2025,3,1),'Trial Database'!$E$2:$E$9253,"Phase 3")</f>
        <v>70</v>
      </c>
      <c r="H31" s="7">
        <f>COUNTIFS('Trial Database'!$J$2:$J$9253,"&gt;="&amp;DATE(2025,2,1),'Trial Database'!$J$2:$J$9253,"&lt;"&amp;DATE(2025,3,1),'Trial Database'!$E$2:$E$9253,"Phase 4")</f>
        <v>11</v>
      </c>
      <c r="I31" s="8">
        <f t="shared" si="1"/>
        <v>305</v>
      </c>
      <c r="J31" s="7">
        <f t="shared" si="2"/>
        <v>28</v>
      </c>
      <c r="K31" s="17">
        <f t="shared" si="3"/>
        <v>10.892857142857142</v>
      </c>
    </row>
    <row r="32" spans="1:11" x14ac:dyDescent="0.2">
      <c r="A32" s="16">
        <v>45717</v>
      </c>
      <c r="B32" s="7">
        <f>COUNTIFS('Trial Database'!$J$2:$J$9253,"&gt;="&amp;DATE(2025,3,1),'Trial Database'!$J$2:$J$9253,"&lt;"&amp;DATE(2025,4,1),'Trial Database'!$E$2:$E$9253,"Early Phase 1")</f>
        <v>11</v>
      </c>
      <c r="C32" s="7">
        <f>COUNTIFS('Trial Database'!$J$2:$J$9253,"&gt;="&amp;DATE(2025,3,1),'Trial Database'!$J$2:$J$9253,"&lt;"&amp;DATE(2025,4,1),'Trial Database'!$E$2:$E$9253,"Phase 1")</f>
        <v>145</v>
      </c>
      <c r="D32" s="7">
        <f>COUNTIFS('Trial Database'!$J$2:$J$9253,"&gt;="&amp;DATE(2025,3,1),'Trial Database'!$J$2:$J$9253,"&lt;"&amp;DATE(2025,4,1),'Trial Database'!$E$2:$E$9253,"Phase 1/2")</f>
        <v>44</v>
      </c>
      <c r="E32" s="7">
        <f>COUNTIFS('Trial Database'!$J$2:$J$9253,"&gt;="&amp;DATE(2025,3,1),'Trial Database'!$J$2:$J$9253,"&lt;"&amp;DATE(2025,4,1),'Trial Database'!$E$2:$E$9253,"Phase 2")</f>
        <v>84</v>
      </c>
      <c r="F32" s="7">
        <f>COUNTIFS('Trial Database'!$J$2:$J$9253,"&gt;="&amp;DATE(2025,3,1),'Trial Database'!$J$2:$J$9253,"&lt;"&amp;DATE(2025,4,1),'Trial Database'!$E$2:$E$9253,"Phase 2/3")</f>
        <v>4</v>
      </c>
      <c r="G32" s="7">
        <f>COUNTIFS('Trial Database'!$J$2:$J$9253,"&gt;="&amp;DATE(2025,3,1),'Trial Database'!$J$2:$J$9253,"&lt;"&amp;DATE(2025,4,1),'Trial Database'!$E$2:$E$9253,"Phase 3")</f>
        <v>80</v>
      </c>
      <c r="H32" s="7">
        <f>COUNTIFS('Trial Database'!$J$2:$J$9253,"&gt;="&amp;DATE(2025,3,1),'Trial Database'!$J$2:$J$9253,"&lt;"&amp;DATE(2025,4,1),'Trial Database'!$E$2:$E$9253,"Phase 4")</f>
        <v>9</v>
      </c>
      <c r="I32" s="8">
        <f t="shared" si="1"/>
        <v>377</v>
      </c>
      <c r="J32" s="7">
        <f t="shared" si="2"/>
        <v>31</v>
      </c>
      <c r="K32" s="17">
        <f t="shared" si="3"/>
        <v>12.161290322580646</v>
      </c>
    </row>
    <row r="33" spans="1:11" x14ac:dyDescent="0.2">
      <c r="A33" s="16">
        <v>45748</v>
      </c>
      <c r="B33" s="7">
        <f>COUNTIFS('Trial Database'!$J$2:$J$9253,"&gt;="&amp;DATE(2025,4,1),'Trial Database'!$J$2:$J$9253,"&lt;"&amp;DATE(2025,5,1),'Trial Database'!$E$2:$E$9253,"Early Phase 1")</f>
        <v>2</v>
      </c>
      <c r="C33" s="7">
        <f>COUNTIFS('Trial Database'!$J$2:$J$9253,"&gt;="&amp;DATE(2025,4,1),'Trial Database'!$J$2:$J$9253,"&lt;"&amp;DATE(2025,5,1),'Trial Database'!$E$2:$E$9253,"Phase 1")</f>
        <v>140</v>
      </c>
      <c r="D33" s="7">
        <f>COUNTIFS('Trial Database'!$J$2:$J$9253,"&gt;="&amp;DATE(2025,4,1),'Trial Database'!$J$2:$J$9253,"&lt;"&amp;DATE(2025,5,1),'Trial Database'!$E$2:$E$9253,"Phase 1/2")</f>
        <v>47</v>
      </c>
      <c r="E33" s="7">
        <f>COUNTIFS('Trial Database'!$J$2:$J$9253,"&gt;="&amp;DATE(2025,4,1),'Trial Database'!$J$2:$J$9253,"&lt;"&amp;DATE(2025,5,1),'Trial Database'!$E$2:$E$9253,"Phase 2")</f>
        <v>78</v>
      </c>
      <c r="F33" s="7">
        <f>COUNTIFS('Trial Database'!$J$2:$J$9253,"&gt;="&amp;DATE(2025,4,1),'Trial Database'!$J$2:$J$9253,"&lt;"&amp;DATE(2025,5,1),'Trial Database'!$E$2:$E$9253,"Phase 2/3")</f>
        <v>8</v>
      </c>
      <c r="G33" s="7">
        <f>COUNTIFS('Trial Database'!$J$2:$J$9253,"&gt;="&amp;DATE(2025,4,1),'Trial Database'!$J$2:$J$9253,"&lt;"&amp;DATE(2025,5,1),'Trial Database'!$E$2:$E$9253,"Phase 3")</f>
        <v>77</v>
      </c>
      <c r="H33" s="7">
        <f>COUNTIFS('Trial Database'!$J$2:$J$9253,"&gt;="&amp;DATE(2025,4,1),'Trial Database'!$J$2:$J$9253,"&lt;"&amp;DATE(2025,5,1),'Trial Database'!$E$2:$E$9253,"Phase 4")</f>
        <v>7</v>
      </c>
      <c r="I33" s="8">
        <f t="shared" si="1"/>
        <v>359</v>
      </c>
      <c r="J33" s="7">
        <f t="shared" si="2"/>
        <v>30</v>
      </c>
      <c r="K33" s="17">
        <f t="shared" si="3"/>
        <v>11.966666666666667</v>
      </c>
    </row>
    <row r="34" spans="1:11" x14ac:dyDescent="0.2">
      <c r="A34" s="16">
        <v>45778</v>
      </c>
      <c r="B34" s="7">
        <f>COUNTIFS('Trial Database'!$J$2:$J$9253,"&gt;="&amp;DATE(2025,5,1),'Trial Database'!$J$2:$J$9253,"&lt;"&amp;DATE(2025,6,1),'Trial Database'!$E$2:$E$9253,"Early Phase 1")</f>
        <v>8</v>
      </c>
      <c r="C34" s="7">
        <f>COUNTIFS('Trial Database'!$J$2:$J$9253,"&gt;="&amp;DATE(2025,5,1),'Trial Database'!$J$2:$J$9253,"&lt;"&amp;DATE(2025,6,1),'Trial Database'!$E$2:$E$9253,"Phase 1")</f>
        <v>157</v>
      </c>
      <c r="D34" s="7">
        <f>COUNTIFS('Trial Database'!$J$2:$J$9253,"&gt;="&amp;DATE(2025,5,1),'Trial Database'!$J$2:$J$9253,"&lt;"&amp;DATE(2025,6,1),'Trial Database'!$E$2:$E$9253,"Phase 1/2")</f>
        <v>39</v>
      </c>
      <c r="E34" s="7">
        <f>COUNTIFS('Trial Database'!$J$2:$J$9253,"&gt;="&amp;DATE(2025,5,1),'Trial Database'!$J$2:$J$9253,"&lt;"&amp;DATE(2025,6,1),'Trial Database'!$E$2:$E$9253,"Phase 2")</f>
        <v>74</v>
      </c>
      <c r="F34" s="7">
        <f>COUNTIFS('Trial Database'!$J$2:$J$9253,"&gt;="&amp;DATE(2025,5,1),'Trial Database'!$J$2:$J$9253,"&lt;"&amp;DATE(2025,6,1),'Trial Database'!$E$2:$E$9253,"Phase 2/3")</f>
        <v>7</v>
      </c>
      <c r="G34" s="7">
        <f>COUNTIFS('Trial Database'!$J$2:$J$9253,"&gt;="&amp;DATE(2025,5,1),'Trial Database'!$J$2:$J$9253,"&lt;"&amp;DATE(2025,6,1),'Trial Database'!$E$2:$E$9253,"Phase 3")</f>
        <v>64</v>
      </c>
      <c r="H34" s="7">
        <f>COUNTIFS('Trial Database'!$J$2:$J$9253,"&gt;="&amp;DATE(2025,5,1),'Trial Database'!$J$2:$J$9253,"&lt;"&amp;DATE(2025,6,1),'Trial Database'!$E$2:$E$9253,"Phase 4")</f>
        <v>16</v>
      </c>
      <c r="I34" s="8">
        <f t="shared" si="1"/>
        <v>365</v>
      </c>
      <c r="J34" s="7">
        <f t="shared" si="2"/>
        <v>31</v>
      </c>
      <c r="K34" s="17">
        <f t="shared" si="3"/>
        <v>11.774193548387096</v>
      </c>
    </row>
    <row r="35" spans="1:11" x14ac:dyDescent="0.2">
      <c r="A35" s="16">
        <v>45809</v>
      </c>
      <c r="B35" s="7">
        <f>COUNTIFS('Trial Database'!$J$2:$J$9253,"&gt;="&amp;DATE(2025,6,1),'Trial Database'!$J$2:$J$9253,"&lt;"&amp;DATE(2025,7,1),'Trial Database'!$E$2:$E$9253,"Early Phase 1")</f>
        <v>9</v>
      </c>
      <c r="C35" s="7">
        <f>COUNTIFS('Trial Database'!$J$2:$J$9253,"&gt;="&amp;DATE(2025,6,1),'Trial Database'!$J$2:$J$9253,"&lt;"&amp;DATE(2025,7,1),'Trial Database'!$E$2:$E$9253,"Phase 1")</f>
        <v>142</v>
      </c>
      <c r="D35" s="7">
        <f>COUNTIFS('Trial Database'!$J$2:$J$9253,"&gt;="&amp;DATE(2025,6,1),'Trial Database'!$J$2:$J$9253,"&lt;"&amp;DATE(2025,7,1),'Trial Database'!$E$2:$E$9253,"Phase 1/2")</f>
        <v>41</v>
      </c>
      <c r="E35" s="7">
        <f>COUNTIFS('Trial Database'!$J$2:$J$9253,"&gt;="&amp;DATE(2025,6,1),'Trial Database'!$J$2:$J$9253,"&lt;"&amp;DATE(2025,7,1),'Trial Database'!$E$2:$E$9253,"Phase 2")</f>
        <v>90</v>
      </c>
      <c r="F35" s="7">
        <f>COUNTIFS('Trial Database'!$J$2:$J$9253,"&gt;="&amp;DATE(2025,6,1),'Trial Database'!$J$2:$J$9253,"&lt;"&amp;DATE(2025,7,1),'Trial Database'!$E$2:$E$9253,"Phase 2/3")</f>
        <v>8</v>
      </c>
      <c r="G35" s="7">
        <f>COUNTIFS('Trial Database'!$J$2:$J$9253,"&gt;="&amp;DATE(2025,6,1),'Trial Database'!$J$2:$J$9253,"&lt;"&amp;DATE(2025,7,1),'Trial Database'!$E$2:$E$9253,"Phase 3")</f>
        <v>89</v>
      </c>
      <c r="H35" s="7">
        <f>COUNTIFS('Trial Database'!$J$2:$J$9253,"&gt;="&amp;DATE(2025,6,1),'Trial Database'!$J$2:$J$9253,"&lt;"&amp;DATE(2025,7,1),'Trial Database'!$E$2:$E$9253,"Phase 4")</f>
        <v>10</v>
      </c>
      <c r="I35" s="8">
        <f t="shared" si="1"/>
        <v>389</v>
      </c>
      <c r="J35" s="7">
        <f t="shared" si="2"/>
        <v>30</v>
      </c>
      <c r="K35" s="17">
        <f t="shared" si="3"/>
        <v>12.966666666666667</v>
      </c>
    </row>
    <row r="36" spans="1:11" x14ac:dyDescent="0.2">
      <c r="A36" s="16">
        <v>45839</v>
      </c>
      <c r="B36" s="7">
        <f>COUNTIFS('Trial Database'!$J$2:$J$9253,"&gt;="&amp;DATE(2025,7,1),'Trial Database'!$J$2:$J$9253,"&lt;"&amp;DATE(2025,8,1),'Trial Database'!$E$2:$E$9253,"Early Phase 1")</f>
        <v>7</v>
      </c>
      <c r="C36" s="7">
        <f>COUNTIFS('Trial Database'!$J$2:$J$9253,"&gt;="&amp;DATE(2025,7,1),'Trial Database'!$J$2:$J$9253,"&lt;"&amp;DATE(2025,8,1),'Trial Database'!$E$2:$E$9253,"Phase 1")</f>
        <v>125</v>
      </c>
      <c r="D36" s="7">
        <f>COUNTIFS('Trial Database'!$J$2:$J$9253,"&gt;="&amp;DATE(2025,7,1),'Trial Database'!$J$2:$J$9253,"&lt;"&amp;DATE(2025,8,1),'Trial Database'!$E$2:$E$9253,"Phase 1/2")</f>
        <v>43</v>
      </c>
      <c r="E36" s="7">
        <f>COUNTIFS('Trial Database'!$J$2:$J$9253,"&gt;="&amp;DATE(2025,7,1),'Trial Database'!$J$2:$J$9253,"&lt;"&amp;DATE(2025,8,1),'Trial Database'!$E$2:$E$9253,"Phase 2")</f>
        <v>81</v>
      </c>
      <c r="F36" s="7">
        <f>COUNTIFS('Trial Database'!$J$2:$J$9253,"&gt;="&amp;DATE(2025,7,1),'Trial Database'!$J$2:$J$9253,"&lt;"&amp;DATE(2025,8,1),'Trial Database'!$E$2:$E$9253,"Phase 2/3")</f>
        <v>8</v>
      </c>
      <c r="G36" s="7">
        <f>COUNTIFS('Trial Database'!$J$2:$J$9253,"&gt;="&amp;DATE(2025,7,1),'Trial Database'!$J$2:$J$9253,"&lt;"&amp;DATE(2025,8,1),'Trial Database'!$E$2:$E$9253,"Phase 3")</f>
        <v>86</v>
      </c>
      <c r="H36" s="7">
        <f>COUNTIFS('Trial Database'!$J$2:$J$9253,"&gt;="&amp;DATE(2025,7,1),'Trial Database'!$J$2:$J$9253,"&lt;"&amp;DATE(2025,8,1),'Trial Database'!$E$2:$E$9253,"Phase 4")</f>
        <v>21</v>
      </c>
      <c r="I36" s="8">
        <f t="shared" si="1"/>
        <v>371</v>
      </c>
      <c r="J36" s="7">
        <f t="shared" si="2"/>
        <v>31</v>
      </c>
      <c r="K36" s="17">
        <f t="shared" si="3"/>
        <v>11.96774193548387</v>
      </c>
    </row>
    <row r="37" spans="1:11" x14ac:dyDescent="0.2">
      <c r="A37" s="16">
        <v>45870</v>
      </c>
      <c r="B37" s="7">
        <f>COUNTIFS('Trial Database'!$J$2:$J$9253,"&gt;="&amp;DATE(2025,8,1),'Trial Database'!$J$2:$J$9253,"&lt;"&amp;DATE(2025,9,1),'Trial Database'!$E$2:$E$9253,"Early Phase 1")</f>
        <v>7</v>
      </c>
      <c r="C37" s="7">
        <f>COUNTIFS('Trial Database'!$J$2:$J$9253,"&gt;="&amp;DATE(2025,8,1),'Trial Database'!$J$2:$J$9253,"&lt;"&amp;DATE(2025,9,1),'Trial Database'!$E$2:$E$9253,"Phase 1")</f>
        <v>144</v>
      </c>
      <c r="D37" s="7">
        <f>COUNTIFS('Trial Database'!$J$2:$J$9253,"&gt;="&amp;DATE(2025,8,1),'Trial Database'!$J$2:$J$9253,"&lt;"&amp;DATE(2025,9,1),'Trial Database'!$E$2:$E$9253,"Phase 1/2")</f>
        <v>38</v>
      </c>
      <c r="E37" s="7">
        <f>COUNTIFS('Trial Database'!$J$2:$J$9253,"&gt;="&amp;DATE(2025,8,1),'Trial Database'!$J$2:$J$9253,"&lt;"&amp;DATE(2025,9,1),'Trial Database'!$E$2:$E$9253,"Phase 2")</f>
        <v>112</v>
      </c>
      <c r="F37" s="7">
        <f>COUNTIFS('Trial Database'!$J$2:$J$9253,"&gt;="&amp;DATE(2025,8,1),'Trial Database'!$J$2:$J$9253,"&lt;"&amp;DATE(2025,9,1),'Trial Database'!$E$2:$E$9253,"Phase 2/3")</f>
        <v>7</v>
      </c>
      <c r="G37" s="7">
        <f>COUNTIFS('Trial Database'!$J$2:$J$9253,"&gt;="&amp;DATE(2025,8,1),'Trial Database'!$J$2:$J$9253,"&lt;"&amp;DATE(2025,9,1),'Trial Database'!$E$2:$E$9253,"Phase 3")</f>
        <v>72</v>
      </c>
      <c r="H37" s="7">
        <f>COUNTIFS('Trial Database'!$J$2:$J$9253,"&gt;="&amp;DATE(2025,8,1),'Trial Database'!$J$2:$J$9253,"&lt;"&amp;DATE(2025,9,1),'Trial Database'!$E$2:$E$9253,"Phase 4")</f>
        <v>14</v>
      </c>
      <c r="I37" s="8">
        <f t="shared" si="1"/>
        <v>394</v>
      </c>
      <c r="J37" s="7">
        <f t="shared" si="2"/>
        <v>31</v>
      </c>
      <c r="K37" s="17">
        <f t="shared" si="3"/>
        <v>12.709677419354838</v>
      </c>
    </row>
    <row r="38" spans="1:11" x14ac:dyDescent="0.2">
      <c r="A38" s="16">
        <v>45901</v>
      </c>
      <c r="B38" s="7">
        <f>COUNTIFS('Trial Database'!$J$2:$J$9253,"&gt;="&amp;DATE(2025,9,1),'Trial Database'!$J$2:$J$9253,"&lt;"&amp;DATE(2025,10,1),'Trial Database'!$E$2:$E$9253,"Early Phase 1")</f>
        <v>13</v>
      </c>
      <c r="C38" s="7">
        <f>COUNTIFS('Trial Database'!$J$2:$J$9253,"&gt;="&amp;DATE(2025,9,1),'Trial Database'!$J$2:$J$9253,"&lt;"&amp;DATE(2025,10,1),'Trial Database'!$E$2:$E$9253,"Phase 1")</f>
        <v>107</v>
      </c>
      <c r="D38" s="7">
        <f>COUNTIFS('Trial Database'!$J$2:$J$9253,"&gt;="&amp;DATE(2025,9,1),'Trial Database'!$J$2:$J$9253,"&lt;"&amp;DATE(2025,10,1),'Trial Database'!$E$2:$E$9253,"Phase 1/2")</f>
        <v>41</v>
      </c>
      <c r="E38" s="7">
        <f>COUNTIFS('Trial Database'!$J$2:$J$9253,"&gt;="&amp;DATE(2025,9,1),'Trial Database'!$J$2:$J$9253,"&lt;"&amp;DATE(2025,10,1),'Trial Database'!$E$2:$E$9253,"Phase 2")</f>
        <v>93</v>
      </c>
      <c r="F38" s="7">
        <f>COUNTIFS('Trial Database'!$J$2:$J$9253,"&gt;="&amp;DATE(2025,9,1),'Trial Database'!$J$2:$J$9253,"&lt;"&amp;DATE(2025,10,1),'Trial Database'!$E$2:$E$9253,"Phase 2/3")</f>
        <v>9</v>
      </c>
      <c r="G38" s="7">
        <f>COUNTIFS('Trial Database'!$J$2:$J$9253,"&gt;="&amp;DATE(2025,9,1),'Trial Database'!$J$2:$J$9253,"&lt;"&amp;DATE(2025,10,1),'Trial Database'!$E$2:$E$9253,"Phase 3")</f>
        <v>82</v>
      </c>
      <c r="H38" s="7">
        <f>COUNTIFS('Trial Database'!$J$2:$J$9253,"&gt;="&amp;DATE(2025,9,1),'Trial Database'!$J$2:$J$9253,"&lt;"&amp;DATE(2025,10,1),'Trial Database'!$E$2:$E$9253,"Phase 4")</f>
        <v>14</v>
      </c>
      <c r="I38" s="8">
        <f t="shared" si="1"/>
        <v>359</v>
      </c>
      <c r="J38" s="7">
        <f t="shared" si="2"/>
        <v>30</v>
      </c>
      <c r="K38" s="17">
        <f t="shared" si="3"/>
        <v>11.966666666666667</v>
      </c>
    </row>
    <row r="39" spans="1:11" x14ac:dyDescent="0.2">
      <c r="A39" s="16">
        <v>45931</v>
      </c>
      <c r="B39" s="7">
        <f>COUNTIFS('Trial Database'!$J$2:$J$9253,"&gt;="&amp;DATE(2025,10,1),'Trial Database'!$J$2:$J$9253,"&lt;"&amp;DATE(2025,11,1),'Trial Database'!$E$2:$E$9253,"Early Phase 1")</f>
        <v>6</v>
      </c>
      <c r="C39" s="7">
        <f>COUNTIFS('Trial Database'!$J$2:$J$9253,"&gt;="&amp;DATE(2025,10,1),'Trial Database'!$J$2:$J$9253,"&lt;"&amp;DATE(2025,11,1),'Trial Database'!$E$2:$E$9253,"Phase 1")</f>
        <v>136</v>
      </c>
      <c r="D39" s="7">
        <f>COUNTIFS('Trial Database'!$J$2:$J$9253,"&gt;="&amp;DATE(2025,10,1),'Trial Database'!$J$2:$J$9253,"&lt;"&amp;DATE(2025,11,1),'Trial Database'!$E$2:$E$9253,"Phase 1/2")</f>
        <v>43</v>
      </c>
      <c r="E39" s="7">
        <f>COUNTIFS('Trial Database'!$J$2:$J$9253,"&gt;="&amp;DATE(2025,10,1),'Trial Database'!$J$2:$J$9253,"&lt;"&amp;DATE(2025,11,1),'Trial Database'!$E$2:$E$9253,"Phase 2")</f>
        <v>83</v>
      </c>
      <c r="F39" s="7">
        <f>COUNTIFS('Trial Database'!$J$2:$J$9253,"&gt;="&amp;DATE(2025,10,1),'Trial Database'!$J$2:$J$9253,"&lt;"&amp;DATE(2025,11,1),'Trial Database'!$E$2:$E$9253,"Phase 2/3")</f>
        <v>8</v>
      </c>
      <c r="G39" s="7">
        <f>COUNTIFS('Trial Database'!$J$2:$J$9253,"&gt;="&amp;DATE(2025,10,1),'Trial Database'!$J$2:$J$9253,"&lt;"&amp;DATE(2025,11,1),'Trial Database'!$E$2:$E$9253,"Phase 3")</f>
        <v>76</v>
      </c>
      <c r="H39" s="7">
        <f>COUNTIFS('Trial Database'!$J$2:$J$9253,"&gt;="&amp;DATE(2025,10,1),'Trial Database'!$J$2:$J$9253,"&lt;"&amp;DATE(2025,11,1),'Trial Database'!$E$2:$E$9253,"Phase 4")</f>
        <v>8</v>
      </c>
      <c r="I39" s="8">
        <f t="shared" si="1"/>
        <v>360</v>
      </c>
      <c r="J39" s="7">
        <f t="shared" si="2"/>
        <v>31</v>
      </c>
      <c r="K39" s="17">
        <f t="shared" si="3"/>
        <v>11.612903225806452</v>
      </c>
    </row>
    <row r="40" spans="1:11" x14ac:dyDescent="0.2">
      <c r="A40" s="16">
        <v>45962</v>
      </c>
      <c r="B40" s="7">
        <f>COUNTIFS('Trial Database'!$J$2:$J$9253,"&gt;="&amp;DATE(2025,11,1),'Trial Database'!$J$2:$J$9253,"&lt;"&amp;DATE(2025,12,1),'Trial Database'!$E$2:$E$9253,"Early Phase 1")</f>
        <v>6</v>
      </c>
      <c r="C40" s="7">
        <f>COUNTIFS('Trial Database'!$J$2:$J$9253,"&gt;="&amp;DATE(2025,11,1),'Trial Database'!$J$2:$J$9253,"&lt;"&amp;DATE(2025,12,1),'Trial Database'!$E$2:$E$9253,"Phase 1")</f>
        <v>124</v>
      </c>
      <c r="D40" s="7">
        <f>COUNTIFS('Trial Database'!$J$2:$J$9253,"&gt;="&amp;DATE(2025,11,1),'Trial Database'!$J$2:$J$9253,"&lt;"&amp;DATE(2025,12,1),'Trial Database'!$E$2:$E$9253,"Phase 1/2")</f>
        <v>31</v>
      </c>
      <c r="E40" s="7">
        <f>COUNTIFS('Trial Database'!$J$2:$J$9253,"&gt;="&amp;DATE(2025,11,1),'Trial Database'!$J$2:$J$9253,"&lt;"&amp;DATE(2025,12,1),'Trial Database'!$E$2:$E$9253,"Phase 2")</f>
        <v>75</v>
      </c>
      <c r="F40" s="7">
        <f>COUNTIFS('Trial Database'!$J$2:$J$9253,"&gt;="&amp;DATE(2025,11,1),'Trial Database'!$J$2:$J$9253,"&lt;"&amp;DATE(2025,12,1),'Trial Database'!$E$2:$E$9253,"Phase 2/3")</f>
        <v>4</v>
      </c>
      <c r="G40" s="7">
        <f>COUNTIFS('Trial Database'!$J$2:$J$9253,"&gt;="&amp;DATE(2025,11,1),'Trial Database'!$J$2:$J$9253,"&lt;"&amp;DATE(2025,12,1),'Trial Database'!$E$2:$E$9253,"Phase 3")</f>
        <v>74</v>
      </c>
      <c r="H40" s="7">
        <f>COUNTIFS('Trial Database'!$J$2:$J$9253,"&gt;="&amp;DATE(2025,11,1),'Trial Database'!$J$2:$J$9253,"&lt;"&amp;DATE(2025,12,1),'Trial Database'!$E$2:$E$9253,"Phase 4")</f>
        <v>13</v>
      </c>
      <c r="I40" s="8">
        <f t="shared" si="1"/>
        <v>327</v>
      </c>
      <c r="J40" s="7">
        <f t="shared" si="2"/>
        <v>30</v>
      </c>
      <c r="K40" s="17">
        <f t="shared" si="3"/>
        <v>10.9</v>
      </c>
    </row>
    <row r="41" spans="1:11" x14ac:dyDescent="0.2">
      <c r="A41" s="16">
        <v>45992</v>
      </c>
      <c r="B41" s="7">
        <f>COUNTIFS('Trial Database'!$J$2:$J$9253,"&gt;="&amp;DATE(2025,12,1),'Trial Database'!$J$2:$J$9253,"&lt;"&amp;DATE(2025,13,1),'Trial Database'!$E$2:$E$9253,"Early Phase 1")</f>
        <v>13</v>
      </c>
      <c r="C41" s="7">
        <f>COUNTIFS('Trial Database'!$J$2:$J$9253,"&gt;="&amp;DATE(2025,12,1),'Trial Database'!$J$2:$J$9253,"&lt;"&amp;DATE(2025,13,1),'Trial Database'!$E$2:$E$9253,"Phase 1")</f>
        <v>169</v>
      </c>
      <c r="D41" s="7">
        <f>COUNTIFS('Trial Database'!$J$2:$J$9253,"&gt;="&amp;DATE(2025,12,1),'Trial Database'!$J$2:$J$9253,"&lt;"&amp;DATE(2025,13,1),'Trial Database'!$E$2:$E$9253,"Phase 1/2")</f>
        <v>54</v>
      </c>
      <c r="E41" s="7">
        <f>COUNTIFS('Trial Database'!$J$2:$J$9253,"&gt;="&amp;DATE(2025,12,1),'Trial Database'!$J$2:$J$9253,"&lt;"&amp;DATE(2025,13,1),'Trial Database'!$E$2:$E$9253,"Phase 2")</f>
        <v>123</v>
      </c>
      <c r="F41" s="7">
        <f>COUNTIFS('Trial Database'!$J$2:$J$9253,"&gt;="&amp;DATE(2025,12,1),'Trial Database'!$J$2:$J$9253,"&lt;"&amp;DATE(2025,13,1),'Trial Database'!$E$2:$E$9253,"Phase 2/3")</f>
        <v>12</v>
      </c>
      <c r="G41" s="7">
        <f>COUNTIFS('Trial Database'!$J$2:$J$9253,"&gt;="&amp;DATE(2025,12,1),'Trial Database'!$J$2:$J$9253,"&lt;"&amp;DATE(2025,13,1),'Trial Database'!$E$2:$E$9253,"Phase 3")</f>
        <v>91</v>
      </c>
      <c r="H41" s="7">
        <f>COUNTIFS('Trial Database'!$J$2:$J$9253,"&gt;="&amp;DATE(2025,12,1),'Trial Database'!$J$2:$J$9253,"&lt;"&amp;DATE(2025,13,1),'Trial Database'!$E$2:$E$9253,"Phase 4")</f>
        <v>13</v>
      </c>
      <c r="I41" s="8">
        <f t="shared" si="1"/>
        <v>475</v>
      </c>
      <c r="J41" s="7">
        <f t="shared" si="2"/>
        <v>31</v>
      </c>
      <c r="K41" s="17">
        <f t="shared" si="3"/>
        <v>15.32258064516129</v>
      </c>
    </row>
    <row r="42" spans="1:11" x14ac:dyDescent="0.2">
      <c r="A42" s="16">
        <v>46023</v>
      </c>
      <c r="B42" s="7">
        <f>COUNTIFS('Trial Database'!$J$2:$J$9253,"&gt;="&amp;DATE(2026,1,1),'Trial Database'!$J$2:$J$9253,"&lt;"&amp;DATE(2026,2,1),'Trial Database'!$E$2:$E$9253,"Early Phase 1")</f>
        <v>4</v>
      </c>
      <c r="C42" s="7">
        <f>COUNTIFS('Trial Database'!$J$2:$J$9253,"&gt;="&amp;DATE(2026,1,1),'Trial Database'!$J$2:$J$9253,"&lt;"&amp;DATE(2026,2,1),'Trial Database'!$E$2:$E$9253,"Phase 1")</f>
        <v>147</v>
      </c>
      <c r="D42" s="7">
        <f>COUNTIFS('Trial Database'!$J$2:$J$9253,"&gt;="&amp;DATE(2026,1,1),'Trial Database'!$J$2:$J$9253,"&lt;"&amp;DATE(2026,2,1),'Trial Database'!$E$2:$E$9253,"Phase 1/2")</f>
        <v>59</v>
      </c>
      <c r="E42" s="7">
        <f>COUNTIFS('Trial Database'!$J$2:$J$9253,"&gt;="&amp;DATE(2026,1,1),'Trial Database'!$J$2:$J$9253,"&lt;"&amp;DATE(2026,2,1),'Trial Database'!$E$2:$E$9253,"Phase 2")</f>
        <v>87</v>
      </c>
      <c r="F42" s="7">
        <f>COUNTIFS('Trial Database'!$J$2:$J$9253,"&gt;="&amp;DATE(2026,1,1),'Trial Database'!$J$2:$J$9253,"&lt;"&amp;DATE(2026,2,1),'Trial Database'!$E$2:$E$9253,"Phase 2/3")</f>
        <v>11</v>
      </c>
      <c r="G42" s="7">
        <f>COUNTIFS('Trial Database'!$J$2:$J$9253,"&gt;="&amp;DATE(2026,1,1),'Trial Database'!$J$2:$J$9253,"&lt;"&amp;DATE(2026,2,1),'Trial Database'!$E$2:$E$9253,"Phase 3")</f>
        <v>81</v>
      </c>
      <c r="H42" s="7">
        <f>COUNTIFS('Trial Database'!$J$2:$J$9253,"&gt;="&amp;DATE(2026,1,1),'Trial Database'!$J$2:$J$9253,"&lt;"&amp;DATE(2026,2,1),'Trial Database'!$E$2:$E$9253,"Phase 4")</f>
        <v>14</v>
      </c>
      <c r="I42" s="8">
        <f t="shared" si="1"/>
        <v>403</v>
      </c>
      <c r="J42" s="7">
        <f t="shared" si="2"/>
        <v>31</v>
      </c>
      <c r="K42" s="17">
        <f t="shared" si="3"/>
        <v>13</v>
      </c>
    </row>
    <row r="43" spans="1:11" x14ac:dyDescent="0.2">
      <c r="A43" s="16">
        <v>46054</v>
      </c>
      <c r="B43" s="7">
        <f>COUNTIFS('Trial Database'!$J$2:$J$9253,"&gt;="&amp;DATE(2026,2,1),'Trial Database'!$J$2:$J$9253,"&lt;"&amp;DATE(2026,3,1),'Trial Database'!$E$2:$E$9253,"Early Phase 1")</f>
        <v>11</v>
      </c>
      <c r="C43" s="7">
        <f>COUNTIFS('Trial Database'!$J$2:$J$9253,"&gt;="&amp;DATE(2026,2,1),'Trial Database'!$J$2:$J$9253,"&lt;"&amp;DATE(2026,3,1),'Trial Database'!$E$2:$E$9253,"Phase 1")</f>
        <v>105</v>
      </c>
      <c r="D43" s="7">
        <f>COUNTIFS('Trial Database'!$J$2:$J$9253,"&gt;="&amp;DATE(2026,2,1),'Trial Database'!$J$2:$J$9253,"&lt;"&amp;DATE(2026,3,1),'Trial Database'!$E$2:$E$9253,"Phase 1/2")</f>
        <v>52</v>
      </c>
      <c r="E43" s="7">
        <f>COUNTIFS('Trial Database'!$J$2:$J$9253,"&gt;="&amp;DATE(2026,2,1),'Trial Database'!$J$2:$J$9253,"&lt;"&amp;DATE(2026,3,1),'Trial Database'!$E$2:$E$9253,"Phase 2")</f>
        <v>86</v>
      </c>
      <c r="F43" s="7">
        <f>COUNTIFS('Trial Database'!$J$2:$J$9253,"&gt;="&amp;DATE(2026,2,1),'Trial Database'!$J$2:$J$9253,"&lt;"&amp;DATE(2026,3,1),'Trial Database'!$E$2:$E$9253,"Phase 2/3")</f>
        <v>7</v>
      </c>
      <c r="G43" s="7">
        <f>COUNTIFS('Trial Database'!$J$2:$J$9253,"&gt;="&amp;DATE(2026,2,1),'Trial Database'!$J$2:$J$9253,"&lt;"&amp;DATE(2026,3,1),'Trial Database'!$E$2:$E$9253,"Phase 3")</f>
        <v>71</v>
      </c>
      <c r="H43" s="7">
        <f>COUNTIFS('Trial Database'!$J$2:$J$9253,"&gt;="&amp;DATE(2026,2,1),'Trial Database'!$J$2:$J$9253,"&lt;"&amp;DATE(2026,3,1),'Trial Database'!$E$2:$E$9253,"Phase 4")</f>
        <v>12</v>
      </c>
      <c r="I43" s="8">
        <f t="shared" si="1"/>
        <v>344</v>
      </c>
      <c r="J43" s="7">
        <f t="shared" si="2"/>
        <v>28</v>
      </c>
      <c r="K43" s="17">
        <f t="shared" si="3"/>
        <v>12.285714285714286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DD7EE"/>
  </sheetPr>
  <dimension ref="A1:K43"/>
  <sheetViews>
    <sheetView workbookViewId="0"/>
  </sheetViews>
  <sheetFormatPr baseColWidth="10" defaultColWidth="8.83203125" defaultRowHeight="15" x14ac:dyDescent="0.2"/>
  <cols>
    <col min="1" max="1" width="28.6640625" customWidth="1"/>
    <col min="2" max="9" width="14.6640625" customWidth="1"/>
    <col min="10" max="10" width="8.6640625" customWidth="1"/>
    <col min="11" max="11" width="12.6640625" customWidth="1"/>
  </cols>
  <sheetData>
    <row r="1" spans="1:9" x14ac:dyDescent="0.2">
      <c r="A1" s="6" t="s">
        <v>21424</v>
      </c>
      <c r="B1" s="6" t="s">
        <v>163</v>
      </c>
      <c r="C1" s="6" t="s">
        <v>18</v>
      </c>
      <c r="D1" s="6" t="s">
        <v>26</v>
      </c>
      <c r="E1" s="6" t="s">
        <v>48</v>
      </c>
      <c r="F1" s="6" t="s">
        <v>33</v>
      </c>
      <c r="G1" s="6" t="s">
        <v>42</v>
      </c>
      <c r="H1" s="6" t="s">
        <v>81</v>
      </c>
      <c r="I1" s="6" t="s">
        <v>21425</v>
      </c>
    </row>
    <row r="2" spans="1:9" x14ac:dyDescent="0.2">
      <c r="A2" s="7" t="s">
        <v>21426</v>
      </c>
      <c r="B2" s="7">
        <f>SUMIFS('Trial Database'!$H$2:$H$9253,'Trial Database'!$J$2:$J$9253,"&gt;="&amp;DATE(2024,1,1),'Trial Database'!$J$2:$J$9253,"&lt;"&amp;DATE(2025,1,1),'Trial Database'!$E$2:$E$9253,"Early Phase 1")</f>
        <v>2488</v>
      </c>
      <c r="C2" s="7">
        <f>SUMIFS('Trial Database'!$H$2:$H$9253,'Trial Database'!$J$2:$J$9253,"&gt;="&amp;DATE(2024,1,1),'Trial Database'!$J$2:$J$9253,"&lt;"&amp;DATE(2025,1,1),'Trial Database'!$E$2:$E$9253,"Phase 1")</f>
        <v>116152</v>
      </c>
      <c r="D2" s="7">
        <f>SUMIFS('Trial Database'!$H$2:$H$9253,'Trial Database'!$J$2:$J$9253,"&gt;="&amp;DATE(2024,1,1),'Trial Database'!$J$2:$J$9253,"&lt;"&amp;DATE(2025,1,1),'Trial Database'!$E$2:$E$9253,"Phase 1/2")</f>
        <v>54047</v>
      </c>
      <c r="E2" s="7">
        <f>SUMIFS('Trial Database'!$H$2:$H$9253,'Trial Database'!$J$2:$J$9253,"&gt;="&amp;DATE(2024,1,1),'Trial Database'!$J$2:$J$9253,"&lt;"&amp;DATE(2025,1,1),'Trial Database'!$E$2:$E$9253,"Phase 2")</f>
        <v>149047</v>
      </c>
      <c r="F2" s="7">
        <f>SUMIFS('Trial Database'!$H$2:$H$9253,'Trial Database'!$J$2:$J$9253,"&gt;="&amp;DATE(2024,1,1),'Trial Database'!$J$2:$J$9253,"&lt;"&amp;DATE(2025,1,1),'Trial Database'!$E$2:$E$9253,"Phase 2/3")</f>
        <v>28947</v>
      </c>
      <c r="G2" s="7">
        <f>SUMIFS('Trial Database'!$H$2:$H$9253,'Trial Database'!$J$2:$J$9253,"&gt;="&amp;DATE(2024,1,1),'Trial Database'!$J$2:$J$9253,"&lt;"&amp;DATE(2025,1,1),'Trial Database'!$E$2:$E$9253,"Phase 3")</f>
        <v>560365</v>
      </c>
      <c r="H2" s="7">
        <f>SUMIFS('Trial Database'!$H$2:$H$9253,'Trial Database'!$J$2:$J$9253,"&gt;="&amp;DATE(2024,1,1),'Trial Database'!$J$2:$J$9253,"&lt;"&amp;DATE(2025,1,1),'Trial Database'!$E$2:$E$9253,"Phase 4")</f>
        <v>96419</v>
      </c>
      <c r="I2" s="8">
        <f>SUM(B2:H2)</f>
        <v>1007465</v>
      </c>
    </row>
    <row r="3" spans="1:9" x14ac:dyDescent="0.2">
      <c r="A3" s="7" t="s">
        <v>21427</v>
      </c>
      <c r="B3" s="7">
        <f>SUMIFS('Trial Database'!$H$2:$H$9253,'Trial Database'!$J$2:$J$9253,"&gt;="&amp;DATE(2025,1,1),'Trial Database'!$J$2:$J$9253,"&lt;"&amp;DATE(2026,1,1),'Trial Database'!$E$2:$E$9253,"Early Phase 1")</f>
        <v>2595</v>
      </c>
      <c r="C3" s="7">
        <f>SUMIFS('Trial Database'!$H$2:$H$9253,'Trial Database'!$J$2:$J$9253,"&gt;="&amp;DATE(2025,1,1),'Trial Database'!$J$2:$J$9253,"&lt;"&amp;DATE(2026,1,1),'Trial Database'!$E$2:$E$9253,"Phase 1")</f>
        <v>111734</v>
      </c>
      <c r="D3" s="7">
        <f>SUMIFS('Trial Database'!$H$2:$H$9253,'Trial Database'!$J$2:$J$9253,"&gt;="&amp;DATE(2025,1,1),'Trial Database'!$J$2:$J$9253,"&lt;"&amp;DATE(2026,1,1),'Trial Database'!$E$2:$E$9253,"Phase 1/2")</f>
        <v>70043</v>
      </c>
      <c r="E3" s="7">
        <f>SUMIFS('Trial Database'!$H$2:$H$9253,'Trial Database'!$J$2:$J$9253,"&gt;="&amp;DATE(2025,1,1),'Trial Database'!$J$2:$J$9253,"&lt;"&amp;DATE(2026,1,1),'Trial Database'!$E$2:$E$9253,"Phase 2")</f>
        <v>145973</v>
      </c>
      <c r="F3" s="7">
        <f>SUMIFS('Trial Database'!$H$2:$H$9253,'Trial Database'!$J$2:$J$9253,"&gt;="&amp;DATE(2025,1,1),'Trial Database'!$J$2:$J$9253,"&lt;"&amp;DATE(2026,1,1),'Trial Database'!$E$2:$E$9253,"Phase 2/3")</f>
        <v>37515</v>
      </c>
      <c r="G3" s="7">
        <f>SUMIFS('Trial Database'!$H$2:$H$9253,'Trial Database'!$J$2:$J$9253,"&gt;="&amp;DATE(2025,1,1),'Trial Database'!$J$2:$J$9253,"&lt;"&amp;DATE(2026,1,1),'Trial Database'!$E$2:$E$9253,"Phase 3")</f>
        <v>675336</v>
      </c>
      <c r="H3" s="7">
        <f>SUMIFS('Trial Database'!$H$2:$H$9253,'Trial Database'!$J$2:$J$9253,"&gt;="&amp;DATE(2025,1,1),'Trial Database'!$J$2:$J$9253,"&lt;"&amp;DATE(2026,1,1),'Trial Database'!$E$2:$E$9253,"Phase 4")</f>
        <v>134761</v>
      </c>
      <c r="I3" s="8">
        <f>SUM(B3:H3)</f>
        <v>1177957</v>
      </c>
    </row>
    <row r="4" spans="1:9" x14ac:dyDescent="0.2">
      <c r="A4" s="7" t="s">
        <v>21428</v>
      </c>
      <c r="B4" s="7">
        <f>SUMIFS('Trial Database'!$H$2:$H$9253,'Trial Database'!$J$2:$J$9253,"&gt;="&amp;DATE(2026,1,1),'Trial Database'!$J$2:$J$9253,"&lt;"&amp;DATE(2027,1,1),'Trial Database'!$E$2:$E$9253,"Early Phase 1")</f>
        <v>843</v>
      </c>
      <c r="C4" s="7">
        <f>SUMIFS('Trial Database'!$H$2:$H$9253,'Trial Database'!$J$2:$J$9253,"&gt;="&amp;DATE(2026,1,1),'Trial Database'!$J$2:$J$9253,"&lt;"&amp;DATE(2027,1,1),'Trial Database'!$E$2:$E$9253,"Phase 1")</f>
        <v>16339</v>
      </c>
      <c r="D4" s="7">
        <f>SUMIFS('Trial Database'!$H$2:$H$9253,'Trial Database'!$J$2:$J$9253,"&gt;="&amp;DATE(2026,1,1),'Trial Database'!$J$2:$J$9253,"&lt;"&amp;DATE(2027,1,1),'Trial Database'!$E$2:$E$9253,"Phase 1/2")</f>
        <v>14042</v>
      </c>
      <c r="E4" s="7">
        <f>SUMIFS('Trial Database'!$H$2:$H$9253,'Trial Database'!$J$2:$J$9253,"&gt;="&amp;DATE(2026,1,1),'Trial Database'!$J$2:$J$9253,"&lt;"&amp;DATE(2027,1,1),'Trial Database'!$E$2:$E$9253,"Phase 2")</f>
        <v>24094</v>
      </c>
      <c r="F4" s="7">
        <f>SUMIFS('Trial Database'!$H$2:$H$9253,'Trial Database'!$J$2:$J$9253,"&gt;="&amp;DATE(2026,1,1),'Trial Database'!$J$2:$J$9253,"&lt;"&amp;DATE(2027,1,1),'Trial Database'!$E$2:$E$9253,"Phase 2/3")</f>
        <v>6968</v>
      </c>
      <c r="G4" s="7">
        <f>SUMIFS('Trial Database'!$H$2:$H$9253,'Trial Database'!$J$2:$J$9253,"&gt;="&amp;DATE(2026,1,1),'Trial Database'!$J$2:$J$9253,"&lt;"&amp;DATE(2027,1,1),'Trial Database'!$E$2:$E$9253,"Phase 3")</f>
        <v>71173</v>
      </c>
      <c r="H4" s="7">
        <f>SUMIFS('Trial Database'!$H$2:$H$9253,'Trial Database'!$J$2:$J$9253,"&gt;="&amp;DATE(2026,1,1),'Trial Database'!$J$2:$J$9253,"&lt;"&amp;DATE(2027,1,1),'Trial Database'!$E$2:$E$9253,"Phase 4")</f>
        <v>4921</v>
      </c>
      <c r="I4" s="8">
        <f>SUM(B4:H4)</f>
        <v>138380</v>
      </c>
    </row>
    <row r="5" spans="1:9" x14ac:dyDescent="0.2">
      <c r="A5" s="9" t="s">
        <v>21429</v>
      </c>
      <c r="B5" s="10">
        <f t="shared" ref="B5:H5" ca="1" si="0">ROUND(B4*12/MONTH(EOMONTH(TODAY(),-1)),0)</f>
        <v>5058</v>
      </c>
      <c r="C5" s="10">
        <f t="shared" ca="1" si="0"/>
        <v>98034</v>
      </c>
      <c r="D5" s="10">
        <f t="shared" ca="1" si="0"/>
        <v>84252</v>
      </c>
      <c r="E5" s="10">
        <f t="shared" ca="1" si="0"/>
        <v>144564</v>
      </c>
      <c r="F5" s="10">
        <f t="shared" ca="1" si="0"/>
        <v>41808</v>
      </c>
      <c r="G5" s="10">
        <f t="shared" ca="1" si="0"/>
        <v>427038</v>
      </c>
      <c r="H5" s="10">
        <f t="shared" ca="1" si="0"/>
        <v>29526</v>
      </c>
      <c r="I5" s="11">
        <f ca="1">SUM(B5:H5)</f>
        <v>830280</v>
      </c>
    </row>
    <row r="8" spans="1:9" x14ac:dyDescent="0.2">
      <c r="A8" s="12" t="s">
        <v>21430</v>
      </c>
      <c r="B8" s="12" t="s">
        <v>21431</v>
      </c>
    </row>
    <row r="9" spans="1:9" x14ac:dyDescent="0.2">
      <c r="A9" s="13" t="s">
        <v>21432</v>
      </c>
      <c r="B9" s="7">
        <v>1203920</v>
      </c>
    </row>
    <row r="10" spans="1:9" x14ac:dyDescent="0.2">
      <c r="A10" s="13" t="s">
        <v>21433</v>
      </c>
      <c r="B10" s="7">
        <v>1011935</v>
      </c>
    </row>
    <row r="11" spans="1:9" x14ac:dyDescent="0.2">
      <c r="A11" s="13" t="s">
        <v>21434</v>
      </c>
      <c r="B11" s="14">
        <v>0.18972068364074771</v>
      </c>
    </row>
    <row r="12" spans="1:9" x14ac:dyDescent="0.2">
      <c r="A12" s="13" t="s">
        <v>21441</v>
      </c>
      <c r="B12" s="14">
        <v>2.401489903940404E-3</v>
      </c>
    </row>
    <row r="13" spans="1:9" x14ac:dyDescent="0.2">
      <c r="A13" s="13" t="s">
        <v>21442</v>
      </c>
      <c r="B13" s="15">
        <v>-0.1179914754232147</v>
      </c>
    </row>
    <row r="14" spans="1:9" x14ac:dyDescent="0.2">
      <c r="A14" s="13" t="s">
        <v>21443</v>
      </c>
      <c r="B14" s="15">
        <v>-0.51844719681386486</v>
      </c>
    </row>
    <row r="17" spans="1:11" x14ac:dyDescent="0.2">
      <c r="A17" s="6" t="s">
        <v>21438</v>
      </c>
      <c r="B17" s="6" t="s">
        <v>163</v>
      </c>
      <c r="C17" s="6" t="s">
        <v>18</v>
      </c>
      <c r="D17" s="6" t="s">
        <v>26</v>
      </c>
      <c r="E17" s="6" t="s">
        <v>48</v>
      </c>
      <c r="F17" s="6" t="s">
        <v>33</v>
      </c>
      <c r="G17" s="6" t="s">
        <v>42</v>
      </c>
      <c r="H17" s="6" t="s">
        <v>81</v>
      </c>
      <c r="I17" s="6" t="s">
        <v>21425</v>
      </c>
      <c r="J17" s="6" t="s">
        <v>21439</v>
      </c>
      <c r="K17" s="6" t="s">
        <v>21444</v>
      </c>
    </row>
    <row r="18" spans="1:11" x14ac:dyDescent="0.2">
      <c r="A18" s="16">
        <v>45292</v>
      </c>
      <c r="B18" s="7">
        <f>SUMIFS('Trial Database'!$H$2:$H$9253,'Trial Database'!$J$2:$J$9253,"&gt;="&amp;DATE(2024,1,1),'Trial Database'!$J$2:$J$9253,"&lt;"&amp;DATE(2024,2,1),'Trial Database'!$E$2:$E$9253,"Early Phase 1")</f>
        <v>189</v>
      </c>
      <c r="C18" s="7">
        <f>SUMIFS('Trial Database'!$H$2:$H$9253,'Trial Database'!$J$2:$J$9253,"&gt;="&amp;DATE(2024,1,1),'Trial Database'!$J$2:$J$9253,"&lt;"&amp;DATE(2024,2,1),'Trial Database'!$E$2:$E$9253,"Phase 1")</f>
        <v>9940</v>
      </c>
      <c r="D18" s="7">
        <f>SUMIFS('Trial Database'!$H$2:$H$9253,'Trial Database'!$J$2:$J$9253,"&gt;="&amp;DATE(2024,1,1),'Trial Database'!$J$2:$J$9253,"&lt;"&amp;DATE(2024,2,1),'Trial Database'!$E$2:$E$9253,"Phase 1/2")</f>
        <v>3557</v>
      </c>
      <c r="E18" s="7">
        <f>SUMIFS('Trial Database'!$H$2:$H$9253,'Trial Database'!$J$2:$J$9253,"&gt;="&amp;DATE(2024,1,1),'Trial Database'!$J$2:$J$9253,"&lt;"&amp;DATE(2024,2,1),'Trial Database'!$E$2:$E$9253,"Phase 2")</f>
        <v>8163</v>
      </c>
      <c r="F18" s="7">
        <f>SUMIFS('Trial Database'!$H$2:$H$9253,'Trial Database'!$J$2:$J$9253,"&gt;="&amp;DATE(2024,1,1),'Trial Database'!$J$2:$J$9253,"&lt;"&amp;DATE(2024,2,1),'Trial Database'!$E$2:$E$9253,"Phase 2/3")</f>
        <v>2219</v>
      </c>
      <c r="G18" s="7">
        <f>SUMIFS('Trial Database'!$H$2:$H$9253,'Trial Database'!$J$2:$J$9253,"&gt;="&amp;DATE(2024,1,1),'Trial Database'!$J$2:$J$9253,"&lt;"&amp;DATE(2024,2,1),'Trial Database'!$E$2:$E$9253,"Phase 3")</f>
        <v>21448</v>
      </c>
      <c r="H18" s="7">
        <f>SUMIFS('Trial Database'!$H$2:$H$9253,'Trial Database'!$J$2:$J$9253,"&gt;="&amp;DATE(2024,1,1),'Trial Database'!$J$2:$J$9253,"&lt;"&amp;DATE(2024,2,1),'Trial Database'!$E$2:$E$9253,"Phase 4")</f>
        <v>9366</v>
      </c>
      <c r="I18" s="8">
        <f t="shared" ref="I18:I43" si="1">SUM(B18:H18)</f>
        <v>54882</v>
      </c>
      <c r="J18" s="7">
        <f t="shared" ref="J18:J43" si="2">DAY(EOMONTH(A18,0))</f>
        <v>31</v>
      </c>
      <c r="K18" s="17">
        <f t="shared" ref="K18:K43" si="3">IF(J18=0,0,I18/J18)</f>
        <v>1770.3870967741937</v>
      </c>
    </row>
    <row r="19" spans="1:11" x14ac:dyDescent="0.2">
      <c r="A19" s="16">
        <v>45323</v>
      </c>
      <c r="B19" s="7">
        <f>SUMIFS('Trial Database'!$H$2:$H$9253,'Trial Database'!$J$2:$J$9253,"&gt;="&amp;DATE(2024,2,1),'Trial Database'!$J$2:$J$9253,"&lt;"&amp;DATE(2024,3,1),'Trial Database'!$E$2:$E$9253,"Early Phase 1")</f>
        <v>22</v>
      </c>
      <c r="C19" s="7">
        <f>SUMIFS('Trial Database'!$H$2:$H$9253,'Trial Database'!$J$2:$J$9253,"&gt;="&amp;DATE(2024,2,1),'Trial Database'!$J$2:$J$9253,"&lt;"&amp;DATE(2024,3,1),'Trial Database'!$E$2:$E$9253,"Phase 1")</f>
        <v>6820</v>
      </c>
      <c r="D19" s="7">
        <f>SUMIFS('Trial Database'!$H$2:$H$9253,'Trial Database'!$J$2:$J$9253,"&gt;="&amp;DATE(2024,2,1),'Trial Database'!$J$2:$J$9253,"&lt;"&amp;DATE(2024,3,1),'Trial Database'!$E$2:$E$9253,"Phase 1/2")</f>
        <v>2804</v>
      </c>
      <c r="E19" s="7">
        <f>SUMIFS('Trial Database'!$H$2:$H$9253,'Trial Database'!$J$2:$J$9253,"&gt;="&amp;DATE(2024,2,1),'Trial Database'!$J$2:$J$9253,"&lt;"&amp;DATE(2024,3,1),'Trial Database'!$E$2:$E$9253,"Phase 2")</f>
        <v>11491</v>
      </c>
      <c r="F19" s="7">
        <f>SUMIFS('Trial Database'!$H$2:$H$9253,'Trial Database'!$J$2:$J$9253,"&gt;="&amp;DATE(2024,2,1),'Trial Database'!$J$2:$J$9253,"&lt;"&amp;DATE(2024,3,1),'Trial Database'!$E$2:$E$9253,"Phase 2/3")</f>
        <v>1734</v>
      </c>
      <c r="G19" s="7">
        <f>SUMIFS('Trial Database'!$H$2:$H$9253,'Trial Database'!$J$2:$J$9253,"&gt;="&amp;DATE(2024,2,1),'Trial Database'!$J$2:$J$9253,"&lt;"&amp;DATE(2024,3,1),'Trial Database'!$E$2:$E$9253,"Phase 3")</f>
        <v>29093</v>
      </c>
      <c r="H19" s="7">
        <f>SUMIFS('Trial Database'!$H$2:$H$9253,'Trial Database'!$J$2:$J$9253,"&gt;="&amp;DATE(2024,2,1),'Trial Database'!$J$2:$J$9253,"&lt;"&amp;DATE(2024,3,1),'Trial Database'!$E$2:$E$9253,"Phase 4")</f>
        <v>1101</v>
      </c>
      <c r="I19" s="8">
        <f t="shared" si="1"/>
        <v>53065</v>
      </c>
      <c r="J19" s="7">
        <f t="shared" si="2"/>
        <v>29</v>
      </c>
      <c r="K19" s="17">
        <f t="shared" si="3"/>
        <v>1829.8275862068965</v>
      </c>
    </row>
    <row r="20" spans="1:11" x14ac:dyDescent="0.2">
      <c r="A20" s="16">
        <v>45352</v>
      </c>
      <c r="B20" s="7">
        <f>SUMIFS('Trial Database'!$H$2:$H$9253,'Trial Database'!$J$2:$J$9253,"&gt;="&amp;DATE(2024,3,1),'Trial Database'!$J$2:$J$9253,"&lt;"&amp;DATE(2024,4,1),'Trial Database'!$E$2:$E$9253,"Early Phase 1")</f>
        <v>144</v>
      </c>
      <c r="C20" s="7">
        <f>SUMIFS('Trial Database'!$H$2:$H$9253,'Trial Database'!$J$2:$J$9253,"&gt;="&amp;DATE(2024,3,1),'Trial Database'!$J$2:$J$9253,"&lt;"&amp;DATE(2024,4,1),'Trial Database'!$E$2:$E$9253,"Phase 1")</f>
        <v>9198</v>
      </c>
      <c r="D20" s="7">
        <f>SUMIFS('Trial Database'!$H$2:$H$9253,'Trial Database'!$J$2:$J$9253,"&gt;="&amp;DATE(2024,3,1),'Trial Database'!$J$2:$J$9253,"&lt;"&amp;DATE(2024,4,1),'Trial Database'!$E$2:$E$9253,"Phase 1/2")</f>
        <v>3688</v>
      </c>
      <c r="E20" s="7">
        <f>SUMIFS('Trial Database'!$H$2:$H$9253,'Trial Database'!$J$2:$J$9253,"&gt;="&amp;DATE(2024,3,1),'Trial Database'!$J$2:$J$9253,"&lt;"&amp;DATE(2024,4,1),'Trial Database'!$E$2:$E$9253,"Phase 2")</f>
        <v>11647</v>
      </c>
      <c r="F20" s="7">
        <f>SUMIFS('Trial Database'!$H$2:$H$9253,'Trial Database'!$J$2:$J$9253,"&gt;="&amp;DATE(2024,3,1),'Trial Database'!$J$2:$J$9253,"&lt;"&amp;DATE(2024,4,1),'Trial Database'!$E$2:$E$9253,"Phase 2/3")</f>
        <v>1554</v>
      </c>
      <c r="G20" s="7">
        <f>SUMIFS('Trial Database'!$H$2:$H$9253,'Trial Database'!$J$2:$J$9253,"&gt;="&amp;DATE(2024,3,1),'Trial Database'!$J$2:$J$9253,"&lt;"&amp;DATE(2024,4,1),'Trial Database'!$E$2:$E$9253,"Phase 3")</f>
        <v>51776</v>
      </c>
      <c r="H20" s="7">
        <f>SUMIFS('Trial Database'!$H$2:$H$9253,'Trial Database'!$J$2:$J$9253,"&gt;="&amp;DATE(2024,3,1),'Trial Database'!$J$2:$J$9253,"&lt;"&amp;DATE(2024,4,1),'Trial Database'!$E$2:$E$9253,"Phase 4")</f>
        <v>2893</v>
      </c>
      <c r="I20" s="8">
        <f t="shared" si="1"/>
        <v>80900</v>
      </c>
      <c r="J20" s="7">
        <f t="shared" si="2"/>
        <v>31</v>
      </c>
      <c r="K20" s="17">
        <f t="shared" si="3"/>
        <v>2609.6774193548385</v>
      </c>
    </row>
    <row r="21" spans="1:11" x14ac:dyDescent="0.2">
      <c r="A21" s="16">
        <v>45383</v>
      </c>
      <c r="B21" s="7">
        <f>SUMIFS('Trial Database'!$H$2:$H$9253,'Trial Database'!$J$2:$J$9253,"&gt;="&amp;DATE(2024,4,1),'Trial Database'!$J$2:$J$9253,"&lt;"&amp;DATE(2024,5,1),'Trial Database'!$E$2:$E$9253,"Early Phase 1")</f>
        <v>300</v>
      </c>
      <c r="C21" s="7">
        <f>SUMIFS('Trial Database'!$H$2:$H$9253,'Trial Database'!$J$2:$J$9253,"&gt;="&amp;DATE(2024,4,1),'Trial Database'!$J$2:$J$9253,"&lt;"&amp;DATE(2024,5,1),'Trial Database'!$E$2:$E$9253,"Phase 1")</f>
        <v>10812</v>
      </c>
      <c r="D21" s="7">
        <f>SUMIFS('Trial Database'!$H$2:$H$9253,'Trial Database'!$J$2:$J$9253,"&gt;="&amp;DATE(2024,4,1),'Trial Database'!$J$2:$J$9253,"&lt;"&amp;DATE(2024,5,1),'Trial Database'!$E$2:$E$9253,"Phase 1/2")</f>
        <v>7287</v>
      </c>
      <c r="E21" s="7">
        <f>SUMIFS('Trial Database'!$H$2:$H$9253,'Trial Database'!$J$2:$J$9253,"&gt;="&amp;DATE(2024,4,1),'Trial Database'!$J$2:$J$9253,"&lt;"&amp;DATE(2024,5,1),'Trial Database'!$E$2:$E$9253,"Phase 2")</f>
        <v>13634</v>
      </c>
      <c r="F21" s="7">
        <f>SUMIFS('Trial Database'!$H$2:$H$9253,'Trial Database'!$J$2:$J$9253,"&gt;="&amp;DATE(2024,4,1),'Trial Database'!$J$2:$J$9253,"&lt;"&amp;DATE(2024,5,1),'Trial Database'!$E$2:$E$9253,"Phase 2/3")</f>
        <v>4863</v>
      </c>
      <c r="G21" s="7">
        <f>SUMIFS('Trial Database'!$H$2:$H$9253,'Trial Database'!$J$2:$J$9253,"&gt;="&amp;DATE(2024,4,1),'Trial Database'!$J$2:$J$9253,"&lt;"&amp;DATE(2024,5,1),'Trial Database'!$E$2:$E$9253,"Phase 3")</f>
        <v>43742</v>
      </c>
      <c r="H21" s="7">
        <f>SUMIFS('Trial Database'!$H$2:$H$9253,'Trial Database'!$J$2:$J$9253,"&gt;="&amp;DATE(2024,4,1),'Trial Database'!$J$2:$J$9253,"&lt;"&amp;DATE(2024,5,1),'Trial Database'!$E$2:$E$9253,"Phase 4")</f>
        <v>3096</v>
      </c>
      <c r="I21" s="8">
        <f t="shared" si="1"/>
        <v>83734</v>
      </c>
      <c r="J21" s="7">
        <f t="shared" si="2"/>
        <v>30</v>
      </c>
      <c r="K21" s="17">
        <f t="shared" si="3"/>
        <v>2791.1333333333332</v>
      </c>
    </row>
    <row r="22" spans="1:11" x14ac:dyDescent="0.2">
      <c r="A22" s="16">
        <v>45413</v>
      </c>
      <c r="B22" s="7">
        <f>SUMIFS('Trial Database'!$H$2:$H$9253,'Trial Database'!$J$2:$J$9253,"&gt;="&amp;DATE(2024,5,1),'Trial Database'!$J$2:$J$9253,"&lt;"&amp;DATE(2024,6,1),'Trial Database'!$E$2:$E$9253,"Early Phase 1")</f>
        <v>606</v>
      </c>
      <c r="C22" s="7">
        <f>SUMIFS('Trial Database'!$H$2:$H$9253,'Trial Database'!$J$2:$J$9253,"&gt;="&amp;DATE(2024,5,1),'Trial Database'!$J$2:$J$9253,"&lt;"&amp;DATE(2024,6,1),'Trial Database'!$E$2:$E$9253,"Phase 1")</f>
        <v>10536</v>
      </c>
      <c r="D22" s="7">
        <f>SUMIFS('Trial Database'!$H$2:$H$9253,'Trial Database'!$J$2:$J$9253,"&gt;="&amp;DATE(2024,5,1),'Trial Database'!$J$2:$J$9253,"&lt;"&amp;DATE(2024,6,1),'Trial Database'!$E$2:$E$9253,"Phase 1/2")</f>
        <v>4074</v>
      </c>
      <c r="E22" s="7">
        <f>SUMIFS('Trial Database'!$H$2:$H$9253,'Trial Database'!$J$2:$J$9253,"&gt;="&amp;DATE(2024,5,1),'Trial Database'!$J$2:$J$9253,"&lt;"&amp;DATE(2024,6,1),'Trial Database'!$E$2:$E$9253,"Phase 2")</f>
        <v>7299</v>
      </c>
      <c r="F22" s="7">
        <f>SUMIFS('Trial Database'!$H$2:$H$9253,'Trial Database'!$J$2:$J$9253,"&gt;="&amp;DATE(2024,5,1),'Trial Database'!$J$2:$J$9253,"&lt;"&amp;DATE(2024,6,1),'Trial Database'!$E$2:$E$9253,"Phase 2/3")</f>
        <v>4836</v>
      </c>
      <c r="G22" s="7">
        <f>SUMIFS('Trial Database'!$H$2:$H$9253,'Trial Database'!$J$2:$J$9253,"&gt;="&amp;DATE(2024,5,1),'Trial Database'!$J$2:$J$9253,"&lt;"&amp;DATE(2024,6,1),'Trial Database'!$E$2:$E$9253,"Phase 3")</f>
        <v>32472</v>
      </c>
      <c r="H22" s="7">
        <f>SUMIFS('Trial Database'!$H$2:$H$9253,'Trial Database'!$J$2:$J$9253,"&gt;="&amp;DATE(2024,5,1),'Trial Database'!$J$2:$J$9253,"&lt;"&amp;DATE(2024,6,1),'Trial Database'!$E$2:$E$9253,"Phase 4")</f>
        <v>3730</v>
      </c>
      <c r="I22" s="8">
        <f t="shared" si="1"/>
        <v>63553</v>
      </c>
      <c r="J22" s="7">
        <f t="shared" si="2"/>
        <v>31</v>
      </c>
      <c r="K22" s="17">
        <f t="shared" si="3"/>
        <v>2050.0967741935483</v>
      </c>
    </row>
    <row r="23" spans="1:11" x14ac:dyDescent="0.2">
      <c r="A23" s="16">
        <v>45444</v>
      </c>
      <c r="B23" s="7">
        <f>SUMIFS('Trial Database'!$H$2:$H$9253,'Trial Database'!$J$2:$J$9253,"&gt;="&amp;DATE(2024,6,1),'Trial Database'!$J$2:$J$9253,"&lt;"&amp;DATE(2024,7,1),'Trial Database'!$E$2:$E$9253,"Early Phase 1")</f>
        <v>104</v>
      </c>
      <c r="C23" s="7">
        <f>SUMIFS('Trial Database'!$H$2:$H$9253,'Trial Database'!$J$2:$J$9253,"&gt;="&amp;DATE(2024,6,1),'Trial Database'!$J$2:$J$9253,"&lt;"&amp;DATE(2024,7,1),'Trial Database'!$E$2:$E$9253,"Phase 1")</f>
        <v>11028</v>
      </c>
      <c r="D23" s="7">
        <f>SUMIFS('Trial Database'!$H$2:$H$9253,'Trial Database'!$J$2:$J$9253,"&gt;="&amp;DATE(2024,6,1),'Trial Database'!$J$2:$J$9253,"&lt;"&amp;DATE(2024,7,1),'Trial Database'!$E$2:$E$9253,"Phase 1/2")</f>
        <v>4967</v>
      </c>
      <c r="E23" s="7">
        <f>SUMIFS('Trial Database'!$H$2:$H$9253,'Trial Database'!$J$2:$J$9253,"&gt;="&amp;DATE(2024,6,1),'Trial Database'!$J$2:$J$9253,"&lt;"&amp;DATE(2024,7,1),'Trial Database'!$E$2:$E$9253,"Phase 2")</f>
        <v>8541</v>
      </c>
      <c r="F23" s="7">
        <f>SUMIFS('Trial Database'!$H$2:$H$9253,'Trial Database'!$J$2:$J$9253,"&gt;="&amp;DATE(2024,6,1),'Trial Database'!$J$2:$J$9253,"&lt;"&amp;DATE(2024,7,1),'Trial Database'!$E$2:$E$9253,"Phase 2/3")</f>
        <v>1280</v>
      </c>
      <c r="G23" s="7">
        <f>SUMIFS('Trial Database'!$H$2:$H$9253,'Trial Database'!$J$2:$J$9253,"&gt;="&amp;DATE(2024,6,1),'Trial Database'!$J$2:$J$9253,"&lt;"&amp;DATE(2024,7,1),'Trial Database'!$E$2:$E$9253,"Phase 3")</f>
        <v>42187</v>
      </c>
      <c r="H23" s="7">
        <f>SUMIFS('Trial Database'!$H$2:$H$9253,'Trial Database'!$J$2:$J$9253,"&gt;="&amp;DATE(2024,6,1),'Trial Database'!$J$2:$J$9253,"&lt;"&amp;DATE(2024,7,1),'Trial Database'!$E$2:$E$9253,"Phase 4")</f>
        <v>4096</v>
      </c>
      <c r="I23" s="8">
        <f t="shared" si="1"/>
        <v>72203</v>
      </c>
      <c r="J23" s="7">
        <f t="shared" si="2"/>
        <v>30</v>
      </c>
      <c r="K23" s="17">
        <f t="shared" si="3"/>
        <v>2406.7666666666669</v>
      </c>
    </row>
    <row r="24" spans="1:11" x14ac:dyDescent="0.2">
      <c r="A24" s="16">
        <v>45474</v>
      </c>
      <c r="B24" s="7">
        <f>SUMIFS('Trial Database'!$H$2:$H$9253,'Trial Database'!$J$2:$J$9253,"&gt;="&amp;DATE(2024,7,1),'Trial Database'!$J$2:$J$9253,"&lt;"&amp;DATE(2024,8,1),'Trial Database'!$E$2:$E$9253,"Early Phase 1")</f>
        <v>18</v>
      </c>
      <c r="C24" s="7">
        <f>SUMIFS('Trial Database'!$H$2:$H$9253,'Trial Database'!$J$2:$J$9253,"&gt;="&amp;DATE(2024,7,1),'Trial Database'!$J$2:$J$9253,"&lt;"&amp;DATE(2024,8,1),'Trial Database'!$E$2:$E$9253,"Phase 1")</f>
        <v>8820</v>
      </c>
      <c r="D24" s="7">
        <f>SUMIFS('Trial Database'!$H$2:$H$9253,'Trial Database'!$J$2:$J$9253,"&gt;="&amp;DATE(2024,7,1),'Trial Database'!$J$2:$J$9253,"&lt;"&amp;DATE(2024,8,1),'Trial Database'!$E$2:$E$9253,"Phase 1/2")</f>
        <v>2841</v>
      </c>
      <c r="E24" s="7">
        <f>SUMIFS('Trial Database'!$H$2:$H$9253,'Trial Database'!$J$2:$J$9253,"&gt;="&amp;DATE(2024,7,1),'Trial Database'!$J$2:$J$9253,"&lt;"&amp;DATE(2024,8,1),'Trial Database'!$E$2:$E$9253,"Phase 2")</f>
        <v>9681</v>
      </c>
      <c r="F24" s="7">
        <f>SUMIFS('Trial Database'!$H$2:$H$9253,'Trial Database'!$J$2:$J$9253,"&gt;="&amp;DATE(2024,7,1),'Trial Database'!$J$2:$J$9253,"&lt;"&amp;DATE(2024,8,1),'Trial Database'!$E$2:$E$9253,"Phase 2/3")</f>
        <v>809</v>
      </c>
      <c r="G24" s="7">
        <f>SUMIFS('Trial Database'!$H$2:$H$9253,'Trial Database'!$J$2:$J$9253,"&gt;="&amp;DATE(2024,7,1),'Trial Database'!$J$2:$J$9253,"&lt;"&amp;DATE(2024,8,1),'Trial Database'!$E$2:$E$9253,"Phase 3")</f>
        <v>62047</v>
      </c>
      <c r="H24" s="7">
        <f>SUMIFS('Trial Database'!$H$2:$H$9253,'Trial Database'!$J$2:$J$9253,"&gt;="&amp;DATE(2024,7,1),'Trial Database'!$J$2:$J$9253,"&lt;"&amp;DATE(2024,8,1),'Trial Database'!$E$2:$E$9253,"Phase 4")</f>
        <v>1438</v>
      </c>
      <c r="I24" s="8">
        <f t="shared" si="1"/>
        <v>85654</v>
      </c>
      <c r="J24" s="7">
        <f t="shared" si="2"/>
        <v>31</v>
      </c>
      <c r="K24" s="17">
        <f t="shared" si="3"/>
        <v>2763.0322580645161</v>
      </c>
    </row>
    <row r="25" spans="1:11" x14ac:dyDescent="0.2">
      <c r="A25" s="16">
        <v>45505</v>
      </c>
      <c r="B25" s="7">
        <f>SUMIFS('Trial Database'!$H$2:$H$9253,'Trial Database'!$J$2:$J$9253,"&gt;="&amp;DATE(2024,8,1),'Trial Database'!$J$2:$J$9253,"&lt;"&amp;DATE(2024,9,1),'Trial Database'!$E$2:$E$9253,"Early Phase 1")</f>
        <v>279</v>
      </c>
      <c r="C25" s="7">
        <f>SUMIFS('Trial Database'!$H$2:$H$9253,'Trial Database'!$J$2:$J$9253,"&gt;="&amp;DATE(2024,8,1),'Trial Database'!$J$2:$J$9253,"&lt;"&amp;DATE(2024,9,1),'Trial Database'!$E$2:$E$9253,"Phase 1")</f>
        <v>9692</v>
      </c>
      <c r="D25" s="7">
        <f>SUMIFS('Trial Database'!$H$2:$H$9253,'Trial Database'!$J$2:$J$9253,"&gt;="&amp;DATE(2024,8,1),'Trial Database'!$J$2:$J$9253,"&lt;"&amp;DATE(2024,9,1),'Trial Database'!$E$2:$E$9253,"Phase 1/2")</f>
        <v>3495</v>
      </c>
      <c r="E25" s="7">
        <f>SUMIFS('Trial Database'!$H$2:$H$9253,'Trial Database'!$J$2:$J$9253,"&gt;="&amp;DATE(2024,8,1),'Trial Database'!$J$2:$J$9253,"&lt;"&amp;DATE(2024,9,1),'Trial Database'!$E$2:$E$9253,"Phase 2")</f>
        <v>10916</v>
      </c>
      <c r="F25" s="7">
        <f>SUMIFS('Trial Database'!$H$2:$H$9253,'Trial Database'!$J$2:$J$9253,"&gt;="&amp;DATE(2024,8,1),'Trial Database'!$J$2:$J$9253,"&lt;"&amp;DATE(2024,9,1),'Trial Database'!$E$2:$E$9253,"Phase 2/3")</f>
        <v>2700</v>
      </c>
      <c r="G25" s="7">
        <f>SUMIFS('Trial Database'!$H$2:$H$9253,'Trial Database'!$J$2:$J$9253,"&gt;="&amp;DATE(2024,8,1),'Trial Database'!$J$2:$J$9253,"&lt;"&amp;DATE(2024,9,1),'Trial Database'!$E$2:$E$9253,"Phase 3")</f>
        <v>45305</v>
      </c>
      <c r="H25" s="7">
        <f>SUMIFS('Trial Database'!$H$2:$H$9253,'Trial Database'!$J$2:$J$9253,"&gt;="&amp;DATE(2024,8,1),'Trial Database'!$J$2:$J$9253,"&lt;"&amp;DATE(2024,9,1),'Trial Database'!$E$2:$E$9253,"Phase 4")</f>
        <v>59307</v>
      </c>
      <c r="I25" s="8">
        <f t="shared" si="1"/>
        <v>131694</v>
      </c>
      <c r="J25" s="7">
        <f t="shared" si="2"/>
        <v>31</v>
      </c>
      <c r="K25" s="17">
        <f t="shared" si="3"/>
        <v>4248.1935483870966</v>
      </c>
    </row>
    <row r="26" spans="1:11" x14ac:dyDescent="0.2">
      <c r="A26" s="16">
        <v>45536</v>
      </c>
      <c r="B26" s="7">
        <f>SUMIFS('Trial Database'!$H$2:$H$9253,'Trial Database'!$J$2:$J$9253,"&gt;="&amp;DATE(2024,9,1),'Trial Database'!$J$2:$J$9253,"&lt;"&amp;DATE(2024,10,1),'Trial Database'!$E$2:$E$9253,"Early Phase 1")</f>
        <v>45</v>
      </c>
      <c r="C26" s="7">
        <f>SUMIFS('Trial Database'!$H$2:$H$9253,'Trial Database'!$J$2:$J$9253,"&gt;="&amp;DATE(2024,9,1),'Trial Database'!$J$2:$J$9253,"&lt;"&amp;DATE(2024,10,1),'Trial Database'!$E$2:$E$9253,"Phase 1")</f>
        <v>9127</v>
      </c>
      <c r="D26" s="7">
        <f>SUMIFS('Trial Database'!$H$2:$H$9253,'Trial Database'!$J$2:$J$9253,"&gt;="&amp;DATE(2024,9,1),'Trial Database'!$J$2:$J$9253,"&lt;"&amp;DATE(2024,10,1),'Trial Database'!$E$2:$E$9253,"Phase 1/2")</f>
        <v>3723</v>
      </c>
      <c r="E26" s="7">
        <f>SUMIFS('Trial Database'!$H$2:$H$9253,'Trial Database'!$J$2:$J$9253,"&gt;="&amp;DATE(2024,9,1),'Trial Database'!$J$2:$J$9253,"&lt;"&amp;DATE(2024,10,1),'Trial Database'!$E$2:$E$9253,"Phase 2")</f>
        <v>15421</v>
      </c>
      <c r="F26" s="7">
        <f>SUMIFS('Trial Database'!$H$2:$H$9253,'Trial Database'!$J$2:$J$9253,"&gt;="&amp;DATE(2024,9,1),'Trial Database'!$J$2:$J$9253,"&lt;"&amp;DATE(2024,10,1),'Trial Database'!$E$2:$E$9253,"Phase 2/3")</f>
        <v>2603</v>
      </c>
      <c r="G26" s="7">
        <f>SUMIFS('Trial Database'!$H$2:$H$9253,'Trial Database'!$J$2:$J$9253,"&gt;="&amp;DATE(2024,9,1),'Trial Database'!$J$2:$J$9253,"&lt;"&amp;DATE(2024,10,1),'Trial Database'!$E$2:$E$9253,"Phase 3")</f>
        <v>110266</v>
      </c>
      <c r="H26" s="7">
        <f>SUMIFS('Trial Database'!$H$2:$H$9253,'Trial Database'!$J$2:$J$9253,"&gt;="&amp;DATE(2024,9,1),'Trial Database'!$J$2:$J$9253,"&lt;"&amp;DATE(2024,10,1),'Trial Database'!$E$2:$E$9253,"Phase 4")</f>
        <v>5010</v>
      </c>
      <c r="I26" s="8">
        <f t="shared" si="1"/>
        <v>146195</v>
      </c>
      <c r="J26" s="7">
        <f t="shared" si="2"/>
        <v>30</v>
      </c>
      <c r="K26" s="17">
        <f t="shared" si="3"/>
        <v>4873.166666666667</v>
      </c>
    </row>
    <row r="27" spans="1:11" x14ac:dyDescent="0.2">
      <c r="A27" s="16">
        <v>45566</v>
      </c>
      <c r="B27" s="7">
        <f>SUMIFS('Trial Database'!$H$2:$H$9253,'Trial Database'!$J$2:$J$9253,"&gt;="&amp;DATE(2024,10,1),'Trial Database'!$J$2:$J$9253,"&lt;"&amp;DATE(2024,11,1),'Trial Database'!$E$2:$E$9253,"Early Phase 1")</f>
        <v>324</v>
      </c>
      <c r="C27" s="7">
        <f>SUMIFS('Trial Database'!$H$2:$H$9253,'Trial Database'!$J$2:$J$9253,"&gt;="&amp;DATE(2024,10,1),'Trial Database'!$J$2:$J$9253,"&lt;"&amp;DATE(2024,11,1),'Trial Database'!$E$2:$E$9253,"Phase 1")</f>
        <v>10304</v>
      </c>
      <c r="D27" s="7">
        <f>SUMIFS('Trial Database'!$H$2:$H$9253,'Trial Database'!$J$2:$J$9253,"&gt;="&amp;DATE(2024,10,1),'Trial Database'!$J$2:$J$9253,"&lt;"&amp;DATE(2024,11,1),'Trial Database'!$E$2:$E$9253,"Phase 1/2")</f>
        <v>3433</v>
      </c>
      <c r="E27" s="7">
        <f>SUMIFS('Trial Database'!$H$2:$H$9253,'Trial Database'!$J$2:$J$9253,"&gt;="&amp;DATE(2024,10,1),'Trial Database'!$J$2:$J$9253,"&lt;"&amp;DATE(2024,11,1),'Trial Database'!$E$2:$E$9253,"Phase 2")</f>
        <v>26679</v>
      </c>
      <c r="F27" s="7">
        <f>SUMIFS('Trial Database'!$H$2:$H$9253,'Trial Database'!$J$2:$J$9253,"&gt;="&amp;DATE(2024,10,1),'Trial Database'!$J$2:$J$9253,"&lt;"&amp;DATE(2024,11,1),'Trial Database'!$E$2:$E$9253,"Phase 2/3")</f>
        <v>2061</v>
      </c>
      <c r="G27" s="7">
        <f>SUMIFS('Trial Database'!$H$2:$H$9253,'Trial Database'!$J$2:$J$9253,"&gt;="&amp;DATE(2024,10,1),'Trial Database'!$J$2:$J$9253,"&lt;"&amp;DATE(2024,11,1),'Trial Database'!$E$2:$E$9253,"Phase 3")</f>
        <v>31120</v>
      </c>
      <c r="H27" s="7">
        <f>SUMIFS('Trial Database'!$H$2:$H$9253,'Trial Database'!$J$2:$J$9253,"&gt;="&amp;DATE(2024,10,1),'Trial Database'!$J$2:$J$9253,"&lt;"&amp;DATE(2024,11,1),'Trial Database'!$E$2:$E$9253,"Phase 4")</f>
        <v>3347</v>
      </c>
      <c r="I27" s="8">
        <f t="shared" si="1"/>
        <v>77268</v>
      </c>
      <c r="J27" s="7">
        <f t="shared" si="2"/>
        <v>31</v>
      </c>
      <c r="K27" s="17">
        <f t="shared" si="3"/>
        <v>2492.516129032258</v>
      </c>
    </row>
    <row r="28" spans="1:11" x14ac:dyDescent="0.2">
      <c r="A28" s="16">
        <v>45597</v>
      </c>
      <c r="B28" s="7">
        <f>SUMIFS('Trial Database'!$H$2:$H$9253,'Trial Database'!$J$2:$J$9253,"&gt;="&amp;DATE(2024,11,1),'Trial Database'!$J$2:$J$9253,"&lt;"&amp;DATE(2024,12,1),'Trial Database'!$E$2:$E$9253,"Early Phase 1")</f>
        <v>323</v>
      </c>
      <c r="C28" s="7">
        <f>SUMIFS('Trial Database'!$H$2:$H$9253,'Trial Database'!$J$2:$J$9253,"&gt;="&amp;DATE(2024,11,1),'Trial Database'!$J$2:$J$9253,"&lt;"&amp;DATE(2024,12,1),'Trial Database'!$E$2:$E$9253,"Phase 1")</f>
        <v>8831</v>
      </c>
      <c r="D28" s="7">
        <f>SUMIFS('Trial Database'!$H$2:$H$9253,'Trial Database'!$J$2:$J$9253,"&gt;="&amp;DATE(2024,11,1),'Trial Database'!$J$2:$J$9253,"&lt;"&amp;DATE(2024,12,1),'Trial Database'!$E$2:$E$9253,"Phase 1/2")</f>
        <v>9887</v>
      </c>
      <c r="E28" s="7">
        <f>SUMIFS('Trial Database'!$H$2:$H$9253,'Trial Database'!$J$2:$J$9253,"&gt;="&amp;DATE(2024,11,1),'Trial Database'!$J$2:$J$9253,"&lt;"&amp;DATE(2024,12,1),'Trial Database'!$E$2:$E$9253,"Phase 2")</f>
        <v>9868</v>
      </c>
      <c r="F28" s="7">
        <f>SUMIFS('Trial Database'!$H$2:$H$9253,'Trial Database'!$J$2:$J$9253,"&gt;="&amp;DATE(2024,11,1),'Trial Database'!$J$2:$J$9253,"&lt;"&amp;DATE(2024,12,1),'Trial Database'!$E$2:$E$9253,"Phase 2/3")</f>
        <v>854</v>
      </c>
      <c r="G28" s="7">
        <f>SUMIFS('Trial Database'!$H$2:$H$9253,'Trial Database'!$J$2:$J$9253,"&gt;="&amp;DATE(2024,11,1),'Trial Database'!$J$2:$J$9253,"&lt;"&amp;DATE(2024,12,1),'Trial Database'!$E$2:$E$9253,"Phase 3")</f>
        <v>31506</v>
      </c>
      <c r="H28" s="7">
        <f>SUMIFS('Trial Database'!$H$2:$H$9253,'Trial Database'!$J$2:$J$9253,"&gt;="&amp;DATE(2024,11,1),'Trial Database'!$J$2:$J$9253,"&lt;"&amp;DATE(2024,12,1),'Trial Database'!$E$2:$E$9253,"Phase 4")</f>
        <v>1209</v>
      </c>
      <c r="I28" s="8">
        <f t="shared" si="1"/>
        <v>62478</v>
      </c>
      <c r="J28" s="7">
        <f t="shared" si="2"/>
        <v>30</v>
      </c>
      <c r="K28" s="17">
        <f t="shared" si="3"/>
        <v>2082.6</v>
      </c>
    </row>
    <row r="29" spans="1:11" x14ac:dyDescent="0.2">
      <c r="A29" s="16">
        <v>45627</v>
      </c>
      <c r="B29" s="7">
        <f>SUMIFS('Trial Database'!$H$2:$H$9253,'Trial Database'!$J$2:$J$9253,"&gt;="&amp;DATE(2024,12,1),'Trial Database'!$J$2:$J$9253,"&lt;"&amp;DATE(2024,13,1),'Trial Database'!$E$2:$E$9253,"Early Phase 1")</f>
        <v>134</v>
      </c>
      <c r="C29" s="7">
        <f>SUMIFS('Trial Database'!$H$2:$H$9253,'Trial Database'!$J$2:$J$9253,"&gt;="&amp;DATE(2024,12,1),'Trial Database'!$J$2:$J$9253,"&lt;"&amp;DATE(2024,13,1),'Trial Database'!$E$2:$E$9253,"Phase 1")</f>
        <v>11044</v>
      </c>
      <c r="D29" s="7">
        <f>SUMIFS('Trial Database'!$H$2:$H$9253,'Trial Database'!$J$2:$J$9253,"&gt;="&amp;DATE(2024,12,1),'Trial Database'!$J$2:$J$9253,"&lt;"&amp;DATE(2024,13,1),'Trial Database'!$E$2:$E$9253,"Phase 1/2")</f>
        <v>4291</v>
      </c>
      <c r="E29" s="7">
        <f>SUMIFS('Trial Database'!$H$2:$H$9253,'Trial Database'!$J$2:$J$9253,"&gt;="&amp;DATE(2024,12,1),'Trial Database'!$J$2:$J$9253,"&lt;"&amp;DATE(2024,13,1),'Trial Database'!$E$2:$E$9253,"Phase 2")</f>
        <v>15707</v>
      </c>
      <c r="F29" s="7">
        <f>SUMIFS('Trial Database'!$H$2:$H$9253,'Trial Database'!$J$2:$J$9253,"&gt;="&amp;DATE(2024,12,1),'Trial Database'!$J$2:$J$9253,"&lt;"&amp;DATE(2024,13,1),'Trial Database'!$E$2:$E$9253,"Phase 2/3")</f>
        <v>3434</v>
      </c>
      <c r="G29" s="7">
        <f>SUMIFS('Trial Database'!$H$2:$H$9253,'Trial Database'!$J$2:$J$9253,"&gt;="&amp;DATE(2024,12,1),'Trial Database'!$J$2:$J$9253,"&lt;"&amp;DATE(2024,13,1),'Trial Database'!$E$2:$E$9253,"Phase 3")</f>
        <v>59403</v>
      </c>
      <c r="H29" s="7">
        <f>SUMIFS('Trial Database'!$H$2:$H$9253,'Trial Database'!$J$2:$J$9253,"&gt;="&amp;DATE(2024,12,1),'Trial Database'!$J$2:$J$9253,"&lt;"&amp;DATE(2024,13,1),'Trial Database'!$E$2:$E$9253,"Phase 4")</f>
        <v>1826</v>
      </c>
      <c r="I29" s="8">
        <f t="shared" si="1"/>
        <v>95839</v>
      </c>
      <c r="J29" s="7">
        <f t="shared" si="2"/>
        <v>31</v>
      </c>
      <c r="K29" s="17">
        <f t="shared" si="3"/>
        <v>3091.5806451612902</v>
      </c>
    </row>
    <row r="30" spans="1:11" x14ac:dyDescent="0.2">
      <c r="A30" s="16">
        <v>45658</v>
      </c>
      <c r="B30" s="7">
        <f>SUMIFS('Trial Database'!$H$2:$H$9253,'Trial Database'!$J$2:$J$9253,"&gt;="&amp;DATE(2025,1,1),'Trial Database'!$J$2:$J$9253,"&lt;"&amp;DATE(2025,2,1),'Trial Database'!$E$2:$E$9253,"Early Phase 1")</f>
        <v>178</v>
      </c>
      <c r="C30" s="7">
        <f>SUMIFS('Trial Database'!$H$2:$H$9253,'Trial Database'!$J$2:$J$9253,"&gt;="&amp;DATE(2025,1,1),'Trial Database'!$J$2:$J$9253,"&lt;"&amp;DATE(2025,2,1),'Trial Database'!$E$2:$E$9253,"Phase 1")</f>
        <v>7401</v>
      </c>
      <c r="D30" s="7">
        <f>SUMIFS('Trial Database'!$H$2:$H$9253,'Trial Database'!$J$2:$J$9253,"&gt;="&amp;DATE(2025,1,1),'Trial Database'!$J$2:$J$9253,"&lt;"&amp;DATE(2025,2,1),'Trial Database'!$E$2:$E$9253,"Phase 1/2")</f>
        <v>5672</v>
      </c>
      <c r="E30" s="7">
        <f>SUMIFS('Trial Database'!$H$2:$H$9253,'Trial Database'!$J$2:$J$9253,"&gt;="&amp;DATE(2025,1,1),'Trial Database'!$J$2:$J$9253,"&lt;"&amp;DATE(2025,2,1),'Trial Database'!$E$2:$E$9253,"Phase 2")</f>
        <v>9726</v>
      </c>
      <c r="F30" s="7">
        <f>SUMIFS('Trial Database'!$H$2:$H$9253,'Trial Database'!$J$2:$J$9253,"&gt;="&amp;DATE(2025,1,1),'Trial Database'!$J$2:$J$9253,"&lt;"&amp;DATE(2025,2,1),'Trial Database'!$E$2:$E$9253,"Phase 2/3")</f>
        <v>2994</v>
      </c>
      <c r="G30" s="7">
        <f>SUMIFS('Trial Database'!$H$2:$H$9253,'Trial Database'!$J$2:$J$9253,"&gt;="&amp;DATE(2025,1,1),'Trial Database'!$J$2:$J$9253,"&lt;"&amp;DATE(2025,2,1),'Trial Database'!$E$2:$E$9253,"Phase 3")</f>
        <v>24062</v>
      </c>
      <c r="H30" s="7">
        <f>SUMIFS('Trial Database'!$H$2:$H$9253,'Trial Database'!$J$2:$J$9253,"&gt;="&amp;DATE(2025,1,1),'Trial Database'!$J$2:$J$9253,"&lt;"&amp;DATE(2025,2,1),'Trial Database'!$E$2:$E$9253,"Phase 4")</f>
        <v>1172</v>
      </c>
      <c r="I30" s="8">
        <f t="shared" si="1"/>
        <v>51205</v>
      </c>
      <c r="J30" s="7">
        <f t="shared" si="2"/>
        <v>31</v>
      </c>
      <c r="K30" s="17">
        <f t="shared" si="3"/>
        <v>1651.7741935483871</v>
      </c>
    </row>
    <row r="31" spans="1:11" x14ac:dyDescent="0.2">
      <c r="A31" s="16">
        <v>45689</v>
      </c>
      <c r="B31" s="7">
        <f>SUMIFS('Trial Database'!$H$2:$H$9253,'Trial Database'!$J$2:$J$9253,"&gt;="&amp;DATE(2025,2,1),'Trial Database'!$J$2:$J$9253,"&lt;"&amp;DATE(2025,3,1),'Trial Database'!$E$2:$E$9253,"Early Phase 1")</f>
        <v>166</v>
      </c>
      <c r="C31" s="7">
        <f>SUMIFS('Trial Database'!$H$2:$H$9253,'Trial Database'!$J$2:$J$9253,"&gt;="&amp;DATE(2025,2,1),'Trial Database'!$J$2:$J$9253,"&lt;"&amp;DATE(2025,3,1),'Trial Database'!$E$2:$E$9253,"Phase 1")</f>
        <v>7615</v>
      </c>
      <c r="D31" s="7">
        <f>SUMIFS('Trial Database'!$H$2:$H$9253,'Trial Database'!$J$2:$J$9253,"&gt;="&amp;DATE(2025,2,1),'Trial Database'!$J$2:$J$9253,"&lt;"&amp;DATE(2025,3,1),'Trial Database'!$E$2:$E$9253,"Phase 1/2")</f>
        <v>9570</v>
      </c>
      <c r="E31" s="7">
        <f>SUMIFS('Trial Database'!$H$2:$H$9253,'Trial Database'!$J$2:$J$9253,"&gt;="&amp;DATE(2025,2,1),'Trial Database'!$J$2:$J$9253,"&lt;"&amp;DATE(2025,3,1),'Trial Database'!$E$2:$E$9253,"Phase 2")</f>
        <v>7386</v>
      </c>
      <c r="F31" s="7">
        <f>SUMIFS('Trial Database'!$H$2:$H$9253,'Trial Database'!$J$2:$J$9253,"&gt;="&amp;DATE(2025,2,1),'Trial Database'!$J$2:$J$9253,"&lt;"&amp;DATE(2025,3,1),'Trial Database'!$E$2:$E$9253,"Phase 2/3")</f>
        <v>1534</v>
      </c>
      <c r="G31" s="7">
        <f>SUMIFS('Trial Database'!$H$2:$H$9253,'Trial Database'!$J$2:$J$9253,"&gt;="&amp;DATE(2025,2,1),'Trial Database'!$J$2:$J$9253,"&lt;"&amp;DATE(2025,3,1),'Trial Database'!$E$2:$E$9253,"Phase 3")</f>
        <v>31600</v>
      </c>
      <c r="H31" s="7">
        <f>SUMIFS('Trial Database'!$H$2:$H$9253,'Trial Database'!$J$2:$J$9253,"&gt;="&amp;DATE(2025,2,1),'Trial Database'!$J$2:$J$9253,"&lt;"&amp;DATE(2025,3,1),'Trial Database'!$E$2:$E$9253,"Phase 4")</f>
        <v>3341</v>
      </c>
      <c r="I31" s="8">
        <f t="shared" si="1"/>
        <v>61212</v>
      </c>
      <c r="J31" s="7">
        <f t="shared" si="2"/>
        <v>28</v>
      </c>
      <c r="K31" s="17">
        <f t="shared" si="3"/>
        <v>2186.1428571428573</v>
      </c>
    </row>
    <row r="32" spans="1:11" x14ac:dyDescent="0.2">
      <c r="A32" s="16">
        <v>45717</v>
      </c>
      <c r="B32" s="7">
        <f>SUMIFS('Trial Database'!$H$2:$H$9253,'Trial Database'!$J$2:$J$9253,"&gt;="&amp;DATE(2025,3,1),'Trial Database'!$J$2:$J$9253,"&lt;"&amp;DATE(2025,4,1),'Trial Database'!$E$2:$E$9253,"Early Phase 1")</f>
        <v>242</v>
      </c>
      <c r="C32" s="7">
        <f>SUMIFS('Trial Database'!$H$2:$H$9253,'Trial Database'!$J$2:$J$9253,"&gt;="&amp;DATE(2025,3,1),'Trial Database'!$J$2:$J$9253,"&lt;"&amp;DATE(2025,4,1),'Trial Database'!$E$2:$E$9253,"Phase 1")</f>
        <v>9379</v>
      </c>
      <c r="D32" s="7">
        <f>SUMIFS('Trial Database'!$H$2:$H$9253,'Trial Database'!$J$2:$J$9253,"&gt;="&amp;DATE(2025,3,1),'Trial Database'!$J$2:$J$9253,"&lt;"&amp;DATE(2025,4,1),'Trial Database'!$E$2:$E$9253,"Phase 1/2")</f>
        <v>7260</v>
      </c>
      <c r="E32" s="7">
        <f>SUMIFS('Trial Database'!$H$2:$H$9253,'Trial Database'!$J$2:$J$9253,"&gt;="&amp;DATE(2025,3,1),'Trial Database'!$J$2:$J$9253,"&lt;"&amp;DATE(2025,4,1),'Trial Database'!$E$2:$E$9253,"Phase 2")</f>
        <v>11822</v>
      </c>
      <c r="F32" s="7">
        <f>SUMIFS('Trial Database'!$H$2:$H$9253,'Trial Database'!$J$2:$J$9253,"&gt;="&amp;DATE(2025,3,1),'Trial Database'!$J$2:$J$9253,"&lt;"&amp;DATE(2025,4,1),'Trial Database'!$E$2:$E$9253,"Phase 2/3")</f>
        <v>1462</v>
      </c>
      <c r="G32" s="7">
        <f>SUMIFS('Trial Database'!$H$2:$H$9253,'Trial Database'!$J$2:$J$9253,"&gt;="&amp;DATE(2025,3,1),'Trial Database'!$J$2:$J$9253,"&lt;"&amp;DATE(2025,4,1),'Trial Database'!$E$2:$E$9253,"Phase 3")</f>
        <v>50394</v>
      </c>
      <c r="H32" s="7">
        <f>SUMIFS('Trial Database'!$H$2:$H$9253,'Trial Database'!$J$2:$J$9253,"&gt;="&amp;DATE(2025,3,1),'Trial Database'!$J$2:$J$9253,"&lt;"&amp;DATE(2025,4,1),'Trial Database'!$E$2:$E$9253,"Phase 4")</f>
        <v>1721</v>
      </c>
      <c r="I32" s="8">
        <f t="shared" si="1"/>
        <v>82280</v>
      </c>
      <c r="J32" s="7">
        <f t="shared" si="2"/>
        <v>31</v>
      </c>
      <c r="K32" s="17">
        <f t="shared" si="3"/>
        <v>2654.1935483870966</v>
      </c>
    </row>
    <row r="33" spans="1:11" x14ac:dyDescent="0.2">
      <c r="A33" s="16">
        <v>45748</v>
      </c>
      <c r="B33" s="7">
        <f>SUMIFS('Trial Database'!$H$2:$H$9253,'Trial Database'!$J$2:$J$9253,"&gt;="&amp;DATE(2025,4,1),'Trial Database'!$J$2:$J$9253,"&lt;"&amp;DATE(2025,5,1),'Trial Database'!$E$2:$E$9253,"Early Phase 1")</f>
        <v>38</v>
      </c>
      <c r="C33" s="7">
        <f>SUMIFS('Trial Database'!$H$2:$H$9253,'Trial Database'!$J$2:$J$9253,"&gt;="&amp;DATE(2025,4,1),'Trial Database'!$J$2:$J$9253,"&lt;"&amp;DATE(2025,5,1),'Trial Database'!$E$2:$E$9253,"Phase 1")</f>
        <v>10990</v>
      </c>
      <c r="D33" s="7">
        <f>SUMIFS('Trial Database'!$H$2:$H$9253,'Trial Database'!$J$2:$J$9253,"&gt;="&amp;DATE(2025,4,1),'Trial Database'!$J$2:$J$9253,"&lt;"&amp;DATE(2025,5,1),'Trial Database'!$E$2:$E$9253,"Phase 1/2")</f>
        <v>6631</v>
      </c>
      <c r="E33" s="7">
        <f>SUMIFS('Trial Database'!$H$2:$H$9253,'Trial Database'!$J$2:$J$9253,"&gt;="&amp;DATE(2025,4,1),'Trial Database'!$J$2:$J$9253,"&lt;"&amp;DATE(2025,5,1),'Trial Database'!$E$2:$E$9253,"Phase 2")</f>
        <v>10252</v>
      </c>
      <c r="F33" s="7">
        <f>SUMIFS('Trial Database'!$H$2:$H$9253,'Trial Database'!$J$2:$J$9253,"&gt;="&amp;DATE(2025,4,1),'Trial Database'!$J$2:$J$9253,"&lt;"&amp;DATE(2025,5,1),'Trial Database'!$E$2:$E$9253,"Phase 2/3")</f>
        <v>3613</v>
      </c>
      <c r="G33" s="7">
        <f>SUMIFS('Trial Database'!$H$2:$H$9253,'Trial Database'!$J$2:$J$9253,"&gt;="&amp;DATE(2025,4,1),'Trial Database'!$J$2:$J$9253,"&lt;"&amp;DATE(2025,5,1),'Trial Database'!$E$2:$E$9253,"Phase 3")</f>
        <v>37203</v>
      </c>
      <c r="H33" s="7">
        <f>SUMIFS('Trial Database'!$H$2:$H$9253,'Trial Database'!$J$2:$J$9253,"&gt;="&amp;DATE(2025,4,1),'Trial Database'!$J$2:$J$9253,"&lt;"&amp;DATE(2025,5,1),'Trial Database'!$E$2:$E$9253,"Phase 4")</f>
        <v>1647</v>
      </c>
      <c r="I33" s="8">
        <f t="shared" si="1"/>
        <v>70374</v>
      </c>
      <c r="J33" s="7">
        <f t="shared" si="2"/>
        <v>30</v>
      </c>
      <c r="K33" s="17">
        <f t="shared" si="3"/>
        <v>2345.8000000000002</v>
      </c>
    </row>
    <row r="34" spans="1:11" x14ac:dyDescent="0.2">
      <c r="A34" s="16">
        <v>45778</v>
      </c>
      <c r="B34" s="7">
        <f>SUMIFS('Trial Database'!$H$2:$H$9253,'Trial Database'!$J$2:$J$9253,"&gt;="&amp;DATE(2025,5,1),'Trial Database'!$J$2:$J$9253,"&lt;"&amp;DATE(2025,6,1),'Trial Database'!$E$2:$E$9253,"Early Phase 1")</f>
        <v>158</v>
      </c>
      <c r="C34" s="7">
        <f>SUMIFS('Trial Database'!$H$2:$H$9253,'Trial Database'!$J$2:$J$9253,"&gt;="&amp;DATE(2025,5,1),'Trial Database'!$J$2:$J$9253,"&lt;"&amp;DATE(2025,6,1),'Trial Database'!$E$2:$E$9253,"Phase 1")</f>
        <v>10529</v>
      </c>
      <c r="D34" s="7">
        <f>SUMIFS('Trial Database'!$H$2:$H$9253,'Trial Database'!$J$2:$J$9253,"&gt;="&amp;DATE(2025,5,1),'Trial Database'!$J$2:$J$9253,"&lt;"&amp;DATE(2025,6,1),'Trial Database'!$E$2:$E$9253,"Phase 1/2")</f>
        <v>4733</v>
      </c>
      <c r="E34" s="7">
        <f>SUMIFS('Trial Database'!$H$2:$H$9253,'Trial Database'!$J$2:$J$9253,"&gt;="&amp;DATE(2025,5,1),'Trial Database'!$J$2:$J$9253,"&lt;"&amp;DATE(2025,6,1),'Trial Database'!$E$2:$E$9253,"Phase 2")</f>
        <v>9603</v>
      </c>
      <c r="F34" s="7">
        <f>SUMIFS('Trial Database'!$H$2:$H$9253,'Trial Database'!$J$2:$J$9253,"&gt;="&amp;DATE(2025,5,1),'Trial Database'!$J$2:$J$9253,"&lt;"&amp;DATE(2025,6,1),'Trial Database'!$E$2:$E$9253,"Phase 2/3")</f>
        <v>4251</v>
      </c>
      <c r="G34" s="7">
        <f>SUMIFS('Trial Database'!$H$2:$H$9253,'Trial Database'!$J$2:$J$9253,"&gt;="&amp;DATE(2025,5,1),'Trial Database'!$J$2:$J$9253,"&lt;"&amp;DATE(2025,6,1),'Trial Database'!$E$2:$E$9253,"Phase 3")</f>
        <v>44504</v>
      </c>
      <c r="H34" s="7">
        <f>SUMIFS('Trial Database'!$H$2:$H$9253,'Trial Database'!$J$2:$J$9253,"&gt;="&amp;DATE(2025,5,1),'Trial Database'!$J$2:$J$9253,"&lt;"&amp;DATE(2025,6,1),'Trial Database'!$E$2:$E$9253,"Phase 4")</f>
        <v>59483</v>
      </c>
      <c r="I34" s="8">
        <f t="shared" si="1"/>
        <v>133261</v>
      </c>
      <c r="J34" s="7">
        <f t="shared" si="2"/>
        <v>31</v>
      </c>
      <c r="K34" s="17">
        <f t="shared" si="3"/>
        <v>4298.7419354838712</v>
      </c>
    </row>
    <row r="35" spans="1:11" x14ac:dyDescent="0.2">
      <c r="A35" s="16">
        <v>45809</v>
      </c>
      <c r="B35" s="7">
        <f>SUMIFS('Trial Database'!$H$2:$H$9253,'Trial Database'!$J$2:$J$9253,"&gt;="&amp;DATE(2025,6,1),'Trial Database'!$J$2:$J$9253,"&lt;"&amp;DATE(2025,7,1),'Trial Database'!$E$2:$E$9253,"Early Phase 1")</f>
        <v>158</v>
      </c>
      <c r="C35" s="7">
        <f>SUMIFS('Trial Database'!$H$2:$H$9253,'Trial Database'!$J$2:$J$9253,"&gt;="&amp;DATE(2025,6,1),'Trial Database'!$J$2:$J$9253,"&lt;"&amp;DATE(2025,7,1),'Trial Database'!$E$2:$E$9253,"Phase 1")</f>
        <v>9454</v>
      </c>
      <c r="D35" s="7">
        <f>SUMIFS('Trial Database'!$H$2:$H$9253,'Trial Database'!$J$2:$J$9253,"&gt;="&amp;DATE(2025,6,1),'Trial Database'!$J$2:$J$9253,"&lt;"&amp;DATE(2025,7,1),'Trial Database'!$E$2:$E$9253,"Phase 1/2")</f>
        <v>4893</v>
      </c>
      <c r="E35" s="7">
        <f>SUMIFS('Trial Database'!$H$2:$H$9253,'Trial Database'!$J$2:$J$9253,"&gt;="&amp;DATE(2025,6,1),'Trial Database'!$J$2:$J$9253,"&lt;"&amp;DATE(2025,7,1),'Trial Database'!$E$2:$E$9253,"Phase 2")</f>
        <v>13083</v>
      </c>
      <c r="F35" s="7">
        <f>SUMIFS('Trial Database'!$H$2:$H$9253,'Trial Database'!$J$2:$J$9253,"&gt;="&amp;DATE(2025,6,1),'Trial Database'!$J$2:$J$9253,"&lt;"&amp;DATE(2025,7,1),'Trial Database'!$E$2:$E$9253,"Phase 2/3")</f>
        <v>3421</v>
      </c>
      <c r="G35" s="7">
        <f>SUMIFS('Trial Database'!$H$2:$H$9253,'Trial Database'!$J$2:$J$9253,"&gt;="&amp;DATE(2025,6,1),'Trial Database'!$J$2:$J$9253,"&lt;"&amp;DATE(2025,7,1),'Trial Database'!$E$2:$E$9253,"Phase 3")</f>
        <v>71576</v>
      </c>
      <c r="H35" s="7">
        <f>SUMIFS('Trial Database'!$H$2:$H$9253,'Trial Database'!$J$2:$J$9253,"&gt;="&amp;DATE(2025,6,1),'Trial Database'!$J$2:$J$9253,"&lt;"&amp;DATE(2025,7,1),'Trial Database'!$E$2:$E$9253,"Phase 4")</f>
        <v>2773</v>
      </c>
      <c r="I35" s="8">
        <f t="shared" si="1"/>
        <v>105358</v>
      </c>
      <c r="J35" s="7">
        <f t="shared" si="2"/>
        <v>30</v>
      </c>
      <c r="K35" s="17">
        <f t="shared" si="3"/>
        <v>3511.9333333333334</v>
      </c>
    </row>
    <row r="36" spans="1:11" x14ac:dyDescent="0.2">
      <c r="A36" s="16">
        <v>45839</v>
      </c>
      <c r="B36" s="7">
        <f>SUMIFS('Trial Database'!$H$2:$H$9253,'Trial Database'!$J$2:$J$9253,"&gt;="&amp;DATE(2025,7,1),'Trial Database'!$J$2:$J$9253,"&lt;"&amp;DATE(2025,8,1),'Trial Database'!$E$2:$E$9253,"Early Phase 1")</f>
        <v>233</v>
      </c>
      <c r="C36" s="7">
        <f>SUMIFS('Trial Database'!$H$2:$H$9253,'Trial Database'!$J$2:$J$9253,"&gt;="&amp;DATE(2025,7,1),'Trial Database'!$J$2:$J$9253,"&lt;"&amp;DATE(2025,8,1),'Trial Database'!$E$2:$E$9253,"Phase 1")</f>
        <v>10546</v>
      </c>
      <c r="D36" s="7">
        <f>SUMIFS('Trial Database'!$H$2:$H$9253,'Trial Database'!$J$2:$J$9253,"&gt;="&amp;DATE(2025,7,1),'Trial Database'!$J$2:$J$9253,"&lt;"&amp;DATE(2025,8,1),'Trial Database'!$E$2:$E$9253,"Phase 1/2")</f>
        <v>5145</v>
      </c>
      <c r="E36" s="7">
        <f>SUMIFS('Trial Database'!$H$2:$H$9253,'Trial Database'!$J$2:$J$9253,"&gt;="&amp;DATE(2025,7,1),'Trial Database'!$J$2:$J$9253,"&lt;"&amp;DATE(2025,8,1),'Trial Database'!$E$2:$E$9253,"Phase 2")</f>
        <v>11192</v>
      </c>
      <c r="F36" s="7">
        <f>SUMIFS('Trial Database'!$H$2:$H$9253,'Trial Database'!$J$2:$J$9253,"&gt;="&amp;DATE(2025,7,1),'Trial Database'!$J$2:$J$9253,"&lt;"&amp;DATE(2025,8,1),'Trial Database'!$E$2:$E$9253,"Phase 2/3")</f>
        <v>1614</v>
      </c>
      <c r="G36" s="7">
        <f>SUMIFS('Trial Database'!$H$2:$H$9253,'Trial Database'!$J$2:$J$9253,"&gt;="&amp;DATE(2025,7,1),'Trial Database'!$J$2:$J$9253,"&lt;"&amp;DATE(2025,8,1),'Trial Database'!$E$2:$E$9253,"Phase 3")</f>
        <v>65700</v>
      </c>
      <c r="H36" s="7">
        <f>SUMIFS('Trial Database'!$H$2:$H$9253,'Trial Database'!$J$2:$J$9253,"&gt;="&amp;DATE(2025,7,1),'Trial Database'!$J$2:$J$9253,"&lt;"&amp;DATE(2025,8,1),'Trial Database'!$E$2:$E$9253,"Phase 4")</f>
        <v>4044</v>
      </c>
      <c r="I36" s="8">
        <f t="shared" si="1"/>
        <v>98474</v>
      </c>
      <c r="J36" s="7">
        <f t="shared" si="2"/>
        <v>31</v>
      </c>
      <c r="K36" s="17">
        <f t="shared" si="3"/>
        <v>3176.5806451612902</v>
      </c>
    </row>
    <row r="37" spans="1:11" x14ac:dyDescent="0.2">
      <c r="A37" s="16">
        <v>45870</v>
      </c>
      <c r="B37" s="7">
        <f>SUMIFS('Trial Database'!$H$2:$H$9253,'Trial Database'!$J$2:$J$9253,"&gt;="&amp;DATE(2025,8,1),'Trial Database'!$J$2:$J$9253,"&lt;"&amp;DATE(2025,9,1),'Trial Database'!$E$2:$E$9253,"Early Phase 1")</f>
        <v>270</v>
      </c>
      <c r="C37" s="7">
        <f>SUMIFS('Trial Database'!$H$2:$H$9253,'Trial Database'!$J$2:$J$9253,"&gt;="&amp;DATE(2025,8,1),'Trial Database'!$J$2:$J$9253,"&lt;"&amp;DATE(2025,9,1),'Trial Database'!$E$2:$E$9253,"Phase 1")</f>
        <v>10674</v>
      </c>
      <c r="D37" s="7">
        <f>SUMIFS('Trial Database'!$H$2:$H$9253,'Trial Database'!$J$2:$J$9253,"&gt;="&amp;DATE(2025,8,1),'Trial Database'!$J$2:$J$9253,"&lt;"&amp;DATE(2025,9,1),'Trial Database'!$E$2:$E$9253,"Phase 1/2")</f>
        <v>4695</v>
      </c>
      <c r="E37" s="7">
        <f>SUMIFS('Trial Database'!$H$2:$H$9253,'Trial Database'!$J$2:$J$9253,"&gt;="&amp;DATE(2025,8,1),'Trial Database'!$J$2:$J$9253,"&lt;"&amp;DATE(2025,9,1),'Trial Database'!$E$2:$E$9253,"Phase 2")</f>
        <v>15002</v>
      </c>
      <c r="F37" s="7">
        <f>SUMIFS('Trial Database'!$H$2:$H$9253,'Trial Database'!$J$2:$J$9253,"&gt;="&amp;DATE(2025,8,1),'Trial Database'!$J$2:$J$9253,"&lt;"&amp;DATE(2025,9,1),'Trial Database'!$E$2:$E$9253,"Phase 2/3")</f>
        <v>3323</v>
      </c>
      <c r="G37" s="7">
        <f>SUMIFS('Trial Database'!$H$2:$H$9253,'Trial Database'!$J$2:$J$9253,"&gt;="&amp;DATE(2025,8,1),'Trial Database'!$J$2:$J$9253,"&lt;"&amp;DATE(2025,9,1),'Trial Database'!$E$2:$E$9253,"Phase 3")</f>
        <v>51738</v>
      </c>
      <c r="H37" s="7">
        <f>SUMIFS('Trial Database'!$H$2:$H$9253,'Trial Database'!$J$2:$J$9253,"&gt;="&amp;DATE(2025,8,1),'Trial Database'!$J$2:$J$9253,"&lt;"&amp;DATE(2025,9,1),'Trial Database'!$E$2:$E$9253,"Phase 4")</f>
        <v>2291</v>
      </c>
      <c r="I37" s="8">
        <f t="shared" si="1"/>
        <v>87993</v>
      </c>
      <c r="J37" s="7">
        <f t="shared" si="2"/>
        <v>31</v>
      </c>
      <c r="K37" s="17">
        <f t="shared" si="3"/>
        <v>2838.483870967742</v>
      </c>
    </row>
    <row r="38" spans="1:11" x14ac:dyDescent="0.2">
      <c r="A38" s="16">
        <v>45901</v>
      </c>
      <c r="B38" s="7">
        <f>SUMIFS('Trial Database'!$H$2:$H$9253,'Trial Database'!$J$2:$J$9253,"&gt;="&amp;DATE(2025,9,1),'Trial Database'!$J$2:$J$9253,"&lt;"&amp;DATE(2025,10,1),'Trial Database'!$E$2:$E$9253,"Early Phase 1")</f>
        <v>203</v>
      </c>
      <c r="C38" s="7">
        <f>SUMIFS('Trial Database'!$H$2:$H$9253,'Trial Database'!$J$2:$J$9253,"&gt;="&amp;DATE(2025,9,1),'Trial Database'!$J$2:$J$9253,"&lt;"&amp;DATE(2025,10,1),'Trial Database'!$E$2:$E$9253,"Phase 1")</f>
        <v>6408</v>
      </c>
      <c r="D38" s="7">
        <f>SUMIFS('Trial Database'!$H$2:$H$9253,'Trial Database'!$J$2:$J$9253,"&gt;="&amp;DATE(2025,9,1),'Trial Database'!$J$2:$J$9253,"&lt;"&amp;DATE(2025,10,1),'Trial Database'!$E$2:$E$9253,"Phase 1/2")</f>
        <v>6620</v>
      </c>
      <c r="E38" s="7">
        <f>SUMIFS('Trial Database'!$H$2:$H$9253,'Trial Database'!$J$2:$J$9253,"&gt;="&amp;DATE(2025,9,1),'Trial Database'!$J$2:$J$9253,"&lt;"&amp;DATE(2025,10,1),'Trial Database'!$E$2:$E$9253,"Phase 2")</f>
        <v>14565</v>
      </c>
      <c r="F38" s="7">
        <f>SUMIFS('Trial Database'!$H$2:$H$9253,'Trial Database'!$J$2:$J$9253,"&gt;="&amp;DATE(2025,9,1),'Trial Database'!$J$2:$J$9253,"&lt;"&amp;DATE(2025,10,1),'Trial Database'!$E$2:$E$9253,"Phase 2/3")</f>
        <v>2813</v>
      </c>
      <c r="G38" s="7">
        <f>SUMIFS('Trial Database'!$H$2:$H$9253,'Trial Database'!$J$2:$J$9253,"&gt;="&amp;DATE(2025,9,1),'Trial Database'!$J$2:$J$9253,"&lt;"&amp;DATE(2025,10,1),'Trial Database'!$E$2:$E$9253,"Phase 3")</f>
        <v>83039</v>
      </c>
      <c r="H38" s="7">
        <f>SUMIFS('Trial Database'!$H$2:$H$9253,'Trial Database'!$J$2:$J$9253,"&gt;="&amp;DATE(2025,9,1),'Trial Database'!$J$2:$J$9253,"&lt;"&amp;DATE(2025,10,1),'Trial Database'!$E$2:$E$9253,"Phase 4")</f>
        <v>11248</v>
      </c>
      <c r="I38" s="8">
        <f t="shared" si="1"/>
        <v>124896</v>
      </c>
      <c r="J38" s="7">
        <f t="shared" si="2"/>
        <v>30</v>
      </c>
      <c r="K38" s="17">
        <f t="shared" si="3"/>
        <v>4163.2</v>
      </c>
    </row>
    <row r="39" spans="1:11" x14ac:dyDescent="0.2">
      <c r="A39" s="16">
        <v>45931</v>
      </c>
      <c r="B39" s="7">
        <f>SUMIFS('Trial Database'!$H$2:$H$9253,'Trial Database'!$J$2:$J$9253,"&gt;="&amp;DATE(2025,10,1),'Trial Database'!$J$2:$J$9253,"&lt;"&amp;DATE(2025,11,1),'Trial Database'!$E$2:$E$9253,"Early Phase 1")</f>
        <v>348</v>
      </c>
      <c r="C39" s="7">
        <f>SUMIFS('Trial Database'!$H$2:$H$9253,'Trial Database'!$J$2:$J$9253,"&gt;="&amp;DATE(2025,10,1),'Trial Database'!$J$2:$J$9253,"&lt;"&amp;DATE(2025,11,1),'Trial Database'!$E$2:$E$9253,"Phase 1")</f>
        <v>9145</v>
      </c>
      <c r="D39" s="7">
        <f>SUMIFS('Trial Database'!$H$2:$H$9253,'Trial Database'!$J$2:$J$9253,"&gt;="&amp;DATE(2025,10,1),'Trial Database'!$J$2:$J$9253,"&lt;"&amp;DATE(2025,11,1),'Trial Database'!$E$2:$E$9253,"Phase 1/2")</f>
        <v>4973</v>
      </c>
      <c r="E39" s="7">
        <f>SUMIFS('Trial Database'!$H$2:$H$9253,'Trial Database'!$J$2:$J$9253,"&gt;="&amp;DATE(2025,10,1),'Trial Database'!$J$2:$J$9253,"&lt;"&amp;DATE(2025,11,1),'Trial Database'!$E$2:$E$9253,"Phase 2")</f>
        <v>15519</v>
      </c>
      <c r="F39" s="7">
        <f>SUMIFS('Trial Database'!$H$2:$H$9253,'Trial Database'!$J$2:$J$9253,"&gt;="&amp;DATE(2025,10,1),'Trial Database'!$J$2:$J$9253,"&lt;"&amp;DATE(2025,11,1),'Trial Database'!$E$2:$E$9253,"Phase 2/3")</f>
        <v>6166</v>
      </c>
      <c r="G39" s="7">
        <f>SUMIFS('Trial Database'!$H$2:$H$9253,'Trial Database'!$J$2:$J$9253,"&gt;="&amp;DATE(2025,10,1),'Trial Database'!$J$2:$J$9253,"&lt;"&amp;DATE(2025,11,1),'Trial Database'!$E$2:$E$9253,"Phase 3")</f>
        <v>59077</v>
      </c>
      <c r="H39" s="7">
        <f>SUMIFS('Trial Database'!$H$2:$H$9253,'Trial Database'!$J$2:$J$9253,"&gt;="&amp;DATE(2025,10,1),'Trial Database'!$J$2:$J$9253,"&lt;"&amp;DATE(2025,11,1),'Trial Database'!$E$2:$E$9253,"Phase 4")</f>
        <v>871</v>
      </c>
      <c r="I39" s="8">
        <f t="shared" si="1"/>
        <v>96099</v>
      </c>
      <c r="J39" s="7">
        <f t="shared" si="2"/>
        <v>31</v>
      </c>
      <c r="K39" s="17">
        <f t="shared" si="3"/>
        <v>3099.9677419354839</v>
      </c>
    </row>
    <row r="40" spans="1:11" x14ac:dyDescent="0.2">
      <c r="A40" s="16">
        <v>45962</v>
      </c>
      <c r="B40" s="7">
        <f>SUMIFS('Trial Database'!$H$2:$H$9253,'Trial Database'!$J$2:$J$9253,"&gt;="&amp;DATE(2025,11,1),'Trial Database'!$J$2:$J$9253,"&lt;"&amp;DATE(2025,12,1),'Trial Database'!$E$2:$E$9253,"Early Phase 1")</f>
        <v>98</v>
      </c>
      <c r="C40" s="7">
        <f>SUMIFS('Trial Database'!$H$2:$H$9253,'Trial Database'!$J$2:$J$9253,"&gt;="&amp;DATE(2025,11,1),'Trial Database'!$J$2:$J$9253,"&lt;"&amp;DATE(2025,12,1),'Trial Database'!$E$2:$E$9253,"Phase 1")</f>
        <v>8436</v>
      </c>
      <c r="D40" s="7">
        <f>SUMIFS('Trial Database'!$H$2:$H$9253,'Trial Database'!$J$2:$J$9253,"&gt;="&amp;DATE(2025,11,1),'Trial Database'!$J$2:$J$9253,"&lt;"&amp;DATE(2025,12,1),'Trial Database'!$E$2:$E$9253,"Phase 1/2")</f>
        <v>3785</v>
      </c>
      <c r="E40" s="7">
        <f>SUMIFS('Trial Database'!$H$2:$H$9253,'Trial Database'!$J$2:$J$9253,"&gt;="&amp;DATE(2025,11,1),'Trial Database'!$J$2:$J$9253,"&lt;"&amp;DATE(2025,12,1),'Trial Database'!$E$2:$E$9253,"Phase 2")</f>
        <v>11407</v>
      </c>
      <c r="F40" s="7">
        <f>SUMIFS('Trial Database'!$H$2:$H$9253,'Trial Database'!$J$2:$J$9253,"&gt;="&amp;DATE(2025,11,1),'Trial Database'!$J$2:$J$9253,"&lt;"&amp;DATE(2025,12,1),'Trial Database'!$E$2:$E$9253,"Phase 2/3")</f>
        <v>1406</v>
      </c>
      <c r="G40" s="7">
        <f>SUMIFS('Trial Database'!$H$2:$H$9253,'Trial Database'!$J$2:$J$9253,"&gt;="&amp;DATE(2025,11,1),'Trial Database'!$J$2:$J$9253,"&lt;"&amp;DATE(2025,12,1),'Trial Database'!$E$2:$E$9253,"Phase 3")</f>
        <v>36740</v>
      </c>
      <c r="H40" s="7">
        <f>SUMIFS('Trial Database'!$H$2:$H$9253,'Trial Database'!$J$2:$J$9253,"&gt;="&amp;DATE(2025,11,1),'Trial Database'!$J$2:$J$9253,"&lt;"&amp;DATE(2025,12,1),'Trial Database'!$E$2:$E$9253,"Phase 4")</f>
        <v>44990</v>
      </c>
      <c r="I40" s="8">
        <f t="shared" si="1"/>
        <v>106862</v>
      </c>
      <c r="J40" s="7">
        <f t="shared" si="2"/>
        <v>30</v>
      </c>
      <c r="K40" s="17">
        <f t="shared" si="3"/>
        <v>3562.0666666666666</v>
      </c>
    </row>
    <row r="41" spans="1:11" x14ac:dyDescent="0.2">
      <c r="A41" s="16">
        <v>45992</v>
      </c>
      <c r="B41" s="7">
        <f>SUMIFS('Trial Database'!$H$2:$H$9253,'Trial Database'!$J$2:$J$9253,"&gt;="&amp;DATE(2025,12,1),'Trial Database'!$J$2:$J$9253,"&lt;"&amp;DATE(2025,13,1),'Trial Database'!$E$2:$E$9253,"Early Phase 1")</f>
        <v>503</v>
      </c>
      <c r="C41" s="7">
        <f>SUMIFS('Trial Database'!$H$2:$H$9253,'Trial Database'!$J$2:$J$9253,"&gt;="&amp;DATE(2025,12,1),'Trial Database'!$J$2:$J$9253,"&lt;"&amp;DATE(2025,13,1),'Trial Database'!$E$2:$E$9253,"Phase 1")</f>
        <v>11157</v>
      </c>
      <c r="D41" s="7">
        <f>SUMIFS('Trial Database'!$H$2:$H$9253,'Trial Database'!$J$2:$J$9253,"&gt;="&amp;DATE(2025,12,1),'Trial Database'!$J$2:$J$9253,"&lt;"&amp;DATE(2025,13,1),'Trial Database'!$E$2:$E$9253,"Phase 1/2")</f>
        <v>6066</v>
      </c>
      <c r="E41" s="7">
        <f>SUMIFS('Trial Database'!$H$2:$H$9253,'Trial Database'!$J$2:$J$9253,"&gt;="&amp;DATE(2025,12,1),'Trial Database'!$J$2:$J$9253,"&lt;"&amp;DATE(2025,13,1),'Trial Database'!$E$2:$E$9253,"Phase 2")</f>
        <v>16416</v>
      </c>
      <c r="F41" s="7">
        <f>SUMIFS('Trial Database'!$H$2:$H$9253,'Trial Database'!$J$2:$J$9253,"&gt;="&amp;DATE(2025,12,1),'Trial Database'!$J$2:$J$9253,"&lt;"&amp;DATE(2025,13,1),'Trial Database'!$E$2:$E$9253,"Phase 2/3")</f>
        <v>4918</v>
      </c>
      <c r="G41" s="7">
        <f>SUMIFS('Trial Database'!$H$2:$H$9253,'Trial Database'!$J$2:$J$9253,"&gt;="&amp;DATE(2025,12,1),'Trial Database'!$J$2:$J$9253,"&lt;"&amp;DATE(2025,13,1),'Trial Database'!$E$2:$E$9253,"Phase 3")</f>
        <v>119703</v>
      </c>
      <c r="H41" s="7">
        <f>SUMIFS('Trial Database'!$H$2:$H$9253,'Trial Database'!$J$2:$J$9253,"&gt;="&amp;DATE(2025,12,1),'Trial Database'!$J$2:$J$9253,"&lt;"&amp;DATE(2025,13,1),'Trial Database'!$E$2:$E$9253,"Phase 4")</f>
        <v>1180</v>
      </c>
      <c r="I41" s="8">
        <f t="shared" si="1"/>
        <v>159943</v>
      </c>
      <c r="J41" s="7">
        <f t="shared" si="2"/>
        <v>31</v>
      </c>
      <c r="K41" s="17">
        <f t="shared" si="3"/>
        <v>5159.4516129032254</v>
      </c>
    </row>
    <row r="42" spans="1:11" x14ac:dyDescent="0.2">
      <c r="A42" s="16">
        <v>46023</v>
      </c>
      <c r="B42" s="7">
        <f>SUMIFS('Trial Database'!$H$2:$H$9253,'Trial Database'!$J$2:$J$9253,"&gt;="&amp;DATE(2026,1,1),'Trial Database'!$J$2:$J$9253,"&lt;"&amp;DATE(2026,2,1),'Trial Database'!$E$2:$E$9253,"Early Phase 1")</f>
        <v>379</v>
      </c>
      <c r="C42" s="7">
        <f>SUMIFS('Trial Database'!$H$2:$H$9253,'Trial Database'!$J$2:$J$9253,"&gt;="&amp;DATE(2026,1,1),'Trial Database'!$J$2:$J$9253,"&lt;"&amp;DATE(2026,2,1),'Trial Database'!$E$2:$E$9253,"Phase 1")</f>
        <v>9318</v>
      </c>
      <c r="D42" s="7">
        <f>SUMIFS('Trial Database'!$H$2:$H$9253,'Trial Database'!$J$2:$J$9253,"&gt;="&amp;DATE(2026,1,1),'Trial Database'!$J$2:$J$9253,"&lt;"&amp;DATE(2026,2,1),'Trial Database'!$E$2:$E$9253,"Phase 1/2")</f>
        <v>7947</v>
      </c>
      <c r="E42" s="7">
        <f>SUMIFS('Trial Database'!$H$2:$H$9253,'Trial Database'!$J$2:$J$9253,"&gt;="&amp;DATE(2026,1,1),'Trial Database'!$J$2:$J$9253,"&lt;"&amp;DATE(2026,2,1),'Trial Database'!$E$2:$E$9253,"Phase 2")</f>
        <v>11871</v>
      </c>
      <c r="F42" s="7">
        <f>SUMIFS('Trial Database'!$H$2:$H$9253,'Trial Database'!$J$2:$J$9253,"&gt;="&amp;DATE(2026,1,1),'Trial Database'!$J$2:$J$9253,"&lt;"&amp;DATE(2026,2,1),'Trial Database'!$E$2:$E$9253,"Phase 2/3")</f>
        <v>4718</v>
      </c>
      <c r="G42" s="7">
        <f>SUMIFS('Trial Database'!$H$2:$H$9253,'Trial Database'!$J$2:$J$9253,"&gt;="&amp;DATE(2026,1,1),'Trial Database'!$J$2:$J$9253,"&lt;"&amp;DATE(2026,2,1),'Trial Database'!$E$2:$E$9253,"Phase 3")</f>
        <v>39023</v>
      </c>
      <c r="H42" s="7">
        <f>SUMIFS('Trial Database'!$H$2:$H$9253,'Trial Database'!$J$2:$J$9253,"&gt;="&amp;DATE(2026,1,1),'Trial Database'!$J$2:$J$9253,"&lt;"&amp;DATE(2026,2,1),'Trial Database'!$E$2:$E$9253,"Phase 4")</f>
        <v>3765</v>
      </c>
      <c r="I42" s="8">
        <f t="shared" si="1"/>
        <v>77021</v>
      </c>
      <c r="J42" s="7">
        <f t="shared" si="2"/>
        <v>31</v>
      </c>
      <c r="K42" s="17">
        <f t="shared" si="3"/>
        <v>2484.5483870967741</v>
      </c>
    </row>
    <row r="43" spans="1:11" x14ac:dyDescent="0.2">
      <c r="A43" s="16">
        <v>46054</v>
      </c>
      <c r="B43" s="7">
        <f>SUMIFS('Trial Database'!$H$2:$H$9253,'Trial Database'!$J$2:$J$9253,"&gt;="&amp;DATE(2026,2,1),'Trial Database'!$J$2:$J$9253,"&lt;"&amp;DATE(2026,3,1),'Trial Database'!$E$2:$E$9253,"Early Phase 1")</f>
        <v>464</v>
      </c>
      <c r="C43" s="7">
        <f>SUMIFS('Trial Database'!$H$2:$H$9253,'Trial Database'!$J$2:$J$9253,"&gt;="&amp;DATE(2026,2,1),'Trial Database'!$J$2:$J$9253,"&lt;"&amp;DATE(2026,3,1),'Trial Database'!$E$2:$E$9253,"Phase 1")</f>
        <v>7021</v>
      </c>
      <c r="D43" s="7">
        <f>SUMIFS('Trial Database'!$H$2:$H$9253,'Trial Database'!$J$2:$J$9253,"&gt;="&amp;DATE(2026,2,1),'Trial Database'!$J$2:$J$9253,"&lt;"&amp;DATE(2026,3,1),'Trial Database'!$E$2:$E$9253,"Phase 1/2")</f>
        <v>6095</v>
      </c>
      <c r="E43" s="7">
        <f>SUMIFS('Trial Database'!$H$2:$H$9253,'Trial Database'!$J$2:$J$9253,"&gt;="&amp;DATE(2026,2,1),'Trial Database'!$J$2:$J$9253,"&lt;"&amp;DATE(2026,3,1),'Trial Database'!$E$2:$E$9253,"Phase 2")</f>
        <v>12223</v>
      </c>
      <c r="F43" s="7">
        <f>SUMIFS('Trial Database'!$H$2:$H$9253,'Trial Database'!$J$2:$J$9253,"&gt;="&amp;DATE(2026,2,1),'Trial Database'!$J$2:$J$9253,"&lt;"&amp;DATE(2026,3,1),'Trial Database'!$E$2:$E$9253,"Phase 2/3")</f>
        <v>2250</v>
      </c>
      <c r="G43" s="7">
        <f>SUMIFS('Trial Database'!$H$2:$H$9253,'Trial Database'!$J$2:$J$9253,"&gt;="&amp;DATE(2026,2,1),'Trial Database'!$J$2:$J$9253,"&lt;"&amp;DATE(2026,3,1),'Trial Database'!$E$2:$E$9253,"Phase 3")</f>
        <v>32150</v>
      </c>
      <c r="H43" s="7">
        <f>SUMIFS('Trial Database'!$H$2:$H$9253,'Trial Database'!$J$2:$J$9253,"&gt;="&amp;DATE(2026,2,1),'Trial Database'!$J$2:$J$9253,"&lt;"&amp;DATE(2026,3,1),'Trial Database'!$E$2:$E$9253,"Phase 4")</f>
        <v>1156</v>
      </c>
      <c r="I43" s="8">
        <f t="shared" si="1"/>
        <v>61359</v>
      </c>
      <c r="J43" s="7">
        <f t="shared" si="2"/>
        <v>28</v>
      </c>
      <c r="K43" s="17">
        <f t="shared" si="3"/>
        <v>2191.3928571428573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DD7EE"/>
  </sheetPr>
  <dimension ref="A1:J92"/>
  <sheetViews>
    <sheetView topLeftCell="A49" workbookViewId="0"/>
  </sheetViews>
  <sheetFormatPr baseColWidth="10" defaultColWidth="8.83203125" defaultRowHeight="15" x14ac:dyDescent="0.2"/>
  <cols>
    <col min="1" max="1" width="38.6640625" customWidth="1"/>
    <col min="2" max="12" width="14.6640625" customWidth="1"/>
  </cols>
  <sheetData>
    <row r="1" spans="1:10" x14ac:dyDescent="0.2">
      <c r="A1" s="18" t="s">
        <v>21948</v>
      </c>
    </row>
    <row r="3" spans="1:10" x14ac:dyDescent="0.2">
      <c r="A3" s="19" t="s">
        <v>21949</v>
      </c>
    </row>
    <row r="4" spans="1:10" x14ac:dyDescent="0.2">
      <c r="A4" s="20" t="s">
        <v>21424</v>
      </c>
      <c r="B4" s="20" t="s">
        <v>21950</v>
      </c>
      <c r="C4" s="20" t="s">
        <v>21951</v>
      </c>
      <c r="D4" s="20" t="s">
        <v>21425</v>
      </c>
    </row>
    <row r="5" spans="1:10" x14ac:dyDescent="0.2">
      <c r="A5" s="7" t="s">
        <v>21426</v>
      </c>
      <c r="B5" s="7">
        <f>COUNTIFS('Novel Approval Database'!$G$3:$G$125,2024,'Novel Approval Database'!$C$3:$C$125,"NDA")</f>
        <v>34</v>
      </c>
      <c r="C5" s="7">
        <f>COUNTIFS('Novel Approval Database'!$G$3:$G$125,2024,'Novel Approval Database'!$C$3:$C$125,"BLA")</f>
        <v>28</v>
      </c>
      <c r="D5" s="8">
        <f>B5+C5</f>
        <v>62</v>
      </c>
    </row>
    <row r="6" spans="1:10" x14ac:dyDescent="0.2">
      <c r="A6" s="7" t="s">
        <v>21427</v>
      </c>
      <c r="B6" s="7">
        <f>COUNTIFS('Novel Approval Database'!$G$3:$G$125,2025,'Novel Approval Database'!$C$3:$C$125,"NDA")</f>
        <v>34</v>
      </c>
      <c r="C6" s="7">
        <f>COUNTIFS('Novel Approval Database'!$G$3:$G$125,2025,'Novel Approval Database'!$C$3:$C$125,"BLA")</f>
        <v>22</v>
      </c>
      <c r="D6" s="8">
        <f>B6+C6</f>
        <v>56</v>
      </c>
    </row>
    <row r="7" spans="1:10" x14ac:dyDescent="0.2">
      <c r="A7" s="7" t="s">
        <v>21428</v>
      </c>
      <c r="B7" s="7">
        <f>COUNTIFS('Novel Approval Database'!$G$3:$G$125,2026,'Novel Approval Database'!$C$3:$C$125,"NDA")</f>
        <v>4</v>
      </c>
      <c r="C7" s="7">
        <f>COUNTIFS('Novel Approval Database'!$G$3:$G$125,2026,'Novel Approval Database'!$C$3:$C$125,"BLA")</f>
        <v>1</v>
      </c>
      <c r="D7" s="8">
        <f>B7+C7</f>
        <v>5</v>
      </c>
    </row>
    <row r="8" spans="1:10" x14ac:dyDescent="0.2">
      <c r="A8" s="9" t="s">
        <v>21429</v>
      </c>
      <c r="B8" s="10">
        <f ca="1">ROUND(B7*12/MONTH(EOMONTH(TODAY(),-1)),0)</f>
        <v>24</v>
      </c>
      <c r="C8" s="10">
        <f ca="1">ROUND(C7*12/MONTH(EOMONTH(TODAY(),-1)),0)</f>
        <v>6</v>
      </c>
      <c r="D8" s="11">
        <f ca="1">B8+C8</f>
        <v>30</v>
      </c>
    </row>
    <row r="10" spans="1:10" x14ac:dyDescent="0.2">
      <c r="A10" s="19" t="s">
        <v>21952</v>
      </c>
    </row>
    <row r="11" spans="1:10" x14ac:dyDescent="0.2">
      <c r="A11" s="20" t="s">
        <v>21438</v>
      </c>
      <c r="B11" s="20" t="s">
        <v>21455</v>
      </c>
      <c r="C11" s="20" t="s">
        <v>21953</v>
      </c>
      <c r="D11" s="20" t="s">
        <v>21954</v>
      </c>
      <c r="E11" s="20" t="s">
        <v>21425</v>
      </c>
      <c r="F11" s="20" t="s">
        <v>21439</v>
      </c>
      <c r="G11" s="20" t="s">
        <v>21955</v>
      </c>
      <c r="H11" s="20" t="s">
        <v>21956</v>
      </c>
      <c r="I11" s="20" t="s">
        <v>21957</v>
      </c>
      <c r="J11" s="20" t="s">
        <v>21958</v>
      </c>
    </row>
    <row r="12" spans="1:10" x14ac:dyDescent="0.2">
      <c r="A12" s="21">
        <v>45292</v>
      </c>
      <c r="B12" s="7">
        <f>COUNTIFS('Novel Approval Database'!$H$3:$H$125,"Jan 2024",'Novel Approval Database'!$C$3:$C$125,"NDA")</f>
        <v>1</v>
      </c>
      <c r="C12" s="7">
        <f>COUNTIFS('Novel Approval Database'!$H$3:$H$125,"Jan 2024",'Novel Approval Database'!$C$3:$C$125,"BLA",'Novel Approval Database'!$A$3:$A$125,"CDER")</f>
        <v>0</v>
      </c>
      <c r="D12" s="7">
        <f>COUNTIFS('Novel Approval Database'!$H$3:$H$125,"Jan 2024",'Novel Approval Database'!$A$3:$A$125,"CBER")</f>
        <v>1</v>
      </c>
      <c r="E12" s="8">
        <f t="shared" ref="E12:E37" si="0">B12+C12+D12</f>
        <v>2</v>
      </c>
      <c r="F12" s="7">
        <f t="shared" ref="F12:F37" si="1">DAY(EOMONTH(A12,0))</f>
        <v>31</v>
      </c>
      <c r="G12" s="17">
        <f t="shared" ref="G12:G37" si="2">IF(F12=0,0,E12/F12)</f>
        <v>6.4516129032258063E-2</v>
      </c>
      <c r="H12" s="7" t="s">
        <v>21959</v>
      </c>
      <c r="I12" s="7">
        <f t="shared" ref="I12:I37" si="3">B12+C12</f>
        <v>1</v>
      </c>
      <c r="J12" s="14" t="str">
        <f>IFERROR((I12-COUNTIFS('Novel Approval Database'!$H$3:$H$125,"Jan 2023",'Novel Approval Database'!$C$3:$C$125,"NDA")-COUNTIFS('Novel Approval Database'!$H$3:$H$125,"Jan 2023",'Novel Approval Database'!$C$3:$C$125,"BLA",'Novel Approval Database'!$A$3:$A$125,"CDER"))/(COUNTIFS('Novel Approval Database'!$H$3:$H$125,"Jan 2023",'Novel Approval Database'!$C$3:$C$125,"NDA")+COUNTIFS('Novel Approval Database'!$H$3:$H$125,"Jan 2023",'Novel Approval Database'!$C$3:$C$125,"BLA",'Novel Approval Database'!$A$3:$A$125,"CDER")),"N/A")</f>
        <v>N/A</v>
      </c>
    </row>
    <row r="13" spans="1:10" x14ac:dyDescent="0.2">
      <c r="A13" s="21">
        <v>45323</v>
      </c>
      <c r="B13" s="7">
        <f>COUNTIFS('Novel Approval Database'!$H$3:$H$125,"Feb 2024",'Novel Approval Database'!$C$3:$C$125,"NDA")</f>
        <v>1</v>
      </c>
      <c r="C13" s="7">
        <f>COUNTIFS('Novel Approval Database'!$H$3:$H$125,"Feb 2024",'Novel Approval Database'!$C$3:$C$125,"BLA",'Novel Approval Database'!$A$3:$A$125,"CDER")</f>
        <v>1</v>
      </c>
      <c r="D13" s="7">
        <f>COUNTIFS('Novel Approval Database'!$H$3:$H$125,"Feb 2024",'Novel Approval Database'!$A$3:$A$125,"CBER")</f>
        <v>1</v>
      </c>
      <c r="E13" s="8">
        <f t="shared" si="0"/>
        <v>3</v>
      </c>
      <c r="F13" s="7">
        <f t="shared" si="1"/>
        <v>29</v>
      </c>
      <c r="G13" s="17">
        <f t="shared" si="2"/>
        <v>0.10344827586206896</v>
      </c>
      <c r="H13" s="14">
        <f t="shared" ref="H13:H37" si="4">IF(E12=0,"N/A",(E13-E12)/E12)</f>
        <v>0.5</v>
      </c>
      <c r="I13" s="7">
        <f t="shared" si="3"/>
        <v>2</v>
      </c>
      <c r="J13" s="14" t="str">
        <f>IFERROR((I13-COUNTIFS('Novel Approval Database'!$H$3:$H$125,"Feb 2023",'Novel Approval Database'!$C$3:$C$125,"NDA")-COUNTIFS('Novel Approval Database'!$H$3:$H$125,"Feb 2023",'Novel Approval Database'!$C$3:$C$125,"BLA",'Novel Approval Database'!$A$3:$A$125,"CDER"))/(COUNTIFS('Novel Approval Database'!$H$3:$H$125,"Feb 2023",'Novel Approval Database'!$C$3:$C$125,"NDA")+COUNTIFS('Novel Approval Database'!$H$3:$H$125,"Feb 2023",'Novel Approval Database'!$C$3:$C$125,"BLA",'Novel Approval Database'!$A$3:$A$125,"CDER")),"N/A")</f>
        <v>N/A</v>
      </c>
    </row>
    <row r="14" spans="1:10" x14ac:dyDescent="0.2">
      <c r="A14" s="21">
        <v>45352</v>
      </c>
      <c r="B14" s="7">
        <f>COUNTIFS('Novel Approval Database'!$H$3:$H$125,"Mar 2024",'Novel Approval Database'!$C$3:$C$125,"NDA")</f>
        <v>5</v>
      </c>
      <c r="C14" s="7">
        <f>COUNTIFS('Novel Approval Database'!$H$3:$H$125,"Mar 2024",'Novel Approval Database'!$C$3:$C$125,"BLA",'Novel Approval Database'!$A$3:$A$125,"CDER")</f>
        <v>2</v>
      </c>
      <c r="D14" s="7">
        <f>COUNTIFS('Novel Approval Database'!$H$3:$H$125,"Mar 2024",'Novel Approval Database'!$A$3:$A$125,"CBER")</f>
        <v>2</v>
      </c>
      <c r="E14" s="8">
        <f t="shared" si="0"/>
        <v>9</v>
      </c>
      <c r="F14" s="7">
        <f t="shared" si="1"/>
        <v>31</v>
      </c>
      <c r="G14" s="17">
        <f t="shared" si="2"/>
        <v>0.29032258064516131</v>
      </c>
      <c r="H14" s="14">
        <f t="shared" si="4"/>
        <v>2</v>
      </c>
      <c r="I14" s="7">
        <f t="shared" si="3"/>
        <v>7</v>
      </c>
      <c r="J14" s="14" t="str">
        <f>IFERROR((I14-COUNTIFS('Novel Approval Database'!$H$3:$H$125,"Mar 2023",'Novel Approval Database'!$C$3:$C$125,"NDA")-COUNTIFS('Novel Approval Database'!$H$3:$H$125,"Mar 2023",'Novel Approval Database'!$C$3:$C$125,"BLA",'Novel Approval Database'!$A$3:$A$125,"CDER"))/(COUNTIFS('Novel Approval Database'!$H$3:$H$125,"Mar 2023",'Novel Approval Database'!$C$3:$C$125,"NDA")+COUNTIFS('Novel Approval Database'!$H$3:$H$125,"Mar 2023",'Novel Approval Database'!$C$3:$C$125,"BLA",'Novel Approval Database'!$A$3:$A$125,"CDER")),"N/A")</f>
        <v>N/A</v>
      </c>
    </row>
    <row r="15" spans="1:10" x14ac:dyDescent="0.2">
      <c r="A15" s="21">
        <v>45383</v>
      </c>
      <c r="B15" s="7">
        <f>COUNTIFS('Novel Approval Database'!$H$3:$H$125,"Apr 2024",'Novel Approval Database'!$C$3:$C$125,"NDA")</f>
        <v>4</v>
      </c>
      <c r="C15" s="7">
        <f>COUNTIFS('Novel Approval Database'!$H$3:$H$125,"Apr 2024",'Novel Approval Database'!$C$3:$C$125,"BLA",'Novel Approval Database'!$A$3:$A$125,"CDER")</f>
        <v>1</v>
      </c>
      <c r="D15" s="7">
        <f>COUNTIFS('Novel Approval Database'!$H$3:$H$125,"Apr 2024",'Novel Approval Database'!$A$3:$A$125,"CBER")</f>
        <v>1</v>
      </c>
      <c r="E15" s="8">
        <f t="shared" si="0"/>
        <v>6</v>
      </c>
      <c r="F15" s="7">
        <f t="shared" si="1"/>
        <v>30</v>
      </c>
      <c r="G15" s="17">
        <f t="shared" si="2"/>
        <v>0.2</v>
      </c>
      <c r="H15" s="14">
        <f t="shared" si="4"/>
        <v>-0.33333333333333331</v>
      </c>
      <c r="I15" s="7">
        <f t="shared" si="3"/>
        <v>5</v>
      </c>
      <c r="J15" s="14" t="str">
        <f>IFERROR((I15-COUNTIFS('Novel Approval Database'!$H$3:$H$125,"Apr 2023",'Novel Approval Database'!$C$3:$C$125,"NDA")-COUNTIFS('Novel Approval Database'!$H$3:$H$125,"Apr 2023",'Novel Approval Database'!$C$3:$C$125,"BLA",'Novel Approval Database'!$A$3:$A$125,"CDER"))/(COUNTIFS('Novel Approval Database'!$H$3:$H$125,"Apr 2023",'Novel Approval Database'!$C$3:$C$125,"NDA")+COUNTIFS('Novel Approval Database'!$H$3:$H$125,"Apr 2023",'Novel Approval Database'!$C$3:$C$125,"BLA",'Novel Approval Database'!$A$3:$A$125,"CDER")),"N/A")</f>
        <v>N/A</v>
      </c>
    </row>
    <row r="16" spans="1:10" x14ac:dyDescent="0.2">
      <c r="A16" s="21">
        <v>45413</v>
      </c>
      <c r="B16" s="7">
        <f>COUNTIFS('Novel Approval Database'!$H$3:$H$125,"May 2024",'Novel Approval Database'!$C$3:$C$125,"NDA")</f>
        <v>0</v>
      </c>
      <c r="C16" s="7">
        <f>COUNTIFS('Novel Approval Database'!$H$3:$H$125,"May 2024",'Novel Approval Database'!$C$3:$C$125,"BLA",'Novel Approval Database'!$A$3:$A$125,"CDER")</f>
        <v>1</v>
      </c>
      <c r="D16" s="7">
        <f>COUNTIFS('Novel Approval Database'!$H$3:$H$125,"May 2024",'Novel Approval Database'!$A$3:$A$125,"CBER")</f>
        <v>1</v>
      </c>
      <c r="E16" s="8">
        <f t="shared" si="0"/>
        <v>2</v>
      </c>
      <c r="F16" s="7">
        <f t="shared" si="1"/>
        <v>31</v>
      </c>
      <c r="G16" s="17">
        <f t="shared" si="2"/>
        <v>6.4516129032258063E-2</v>
      </c>
      <c r="H16" s="14">
        <f t="shared" si="4"/>
        <v>-0.66666666666666663</v>
      </c>
      <c r="I16" s="7">
        <f t="shared" si="3"/>
        <v>1</v>
      </c>
      <c r="J16" s="14" t="str">
        <f>IFERROR((I16-COUNTIFS('Novel Approval Database'!$H$3:$H$125,"May 2023",'Novel Approval Database'!$C$3:$C$125,"NDA")-COUNTIFS('Novel Approval Database'!$H$3:$H$125,"May 2023",'Novel Approval Database'!$C$3:$C$125,"BLA",'Novel Approval Database'!$A$3:$A$125,"CDER"))/(COUNTIFS('Novel Approval Database'!$H$3:$H$125,"May 2023",'Novel Approval Database'!$C$3:$C$125,"NDA")+COUNTIFS('Novel Approval Database'!$H$3:$H$125,"May 2023",'Novel Approval Database'!$C$3:$C$125,"BLA",'Novel Approval Database'!$A$3:$A$125,"CDER")),"N/A")</f>
        <v>N/A</v>
      </c>
    </row>
    <row r="17" spans="1:10" x14ac:dyDescent="0.2">
      <c r="A17" s="21">
        <v>45444</v>
      </c>
      <c r="B17" s="7">
        <f>COUNTIFS('Novel Approval Database'!$H$3:$H$125,"Jun 2024",'Novel Approval Database'!$C$3:$C$125,"NDA")</f>
        <v>4</v>
      </c>
      <c r="C17" s="7">
        <f>COUNTIFS('Novel Approval Database'!$H$3:$H$125,"Jun 2024",'Novel Approval Database'!$C$3:$C$125,"BLA",'Novel Approval Database'!$A$3:$A$125,"CDER")</f>
        <v>1</v>
      </c>
      <c r="D17" s="7">
        <f>COUNTIFS('Novel Approval Database'!$H$3:$H$125,"Jun 2024",'Novel Approval Database'!$A$3:$A$125,"CBER")</f>
        <v>1</v>
      </c>
      <c r="E17" s="8">
        <f t="shared" si="0"/>
        <v>6</v>
      </c>
      <c r="F17" s="7">
        <f t="shared" si="1"/>
        <v>30</v>
      </c>
      <c r="G17" s="17">
        <f t="shared" si="2"/>
        <v>0.2</v>
      </c>
      <c r="H17" s="14">
        <f t="shared" si="4"/>
        <v>2</v>
      </c>
      <c r="I17" s="7">
        <f t="shared" si="3"/>
        <v>5</v>
      </c>
      <c r="J17" s="14" t="str">
        <f>IFERROR((I17-COUNTIFS('Novel Approval Database'!$H$3:$H$125,"Jun 2023",'Novel Approval Database'!$C$3:$C$125,"NDA")-COUNTIFS('Novel Approval Database'!$H$3:$H$125,"Jun 2023",'Novel Approval Database'!$C$3:$C$125,"BLA",'Novel Approval Database'!$A$3:$A$125,"CDER"))/(COUNTIFS('Novel Approval Database'!$H$3:$H$125,"Jun 2023",'Novel Approval Database'!$C$3:$C$125,"NDA")+COUNTIFS('Novel Approval Database'!$H$3:$H$125,"Jun 2023",'Novel Approval Database'!$C$3:$C$125,"BLA",'Novel Approval Database'!$A$3:$A$125,"CDER")),"N/A")</f>
        <v>N/A</v>
      </c>
    </row>
    <row r="18" spans="1:10" x14ac:dyDescent="0.2">
      <c r="A18" s="21">
        <v>45474</v>
      </c>
      <c r="B18" s="7">
        <f>COUNTIFS('Novel Approval Database'!$H$3:$H$125,"Jul 2024",'Novel Approval Database'!$C$3:$C$125,"NDA")</f>
        <v>1</v>
      </c>
      <c r="C18" s="7">
        <f>COUNTIFS('Novel Approval Database'!$H$3:$H$125,"Jul 2024",'Novel Approval Database'!$C$3:$C$125,"BLA",'Novel Approval Database'!$A$3:$A$125,"CDER")</f>
        <v>1</v>
      </c>
      <c r="D18" s="7">
        <f>COUNTIFS('Novel Approval Database'!$H$3:$H$125,"Jul 2024",'Novel Approval Database'!$A$3:$A$125,"CBER")</f>
        <v>0</v>
      </c>
      <c r="E18" s="8">
        <f t="shared" si="0"/>
        <v>2</v>
      </c>
      <c r="F18" s="7">
        <f t="shared" si="1"/>
        <v>31</v>
      </c>
      <c r="G18" s="17">
        <f t="shared" si="2"/>
        <v>6.4516129032258063E-2</v>
      </c>
      <c r="H18" s="14">
        <f t="shared" si="4"/>
        <v>-0.66666666666666663</v>
      </c>
      <c r="I18" s="7">
        <f t="shared" si="3"/>
        <v>2</v>
      </c>
      <c r="J18" s="14" t="str">
        <f>IFERROR((I18-COUNTIFS('Novel Approval Database'!$H$3:$H$125,"Jul 2023",'Novel Approval Database'!$C$3:$C$125,"NDA")-COUNTIFS('Novel Approval Database'!$H$3:$H$125,"Jul 2023",'Novel Approval Database'!$C$3:$C$125,"BLA",'Novel Approval Database'!$A$3:$A$125,"CDER"))/(COUNTIFS('Novel Approval Database'!$H$3:$H$125,"Jul 2023",'Novel Approval Database'!$C$3:$C$125,"NDA")+COUNTIFS('Novel Approval Database'!$H$3:$H$125,"Jul 2023",'Novel Approval Database'!$C$3:$C$125,"BLA",'Novel Approval Database'!$A$3:$A$125,"CDER")),"N/A")</f>
        <v>N/A</v>
      </c>
    </row>
    <row r="19" spans="1:10" x14ac:dyDescent="0.2">
      <c r="A19" s="21">
        <v>45505</v>
      </c>
      <c r="B19" s="7">
        <f>COUNTIFS('Novel Approval Database'!$H$3:$H$125,"Aug 2024",'Novel Approval Database'!$C$3:$C$125,"NDA")</f>
        <v>4</v>
      </c>
      <c r="C19" s="7">
        <f>COUNTIFS('Novel Approval Database'!$H$3:$H$125,"Aug 2024",'Novel Approval Database'!$C$3:$C$125,"BLA",'Novel Approval Database'!$A$3:$A$125,"CDER")</f>
        <v>2</v>
      </c>
      <c r="D19" s="7">
        <f>COUNTIFS('Novel Approval Database'!$H$3:$H$125,"Aug 2024",'Novel Approval Database'!$A$3:$A$125,"CBER")</f>
        <v>1</v>
      </c>
      <c r="E19" s="8">
        <f t="shared" si="0"/>
        <v>7</v>
      </c>
      <c r="F19" s="7">
        <f t="shared" si="1"/>
        <v>31</v>
      </c>
      <c r="G19" s="17">
        <f t="shared" si="2"/>
        <v>0.22580645161290322</v>
      </c>
      <c r="H19" s="14">
        <f t="shared" si="4"/>
        <v>2.5</v>
      </c>
      <c r="I19" s="7">
        <f t="shared" si="3"/>
        <v>6</v>
      </c>
      <c r="J19" s="14" t="str">
        <f>IFERROR((I19-COUNTIFS('Novel Approval Database'!$H$3:$H$125,"Aug 2023",'Novel Approval Database'!$C$3:$C$125,"NDA")-COUNTIFS('Novel Approval Database'!$H$3:$H$125,"Aug 2023",'Novel Approval Database'!$C$3:$C$125,"BLA",'Novel Approval Database'!$A$3:$A$125,"CDER"))/(COUNTIFS('Novel Approval Database'!$H$3:$H$125,"Aug 2023",'Novel Approval Database'!$C$3:$C$125,"NDA")+COUNTIFS('Novel Approval Database'!$H$3:$H$125,"Aug 2023",'Novel Approval Database'!$C$3:$C$125,"BLA",'Novel Approval Database'!$A$3:$A$125,"CDER")),"N/A")</f>
        <v>N/A</v>
      </c>
    </row>
    <row r="20" spans="1:10" x14ac:dyDescent="0.2">
      <c r="A20" s="21">
        <v>45536</v>
      </c>
      <c r="B20" s="7">
        <f>COUNTIFS('Novel Approval Database'!$H$3:$H$125,"Sep 2024",'Novel Approval Database'!$C$3:$C$125,"NDA")</f>
        <v>4</v>
      </c>
      <c r="C20" s="7">
        <f>COUNTIFS('Novel Approval Database'!$H$3:$H$125,"Sep 2024",'Novel Approval Database'!$C$3:$C$125,"BLA",'Novel Approval Database'!$A$3:$A$125,"CDER")</f>
        <v>1</v>
      </c>
      <c r="D20" s="7">
        <f>COUNTIFS('Novel Approval Database'!$H$3:$H$125,"Sep 2024",'Novel Approval Database'!$A$3:$A$125,"CBER")</f>
        <v>0</v>
      </c>
      <c r="E20" s="8">
        <f t="shared" si="0"/>
        <v>5</v>
      </c>
      <c r="F20" s="7">
        <f t="shared" si="1"/>
        <v>30</v>
      </c>
      <c r="G20" s="17">
        <f t="shared" si="2"/>
        <v>0.16666666666666666</v>
      </c>
      <c r="H20" s="14">
        <f t="shared" si="4"/>
        <v>-0.2857142857142857</v>
      </c>
      <c r="I20" s="7">
        <f t="shared" si="3"/>
        <v>5</v>
      </c>
      <c r="J20" s="14" t="str">
        <f>IFERROR((I20-COUNTIFS('Novel Approval Database'!$H$3:$H$125,"Sep 2023",'Novel Approval Database'!$C$3:$C$125,"NDA")-COUNTIFS('Novel Approval Database'!$H$3:$H$125,"Sep 2023",'Novel Approval Database'!$C$3:$C$125,"BLA",'Novel Approval Database'!$A$3:$A$125,"CDER"))/(COUNTIFS('Novel Approval Database'!$H$3:$H$125,"Sep 2023",'Novel Approval Database'!$C$3:$C$125,"NDA")+COUNTIFS('Novel Approval Database'!$H$3:$H$125,"Sep 2023",'Novel Approval Database'!$C$3:$C$125,"BLA",'Novel Approval Database'!$A$3:$A$125,"CDER")),"N/A")</f>
        <v>N/A</v>
      </c>
    </row>
    <row r="21" spans="1:10" x14ac:dyDescent="0.2">
      <c r="A21" s="21">
        <v>45566</v>
      </c>
      <c r="B21" s="7">
        <f>COUNTIFS('Novel Approval Database'!$H$3:$H$125,"Oct 2024",'Novel Approval Database'!$C$3:$C$125,"NDA")</f>
        <v>2</v>
      </c>
      <c r="C21" s="7">
        <f>COUNTIFS('Novel Approval Database'!$H$3:$H$125,"Oct 2024",'Novel Approval Database'!$C$3:$C$125,"BLA",'Novel Approval Database'!$A$3:$A$125,"CDER")</f>
        <v>2</v>
      </c>
      <c r="D21" s="7">
        <f>COUNTIFS('Novel Approval Database'!$H$3:$H$125,"Oct 2024",'Novel Approval Database'!$A$3:$A$125,"CBER")</f>
        <v>0</v>
      </c>
      <c r="E21" s="8">
        <f t="shared" si="0"/>
        <v>4</v>
      </c>
      <c r="F21" s="7">
        <f t="shared" si="1"/>
        <v>31</v>
      </c>
      <c r="G21" s="17">
        <f t="shared" si="2"/>
        <v>0.12903225806451613</v>
      </c>
      <c r="H21" s="14">
        <f t="shared" si="4"/>
        <v>-0.2</v>
      </c>
      <c r="I21" s="7">
        <f t="shared" si="3"/>
        <v>4</v>
      </c>
      <c r="J21" s="14" t="str">
        <f>IFERROR((I21-COUNTIFS('Novel Approval Database'!$H$3:$H$125,"Oct 2023",'Novel Approval Database'!$C$3:$C$125,"NDA")-COUNTIFS('Novel Approval Database'!$H$3:$H$125,"Oct 2023",'Novel Approval Database'!$C$3:$C$125,"BLA",'Novel Approval Database'!$A$3:$A$125,"CDER"))/(COUNTIFS('Novel Approval Database'!$H$3:$H$125,"Oct 2023",'Novel Approval Database'!$C$3:$C$125,"NDA")+COUNTIFS('Novel Approval Database'!$H$3:$H$125,"Oct 2023",'Novel Approval Database'!$C$3:$C$125,"BLA",'Novel Approval Database'!$A$3:$A$125,"CDER")),"N/A")</f>
        <v>N/A</v>
      </c>
    </row>
    <row r="22" spans="1:10" x14ac:dyDescent="0.2">
      <c r="A22" s="21">
        <v>45597</v>
      </c>
      <c r="B22" s="7">
        <f>COUNTIFS('Novel Approval Database'!$H$3:$H$125,"Nov 2024",'Novel Approval Database'!$C$3:$C$125,"NDA")</f>
        <v>4</v>
      </c>
      <c r="C22" s="7">
        <f>COUNTIFS('Novel Approval Database'!$H$3:$H$125,"Nov 2024",'Novel Approval Database'!$C$3:$C$125,"BLA",'Novel Approval Database'!$A$3:$A$125,"CDER")</f>
        <v>1</v>
      </c>
      <c r="D22" s="7">
        <f>COUNTIFS('Novel Approval Database'!$H$3:$H$125,"Nov 2024",'Novel Approval Database'!$A$3:$A$125,"CBER")</f>
        <v>2</v>
      </c>
      <c r="E22" s="8">
        <f t="shared" si="0"/>
        <v>7</v>
      </c>
      <c r="F22" s="7">
        <f t="shared" si="1"/>
        <v>30</v>
      </c>
      <c r="G22" s="17">
        <f t="shared" si="2"/>
        <v>0.23333333333333334</v>
      </c>
      <c r="H22" s="14">
        <f t="shared" si="4"/>
        <v>0.75</v>
      </c>
      <c r="I22" s="7">
        <f t="shared" si="3"/>
        <v>5</v>
      </c>
      <c r="J22" s="14" t="str">
        <f>IFERROR((I22-COUNTIFS('Novel Approval Database'!$H$3:$H$125,"Nov 2023",'Novel Approval Database'!$C$3:$C$125,"NDA")-COUNTIFS('Novel Approval Database'!$H$3:$H$125,"Nov 2023",'Novel Approval Database'!$C$3:$C$125,"BLA",'Novel Approval Database'!$A$3:$A$125,"CDER"))/(COUNTIFS('Novel Approval Database'!$H$3:$H$125,"Nov 2023",'Novel Approval Database'!$C$3:$C$125,"NDA")+COUNTIFS('Novel Approval Database'!$H$3:$H$125,"Nov 2023",'Novel Approval Database'!$C$3:$C$125,"BLA",'Novel Approval Database'!$A$3:$A$125,"CDER")),"N/A")</f>
        <v>N/A</v>
      </c>
    </row>
    <row r="23" spans="1:10" x14ac:dyDescent="0.2">
      <c r="A23" s="21">
        <v>45627</v>
      </c>
      <c r="B23" s="7">
        <f>COUNTIFS('Novel Approval Database'!$H$3:$H$125,"Dec 2024",'Novel Approval Database'!$C$3:$C$125,"NDA")</f>
        <v>4</v>
      </c>
      <c r="C23" s="7">
        <f>COUNTIFS('Novel Approval Database'!$H$3:$H$125,"Dec 2024",'Novel Approval Database'!$C$3:$C$125,"BLA",'Novel Approval Database'!$A$3:$A$125,"CDER")</f>
        <v>3</v>
      </c>
      <c r="D23" s="7">
        <f>COUNTIFS('Novel Approval Database'!$H$3:$H$125,"Dec 2024",'Novel Approval Database'!$A$3:$A$125,"CBER")</f>
        <v>2</v>
      </c>
      <c r="E23" s="8">
        <f t="shared" si="0"/>
        <v>9</v>
      </c>
      <c r="F23" s="7">
        <f t="shared" si="1"/>
        <v>31</v>
      </c>
      <c r="G23" s="17">
        <f t="shared" si="2"/>
        <v>0.29032258064516131</v>
      </c>
      <c r="H23" s="14">
        <f t="shared" si="4"/>
        <v>0.2857142857142857</v>
      </c>
      <c r="I23" s="7">
        <f t="shared" si="3"/>
        <v>7</v>
      </c>
      <c r="J23" s="14" t="str">
        <f>IFERROR((I23-COUNTIFS('Novel Approval Database'!$H$3:$H$125,"Dec 2023",'Novel Approval Database'!$C$3:$C$125,"NDA")-COUNTIFS('Novel Approval Database'!$H$3:$H$125,"Dec 2023",'Novel Approval Database'!$C$3:$C$125,"BLA",'Novel Approval Database'!$A$3:$A$125,"CDER"))/(COUNTIFS('Novel Approval Database'!$H$3:$H$125,"Dec 2023",'Novel Approval Database'!$C$3:$C$125,"NDA")+COUNTIFS('Novel Approval Database'!$H$3:$H$125,"Dec 2023",'Novel Approval Database'!$C$3:$C$125,"BLA",'Novel Approval Database'!$A$3:$A$125,"CDER")),"N/A")</f>
        <v>N/A</v>
      </c>
    </row>
    <row r="24" spans="1:10" x14ac:dyDescent="0.2">
      <c r="A24" s="21">
        <v>45658</v>
      </c>
      <c r="B24" s="7">
        <f>COUNTIFS('Novel Approval Database'!$H$3:$H$125,"Jan 2025",'Novel Approval Database'!$C$3:$C$125,"NDA")</f>
        <v>2</v>
      </c>
      <c r="C24" s="7">
        <f>COUNTIFS('Novel Approval Database'!$H$3:$H$125,"Jan 2025",'Novel Approval Database'!$C$3:$C$125,"BLA",'Novel Approval Database'!$A$3:$A$125,"CDER")</f>
        <v>1</v>
      </c>
      <c r="D24" s="7">
        <f>COUNTIFS('Novel Approval Database'!$H$3:$H$125,"Jan 2025",'Novel Approval Database'!$A$3:$A$125,"CBER")</f>
        <v>0</v>
      </c>
      <c r="E24" s="8">
        <f t="shared" si="0"/>
        <v>3</v>
      </c>
      <c r="F24" s="7">
        <f t="shared" si="1"/>
        <v>31</v>
      </c>
      <c r="G24" s="17">
        <f t="shared" si="2"/>
        <v>9.6774193548387094E-2</v>
      </c>
      <c r="H24" s="14">
        <f t="shared" si="4"/>
        <v>-0.66666666666666663</v>
      </c>
      <c r="I24" s="7">
        <f t="shared" si="3"/>
        <v>3</v>
      </c>
      <c r="J24" s="14">
        <f>IFERROR((I24-COUNTIFS('Novel Approval Database'!$H$3:$H$125,"Jan 2024",'Novel Approval Database'!$C$3:$C$125,"NDA")-COUNTIFS('Novel Approval Database'!$H$3:$H$125,"Jan 2024",'Novel Approval Database'!$C$3:$C$125,"BLA",'Novel Approval Database'!$A$3:$A$125,"CDER"))/(COUNTIFS('Novel Approval Database'!$H$3:$H$125,"Jan 2024",'Novel Approval Database'!$C$3:$C$125,"NDA")+COUNTIFS('Novel Approval Database'!$H$3:$H$125,"Jan 2024",'Novel Approval Database'!$C$3:$C$125,"BLA",'Novel Approval Database'!$A$3:$A$125,"CDER")),"N/A")</f>
        <v>2</v>
      </c>
    </row>
    <row r="25" spans="1:10" x14ac:dyDescent="0.2">
      <c r="A25" s="21">
        <v>45689</v>
      </c>
      <c r="B25" s="7">
        <f>COUNTIFS('Novel Approval Database'!$H$3:$H$125,"Feb 2025",'Novel Approval Database'!$C$3:$C$125,"NDA")</f>
        <v>2</v>
      </c>
      <c r="C25" s="7">
        <f>COUNTIFS('Novel Approval Database'!$H$3:$H$125,"Feb 2025",'Novel Approval Database'!$C$3:$C$125,"BLA",'Novel Approval Database'!$A$3:$A$125,"CDER")</f>
        <v>0</v>
      </c>
      <c r="D25" s="7">
        <f>COUNTIFS('Novel Approval Database'!$H$3:$H$125,"Feb 2025",'Novel Approval Database'!$A$3:$A$125,"CBER")</f>
        <v>2</v>
      </c>
      <c r="E25" s="8">
        <f t="shared" si="0"/>
        <v>4</v>
      </c>
      <c r="F25" s="7">
        <f t="shared" si="1"/>
        <v>28</v>
      </c>
      <c r="G25" s="17">
        <f t="shared" si="2"/>
        <v>0.14285714285714285</v>
      </c>
      <c r="H25" s="14">
        <f t="shared" si="4"/>
        <v>0.33333333333333331</v>
      </c>
      <c r="I25" s="7">
        <f t="shared" si="3"/>
        <v>2</v>
      </c>
      <c r="J25" s="14">
        <f>IFERROR((I25-COUNTIFS('Novel Approval Database'!$H$3:$H$125,"Feb 2024",'Novel Approval Database'!$C$3:$C$125,"NDA")-COUNTIFS('Novel Approval Database'!$H$3:$H$125,"Feb 2024",'Novel Approval Database'!$C$3:$C$125,"BLA",'Novel Approval Database'!$A$3:$A$125,"CDER"))/(COUNTIFS('Novel Approval Database'!$H$3:$H$125,"Feb 2024",'Novel Approval Database'!$C$3:$C$125,"NDA")+COUNTIFS('Novel Approval Database'!$H$3:$H$125,"Feb 2024",'Novel Approval Database'!$C$3:$C$125,"BLA",'Novel Approval Database'!$A$3:$A$125,"CDER")),"N/A")</f>
        <v>0</v>
      </c>
    </row>
    <row r="26" spans="1:10" x14ac:dyDescent="0.2">
      <c r="A26" s="21">
        <v>45717</v>
      </c>
      <c r="B26" s="7">
        <f>COUNTIFS('Novel Approval Database'!$H$3:$H$125,"Mar 2025",'Novel Approval Database'!$C$3:$C$125,"NDA")</f>
        <v>2</v>
      </c>
      <c r="C26" s="7">
        <f>COUNTIFS('Novel Approval Database'!$H$3:$H$125,"Mar 2025",'Novel Approval Database'!$C$3:$C$125,"BLA",'Novel Approval Database'!$A$3:$A$125,"CDER")</f>
        <v>0</v>
      </c>
      <c r="D26" s="7">
        <f>COUNTIFS('Novel Approval Database'!$H$3:$H$125,"Mar 2025",'Novel Approval Database'!$A$3:$A$125,"CBER")</f>
        <v>1</v>
      </c>
      <c r="E26" s="8">
        <f t="shared" si="0"/>
        <v>3</v>
      </c>
      <c r="F26" s="7">
        <f t="shared" si="1"/>
        <v>31</v>
      </c>
      <c r="G26" s="17">
        <f t="shared" si="2"/>
        <v>9.6774193548387094E-2</v>
      </c>
      <c r="H26" s="14">
        <f t="shared" si="4"/>
        <v>-0.25</v>
      </c>
      <c r="I26" s="7">
        <f t="shared" si="3"/>
        <v>2</v>
      </c>
      <c r="J26" s="14">
        <f>IFERROR((I26-COUNTIFS('Novel Approval Database'!$H$3:$H$125,"Mar 2024",'Novel Approval Database'!$C$3:$C$125,"NDA")-COUNTIFS('Novel Approval Database'!$H$3:$H$125,"Mar 2024",'Novel Approval Database'!$C$3:$C$125,"BLA",'Novel Approval Database'!$A$3:$A$125,"CDER"))/(COUNTIFS('Novel Approval Database'!$H$3:$H$125,"Mar 2024",'Novel Approval Database'!$C$3:$C$125,"NDA")+COUNTIFS('Novel Approval Database'!$H$3:$H$125,"Mar 2024",'Novel Approval Database'!$C$3:$C$125,"BLA",'Novel Approval Database'!$A$3:$A$125,"CDER")),"N/A")</f>
        <v>-0.7142857142857143</v>
      </c>
    </row>
    <row r="27" spans="1:10" x14ac:dyDescent="0.2">
      <c r="A27" s="21">
        <v>45748</v>
      </c>
      <c r="B27" s="7">
        <f>COUNTIFS('Novel Approval Database'!$H$3:$H$125,"Apr 2025",'Novel Approval Database'!$C$3:$C$125,"NDA")</f>
        <v>1</v>
      </c>
      <c r="C27" s="7">
        <f>COUNTIFS('Novel Approval Database'!$H$3:$H$125,"Apr 2025",'Novel Approval Database'!$C$3:$C$125,"BLA",'Novel Approval Database'!$A$3:$A$125,"CDER")</f>
        <v>2</v>
      </c>
      <c r="D27" s="7">
        <f>COUNTIFS('Novel Approval Database'!$H$3:$H$125,"Apr 2025",'Novel Approval Database'!$A$3:$A$125,"CBER")</f>
        <v>1</v>
      </c>
      <c r="E27" s="8">
        <f t="shared" si="0"/>
        <v>4</v>
      </c>
      <c r="F27" s="7">
        <f t="shared" si="1"/>
        <v>30</v>
      </c>
      <c r="G27" s="17">
        <f t="shared" si="2"/>
        <v>0.13333333333333333</v>
      </c>
      <c r="H27" s="14">
        <f t="shared" si="4"/>
        <v>0.33333333333333331</v>
      </c>
      <c r="I27" s="7">
        <f t="shared" si="3"/>
        <v>3</v>
      </c>
      <c r="J27" s="14">
        <f>IFERROR((I27-COUNTIFS('Novel Approval Database'!$H$3:$H$125,"Apr 2024",'Novel Approval Database'!$C$3:$C$125,"NDA")-COUNTIFS('Novel Approval Database'!$H$3:$H$125,"Apr 2024",'Novel Approval Database'!$C$3:$C$125,"BLA",'Novel Approval Database'!$A$3:$A$125,"CDER"))/(COUNTIFS('Novel Approval Database'!$H$3:$H$125,"Apr 2024",'Novel Approval Database'!$C$3:$C$125,"NDA")+COUNTIFS('Novel Approval Database'!$H$3:$H$125,"Apr 2024",'Novel Approval Database'!$C$3:$C$125,"BLA",'Novel Approval Database'!$A$3:$A$125,"CDER")),"N/A")</f>
        <v>-0.4</v>
      </c>
    </row>
    <row r="28" spans="1:10" x14ac:dyDescent="0.2">
      <c r="A28" s="21">
        <v>45778</v>
      </c>
      <c r="B28" s="7">
        <f>COUNTIFS('Novel Approval Database'!$H$3:$H$125,"May 2025",'Novel Approval Database'!$C$3:$C$125,"NDA")</f>
        <v>2</v>
      </c>
      <c r="C28" s="7">
        <f>COUNTIFS('Novel Approval Database'!$H$3:$H$125,"May 2025",'Novel Approval Database'!$C$3:$C$125,"BLA",'Novel Approval Database'!$A$3:$A$125,"CDER")</f>
        <v>1</v>
      </c>
      <c r="D28" s="7">
        <f>COUNTIFS('Novel Approval Database'!$H$3:$H$125,"May 2025",'Novel Approval Database'!$A$3:$A$125,"CBER")</f>
        <v>2</v>
      </c>
      <c r="E28" s="8">
        <f t="shared" si="0"/>
        <v>5</v>
      </c>
      <c r="F28" s="7">
        <f t="shared" si="1"/>
        <v>31</v>
      </c>
      <c r="G28" s="17">
        <f t="shared" si="2"/>
        <v>0.16129032258064516</v>
      </c>
      <c r="H28" s="14">
        <f t="shared" si="4"/>
        <v>0.25</v>
      </c>
      <c r="I28" s="7">
        <f t="shared" si="3"/>
        <v>3</v>
      </c>
      <c r="J28" s="14">
        <f>IFERROR((I28-COUNTIFS('Novel Approval Database'!$H$3:$H$125,"May 2024",'Novel Approval Database'!$C$3:$C$125,"NDA")-COUNTIFS('Novel Approval Database'!$H$3:$H$125,"May 2024",'Novel Approval Database'!$C$3:$C$125,"BLA",'Novel Approval Database'!$A$3:$A$125,"CDER"))/(COUNTIFS('Novel Approval Database'!$H$3:$H$125,"May 2024",'Novel Approval Database'!$C$3:$C$125,"NDA")+COUNTIFS('Novel Approval Database'!$H$3:$H$125,"May 2024",'Novel Approval Database'!$C$3:$C$125,"BLA",'Novel Approval Database'!$A$3:$A$125,"CDER")),"N/A")</f>
        <v>2</v>
      </c>
    </row>
    <row r="29" spans="1:10" x14ac:dyDescent="0.2">
      <c r="A29" s="21">
        <v>45809</v>
      </c>
      <c r="B29" s="7">
        <f>COUNTIFS('Novel Approval Database'!$H$3:$H$125,"Jun 2025",'Novel Approval Database'!$C$3:$C$125,"NDA")</f>
        <v>1</v>
      </c>
      <c r="C29" s="7">
        <f>COUNTIFS('Novel Approval Database'!$H$3:$H$125,"Jun 2025",'Novel Approval Database'!$C$3:$C$125,"BLA",'Novel Approval Database'!$A$3:$A$125,"CDER")</f>
        <v>2</v>
      </c>
      <c r="D29" s="7">
        <f>COUNTIFS('Novel Approval Database'!$H$3:$H$125,"Jun 2025",'Novel Approval Database'!$A$3:$A$125,"CBER")</f>
        <v>0</v>
      </c>
      <c r="E29" s="8">
        <f t="shared" si="0"/>
        <v>3</v>
      </c>
      <c r="F29" s="7">
        <f t="shared" si="1"/>
        <v>30</v>
      </c>
      <c r="G29" s="17">
        <f t="shared" si="2"/>
        <v>0.1</v>
      </c>
      <c r="H29" s="14">
        <f t="shared" si="4"/>
        <v>-0.4</v>
      </c>
      <c r="I29" s="7">
        <f t="shared" si="3"/>
        <v>3</v>
      </c>
      <c r="J29" s="14">
        <f>IFERROR((I29-COUNTIFS('Novel Approval Database'!$H$3:$H$125,"Jun 2024",'Novel Approval Database'!$C$3:$C$125,"NDA")-COUNTIFS('Novel Approval Database'!$H$3:$H$125,"Jun 2024",'Novel Approval Database'!$C$3:$C$125,"BLA",'Novel Approval Database'!$A$3:$A$125,"CDER"))/(COUNTIFS('Novel Approval Database'!$H$3:$H$125,"Jun 2024",'Novel Approval Database'!$C$3:$C$125,"NDA")+COUNTIFS('Novel Approval Database'!$H$3:$H$125,"Jun 2024",'Novel Approval Database'!$C$3:$C$125,"BLA",'Novel Approval Database'!$A$3:$A$125,"CDER")),"N/A")</f>
        <v>-0.4</v>
      </c>
    </row>
    <row r="30" spans="1:10" x14ac:dyDescent="0.2">
      <c r="A30" s="21">
        <v>45839</v>
      </c>
      <c r="B30" s="7">
        <f>COUNTIFS('Novel Approval Database'!$H$3:$H$125,"Jul 2025",'Novel Approval Database'!$C$3:$C$125,"NDA")</f>
        <v>5</v>
      </c>
      <c r="C30" s="7">
        <f>COUNTIFS('Novel Approval Database'!$H$3:$H$125,"Jul 2025",'Novel Approval Database'!$C$3:$C$125,"BLA",'Novel Approval Database'!$A$3:$A$125,"CDER")</f>
        <v>1</v>
      </c>
      <c r="D30" s="7">
        <f>COUNTIFS('Novel Approval Database'!$H$3:$H$125,"Jul 2025",'Novel Approval Database'!$A$3:$A$125,"CBER")</f>
        <v>0</v>
      </c>
      <c r="E30" s="8">
        <f t="shared" si="0"/>
        <v>6</v>
      </c>
      <c r="F30" s="7">
        <f t="shared" si="1"/>
        <v>31</v>
      </c>
      <c r="G30" s="17">
        <f t="shared" si="2"/>
        <v>0.19354838709677419</v>
      </c>
      <c r="H30" s="14">
        <f t="shared" si="4"/>
        <v>1</v>
      </c>
      <c r="I30" s="7">
        <f t="shared" si="3"/>
        <v>6</v>
      </c>
      <c r="J30" s="14">
        <f>IFERROR((I30-COUNTIFS('Novel Approval Database'!$H$3:$H$125,"Jul 2024",'Novel Approval Database'!$C$3:$C$125,"NDA")-COUNTIFS('Novel Approval Database'!$H$3:$H$125,"Jul 2024",'Novel Approval Database'!$C$3:$C$125,"BLA",'Novel Approval Database'!$A$3:$A$125,"CDER"))/(COUNTIFS('Novel Approval Database'!$H$3:$H$125,"Jul 2024",'Novel Approval Database'!$C$3:$C$125,"NDA")+COUNTIFS('Novel Approval Database'!$H$3:$H$125,"Jul 2024",'Novel Approval Database'!$C$3:$C$125,"BLA",'Novel Approval Database'!$A$3:$A$125,"CDER")),"N/A")</f>
        <v>2</v>
      </c>
    </row>
    <row r="31" spans="1:10" x14ac:dyDescent="0.2">
      <c r="A31" s="21">
        <v>45870</v>
      </c>
      <c r="B31" s="7">
        <f>COUNTIFS('Novel Approval Database'!$H$3:$H$125,"Aug 2025",'Novel Approval Database'!$C$3:$C$125,"NDA")</f>
        <v>5</v>
      </c>
      <c r="C31" s="7">
        <f>COUNTIFS('Novel Approval Database'!$H$3:$H$125,"Aug 2025",'Novel Approval Database'!$C$3:$C$125,"BLA",'Novel Approval Database'!$A$3:$A$125,"CDER")</f>
        <v>0</v>
      </c>
      <c r="D31" s="7">
        <f>COUNTIFS('Novel Approval Database'!$H$3:$H$125,"Aug 2025",'Novel Approval Database'!$A$3:$A$125,"CBER")</f>
        <v>1</v>
      </c>
      <c r="E31" s="8">
        <f t="shared" si="0"/>
        <v>6</v>
      </c>
      <c r="F31" s="7">
        <f t="shared" si="1"/>
        <v>31</v>
      </c>
      <c r="G31" s="17">
        <f t="shared" si="2"/>
        <v>0.19354838709677419</v>
      </c>
      <c r="H31" s="14">
        <f t="shared" si="4"/>
        <v>0</v>
      </c>
      <c r="I31" s="7">
        <f t="shared" si="3"/>
        <v>5</v>
      </c>
      <c r="J31" s="14">
        <f>IFERROR((I31-COUNTIFS('Novel Approval Database'!$H$3:$H$125,"Aug 2024",'Novel Approval Database'!$C$3:$C$125,"NDA")-COUNTIFS('Novel Approval Database'!$H$3:$H$125,"Aug 2024",'Novel Approval Database'!$C$3:$C$125,"BLA",'Novel Approval Database'!$A$3:$A$125,"CDER"))/(COUNTIFS('Novel Approval Database'!$H$3:$H$125,"Aug 2024",'Novel Approval Database'!$C$3:$C$125,"NDA")+COUNTIFS('Novel Approval Database'!$H$3:$H$125,"Aug 2024",'Novel Approval Database'!$C$3:$C$125,"BLA",'Novel Approval Database'!$A$3:$A$125,"CDER")),"N/A")</f>
        <v>-0.16666666666666666</v>
      </c>
    </row>
    <row r="32" spans="1:10" x14ac:dyDescent="0.2">
      <c r="A32" s="21">
        <v>45901</v>
      </c>
      <c r="B32" s="7">
        <f>COUNTIFS('Novel Approval Database'!$H$3:$H$125,"Sep 2025",'Novel Approval Database'!$C$3:$C$125,"NDA")</f>
        <v>4</v>
      </c>
      <c r="C32" s="7">
        <f>COUNTIFS('Novel Approval Database'!$H$3:$H$125,"Sep 2025",'Novel Approval Database'!$C$3:$C$125,"BLA",'Novel Approval Database'!$A$3:$A$125,"CDER")</f>
        <v>1</v>
      </c>
      <c r="D32" s="7">
        <f>COUNTIFS('Novel Approval Database'!$H$3:$H$125,"Sep 2025",'Novel Approval Database'!$A$3:$A$125,"CBER")</f>
        <v>0</v>
      </c>
      <c r="E32" s="8">
        <f t="shared" si="0"/>
        <v>5</v>
      </c>
      <c r="F32" s="7">
        <f t="shared" si="1"/>
        <v>30</v>
      </c>
      <c r="G32" s="17">
        <f t="shared" si="2"/>
        <v>0.16666666666666666</v>
      </c>
      <c r="H32" s="14">
        <f t="shared" si="4"/>
        <v>-0.16666666666666666</v>
      </c>
      <c r="I32" s="7">
        <f t="shared" si="3"/>
        <v>5</v>
      </c>
      <c r="J32" s="14">
        <f>IFERROR((I32-COUNTIFS('Novel Approval Database'!$H$3:$H$125,"Sep 2024",'Novel Approval Database'!$C$3:$C$125,"NDA")-COUNTIFS('Novel Approval Database'!$H$3:$H$125,"Sep 2024",'Novel Approval Database'!$C$3:$C$125,"BLA",'Novel Approval Database'!$A$3:$A$125,"CDER"))/(COUNTIFS('Novel Approval Database'!$H$3:$H$125,"Sep 2024",'Novel Approval Database'!$C$3:$C$125,"NDA")+COUNTIFS('Novel Approval Database'!$H$3:$H$125,"Sep 2024",'Novel Approval Database'!$C$3:$C$125,"BLA",'Novel Approval Database'!$A$3:$A$125,"CDER")),"N/A")</f>
        <v>0</v>
      </c>
    </row>
    <row r="33" spans="1:10" x14ac:dyDescent="0.2">
      <c r="A33" s="21">
        <v>45931</v>
      </c>
      <c r="B33" s="7">
        <f>COUNTIFS('Novel Approval Database'!$H$3:$H$125,"Oct 2025",'Novel Approval Database'!$C$3:$C$125,"NDA")</f>
        <v>2</v>
      </c>
      <c r="C33" s="7">
        <f>COUNTIFS('Novel Approval Database'!$H$3:$H$125,"Oct 2025",'Novel Approval Database'!$C$3:$C$125,"BLA",'Novel Approval Database'!$A$3:$A$125,"CDER")</f>
        <v>0</v>
      </c>
      <c r="D33" s="7">
        <f>COUNTIFS('Novel Approval Database'!$H$3:$H$125,"Oct 2025",'Novel Approval Database'!$A$3:$A$125,"CBER")</f>
        <v>0</v>
      </c>
      <c r="E33" s="8">
        <f t="shared" si="0"/>
        <v>2</v>
      </c>
      <c r="F33" s="7">
        <f t="shared" si="1"/>
        <v>31</v>
      </c>
      <c r="G33" s="17">
        <f t="shared" si="2"/>
        <v>6.4516129032258063E-2</v>
      </c>
      <c r="H33" s="14">
        <f t="shared" si="4"/>
        <v>-0.6</v>
      </c>
      <c r="I33" s="7">
        <f t="shared" si="3"/>
        <v>2</v>
      </c>
      <c r="J33" s="14">
        <f>IFERROR((I33-COUNTIFS('Novel Approval Database'!$H$3:$H$125,"Oct 2024",'Novel Approval Database'!$C$3:$C$125,"NDA")-COUNTIFS('Novel Approval Database'!$H$3:$H$125,"Oct 2024",'Novel Approval Database'!$C$3:$C$125,"BLA",'Novel Approval Database'!$A$3:$A$125,"CDER"))/(COUNTIFS('Novel Approval Database'!$H$3:$H$125,"Oct 2024",'Novel Approval Database'!$C$3:$C$125,"NDA")+COUNTIFS('Novel Approval Database'!$H$3:$H$125,"Oct 2024",'Novel Approval Database'!$C$3:$C$125,"BLA",'Novel Approval Database'!$A$3:$A$125,"CDER")),"N/A")</f>
        <v>-0.5</v>
      </c>
    </row>
    <row r="34" spans="1:10" x14ac:dyDescent="0.2">
      <c r="A34" s="21">
        <v>45962</v>
      </c>
      <c r="B34" s="7">
        <f>COUNTIFS('Novel Approval Database'!$H$3:$H$125,"Nov 2025",'Novel Approval Database'!$C$3:$C$125,"NDA")</f>
        <v>4</v>
      </c>
      <c r="C34" s="7">
        <f>COUNTIFS('Novel Approval Database'!$H$3:$H$125,"Nov 2025",'Novel Approval Database'!$C$3:$C$125,"BLA",'Novel Approval Database'!$A$3:$A$125,"CDER")</f>
        <v>1</v>
      </c>
      <c r="D34" s="7">
        <f>COUNTIFS('Novel Approval Database'!$H$3:$H$125,"Nov 2025",'Novel Approval Database'!$A$3:$A$125,"CBER")</f>
        <v>1</v>
      </c>
      <c r="E34" s="8">
        <f t="shared" si="0"/>
        <v>6</v>
      </c>
      <c r="F34" s="7">
        <f t="shared" si="1"/>
        <v>30</v>
      </c>
      <c r="G34" s="17">
        <f t="shared" si="2"/>
        <v>0.2</v>
      </c>
      <c r="H34" s="14">
        <f t="shared" si="4"/>
        <v>2</v>
      </c>
      <c r="I34" s="7">
        <f t="shared" si="3"/>
        <v>5</v>
      </c>
      <c r="J34" s="14">
        <f>IFERROR((I34-COUNTIFS('Novel Approval Database'!$H$3:$H$125,"Nov 2024",'Novel Approval Database'!$C$3:$C$125,"NDA")-COUNTIFS('Novel Approval Database'!$H$3:$H$125,"Nov 2024",'Novel Approval Database'!$C$3:$C$125,"BLA",'Novel Approval Database'!$A$3:$A$125,"CDER"))/(COUNTIFS('Novel Approval Database'!$H$3:$H$125,"Nov 2024",'Novel Approval Database'!$C$3:$C$125,"NDA")+COUNTIFS('Novel Approval Database'!$H$3:$H$125,"Nov 2024",'Novel Approval Database'!$C$3:$C$125,"BLA",'Novel Approval Database'!$A$3:$A$125,"CDER")),"N/A")</f>
        <v>0</v>
      </c>
    </row>
    <row r="35" spans="1:10" x14ac:dyDescent="0.2">
      <c r="A35" s="21">
        <v>45992</v>
      </c>
      <c r="B35" s="7">
        <f>COUNTIFS('Novel Approval Database'!$H$3:$H$125,"Dec 2025",'Novel Approval Database'!$C$3:$C$125,"NDA")</f>
        <v>4</v>
      </c>
      <c r="C35" s="7">
        <f>COUNTIFS('Novel Approval Database'!$H$3:$H$125,"Dec 2025",'Novel Approval Database'!$C$3:$C$125,"BLA",'Novel Approval Database'!$A$3:$A$125,"CDER")</f>
        <v>3</v>
      </c>
      <c r="D35" s="7">
        <f>COUNTIFS('Novel Approval Database'!$H$3:$H$125,"Dec 2025",'Novel Approval Database'!$A$3:$A$125,"CBER")</f>
        <v>2</v>
      </c>
      <c r="E35" s="8">
        <f t="shared" si="0"/>
        <v>9</v>
      </c>
      <c r="F35" s="7">
        <f t="shared" si="1"/>
        <v>31</v>
      </c>
      <c r="G35" s="17">
        <f t="shared" si="2"/>
        <v>0.29032258064516131</v>
      </c>
      <c r="H35" s="14">
        <f t="shared" si="4"/>
        <v>0.5</v>
      </c>
      <c r="I35" s="7">
        <f t="shared" si="3"/>
        <v>7</v>
      </c>
      <c r="J35" s="14">
        <f>IFERROR((I35-COUNTIFS('Novel Approval Database'!$H$3:$H$125,"Dec 2024",'Novel Approval Database'!$C$3:$C$125,"NDA")-COUNTIFS('Novel Approval Database'!$H$3:$H$125,"Dec 2024",'Novel Approval Database'!$C$3:$C$125,"BLA",'Novel Approval Database'!$A$3:$A$125,"CDER"))/(COUNTIFS('Novel Approval Database'!$H$3:$H$125,"Dec 2024",'Novel Approval Database'!$C$3:$C$125,"NDA")+COUNTIFS('Novel Approval Database'!$H$3:$H$125,"Dec 2024",'Novel Approval Database'!$C$3:$C$125,"BLA",'Novel Approval Database'!$A$3:$A$125,"CDER")),"N/A")</f>
        <v>0</v>
      </c>
    </row>
    <row r="36" spans="1:10" x14ac:dyDescent="0.2">
      <c r="A36" s="21">
        <v>46023</v>
      </c>
      <c r="B36" s="7">
        <f>COUNTIFS('Novel Approval Database'!$H$3:$H$125,"Jan 2026",'Novel Approval Database'!$C$3:$C$125,"NDA")</f>
        <v>1</v>
      </c>
      <c r="C36" s="7">
        <f>COUNTIFS('Novel Approval Database'!$H$3:$H$125,"Jan 2026",'Novel Approval Database'!$C$3:$C$125,"BLA",'Novel Approval Database'!$A$3:$A$125,"CDER")</f>
        <v>0</v>
      </c>
      <c r="D36" s="7">
        <f>COUNTIFS('Novel Approval Database'!$H$3:$H$125,"Jan 2026",'Novel Approval Database'!$A$3:$A$125,"CBER")</f>
        <v>0</v>
      </c>
      <c r="E36" s="8">
        <f t="shared" si="0"/>
        <v>1</v>
      </c>
      <c r="F36" s="7">
        <f t="shared" si="1"/>
        <v>31</v>
      </c>
      <c r="G36" s="17">
        <f t="shared" si="2"/>
        <v>3.2258064516129031E-2</v>
      </c>
      <c r="H36" s="14">
        <f t="shared" si="4"/>
        <v>-0.88888888888888884</v>
      </c>
      <c r="I36" s="7">
        <f t="shared" si="3"/>
        <v>1</v>
      </c>
      <c r="J36" s="14">
        <f>IFERROR((I36-COUNTIFS('Novel Approval Database'!$H$3:$H$125,"Jan 2025",'Novel Approval Database'!$C$3:$C$125,"NDA")-COUNTIFS('Novel Approval Database'!$H$3:$H$125,"Jan 2025",'Novel Approval Database'!$C$3:$C$125,"BLA",'Novel Approval Database'!$A$3:$A$125,"CDER"))/(COUNTIFS('Novel Approval Database'!$H$3:$H$125,"Jan 2025",'Novel Approval Database'!$C$3:$C$125,"NDA")+COUNTIFS('Novel Approval Database'!$H$3:$H$125,"Jan 2025",'Novel Approval Database'!$C$3:$C$125,"BLA",'Novel Approval Database'!$A$3:$A$125,"CDER")),"N/A")</f>
        <v>-0.66666666666666663</v>
      </c>
    </row>
    <row r="37" spans="1:10" x14ac:dyDescent="0.2">
      <c r="A37" s="21">
        <v>46054</v>
      </c>
      <c r="B37" s="7">
        <f>COUNTIFS('Novel Approval Database'!$H$3:$H$125,"Feb 2026",'Novel Approval Database'!$C$3:$C$125,"NDA")</f>
        <v>3</v>
      </c>
      <c r="C37" s="7">
        <f>COUNTIFS('Novel Approval Database'!$H$3:$H$125,"Feb 2026",'Novel Approval Database'!$C$3:$C$125,"BLA",'Novel Approval Database'!$A$3:$A$125,"CDER")</f>
        <v>1</v>
      </c>
      <c r="D37" s="7">
        <f>COUNTIFS('Novel Approval Database'!$H$3:$H$125,"Feb 2026",'Novel Approval Database'!$A$3:$A$125,"CBER")</f>
        <v>0</v>
      </c>
      <c r="E37" s="8">
        <f t="shared" si="0"/>
        <v>4</v>
      </c>
      <c r="F37" s="7">
        <f t="shared" si="1"/>
        <v>28</v>
      </c>
      <c r="G37" s="17">
        <f t="shared" si="2"/>
        <v>0.14285714285714285</v>
      </c>
      <c r="H37" s="14">
        <f t="shared" si="4"/>
        <v>3</v>
      </c>
      <c r="I37" s="7">
        <f t="shared" si="3"/>
        <v>4</v>
      </c>
      <c r="J37" s="14">
        <f>IFERROR((I37-COUNTIFS('Novel Approval Database'!$H$3:$H$125,"Feb 2025",'Novel Approval Database'!$C$3:$C$125,"NDA")-COUNTIFS('Novel Approval Database'!$H$3:$H$125,"Feb 2025",'Novel Approval Database'!$C$3:$C$125,"BLA",'Novel Approval Database'!$A$3:$A$125,"CDER"))/(COUNTIFS('Novel Approval Database'!$H$3:$H$125,"Feb 2025",'Novel Approval Database'!$C$3:$C$125,"NDA")+COUNTIFS('Novel Approval Database'!$H$3:$H$125,"Feb 2025",'Novel Approval Database'!$C$3:$C$125,"BLA",'Novel Approval Database'!$A$3:$A$125,"CDER")),"N/A")</f>
        <v>1</v>
      </c>
    </row>
    <row r="38" spans="1:10" x14ac:dyDescent="0.2">
      <c r="A38" s="22" t="s">
        <v>21960</v>
      </c>
    </row>
    <row r="40" spans="1:10" x14ac:dyDescent="0.2">
      <c r="A40" s="19" t="s">
        <v>21961</v>
      </c>
    </row>
    <row r="41" spans="1:10" x14ac:dyDescent="0.2">
      <c r="A41" s="20" t="s">
        <v>21424</v>
      </c>
      <c r="B41" s="20" t="s">
        <v>21962</v>
      </c>
    </row>
    <row r="42" spans="1:10" x14ac:dyDescent="0.2">
      <c r="A42" s="7" t="s">
        <v>21426</v>
      </c>
      <c r="B42" s="7">
        <f>SUMIFS('Biosimilar Approval Database'!$G$3:$G$39,'Biosimilar Approval Database'!$B$3:$B$39,2024)</f>
        <v>19</v>
      </c>
    </row>
    <row r="43" spans="1:10" x14ac:dyDescent="0.2">
      <c r="A43" s="7" t="s">
        <v>21427</v>
      </c>
      <c r="B43" s="7">
        <f>SUMIFS('Biosimilar Approval Database'!$G$3:$G$39,'Biosimilar Approval Database'!$B$3:$B$39,2025)</f>
        <v>26</v>
      </c>
    </row>
    <row r="44" spans="1:10" x14ac:dyDescent="0.2">
      <c r="A44" s="7" t="s">
        <v>21428</v>
      </c>
      <c r="B44" s="7">
        <f>SUMIFS('Biosimilar Approval Database'!$G$3:$G$39,'Biosimilar Approval Database'!$B$3:$B$39,2026)</f>
        <v>1</v>
      </c>
    </row>
    <row r="45" spans="1:10" x14ac:dyDescent="0.2">
      <c r="A45" s="9" t="s">
        <v>21429</v>
      </c>
      <c r="B45" s="10">
        <f ca="1">ROUND(B44*12/MONTH(EOMONTH(TODAY(),-1)),0)</f>
        <v>6</v>
      </c>
    </row>
    <row r="47" spans="1:10" x14ac:dyDescent="0.2">
      <c r="A47" s="19" t="s">
        <v>21963</v>
      </c>
    </row>
    <row r="48" spans="1:10" x14ac:dyDescent="0.2">
      <c r="A48" s="20" t="s">
        <v>21438</v>
      </c>
      <c r="B48" s="20" t="s">
        <v>21962</v>
      </c>
      <c r="C48" s="20" t="s">
        <v>21439</v>
      </c>
      <c r="D48" s="20" t="s">
        <v>21955</v>
      </c>
      <c r="E48" s="20" t="s">
        <v>21956</v>
      </c>
      <c r="F48" s="20" t="s">
        <v>21964</v>
      </c>
    </row>
    <row r="49" spans="1:6" x14ac:dyDescent="0.2">
      <c r="A49" s="21">
        <v>45292</v>
      </c>
      <c r="B49" s="7">
        <f>SUMIFS('Biosimilar Approval Database'!$G$3:$G$39,'Biosimilar Approval Database'!$C$3:$C$39,"Jan 2024")</f>
        <v>0</v>
      </c>
      <c r="C49" s="7">
        <f t="shared" ref="C49:C74" si="5">DAY(EOMONTH(A49,0))</f>
        <v>31</v>
      </c>
      <c r="D49" s="17">
        <f t="shared" ref="D49:D74" si="6">IF(C49=0,0,B49/C49)</f>
        <v>0</v>
      </c>
      <c r="E49" s="7" t="s">
        <v>21959</v>
      </c>
      <c r="F49" s="14" t="str">
        <f>IFERROR((B49-SUMIFS('Biosimilar Approval Database'!$G$3:$G$39,'Biosimilar Approval Database'!$C$3:$C$39,"Jan 2023"))/SUMIFS('Biosimilar Approval Database'!$G$3:$G$39,'Biosimilar Approval Database'!$C$3:$C$39,"Jan 2023"),"N/A")</f>
        <v>N/A</v>
      </c>
    </row>
    <row r="50" spans="1:6" x14ac:dyDescent="0.2">
      <c r="A50" s="21">
        <v>45323</v>
      </c>
      <c r="B50" s="7">
        <f>SUMIFS('Biosimilar Approval Database'!$G$3:$G$39,'Biosimilar Approval Database'!$C$3:$C$39,"Feb 2024")</f>
        <v>1</v>
      </c>
      <c r="C50" s="7">
        <f t="shared" si="5"/>
        <v>29</v>
      </c>
      <c r="D50" s="17">
        <f t="shared" si="6"/>
        <v>3.4482758620689655E-2</v>
      </c>
      <c r="E50" s="14" t="str">
        <f t="shared" ref="E50:E74" si="7">IF(B49=0,"N/A",(B50-B49)/B49)</f>
        <v>N/A</v>
      </c>
      <c r="F50" s="14" t="str">
        <f>IFERROR((B50-SUMIFS('Biosimilar Approval Database'!$G$3:$G$39,'Biosimilar Approval Database'!$C$3:$C$39,"Feb 2023"))/SUMIFS('Biosimilar Approval Database'!$G$3:$G$39,'Biosimilar Approval Database'!$C$3:$C$39,"Feb 2023"),"N/A")</f>
        <v>N/A</v>
      </c>
    </row>
    <row r="51" spans="1:6" x14ac:dyDescent="0.2">
      <c r="A51" s="21">
        <v>45352</v>
      </c>
      <c r="B51" s="7">
        <f>SUMIFS('Biosimilar Approval Database'!$G$3:$G$39,'Biosimilar Approval Database'!$C$3:$C$39,"Mar 2024")</f>
        <v>3</v>
      </c>
      <c r="C51" s="7">
        <f t="shared" si="5"/>
        <v>31</v>
      </c>
      <c r="D51" s="17">
        <f t="shared" si="6"/>
        <v>9.6774193548387094E-2</v>
      </c>
      <c r="E51" s="14">
        <f t="shared" si="7"/>
        <v>2</v>
      </c>
      <c r="F51" s="14" t="str">
        <f>IFERROR((B51-SUMIFS('Biosimilar Approval Database'!$G$3:$G$39,'Biosimilar Approval Database'!$C$3:$C$39,"Mar 2023"))/SUMIFS('Biosimilar Approval Database'!$G$3:$G$39,'Biosimilar Approval Database'!$C$3:$C$39,"Mar 2023"),"N/A")</f>
        <v>N/A</v>
      </c>
    </row>
    <row r="52" spans="1:6" x14ac:dyDescent="0.2">
      <c r="A52" s="21">
        <v>45383</v>
      </c>
      <c r="B52" s="7">
        <f>SUMIFS('Biosimilar Approval Database'!$G$3:$G$39,'Biosimilar Approval Database'!$C$3:$C$39,"Apr 2024")</f>
        <v>2</v>
      </c>
      <c r="C52" s="7">
        <f t="shared" si="5"/>
        <v>30</v>
      </c>
      <c r="D52" s="17">
        <f t="shared" si="6"/>
        <v>6.6666666666666666E-2</v>
      </c>
      <c r="E52" s="14">
        <f t="shared" si="7"/>
        <v>-0.33333333333333331</v>
      </c>
      <c r="F52" s="14" t="str">
        <f>IFERROR((B52-SUMIFS('Biosimilar Approval Database'!$G$3:$G$39,'Biosimilar Approval Database'!$C$3:$C$39,"Apr 2023"))/SUMIFS('Biosimilar Approval Database'!$G$3:$G$39,'Biosimilar Approval Database'!$C$3:$C$39,"Apr 2023"),"N/A")</f>
        <v>N/A</v>
      </c>
    </row>
    <row r="53" spans="1:6" x14ac:dyDescent="0.2">
      <c r="A53" s="21">
        <v>45413</v>
      </c>
      <c r="B53" s="7">
        <f>SUMIFS('Biosimilar Approval Database'!$G$3:$G$39,'Biosimilar Approval Database'!$C$3:$C$39,"May 2024")</f>
        <v>3</v>
      </c>
      <c r="C53" s="7">
        <f t="shared" si="5"/>
        <v>31</v>
      </c>
      <c r="D53" s="17">
        <f t="shared" si="6"/>
        <v>9.6774193548387094E-2</v>
      </c>
      <c r="E53" s="14">
        <f t="shared" si="7"/>
        <v>0.5</v>
      </c>
      <c r="F53" s="14" t="str">
        <f>IFERROR((B53-SUMIFS('Biosimilar Approval Database'!$G$3:$G$39,'Biosimilar Approval Database'!$C$3:$C$39,"May 2023"))/SUMIFS('Biosimilar Approval Database'!$G$3:$G$39,'Biosimilar Approval Database'!$C$3:$C$39,"May 2023"),"N/A")</f>
        <v>N/A</v>
      </c>
    </row>
    <row r="54" spans="1:6" x14ac:dyDescent="0.2">
      <c r="A54" s="21">
        <v>45444</v>
      </c>
      <c r="B54" s="7">
        <f>SUMIFS('Biosimilar Approval Database'!$G$3:$G$39,'Biosimilar Approval Database'!$C$3:$C$39,"Jun 2024")</f>
        <v>3</v>
      </c>
      <c r="C54" s="7">
        <f t="shared" si="5"/>
        <v>30</v>
      </c>
      <c r="D54" s="17">
        <f t="shared" si="6"/>
        <v>0.1</v>
      </c>
      <c r="E54" s="14">
        <f t="shared" si="7"/>
        <v>0</v>
      </c>
      <c r="F54" s="14" t="str">
        <f>IFERROR((B54-SUMIFS('Biosimilar Approval Database'!$G$3:$G$39,'Biosimilar Approval Database'!$C$3:$C$39,"Jun 2023"))/SUMIFS('Biosimilar Approval Database'!$G$3:$G$39,'Biosimilar Approval Database'!$C$3:$C$39,"Jun 2023"),"N/A")</f>
        <v>N/A</v>
      </c>
    </row>
    <row r="55" spans="1:6" x14ac:dyDescent="0.2">
      <c r="A55" s="21">
        <v>45474</v>
      </c>
      <c r="B55" s="7">
        <f>SUMIFS('Biosimilar Approval Database'!$G$3:$G$39,'Biosimilar Approval Database'!$C$3:$C$39,"Jul 2024")</f>
        <v>1</v>
      </c>
      <c r="C55" s="7">
        <f t="shared" si="5"/>
        <v>31</v>
      </c>
      <c r="D55" s="17">
        <f t="shared" si="6"/>
        <v>3.2258064516129031E-2</v>
      </c>
      <c r="E55" s="14">
        <f t="shared" si="7"/>
        <v>-0.66666666666666663</v>
      </c>
      <c r="F55" s="14" t="str">
        <f>IFERROR((B55-SUMIFS('Biosimilar Approval Database'!$G$3:$G$39,'Biosimilar Approval Database'!$C$3:$C$39,"Jul 2023"))/SUMIFS('Biosimilar Approval Database'!$G$3:$G$39,'Biosimilar Approval Database'!$C$3:$C$39,"Jul 2023"),"N/A")</f>
        <v>N/A</v>
      </c>
    </row>
    <row r="56" spans="1:6" x14ac:dyDescent="0.2">
      <c r="A56" s="21">
        <v>45505</v>
      </c>
      <c r="B56" s="7">
        <f>SUMIFS('Biosimilar Approval Database'!$G$3:$G$39,'Biosimilar Approval Database'!$C$3:$C$39,"Aug 2024")</f>
        <v>2</v>
      </c>
      <c r="C56" s="7">
        <f t="shared" si="5"/>
        <v>31</v>
      </c>
      <c r="D56" s="17">
        <f t="shared" si="6"/>
        <v>6.4516129032258063E-2</v>
      </c>
      <c r="E56" s="14">
        <f t="shared" si="7"/>
        <v>1</v>
      </c>
      <c r="F56" s="14" t="str">
        <f>IFERROR((B56-SUMIFS('Biosimilar Approval Database'!$G$3:$G$39,'Biosimilar Approval Database'!$C$3:$C$39,"Aug 2023"))/SUMIFS('Biosimilar Approval Database'!$G$3:$G$39,'Biosimilar Approval Database'!$C$3:$C$39,"Aug 2023"),"N/A")</f>
        <v>N/A</v>
      </c>
    </row>
    <row r="57" spans="1:6" x14ac:dyDescent="0.2">
      <c r="A57" s="21">
        <v>45536</v>
      </c>
      <c r="B57" s="7">
        <f>SUMIFS('Biosimilar Approval Database'!$G$3:$G$39,'Biosimilar Approval Database'!$C$3:$C$39,"Sep 2024")</f>
        <v>1</v>
      </c>
      <c r="C57" s="7">
        <f t="shared" si="5"/>
        <v>30</v>
      </c>
      <c r="D57" s="17">
        <f t="shared" si="6"/>
        <v>3.3333333333333333E-2</v>
      </c>
      <c r="E57" s="14">
        <f t="shared" si="7"/>
        <v>-0.5</v>
      </c>
      <c r="F57" s="14" t="str">
        <f>IFERROR((B57-SUMIFS('Biosimilar Approval Database'!$G$3:$G$39,'Biosimilar Approval Database'!$C$3:$C$39,"Sep 2023"))/SUMIFS('Biosimilar Approval Database'!$G$3:$G$39,'Biosimilar Approval Database'!$C$3:$C$39,"Sep 2023"),"N/A")</f>
        <v>N/A</v>
      </c>
    </row>
    <row r="58" spans="1:6" x14ac:dyDescent="0.2">
      <c r="A58" s="21">
        <v>45566</v>
      </c>
      <c r="B58" s="7">
        <f>SUMIFS('Biosimilar Approval Database'!$G$3:$G$39,'Biosimilar Approval Database'!$C$3:$C$39,"Oct 2024")</f>
        <v>1</v>
      </c>
      <c r="C58" s="7">
        <f t="shared" si="5"/>
        <v>31</v>
      </c>
      <c r="D58" s="17">
        <f t="shared" si="6"/>
        <v>3.2258064516129031E-2</v>
      </c>
      <c r="E58" s="14">
        <f t="shared" si="7"/>
        <v>0</v>
      </c>
      <c r="F58" s="14" t="str">
        <f>IFERROR((B58-SUMIFS('Biosimilar Approval Database'!$G$3:$G$39,'Biosimilar Approval Database'!$C$3:$C$39,"Oct 2023"))/SUMIFS('Biosimilar Approval Database'!$G$3:$G$39,'Biosimilar Approval Database'!$C$3:$C$39,"Oct 2023"),"N/A")</f>
        <v>N/A</v>
      </c>
    </row>
    <row r="59" spans="1:6" x14ac:dyDescent="0.2">
      <c r="A59" s="21">
        <v>45597</v>
      </c>
      <c r="B59" s="7">
        <f>SUMIFS('Biosimilar Approval Database'!$G$3:$G$39,'Biosimilar Approval Database'!$C$3:$C$39,"Nov 2024")</f>
        <v>1</v>
      </c>
      <c r="C59" s="7">
        <f t="shared" si="5"/>
        <v>30</v>
      </c>
      <c r="D59" s="17">
        <f t="shared" si="6"/>
        <v>3.3333333333333333E-2</v>
      </c>
      <c r="E59" s="14">
        <f t="shared" si="7"/>
        <v>0</v>
      </c>
      <c r="F59" s="14" t="str">
        <f>IFERROR((B59-SUMIFS('Biosimilar Approval Database'!$G$3:$G$39,'Biosimilar Approval Database'!$C$3:$C$39,"Nov 2023"))/SUMIFS('Biosimilar Approval Database'!$G$3:$G$39,'Biosimilar Approval Database'!$C$3:$C$39,"Nov 2023"),"N/A")</f>
        <v>N/A</v>
      </c>
    </row>
    <row r="60" spans="1:6" x14ac:dyDescent="0.2">
      <c r="A60" s="21">
        <v>45627</v>
      </c>
      <c r="B60" s="7">
        <f>SUMIFS('Biosimilar Approval Database'!$G$3:$G$39,'Biosimilar Approval Database'!$C$3:$C$39,"Dec 2024")</f>
        <v>1</v>
      </c>
      <c r="C60" s="7">
        <f t="shared" si="5"/>
        <v>31</v>
      </c>
      <c r="D60" s="17">
        <f t="shared" si="6"/>
        <v>3.2258064516129031E-2</v>
      </c>
      <c r="E60" s="14">
        <f t="shared" si="7"/>
        <v>0</v>
      </c>
      <c r="F60" s="14" t="str">
        <f>IFERROR((B60-SUMIFS('Biosimilar Approval Database'!$G$3:$G$39,'Biosimilar Approval Database'!$C$3:$C$39,"Dec 2023"))/SUMIFS('Biosimilar Approval Database'!$G$3:$G$39,'Biosimilar Approval Database'!$C$3:$C$39,"Dec 2023"),"N/A")</f>
        <v>N/A</v>
      </c>
    </row>
    <row r="61" spans="1:6" x14ac:dyDescent="0.2">
      <c r="A61" s="21">
        <v>45658</v>
      </c>
      <c r="B61" s="7">
        <f>SUMIFS('Biosimilar Approval Database'!$G$3:$G$39,'Biosimilar Approval Database'!$C$3:$C$39,"Jan 2025")</f>
        <v>1</v>
      </c>
      <c r="C61" s="7">
        <f t="shared" si="5"/>
        <v>31</v>
      </c>
      <c r="D61" s="17">
        <f t="shared" si="6"/>
        <v>3.2258064516129031E-2</v>
      </c>
      <c r="E61" s="14">
        <f t="shared" si="7"/>
        <v>0</v>
      </c>
      <c r="F61" s="14" t="str">
        <f>IFERROR((B61-SUMIFS('Biosimilar Approval Database'!$G$3:$G$39,'Biosimilar Approval Database'!$C$3:$C$39,"Jan 2024"))/SUMIFS('Biosimilar Approval Database'!$G$3:$G$39,'Biosimilar Approval Database'!$C$3:$C$39,"Jan 2024"),"N/A")</f>
        <v>N/A</v>
      </c>
    </row>
    <row r="62" spans="1:6" x14ac:dyDescent="0.2">
      <c r="A62" s="21">
        <v>45689</v>
      </c>
      <c r="B62" s="7">
        <f>SUMIFS('Biosimilar Approval Database'!$G$3:$G$39,'Biosimilar Approval Database'!$C$3:$C$39,"Feb 2025")</f>
        <v>5</v>
      </c>
      <c r="C62" s="7">
        <f t="shared" si="5"/>
        <v>28</v>
      </c>
      <c r="D62" s="17">
        <f t="shared" si="6"/>
        <v>0.17857142857142858</v>
      </c>
      <c r="E62" s="14">
        <f t="shared" si="7"/>
        <v>4</v>
      </c>
      <c r="F62" s="14">
        <f>IFERROR((B62-SUMIFS('Biosimilar Approval Database'!$G$3:$G$39,'Biosimilar Approval Database'!$C$3:$C$39,"Feb 2024"))/SUMIFS('Biosimilar Approval Database'!$G$3:$G$39,'Biosimilar Approval Database'!$C$3:$C$39,"Feb 2024"),"N/A")</f>
        <v>4</v>
      </c>
    </row>
    <row r="63" spans="1:6" x14ac:dyDescent="0.2">
      <c r="A63" s="21">
        <v>45717</v>
      </c>
      <c r="B63" s="7">
        <f>SUMIFS('Biosimilar Approval Database'!$G$3:$G$39,'Biosimilar Approval Database'!$C$3:$C$39,"Mar 2025")</f>
        <v>3</v>
      </c>
      <c r="C63" s="7">
        <f t="shared" si="5"/>
        <v>31</v>
      </c>
      <c r="D63" s="17">
        <f t="shared" si="6"/>
        <v>9.6774193548387094E-2</v>
      </c>
      <c r="E63" s="14">
        <f t="shared" si="7"/>
        <v>-0.4</v>
      </c>
      <c r="F63" s="14">
        <f>IFERROR((B63-SUMIFS('Biosimilar Approval Database'!$G$3:$G$39,'Biosimilar Approval Database'!$C$3:$C$39,"Mar 2024"))/SUMIFS('Biosimilar Approval Database'!$G$3:$G$39,'Biosimilar Approval Database'!$C$3:$C$39,"Mar 2024"),"N/A")</f>
        <v>0</v>
      </c>
    </row>
    <row r="64" spans="1:6" x14ac:dyDescent="0.2">
      <c r="A64" s="21">
        <v>45748</v>
      </c>
      <c r="B64" s="7">
        <f>SUMIFS('Biosimilar Approval Database'!$G$3:$G$39,'Biosimilar Approval Database'!$C$3:$C$39,"Apr 2025")</f>
        <v>1</v>
      </c>
      <c r="C64" s="7">
        <f t="shared" si="5"/>
        <v>30</v>
      </c>
      <c r="D64" s="17">
        <f t="shared" si="6"/>
        <v>3.3333333333333333E-2</v>
      </c>
      <c r="E64" s="14">
        <f t="shared" si="7"/>
        <v>-0.66666666666666663</v>
      </c>
      <c r="F64" s="14">
        <f>IFERROR((B64-SUMIFS('Biosimilar Approval Database'!$G$3:$G$39,'Biosimilar Approval Database'!$C$3:$C$39,"Apr 2024"))/SUMIFS('Biosimilar Approval Database'!$G$3:$G$39,'Biosimilar Approval Database'!$C$3:$C$39,"Apr 2024"),"N/A")</f>
        <v>-0.5</v>
      </c>
    </row>
    <row r="65" spans="1:6" x14ac:dyDescent="0.2">
      <c r="A65" s="21">
        <v>45778</v>
      </c>
      <c r="B65" s="7">
        <f>SUMIFS('Biosimilar Approval Database'!$G$3:$G$39,'Biosimilar Approval Database'!$C$3:$C$39,"May 2025")</f>
        <v>1</v>
      </c>
      <c r="C65" s="7">
        <f t="shared" si="5"/>
        <v>31</v>
      </c>
      <c r="D65" s="17">
        <f t="shared" si="6"/>
        <v>3.2258064516129031E-2</v>
      </c>
      <c r="E65" s="14">
        <f t="shared" si="7"/>
        <v>0</v>
      </c>
      <c r="F65" s="14">
        <f>IFERROR((B65-SUMIFS('Biosimilar Approval Database'!$G$3:$G$39,'Biosimilar Approval Database'!$C$3:$C$39,"May 2024"))/SUMIFS('Biosimilar Approval Database'!$G$3:$G$39,'Biosimilar Approval Database'!$C$3:$C$39,"May 2024"),"N/A")</f>
        <v>-0.66666666666666663</v>
      </c>
    </row>
    <row r="66" spans="1:6" x14ac:dyDescent="0.2">
      <c r="A66" s="21">
        <v>45809</v>
      </c>
      <c r="B66" s="7">
        <f>SUMIFS('Biosimilar Approval Database'!$G$3:$G$39,'Biosimilar Approval Database'!$C$3:$C$39,"Jun 2025")</f>
        <v>0</v>
      </c>
      <c r="C66" s="7">
        <f t="shared" si="5"/>
        <v>30</v>
      </c>
      <c r="D66" s="17">
        <f t="shared" si="6"/>
        <v>0</v>
      </c>
      <c r="E66" s="14">
        <f t="shared" si="7"/>
        <v>-1</v>
      </c>
      <c r="F66" s="14">
        <f>IFERROR((B66-SUMIFS('Biosimilar Approval Database'!$G$3:$G$39,'Biosimilar Approval Database'!$C$3:$C$39,"Jun 2024"))/SUMIFS('Biosimilar Approval Database'!$G$3:$G$39,'Biosimilar Approval Database'!$C$3:$C$39,"Jun 2024"),"N/A")</f>
        <v>-1</v>
      </c>
    </row>
    <row r="67" spans="1:6" x14ac:dyDescent="0.2">
      <c r="A67" s="21">
        <v>45839</v>
      </c>
      <c r="B67" s="7">
        <f>SUMIFS('Biosimilar Approval Database'!$G$3:$G$39,'Biosimilar Approval Database'!$C$3:$C$39,"Jul 2025")</f>
        <v>1</v>
      </c>
      <c r="C67" s="7">
        <f t="shared" si="5"/>
        <v>31</v>
      </c>
      <c r="D67" s="17">
        <f t="shared" si="6"/>
        <v>3.2258064516129031E-2</v>
      </c>
      <c r="E67" s="14" t="str">
        <f t="shared" si="7"/>
        <v>N/A</v>
      </c>
      <c r="F67" s="14">
        <f>IFERROR((B67-SUMIFS('Biosimilar Approval Database'!$G$3:$G$39,'Biosimilar Approval Database'!$C$3:$C$39,"Jul 2024"))/SUMIFS('Biosimilar Approval Database'!$G$3:$G$39,'Biosimilar Approval Database'!$C$3:$C$39,"Jul 2024"),"N/A")</f>
        <v>0</v>
      </c>
    </row>
    <row r="68" spans="1:6" x14ac:dyDescent="0.2">
      <c r="A68" s="21">
        <v>45870</v>
      </c>
      <c r="B68" s="7">
        <f>SUMIFS('Biosimilar Approval Database'!$G$3:$G$39,'Biosimilar Approval Database'!$C$3:$C$39,"Aug 2025")</f>
        <v>2</v>
      </c>
      <c r="C68" s="7">
        <f t="shared" si="5"/>
        <v>31</v>
      </c>
      <c r="D68" s="17">
        <f t="shared" si="6"/>
        <v>6.4516129032258063E-2</v>
      </c>
      <c r="E68" s="14">
        <f t="shared" si="7"/>
        <v>1</v>
      </c>
      <c r="F68" s="14">
        <f>IFERROR((B68-SUMIFS('Biosimilar Approval Database'!$G$3:$G$39,'Biosimilar Approval Database'!$C$3:$C$39,"Aug 2024"))/SUMIFS('Biosimilar Approval Database'!$G$3:$G$39,'Biosimilar Approval Database'!$C$3:$C$39,"Aug 2024"),"N/A")</f>
        <v>0</v>
      </c>
    </row>
    <row r="69" spans="1:6" x14ac:dyDescent="0.2">
      <c r="A69" s="21">
        <v>45901</v>
      </c>
      <c r="B69" s="7">
        <f>SUMIFS('Biosimilar Approval Database'!$G$3:$G$39,'Biosimilar Approval Database'!$C$3:$C$39,"Sep 2025")</f>
        <v>4</v>
      </c>
      <c r="C69" s="7">
        <f t="shared" si="5"/>
        <v>30</v>
      </c>
      <c r="D69" s="17">
        <f t="shared" si="6"/>
        <v>0.13333333333333333</v>
      </c>
      <c r="E69" s="14">
        <f t="shared" si="7"/>
        <v>1</v>
      </c>
      <c r="F69" s="14">
        <f>IFERROR((B69-SUMIFS('Biosimilar Approval Database'!$G$3:$G$39,'Biosimilar Approval Database'!$C$3:$C$39,"Sep 2024"))/SUMIFS('Biosimilar Approval Database'!$G$3:$G$39,'Biosimilar Approval Database'!$C$3:$C$39,"Sep 2024"),"N/A")</f>
        <v>3</v>
      </c>
    </row>
    <row r="70" spans="1:6" x14ac:dyDescent="0.2">
      <c r="A70" s="21">
        <v>45931</v>
      </c>
      <c r="B70" s="7">
        <f>SUMIFS('Biosimilar Approval Database'!$G$3:$G$39,'Biosimilar Approval Database'!$C$3:$C$39,"Oct 2025")</f>
        <v>3</v>
      </c>
      <c r="C70" s="7">
        <f t="shared" si="5"/>
        <v>31</v>
      </c>
      <c r="D70" s="17">
        <f t="shared" si="6"/>
        <v>9.6774193548387094E-2</v>
      </c>
      <c r="E70" s="14">
        <f t="shared" si="7"/>
        <v>-0.25</v>
      </c>
      <c r="F70" s="14">
        <f>IFERROR((B70-SUMIFS('Biosimilar Approval Database'!$G$3:$G$39,'Biosimilar Approval Database'!$C$3:$C$39,"Oct 2024"))/SUMIFS('Biosimilar Approval Database'!$G$3:$G$39,'Biosimilar Approval Database'!$C$3:$C$39,"Oct 2024"),"N/A")</f>
        <v>2</v>
      </c>
    </row>
    <row r="71" spans="1:6" x14ac:dyDescent="0.2">
      <c r="A71" s="21">
        <v>45962</v>
      </c>
      <c r="B71" s="7">
        <f>SUMIFS('Biosimilar Approval Database'!$G$3:$G$39,'Biosimilar Approval Database'!$C$3:$C$39,"Nov 2025")</f>
        <v>2</v>
      </c>
      <c r="C71" s="7">
        <f t="shared" si="5"/>
        <v>30</v>
      </c>
      <c r="D71" s="17">
        <f t="shared" si="6"/>
        <v>6.6666666666666666E-2</v>
      </c>
      <c r="E71" s="14">
        <f t="shared" si="7"/>
        <v>-0.33333333333333331</v>
      </c>
      <c r="F71" s="14">
        <f>IFERROR((B71-SUMIFS('Biosimilar Approval Database'!$G$3:$G$39,'Biosimilar Approval Database'!$C$3:$C$39,"Nov 2024"))/SUMIFS('Biosimilar Approval Database'!$G$3:$G$39,'Biosimilar Approval Database'!$C$3:$C$39,"Nov 2024"),"N/A")</f>
        <v>1</v>
      </c>
    </row>
    <row r="72" spans="1:6" x14ac:dyDescent="0.2">
      <c r="A72" s="21">
        <v>45992</v>
      </c>
      <c r="B72" s="7">
        <f>SUMIFS('Biosimilar Approval Database'!$G$3:$G$39,'Biosimilar Approval Database'!$C$3:$C$39,"Dec 2025")</f>
        <v>3</v>
      </c>
      <c r="C72" s="7">
        <f t="shared" si="5"/>
        <v>31</v>
      </c>
      <c r="D72" s="17">
        <f t="shared" si="6"/>
        <v>9.6774193548387094E-2</v>
      </c>
      <c r="E72" s="14">
        <f t="shared" si="7"/>
        <v>0.5</v>
      </c>
      <c r="F72" s="14">
        <f>IFERROR((B72-SUMIFS('Biosimilar Approval Database'!$G$3:$G$39,'Biosimilar Approval Database'!$C$3:$C$39,"Dec 2024"))/SUMIFS('Biosimilar Approval Database'!$G$3:$G$39,'Biosimilar Approval Database'!$C$3:$C$39,"Dec 2024"),"N/A")</f>
        <v>2</v>
      </c>
    </row>
    <row r="73" spans="1:6" x14ac:dyDescent="0.2">
      <c r="A73" s="21">
        <v>46023</v>
      </c>
      <c r="B73" s="7">
        <f>SUMIFS('Biosimilar Approval Database'!$G$3:$G$39,'Biosimilar Approval Database'!$C$3:$C$39,"Jan 2026")</f>
        <v>1</v>
      </c>
      <c r="C73" s="7">
        <f t="shared" si="5"/>
        <v>31</v>
      </c>
      <c r="D73" s="17">
        <f t="shared" si="6"/>
        <v>3.2258064516129031E-2</v>
      </c>
      <c r="E73" s="14">
        <f t="shared" si="7"/>
        <v>-0.66666666666666663</v>
      </c>
      <c r="F73" s="14">
        <f>IFERROR((B73-SUMIFS('Biosimilar Approval Database'!$G$3:$G$39,'Biosimilar Approval Database'!$C$3:$C$39,"Jan 2025"))/SUMIFS('Biosimilar Approval Database'!$G$3:$G$39,'Biosimilar Approval Database'!$C$3:$C$39,"Jan 2025"),"N/A")</f>
        <v>0</v>
      </c>
    </row>
    <row r="74" spans="1:6" x14ac:dyDescent="0.2">
      <c r="A74" s="21">
        <v>46054</v>
      </c>
      <c r="B74" s="7">
        <f>SUMIFS('Biosimilar Approval Database'!$G$3:$G$39,'Biosimilar Approval Database'!$C$3:$C$39,"Feb 2026")</f>
        <v>0</v>
      </c>
      <c r="C74" s="7">
        <f t="shared" si="5"/>
        <v>28</v>
      </c>
      <c r="D74" s="17">
        <f t="shared" si="6"/>
        <v>0</v>
      </c>
      <c r="E74" s="14">
        <f t="shared" si="7"/>
        <v>-1</v>
      </c>
      <c r="F74" s="14">
        <f>IFERROR((B74-SUMIFS('Biosimilar Approval Database'!$G$3:$G$39,'Biosimilar Approval Database'!$C$3:$C$39,"Feb 2025"))/SUMIFS('Biosimilar Approval Database'!$G$3:$G$39,'Biosimilar Approval Database'!$C$3:$C$39,"Feb 2025"),"N/A")</f>
        <v>-1</v>
      </c>
    </row>
    <row r="76" spans="1:6" x14ac:dyDescent="0.2">
      <c r="A76" s="19" t="s">
        <v>21965</v>
      </c>
    </row>
    <row r="77" spans="1:6" x14ac:dyDescent="0.2">
      <c r="A77" s="12" t="s">
        <v>21966</v>
      </c>
      <c r="B77" s="12" t="s">
        <v>21431</v>
      </c>
    </row>
    <row r="78" spans="1:6" x14ac:dyDescent="0.2">
      <c r="A78" s="13" t="s">
        <v>21432</v>
      </c>
      <c r="B78" s="7">
        <v>54</v>
      </c>
    </row>
    <row r="79" spans="1:6" x14ac:dyDescent="0.2">
      <c r="A79" s="13" t="s">
        <v>21433</v>
      </c>
      <c r="B79" s="7">
        <v>64</v>
      </c>
    </row>
    <row r="80" spans="1:6" x14ac:dyDescent="0.2">
      <c r="A80" s="13" t="s">
        <v>21434</v>
      </c>
      <c r="B80" s="15">
        <v>-0.15625</v>
      </c>
    </row>
    <row r="81" spans="1:2" x14ac:dyDescent="0.2">
      <c r="A81" s="13" t="s">
        <v>21967</v>
      </c>
      <c r="B81" s="15">
        <v>-9.6774193548387094E-2</v>
      </c>
    </row>
    <row r="82" spans="1:2" x14ac:dyDescent="0.2">
      <c r="A82" s="13" t="s">
        <v>21968</v>
      </c>
      <c r="B82" s="7">
        <v>300</v>
      </c>
    </row>
    <row r="83" spans="1:2" x14ac:dyDescent="0.2">
      <c r="A83" s="13" t="s">
        <v>21969</v>
      </c>
      <c r="B83" s="7">
        <v>-88.888888888888886</v>
      </c>
    </row>
    <row r="85" spans="1:2" x14ac:dyDescent="0.2">
      <c r="A85" s="19" t="s">
        <v>21970</v>
      </c>
    </row>
    <row r="86" spans="1:2" x14ac:dyDescent="0.2">
      <c r="A86" s="12" t="s">
        <v>21966</v>
      </c>
      <c r="B86" s="12" t="s">
        <v>21431</v>
      </c>
    </row>
    <row r="87" spans="1:2" x14ac:dyDescent="0.2">
      <c r="A87" s="13" t="s">
        <v>21432</v>
      </c>
      <c r="B87" s="7">
        <v>21</v>
      </c>
    </row>
    <row r="88" spans="1:2" x14ac:dyDescent="0.2">
      <c r="A88" s="13" t="s">
        <v>21433</v>
      </c>
      <c r="B88" s="7">
        <v>24</v>
      </c>
    </row>
    <row r="89" spans="1:2" x14ac:dyDescent="0.2">
      <c r="A89" s="13" t="s">
        <v>21434</v>
      </c>
      <c r="B89" s="15">
        <v>-0.125</v>
      </c>
    </row>
    <row r="90" spans="1:2" x14ac:dyDescent="0.2">
      <c r="A90" s="13" t="s">
        <v>21967</v>
      </c>
      <c r="B90" s="14">
        <v>0.36842105263157893</v>
      </c>
    </row>
    <row r="91" spans="1:2" x14ac:dyDescent="0.2">
      <c r="A91" s="13" t="s">
        <v>21968</v>
      </c>
      <c r="B91" s="7">
        <v>-100</v>
      </c>
    </row>
    <row r="92" spans="1:2" x14ac:dyDescent="0.2">
      <c r="A92" s="13" t="s">
        <v>21969</v>
      </c>
      <c r="B92" s="7">
        <v>-66.666666666666657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DD7EE"/>
  </sheetPr>
  <dimension ref="A1:E47"/>
  <sheetViews>
    <sheetView workbookViewId="0">
      <selection sqref="A1:E1"/>
    </sheetView>
  </sheetViews>
  <sheetFormatPr baseColWidth="10" defaultColWidth="8.83203125" defaultRowHeight="15" x14ac:dyDescent="0.2"/>
  <cols>
    <col min="1" max="1" width="20.6640625" customWidth="1"/>
    <col min="2" max="5" width="22.6640625" customWidth="1"/>
  </cols>
  <sheetData>
    <row r="1" spans="1:5" x14ac:dyDescent="0.2">
      <c r="A1" s="45" t="s">
        <v>21982</v>
      </c>
      <c r="B1" s="45"/>
      <c r="C1" s="45"/>
      <c r="D1" s="45"/>
      <c r="E1" s="45"/>
    </row>
    <row r="2" spans="1:5" x14ac:dyDescent="0.2">
      <c r="A2" s="23" t="s">
        <v>21424</v>
      </c>
      <c r="B2" s="23" t="s">
        <v>21983</v>
      </c>
      <c r="C2" s="23" t="s">
        <v>21984</v>
      </c>
    </row>
    <row r="3" spans="1:5" x14ac:dyDescent="0.2">
      <c r="A3" s="24" t="s">
        <v>21985</v>
      </c>
      <c r="B3" s="25">
        <f>SUMPRODUCT(('MTS Database'!$H$2:$H$39=2023)*('MTS Database'!$D$2:$D$39))</f>
        <v>46479341222.459999</v>
      </c>
      <c r="C3" s="26">
        <f>COUNTIF('MTS Database'!$H$2:$H$39,2023)</f>
        <v>12</v>
      </c>
    </row>
    <row r="4" spans="1:5" x14ac:dyDescent="0.2">
      <c r="A4" s="27" t="s">
        <v>21426</v>
      </c>
      <c r="B4" s="28">
        <f>SUMPRODUCT(('MTS Database'!$H$2:$H$39=2024)*('MTS Database'!$D$2:$D$39))</f>
        <v>48980221834.269989</v>
      </c>
      <c r="C4" s="29">
        <f>COUNTIF('MTS Database'!$H$2:$H$39,2024)</f>
        <v>12</v>
      </c>
    </row>
    <row r="5" spans="1:5" x14ac:dyDescent="0.2">
      <c r="A5" s="24" t="s">
        <v>21427</v>
      </c>
      <c r="B5" s="25">
        <f>SUMPRODUCT(('MTS Database'!$H$2:$H$39=2025)*('MTS Database'!$D$2:$D$39))</f>
        <v>46748457850.059998</v>
      </c>
      <c r="C5" s="26">
        <f>COUNTIF('MTS Database'!$H$2:$H$39,2025)</f>
        <v>12</v>
      </c>
    </row>
    <row r="6" spans="1:5" x14ac:dyDescent="0.2">
      <c r="A6" s="27" t="s">
        <v>21428</v>
      </c>
      <c r="B6" s="28">
        <f>SUMPRODUCT(('MTS Database'!$H$2:$H$39=2026)*('MTS Database'!$D$2:$D$39))</f>
        <v>6970872446.6300001</v>
      </c>
      <c r="C6" s="29">
        <f>COUNTIF('MTS Database'!$H$2:$H$39,2026)</f>
        <v>2</v>
      </c>
    </row>
    <row r="7" spans="1:5" x14ac:dyDescent="0.2">
      <c r="A7" s="9" t="s">
        <v>21986</v>
      </c>
      <c r="B7" s="30">
        <f ca="1">ROUND(B6*12/MONTH(EOMONTH(TODAY(),-1)),0)</f>
        <v>41825234680</v>
      </c>
      <c r="C7" s="9" t="s">
        <v>21987</v>
      </c>
    </row>
    <row r="10" spans="1:5" x14ac:dyDescent="0.2">
      <c r="A10" s="45" t="s">
        <v>21988</v>
      </c>
      <c r="B10" s="45"/>
      <c r="C10" s="45"/>
      <c r="D10" s="45"/>
      <c r="E10" s="45"/>
    </row>
    <row r="11" spans="1:5" x14ac:dyDescent="0.2">
      <c r="A11" s="23" t="s">
        <v>21966</v>
      </c>
      <c r="B11" s="23" t="s">
        <v>21431</v>
      </c>
      <c r="C11" s="23" t="s">
        <v>21989</v>
      </c>
    </row>
    <row r="12" spans="1:5" x14ac:dyDescent="0.2">
      <c r="A12" s="24" t="s">
        <v>21990</v>
      </c>
      <c r="B12" s="25">
        <v>46425823194.139992</v>
      </c>
      <c r="C12" s="24"/>
    </row>
    <row r="13" spans="1:5" x14ac:dyDescent="0.2">
      <c r="A13" s="24" t="s">
        <v>21991</v>
      </c>
      <c r="B13" s="25">
        <v>48867951879.529991</v>
      </c>
      <c r="C13" s="24"/>
    </row>
    <row r="14" spans="1:5" x14ac:dyDescent="0.2">
      <c r="A14" s="24" t="s">
        <v>21992</v>
      </c>
      <c r="B14" s="31">
        <v>-4.9974033931488908E-2</v>
      </c>
      <c r="C14" s="24"/>
    </row>
    <row r="15" spans="1:5" x14ac:dyDescent="0.2">
      <c r="A15" s="24" t="s">
        <v>21993</v>
      </c>
      <c r="B15" s="31">
        <v>-4.9974033931488908E-2</v>
      </c>
      <c r="C15" s="24"/>
    </row>
    <row r="16" spans="1:5" x14ac:dyDescent="0.2">
      <c r="A16" s="24" t="s">
        <v>21994</v>
      </c>
      <c r="B16" s="32">
        <v>6.1127283771696739E-2</v>
      </c>
      <c r="C16" s="24"/>
    </row>
    <row r="19" spans="1:5" x14ac:dyDescent="0.2">
      <c r="A19" s="45" t="s">
        <v>21995</v>
      </c>
      <c r="B19" s="45"/>
      <c r="C19" s="45"/>
      <c r="D19" s="45"/>
      <c r="E19" s="45"/>
    </row>
    <row r="20" spans="1:5" x14ac:dyDescent="0.2">
      <c r="A20" s="23" t="s">
        <v>21438</v>
      </c>
      <c r="B20" s="23" t="s">
        <v>21983</v>
      </c>
      <c r="C20" s="23" t="s">
        <v>21439</v>
      </c>
      <c r="D20" s="23" t="s">
        <v>21996</v>
      </c>
    </row>
    <row r="21" spans="1:5" x14ac:dyDescent="0.2">
      <c r="A21" s="24" t="s">
        <v>21827</v>
      </c>
      <c r="B21" s="25">
        <f>SUMPRODUCT(('MTS Database'!$H$2:$H$39=2024)*('MTS Database'!$I$2:$I$39=1)*('MTS Database'!$D$2:$D$39))</f>
        <v>3730021310.4200001</v>
      </c>
      <c r="C21" s="26">
        <v>31</v>
      </c>
      <c r="D21" s="25">
        <f t="shared" ref="D21:D47" si="0">IF(C21=0,0,B21/C21)</f>
        <v>120323268.07806452</v>
      </c>
    </row>
    <row r="22" spans="1:5" x14ac:dyDescent="0.2">
      <c r="A22" s="27" t="s">
        <v>21819</v>
      </c>
      <c r="B22" s="28">
        <f>SUMPRODUCT(('MTS Database'!$H$2:$H$39=2024)*('MTS Database'!$I$2:$I$39=2)*('MTS Database'!$D$2:$D$39))</f>
        <v>3675755746.8699999</v>
      </c>
      <c r="C22" s="29">
        <v>29</v>
      </c>
      <c r="D22" s="28">
        <f t="shared" si="0"/>
        <v>126750198.16793104</v>
      </c>
    </row>
    <row r="23" spans="1:5" x14ac:dyDescent="0.2">
      <c r="A23" s="24" t="s">
        <v>21793</v>
      </c>
      <c r="B23" s="25">
        <f>SUMPRODUCT(('MTS Database'!$H$2:$H$39=2024)*('MTS Database'!$I$2:$I$39=3)*('MTS Database'!$D$2:$D$39))</f>
        <v>4065326521.6900001</v>
      </c>
      <c r="C23" s="26">
        <v>31</v>
      </c>
      <c r="D23" s="25">
        <f t="shared" si="0"/>
        <v>131139565.21580645</v>
      </c>
    </row>
    <row r="24" spans="1:5" x14ac:dyDescent="0.2">
      <c r="A24" s="27" t="s">
        <v>21775</v>
      </c>
      <c r="B24" s="28">
        <f>SUMPRODUCT(('MTS Database'!$H$2:$H$39=2024)*('MTS Database'!$I$2:$I$39=4)*('MTS Database'!$D$2:$D$39))</f>
        <v>4204474668.7600002</v>
      </c>
      <c r="C24" s="29">
        <v>30</v>
      </c>
      <c r="D24" s="28">
        <f t="shared" si="0"/>
        <v>140149155.62533334</v>
      </c>
    </row>
    <row r="25" spans="1:5" x14ac:dyDescent="0.2">
      <c r="A25" s="24" t="s">
        <v>21768</v>
      </c>
      <c r="B25" s="25">
        <f>SUMPRODUCT(('MTS Database'!$H$2:$H$39=2024)*('MTS Database'!$I$2:$I$39=5)*('MTS Database'!$D$2:$D$39))</f>
        <v>4051258348.8499999</v>
      </c>
      <c r="C25" s="26">
        <v>31</v>
      </c>
      <c r="D25" s="25">
        <f t="shared" si="0"/>
        <v>130685753.18870968</v>
      </c>
    </row>
    <row r="26" spans="1:5" x14ac:dyDescent="0.2">
      <c r="A26" s="27" t="s">
        <v>21751</v>
      </c>
      <c r="B26" s="28">
        <f>SUMPRODUCT(('MTS Database'!$H$2:$H$39=2024)*('MTS Database'!$I$2:$I$39=6)*('MTS Database'!$D$2:$D$39))</f>
        <v>4217593665.3299999</v>
      </c>
      <c r="C26" s="29">
        <v>30</v>
      </c>
      <c r="D26" s="28">
        <f t="shared" si="0"/>
        <v>140586455.51100001</v>
      </c>
    </row>
    <row r="27" spans="1:5" x14ac:dyDescent="0.2">
      <c r="A27" s="24" t="s">
        <v>21744</v>
      </c>
      <c r="B27" s="25">
        <f>SUMPRODUCT(('MTS Database'!$H$2:$H$39=2024)*('MTS Database'!$I$2:$I$39=7)*('MTS Database'!$D$2:$D$39))</f>
        <v>4112084165.9200001</v>
      </c>
      <c r="C27" s="26">
        <v>31</v>
      </c>
      <c r="D27" s="25">
        <f t="shared" si="0"/>
        <v>132647876.32000001</v>
      </c>
    </row>
    <row r="28" spans="1:5" x14ac:dyDescent="0.2">
      <c r="A28" s="27" t="s">
        <v>21724</v>
      </c>
      <c r="B28" s="28">
        <f>SUMPRODUCT(('MTS Database'!$H$2:$H$39=2024)*('MTS Database'!$I$2:$I$39=8)*('MTS Database'!$D$2:$D$39))</f>
        <v>4523714677.2799997</v>
      </c>
      <c r="C28" s="29">
        <v>31</v>
      </c>
      <c r="D28" s="28">
        <f t="shared" si="0"/>
        <v>145926279.91225806</v>
      </c>
    </row>
    <row r="29" spans="1:5" x14ac:dyDescent="0.2">
      <c r="A29" s="24" t="s">
        <v>21709</v>
      </c>
      <c r="B29" s="25">
        <f>SUMPRODUCT(('MTS Database'!$H$2:$H$39=2024)*('MTS Database'!$I$2:$I$39=9)*('MTS Database'!$D$2:$D$39))</f>
        <v>4257770542.6599998</v>
      </c>
      <c r="C29" s="26">
        <v>30</v>
      </c>
      <c r="D29" s="25">
        <f t="shared" si="0"/>
        <v>141925684.75533333</v>
      </c>
    </row>
    <row r="30" spans="1:5" x14ac:dyDescent="0.2">
      <c r="A30" s="27" t="s">
        <v>21696</v>
      </c>
      <c r="B30" s="28">
        <f>SUMPRODUCT(('MTS Database'!$H$2:$H$39=2024)*('MTS Database'!$I$2:$I$39=10)*('MTS Database'!$D$2:$D$39))</f>
        <v>4282709619.6300001</v>
      </c>
      <c r="C30" s="29">
        <v>31</v>
      </c>
      <c r="D30" s="28">
        <f t="shared" si="0"/>
        <v>138151923.21387097</v>
      </c>
    </row>
    <row r="31" spans="1:5" x14ac:dyDescent="0.2">
      <c r="A31" s="24" t="s">
        <v>21676</v>
      </c>
      <c r="B31" s="25">
        <f>SUMPRODUCT(('MTS Database'!$H$2:$H$39=2024)*('MTS Database'!$I$2:$I$39=11)*('MTS Database'!$D$2:$D$39))</f>
        <v>3906261272.27</v>
      </c>
      <c r="C31" s="26">
        <v>30</v>
      </c>
      <c r="D31" s="25">
        <f t="shared" si="0"/>
        <v>130208709.07566667</v>
      </c>
    </row>
    <row r="32" spans="1:5" x14ac:dyDescent="0.2">
      <c r="A32" s="27" t="s">
        <v>21648</v>
      </c>
      <c r="B32" s="28">
        <f>SUMPRODUCT(('MTS Database'!$H$2:$H$39=2024)*('MTS Database'!$I$2:$I$39=12)*('MTS Database'!$D$2:$D$39))</f>
        <v>3953251294.5900002</v>
      </c>
      <c r="C32" s="29">
        <v>31</v>
      </c>
      <c r="D32" s="28">
        <f t="shared" si="0"/>
        <v>127524235.30935484</v>
      </c>
    </row>
    <row r="33" spans="1:4" x14ac:dyDescent="0.2">
      <c r="A33" s="24" t="s">
        <v>21638</v>
      </c>
      <c r="B33" s="25">
        <f>SUMPRODUCT(('MTS Database'!$H$2:$H$39=2025)*('MTS Database'!$I$2:$I$39=1)*('MTS Database'!$D$2:$D$39))</f>
        <v>3554349934.5300002</v>
      </c>
      <c r="C33" s="26">
        <v>31</v>
      </c>
      <c r="D33" s="25">
        <f t="shared" si="0"/>
        <v>114656449.50096776</v>
      </c>
    </row>
    <row r="34" spans="1:4" x14ac:dyDescent="0.2">
      <c r="A34" s="27" t="s">
        <v>21627</v>
      </c>
      <c r="B34" s="28">
        <f>SUMPRODUCT(('MTS Database'!$H$2:$H$39=2025)*('MTS Database'!$I$2:$I$39=2)*('MTS Database'!$D$2:$D$39))</f>
        <v>3739157168.02</v>
      </c>
      <c r="C34" s="29">
        <v>28</v>
      </c>
      <c r="D34" s="28">
        <f t="shared" si="0"/>
        <v>133541327.42928572</v>
      </c>
    </row>
    <row r="35" spans="1:4" x14ac:dyDescent="0.2">
      <c r="A35" s="24" t="s">
        <v>21618</v>
      </c>
      <c r="B35" s="25">
        <f>SUMPRODUCT(('MTS Database'!$H$2:$H$39=2025)*('MTS Database'!$I$2:$I$39=3)*('MTS Database'!$D$2:$D$39))</f>
        <v>3549549495</v>
      </c>
      <c r="C35" s="26">
        <v>31</v>
      </c>
      <c r="D35" s="25">
        <f t="shared" si="0"/>
        <v>114501596.61290322</v>
      </c>
    </row>
    <row r="36" spans="1:4" x14ac:dyDescent="0.2">
      <c r="A36" s="27" t="s">
        <v>21607</v>
      </c>
      <c r="B36" s="28">
        <f>SUMPRODUCT(('MTS Database'!$H$2:$H$39=2025)*('MTS Database'!$I$2:$I$39=4)*('MTS Database'!$D$2:$D$39))</f>
        <v>3849531051.1700001</v>
      </c>
      <c r="C36" s="29">
        <v>30</v>
      </c>
      <c r="D36" s="28">
        <f t="shared" si="0"/>
        <v>128317701.70566668</v>
      </c>
    </row>
    <row r="37" spans="1:4" x14ac:dyDescent="0.2">
      <c r="A37" s="24" t="s">
        <v>21592</v>
      </c>
      <c r="B37" s="25">
        <f>SUMPRODUCT(('MTS Database'!$H$2:$H$39=2025)*('MTS Database'!$I$2:$I$39=5)*('MTS Database'!$D$2:$D$39))</f>
        <v>2768098809.9400001</v>
      </c>
      <c r="C37" s="26">
        <v>31</v>
      </c>
      <c r="D37" s="25">
        <f t="shared" si="0"/>
        <v>89293509.998064518</v>
      </c>
    </row>
    <row r="38" spans="1:4" x14ac:dyDescent="0.2">
      <c r="A38" s="27" t="s">
        <v>21584</v>
      </c>
      <c r="B38" s="28">
        <f>SUMPRODUCT(('MTS Database'!$H$2:$H$39=2025)*('MTS Database'!$I$2:$I$39=6)*('MTS Database'!$D$2:$D$39))</f>
        <v>4251809889.7199998</v>
      </c>
      <c r="C38" s="29">
        <v>30</v>
      </c>
      <c r="D38" s="28">
        <f t="shared" si="0"/>
        <v>141726996.324</v>
      </c>
    </row>
    <row r="39" spans="1:4" x14ac:dyDescent="0.2">
      <c r="A39" s="24" t="s">
        <v>21565</v>
      </c>
      <c r="B39" s="25">
        <f>SUMPRODUCT(('MTS Database'!$H$2:$H$39=2025)*('MTS Database'!$I$2:$I$39=7)*('MTS Database'!$D$2:$D$39))</f>
        <v>4519716660.5100002</v>
      </c>
      <c r="C39" s="26">
        <v>31</v>
      </c>
      <c r="D39" s="25">
        <f t="shared" si="0"/>
        <v>145797311.62935483</v>
      </c>
    </row>
    <row r="40" spans="1:4" x14ac:dyDescent="0.2">
      <c r="A40" s="27" t="s">
        <v>21547</v>
      </c>
      <c r="B40" s="28">
        <f>SUMPRODUCT(('MTS Database'!$H$2:$H$39=2025)*('MTS Database'!$I$2:$I$39=8)*('MTS Database'!$D$2:$D$39))</f>
        <v>4371512314.6300001</v>
      </c>
      <c r="C40" s="29">
        <v>31</v>
      </c>
      <c r="D40" s="28">
        <f t="shared" si="0"/>
        <v>141016526.2783871</v>
      </c>
    </row>
    <row r="41" spans="1:4" x14ac:dyDescent="0.2">
      <c r="A41" s="24" t="s">
        <v>21531</v>
      </c>
      <c r="B41" s="25">
        <f>SUMPRODUCT(('MTS Database'!$H$2:$H$39=2025)*('MTS Database'!$I$2:$I$39=9)*('MTS Database'!$D$2:$D$39))</f>
        <v>4595041398.3599997</v>
      </c>
      <c r="C41" s="26">
        <v>30</v>
      </c>
      <c r="D41" s="25">
        <f t="shared" si="0"/>
        <v>153168046.61199999</v>
      </c>
    </row>
    <row r="42" spans="1:4" x14ac:dyDescent="0.2">
      <c r="A42" s="27" t="s">
        <v>21524</v>
      </c>
      <c r="B42" s="28">
        <f>SUMPRODUCT(('MTS Database'!$H$2:$H$39=2025)*('MTS Database'!$I$2:$I$39=10)*('MTS Database'!$D$2:$D$39))</f>
        <v>3313968384.79</v>
      </c>
      <c r="C42" s="29">
        <v>31</v>
      </c>
      <c r="D42" s="28">
        <f t="shared" si="0"/>
        <v>106902205.96096773</v>
      </c>
    </row>
    <row r="43" spans="1:4" x14ac:dyDescent="0.2">
      <c r="A43" s="24" t="s">
        <v>21506</v>
      </c>
      <c r="B43" s="25">
        <f>SUMPRODUCT(('MTS Database'!$H$2:$H$39=2025)*('MTS Database'!$I$2:$I$39=11)*('MTS Database'!$D$2:$D$39))</f>
        <v>3598144608.0500002</v>
      </c>
      <c r="C43" s="26">
        <v>30</v>
      </c>
      <c r="D43" s="25">
        <f t="shared" si="0"/>
        <v>119938153.60166667</v>
      </c>
    </row>
    <row r="44" spans="1:4" x14ac:dyDescent="0.2">
      <c r="A44" s="27" t="s">
        <v>21477</v>
      </c>
      <c r="B44" s="28">
        <f>SUMPRODUCT(('MTS Database'!$H$2:$H$39=2025)*('MTS Database'!$I$2:$I$39=12)*('MTS Database'!$D$2:$D$39))</f>
        <v>4637578135.3400002</v>
      </c>
      <c r="C44" s="29">
        <v>31</v>
      </c>
      <c r="D44" s="28">
        <f t="shared" si="0"/>
        <v>149599294.6883871</v>
      </c>
    </row>
    <row r="45" spans="1:4" x14ac:dyDescent="0.2">
      <c r="A45" s="24" t="s">
        <v>21473</v>
      </c>
      <c r="B45" s="25">
        <f>SUMPRODUCT(('MTS Database'!$H$2:$H$39=2026)*('MTS Database'!$I$2:$I$39=1)*('MTS Database'!$D$2:$D$39))</f>
        <v>3559405026.02</v>
      </c>
      <c r="C45" s="26">
        <v>31</v>
      </c>
      <c r="D45" s="25">
        <f t="shared" si="0"/>
        <v>114819516.9683871</v>
      </c>
    </row>
    <row r="46" spans="1:4" x14ac:dyDescent="0.2">
      <c r="A46" s="27" t="s">
        <v>21458</v>
      </c>
      <c r="B46" s="28">
        <f>SUMPRODUCT(('MTS Database'!$H$2:$H$39=2026)*('MTS Database'!$I$2:$I$39=2)*('MTS Database'!$D$2:$D$39))</f>
        <v>3411467420.6100001</v>
      </c>
      <c r="C46" s="29">
        <v>28</v>
      </c>
      <c r="D46" s="28">
        <f t="shared" si="0"/>
        <v>121838122.16464286</v>
      </c>
    </row>
    <row r="47" spans="1:4" x14ac:dyDescent="0.2">
      <c r="A47" s="33" t="s">
        <v>21425</v>
      </c>
      <c r="B47" s="34">
        <f>SUM(B21:B46)</f>
        <v>102699552130.95998</v>
      </c>
      <c r="C47" s="35">
        <f>SUM(C21:C46)</f>
        <v>790</v>
      </c>
      <c r="D47" s="34">
        <f t="shared" si="0"/>
        <v>129999433.07716453</v>
      </c>
    </row>
  </sheetData>
  <mergeCells count="3">
    <mergeCell ref="A1:E1"/>
    <mergeCell ref="A10:E10"/>
    <mergeCell ref="A19:E1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E3"/>
  <sheetViews>
    <sheetView showGridLines="0" workbookViewId="0"/>
  </sheetViews>
  <sheetFormatPr baseColWidth="10" defaultColWidth="8.83203125" defaultRowHeight="15" x14ac:dyDescent="0.2"/>
  <cols>
    <col min="1" max="5" width="20.6640625" customWidth="1"/>
  </cols>
  <sheetData>
    <row r="1" spans="1:5" x14ac:dyDescent="0.2">
      <c r="A1" s="44" t="s">
        <v>2</v>
      </c>
      <c r="B1" s="44"/>
      <c r="C1" s="44"/>
      <c r="D1" s="44"/>
      <c r="E1" s="44"/>
    </row>
    <row r="2" spans="1:5" x14ac:dyDescent="0.2">
      <c r="A2" s="44"/>
      <c r="B2" s="44"/>
      <c r="C2" s="44"/>
      <c r="D2" s="44"/>
      <c r="E2" s="44"/>
    </row>
    <row r="3" spans="1:5" x14ac:dyDescent="0.2">
      <c r="A3" s="44"/>
      <c r="B3" s="44"/>
      <c r="C3" s="44"/>
      <c r="D3" s="44"/>
      <c r="E3" s="44"/>
    </row>
  </sheetData>
  <mergeCells count="1">
    <mergeCell ref="A1:E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DD7EE"/>
  </sheetPr>
  <dimension ref="A1:K9253"/>
  <sheetViews>
    <sheetView workbookViewId="0">
      <pane ySplit="1" topLeftCell="A2" activePane="bottomLeft" state="frozen"/>
      <selection pane="bottomLeft"/>
    </sheetView>
  </sheetViews>
  <sheetFormatPr baseColWidth="10" defaultColWidth="8.83203125" defaultRowHeight="15" x14ac:dyDescent="0.2"/>
  <cols>
    <col min="1" max="1" width="14.6640625" customWidth="1"/>
    <col min="2" max="2" width="50.6640625" customWidth="1"/>
    <col min="3" max="3" width="30.6640625" customWidth="1"/>
    <col min="4" max="6" width="14.6640625" customWidth="1"/>
    <col min="7" max="7" width="18.6640625" customWidth="1"/>
    <col min="8" max="8" width="12.6640625" customWidth="1"/>
    <col min="9" max="9" width="16.6640625" customWidth="1"/>
    <col min="10" max="10" width="12.6640625" customWidth="1"/>
    <col min="11" max="11" width="14.6640625" customWidth="1"/>
  </cols>
  <sheetData>
    <row r="1" spans="1:11" x14ac:dyDescent="0.2">
      <c r="A1" s="6" t="s">
        <v>3</v>
      </c>
      <c r="B1" s="6" t="s">
        <v>4</v>
      </c>
      <c r="C1" s="6" t="s">
        <v>5</v>
      </c>
      <c r="D1" s="6" t="s">
        <v>6</v>
      </c>
      <c r="E1" s="6" t="s">
        <v>7</v>
      </c>
      <c r="F1" s="6" t="s">
        <v>8</v>
      </c>
      <c r="G1" s="6" t="s">
        <v>9</v>
      </c>
      <c r="H1" s="6" t="s">
        <v>10</v>
      </c>
      <c r="I1" s="6" t="s">
        <v>11</v>
      </c>
      <c r="J1" s="6" t="s">
        <v>12</v>
      </c>
      <c r="K1" s="6" t="s">
        <v>13</v>
      </c>
    </row>
    <row r="2" spans="1:11" x14ac:dyDescent="0.2">
      <c r="A2" s="24" t="s">
        <v>14</v>
      </c>
      <c r="B2" s="24" t="s">
        <v>15</v>
      </c>
      <c r="C2" s="24" t="s">
        <v>16</v>
      </c>
      <c r="D2" s="24" t="s">
        <v>17</v>
      </c>
      <c r="E2" s="24" t="s">
        <v>18</v>
      </c>
      <c r="F2" s="24" t="s">
        <v>19</v>
      </c>
      <c r="G2" s="24" t="s">
        <v>20</v>
      </c>
      <c r="H2" s="26">
        <v>45</v>
      </c>
      <c r="I2" s="24" t="s">
        <v>21</v>
      </c>
      <c r="J2" s="36">
        <v>45313</v>
      </c>
      <c r="K2" s="24" t="s">
        <v>22</v>
      </c>
    </row>
    <row r="3" spans="1:11" x14ac:dyDescent="0.2">
      <c r="A3" s="27" t="s">
        <v>23</v>
      </c>
      <c r="B3" s="27" t="s">
        <v>24</v>
      </c>
      <c r="C3" s="27" t="s">
        <v>25</v>
      </c>
      <c r="D3" s="27" t="s">
        <v>17</v>
      </c>
      <c r="E3" s="27" t="s">
        <v>26</v>
      </c>
      <c r="F3" s="27" t="s">
        <v>27</v>
      </c>
      <c r="G3" s="27" t="s">
        <v>28</v>
      </c>
      <c r="H3" s="29">
        <v>42</v>
      </c>
      <c r="I3" s="27" t="s">
        <v>29</v>
      </c>
      <c r="J3" s="37">
        <v>45317</v>
      </c>
      <c r="K3" s="27" t="s">
        <v>22</v>
      </c>
    </row>
    <row r="4" spans="1:11" x14ac:dyDescent="0.2">
      <c r="A4" s="24" t="s">
        <v>30</v>
      </c>
      <c r="B4" s="24" t="s">
        <v>31</v>
      </c>
      <c r="C4" s="24" t="s">
        <v>32</v>
      </c>
      <c r="D4" s="24" t="s">
        <v>17</v>
      </c>
      <c r="E4" s="24" t="s">
        <v>33</v>
      </c>
      <c r="F4" s="24" t="s">
        <v>34</v>
      </c>
      <c r="G4" s="24" t="s">
        <v>20</v>
      </c>
      <c r="H4" s="26">
        <v>453</v>
      </c>
      <c r="I4" s="24" t="s">
        <v>21</v>
      </c>
      <c r="J4" s="36">
        <v>45309</v>
      </c>
      <c r="K4" s="24" t="s">
        <v>22</v>
      </c>
    </row>
    <row r="5" spans="1:11" x14ac:dyDescent="0.2">
      <c r="A5" s="27" t="s">
        <v>35</v>
      </c>
      <c r="B5" s="27" t="s">
        <v>36</v>
      </c>
      <c r="C5" s="27" t="s">
        <v>37</v>
      </c>
      <c r="D5" s="27" t="s">
        <v>17</v>
      </c>
      <c r="E5" s="27" t="s">
        <v>18</v>
      </c>
      <c r="F5" s="27" t="s">
        <v>19</v>
      </c>
      <c r="G5" s="27" t="s">
        <v>38</v>
      </c>
      <c r="H5" s="29">
        <v>27</v>
      </c>
      <c r="I5" s="27" t="s">
        <v>29</v>
      </c>
      <c r="J5" s="37">
        <v>45292</v>
      </c>
      <c r="K5" s="27" t="s">
        <v>22</v>
      </c>
    </row>
    <row r="6" spans="1:11" x14ac:dyDescent="0.2">
      <c r="A6" s="24" t="s">
        <v>39</v>
      </c>
      <c r="B6" s="24" t="s">
        <v>40</v>
      </c>
      <c r="C6" s="24" t="s">
        <v>41</v>
      </c>
      <c r="D6" s="24" t="s">
        <v>17</v>
      </c>
      <c r="E6" s="24" t="s">
        <v>42</v>
      </c>
      <c r="F6" s="24" t="s">
        <v>43</v>
      </c>
      <c r="G6" s="24" t="s">
        <v>44</v>
      </c>
      <c r="H6" s="26">
        <v>1181</v>
      </c>
      <c r="I6" s="24" t="s">
        <v>21</v>
      </c>
      <c r="J6" s="36">
        <v>45302</v>
      </c>
      <c r="K6" s="24" t="s">
        <v>22</v>
      </c>
    </row>
    <row r="7" spans="1:11" x14ac:dyDescent="0.2">
      <c r="A7" s="27" t="s">
        <v>45</v>
      </c>
      <c r="B7" s="27" t="s">
        <v>46</v>
      </c>
      <c r="C7" s="27" t="s">
        <v>47</v>
      </c>
      <c r="D7" s="27" t="s">
        <v>17</v>
      </c>
      <c r="E7" s="27" t="s">
        <v>48</v>
      </c>
      <c r="F7" s="27" t="s">
        <v>49</v>
      </c>
      <c r="G7" s="27" t="s">
        <v>44</v>
      </c>
      <c r="H7" s="29">
        <v>24</v>
      </c>
      <c r="I7" s="27" t="s">
        <v>29</v>
      </c>
      <c r="J7" s="37">
        <v>45316</v>
      </c>
      <c r="K7" s="27" t="s">
        <v>22</v>
      </c>
    </row>
    <row r="8" spans="1:11" x14ac:dyDescent="0.2">
      <c r="A8" s="24" t="s">
        <v>50</v>
      </c>
      <c r="B8" s="24" t="s">
        <v>51</v>
      </c>
      <c r="C8" s="24" t="s">
        <v>52</v>
      </c>
      <c r="D8" s="24" t="s">
        <v>17</v>
      </c>
      <c r="E8" s="24" t="s">
        <v>18</v>
      </c>
      <c r="F8" s="24" t="s">
        <v>19</v>
      </c>
      <c r="G8" s="24" t="s">
        <v>20</v>
      </c>
      <c r="H8" s="26">
        <v>72</v>
      </c>
      <c r="I8" s="24" t="s">
        <v>21</v>
      </c>
      <c r="J8" s="36">
        <v>45306</v>
      </c>
      <c r="K8" s="24" t="s">
        <v>22</v>
      </c>
    </row>
    <row r="9" spans="1:11" x14ac:dyDescent="0.2">
      <c r="A9" s="27" t="s">
        <v>53</v>
      </c>
      <c r="B9" s="27" t="s">
        <v>54</v>
      </c>
      <c r="C9" s="27" t="s">
        <v>55</v>
      </c>
      <c r="D9" s="27" t="s">
        <v>17</v>
      </c>
      <c r="E9" s="27" t="s">
        <v>18</v>
      </c>
      <c r="F9" s="27" t="s">
        <v>19</v>
      </c>
      <c r="G9" s="27" t="s">
        <v>20</v>
      </c>
      <c r="H9" s="29">
        <v>24</v>
      </c>
      <c r="I9" s="27" t="s">
        <v>21</v>
      </c>
      <c r="J9" s="37">
        <v>45314</v>
      </c>
      <c r="K9" s="27" t="s">
        <v>22</v>
      </c>
    </row>
    <row r="10" spans="1:11" x14ac:dyDescent="0.2">
      <c r="A10" s="24" t="s">
        <v>56</v>
      </c>
      <c r="B10" s="24" t="s">
        <v>57</v>
      </c>
      <c r="C10" s="24" t="s">
        <v>58</v>
      </c>
      <c r="D10" s="24" t="s">
        <v>17</v>
      </c>
      <c r="E10" s="24" t="s">
        <v>26</v>
      </c>
      <c r="F10" s="24" t="s">
        <v>27</v>
      </c>
      <c r="G10" s="24" t="s">
        <v>59</v>
      </c>
      <c r="H10" s="26">
        <v>1</v>
      </c>
      <c r="I10" s="24" t="s">
        <v>21</v>
      </c>
      <c r="J10" s="36">
        <v>45317</v>
      </c>
      <c r="K10" s="24" t="s">
        <v>22</v>
      </c>
    </row>
    <row r="11" spans="1:11" x14ac:dyDescent="0.2">
      <c r="A11" s="27" t="s">
        <v>60</v>
      </c>
      <c r="B11" s="27" t="s">
        <v>61</v>
      </c>
      <c r="C11" s="27" t="s">
        <v>62</v>
      </c>
      <c r="D11" s="27" t="s">
        <v>17</v>
      </c>
      <c r="E11" s="27" t="s">
        <v>48</v>
      </c>
      <c r="F11" s="27" t="s">
        <v>49</v>
      </c>
      <c r="G11" s="27" t="s">
        <v>38</v>
      </c>
      <c r="H11" s="29">
        <v>67</v>
      </c>
      <c r="I11" s="27" t="s">
        <v>29</v>
      </c>
      <c r="J11" s="37">
        <v>45292</v>
      </c>
      <c r="K11" s="27" t="s">
        <v>22</v>
      </c>
    </row>
    <row r="12" spans="1:11" x14ac:dyDescent="0.2">
      <c r="A12" s="24" t="s">
        <v>63</v>
      </c>
      <c r="B12" s="24" t="s">
        <v>64</v>
      </c>
      <c r="C12" s="24" t="s">
        <v>65</v>
      </c>
      <c r="D12" s="24" t="s">
        <v>17</v>
      </c>
      <c r="E12" s="24" t="s">
        <v>48</v>
      </c>
      <c r="F12" s="24" t="s">
        <v>49</v>
      </c>
      <c r="G12" s="24" t="s">
        <v>44</v>
      </c>
      <c r="H12" s="26">
        <v>20</v>
      </c>
      <c r="I12" s="24" t="s">
        <v>29</v>
      </c>
      <c r="J12" s="36">
        <v>45307</v>
      </c>
      <c r="K12" s="24" t="s">
        <v>22</v>
      </c>
    </row>
    <row r="13" spans="1:11" x14ac:dyDescent="0.2">
      <c r="A13" s="27" t="s">
        <v>66</v>
      </c>
      <c r="B13" s="27" t="s">
        <v>67</v>
      </c>
      <c r="C13" s="27" t="s">
        <v>68</v>
      </c>
      <c r="D13" s="27" t="s">
        <v>17</v>
      </c>
      <c r="E13" s="27" t="s">
        <v>42</v>
      </c>
      <c r="F13" s="27" t="s">
        <v>43</v>
      </c>
      <c r="G13" s="27" t="s">
        <v>28</v>
      </c>
      <c r="H13" s="29">
        <v>360</v>
      </c>
      <c r="I13" s="27" t="s">
        <v>29</v>
      </c>
      <c r="J13" s="37">
        <v>45300</v>
      </c>
      <c r="K13" s="27" t="s">
        <v>22</v>
      </c>
    </row>
    <row r="14" spans="1:11" x14ac:dyDescent="0.2">
      <c r="A14" s="24" t="s">
        <v>69</v>
      </c>
      <c r="B14" s="24" t="s">
        <v>70</v>
      </c>
      <c r="C14" s="24" t="s">
        <v>71</v>
      </c>
      <c r="D14" s="24" t="s">
        <v>17</v>
      </c>
      <c r="E14" s="24" t="s">
        <v>42</v>
      </c>
      <c r="F14" s="24" t="s">
        <v>43</v>
      </c>
      <c r="G14" s="24" t="s">
        <v>28</v>
      </c>
      <c r="H14" s="26">
        <v>120</v>
      </c>
      <c r="I14" s="24" t="s">
        <v>29</v>
      </c>
      <c r="J14" s="36">
        <v>45306</v>
      </c>
      <c r="K14" s="24" t="s">
        <v>22</v>
      </c>
    </row>
    <row r="15" spans="1:11" x14ac:dyDescent="0.2">
      <c r="A15" s="27" t="s">
        <v>72</v>
      </c>
      <c r="B15" s="27" t="s">
        <v>73</v>
      </c>
      <c r="C15" s="27" t="s">
        <v>74</v>
      </c>
      <c r="D15" s="27" t="s">
        <v>17</v>
      </c>
      <c r="E15" s="27" t="s">
        <v>18</v>
      </c>
      <c r="F15" s="27" t="s">
        <v>19</v>
      </c>
      <c r="G15" s="27" t="s">
        <v>28</v>
      </c>
      <c r="H15" s="29">
        <v>295</v>
      </c>
      <c r="I15" s="27" t="s">
        <v>29</v>
      </c>
      <c r="J15" s="37">
        <v>45316</v>
      </c>
      <c r="K15" s="27" t="s">
        <v>22</v>
      </c>
    </row>
    <row r="16" spans="1:11" x14ac:dyDescent="0.2">
      <c r="A16" s="24" t="s">
        <v>75</v>
      </c>
      <c r="B16" s="24" t="s">
        <v>76</v>
      </c>
      <c r="C16" s="24" t="s">
        <v>77</v>
      </c>
      <c r="D16" s="24" t="s">
        <v>17</v>
      </c>
      <c r="E16" s="24" t="s">
        <v>48</v>
      </c>
      <c r="F16" s="24" t="s">
        <v>49</v>
      </c>
      <c r="G16" s="24" t="s">
        <v>44</v>
      </c>
      <c r="H16" s="26">
        <v>162</v>
      </c>
      <c r="I16" s="24" t="s">
        <v>21</v>
      </c>
      <c r="J16" s="36">
        <v>45307</v>
      </c>
      <c r="K16" s="24" t="s">
        <v>22</v>
      </c>
    </row>
    <row r="17" spans="1:11" x14ac:dyDescent="0.2">
      <c r="A17" s="27" t="s">
        <v>78</v>
      </c>
      <c r="B17" s="27" t="s">
        <v>79</v>
      </c>
      <c r="C17" s="27" t="s">
        <v>80</v>
      </c>
      <c r="D17" s="27" t="s">
        <v>17</v>
      </c>
      <c r="E17" s="27" t="s">
        <v>81</v>
      </c>
      <c r="F17" s="27" t="s">
        <v>82</v>
      </c>
      <c r="G17" s="27" t="s">
        <v>28</v>
      </c>
      <c r="H17" s="29">
        <v>10</v>
      </c>
      <c r="I17" s="27" t="s">
        <v>29</v>
      </c>
      <c r="J17" s="37">
        <v>45292</v>
      </c>
      <c r="K17" s="27" t="s">
        <v>22</v>
      </c>
    </row>
    <row r="18" spans="1:11" x14ac:dyDescent="0.2">
      <c r="A18" s="24" t="s">
        <v>83</v>
      </c>
      <c r="B18" s="24" t="s">
        <v>84</v>
      </c>
      <c r="C18" s="24" t="s">
        <v>85</v>
      </c>
      <c r="D18" s="24" t="s">
        <v>17</v>
      </c>
      <c r="E18" s="24" t="s">
        <v>33</v>
      </c>
      <c r="F18" s="24" t="s">
        <v>34</v>
      </c>
      <c r="G18" s="24" t="s">
        <v>28</v>
      </c>
      <c r="H18" s="26">
        <v>660</v>
      </c>
      <c r="I18" s="24" t="s">
        <v>29</v>
      </c>
      <c r="J18" s="36">
        <v>45302</v>
      </c>
      <c r="K18" s="24" t="s">
        <v>22</v>
      </c>
    </row>
    <row r="19" spans="1:11" x14ac:dyDescent="0.2">
      <c r="A19" s="27" t="s">
        <v>86</v>
      </c>
      <c r="B19" s="27" t="s">
        <v>87</v>
      </c>
      <c r="C19" s="27" t="s">
        <v>88</v>
      </c>
      <c r="D19" s="27" t="s">
        <v>17</v>
      </c>
      <c r="E19" s="27" t="s">
        <v>48</v>
      </c>
      <c r="F19" s="27" t="s">
        <v>49</v>
      </c>
      <c r="G19" s="27" t="s">
        <v>20</v>
      </c>
      <c r="H19" s="29">
        <v>59</v>
      </c>
      <c r="I19" s="27" t="s">
        <v>21</v>
      </c>
      <c r="J19" s="37">
        <v>45320</v>
      </c>
      <c r="K19" s="27" t="s">
        <v>22</v>
      </c>
    </row>
    <row r="20" spans="1:11" x14ac:dyDescent="0.2">
      <c r="A20" s="24" t="s">
        <v>89</v>
      </c>
      <c r="B20" s="24" t="s">
        <v>90</v>
      </c>
      <c r="C20" s="24" t="s">
        <v>91</v>
      </c>
      <c r="D20" s="24" t="s">
        <v>17</v>
      </c>
      <c r="E20" s="24" t="s">
        <v>48</v>
      </c>
      <c r="F20" s="24" t="s">
        <v>49</v>
      </c>
      <c r="G20" s="24" t="s">
        <v>38</v>
      </c>
      <c r="H20" s="26">
        <v>102</v>
      </c>
      <c r="I20" s="24" t="s">
        <v>29</v>
      </c>
      <c r="J20" s="36">
        <v>45292</v>
      </c>
      <c r="K20" s="24" t="s">
        <v>22</v>
      </c>
    </row>
    <row r="21" spans="1:11" x14ac:dyDescent="0.2">
      <c r="A21" s="27" t="s">
        <v>92</v>
      </c>
      <c r="B21" s="27" t="s">
        <v>93</v>
      </c>
      <c r="C21" s="27" t="s">
        <v>94</v>
      </c>
      <c r="D21" s="27" t="s">
        <v>17</v>
      </c>
      <c r="E21" s="27" t="s">
        <v>18</v>
      </c>
      <c r="F21" s="27" t="s">
        <v>19</v>
      </c>
      <c r="G21" s="27" t="s">
        <v>44</v>
      </c>
      <c r="H21" s="29">
        <v>6</v>
      </c>
      <c r="I21" s="27" t="s">
        <v>21</v>
      </c>
      <c r="J21" s="37">
        <v>45299</v>
      </c>
      <c r="K21" s="27" t="s">
        <v>22</v>
      </c>
    </row>
    <row r="22" spans="1:11" x14ac:dyDescent="0.2">
      <c r="A22" s="24" t="s">
        <v>95</v>
      </c>
      <c r="B22" s="24" t="s">
        <v>96</v>
      </c>
      <c r="C22" s="24" t="s">
        <v>97</v>
      </c>
      <c r="D22" s="24" t="s">
        <v>17</v>
      </c>
      <c r="E22" s="24" t="s">
        <v>42</v>
      </c>
      <c r="F22" s="24" t="s">
        <v>43</v>
      </c>
      <c r="G22" s="24" t="s">
        <v>20</v>
      </c>
      <c r="H22" s="26">
        <v>297</v>
      </c>
      <c r="I22" s="24" t="s">
        <v>21</v>
      </c>
      <c r="J22" s="36">
        <v>45302</v>
      </c>
      <c r="K22" s="24" t="s">
        <v>22</v>
      </c>
    </row>
    <row r="23" spans="1:11" x14ac:dyDescent="0.2">
      <c r="A23" s="27" t="s">
        <v>98</v>
      </c>
      <c r="B23" s="27" t="s">
        <v>99</v>
      </c>
      <c r="C23" s="27" t="s">
        <v>100</v>
      </c>
      <c r="D23" s="27" t="s">
        <v>17</v>
      </c>
      <c r="E23" s="27" t="s">
        <v>42</v>
      </c>
      <c r="F23" s="27" t="s">
        <v>43</v>
      </c>
      <c r="G23" s="27" t="s">
        <v>38</v>
      </c>
      <c r="H23" s="29">
        <v>1004</v>
      </c>
      <c r="I23" s="27" t="s">
        <v>29</v>
      </c>
      <c r="J23" s="37">
        <v>45292</v>
      </c>
      <c r="K23" s="27" t="s">
        <v>22</v>
      </c>
    </row>
    <row r="24" spans="1:11" x14ac:dyDescent="0.2">
      <c r="A24" s="24" t="s">
        <v>101</v>
      </c>
      <c r="B24" s="24" t="s">
        <v>102</v>
      </c>
      <c r="C24" s="24" t="s">
        <v>103</v>
      </c>
      <c r="D24" s="24" t="s">
        <v>17</v>
      </c>
      <c r="E24" s="24" t="s">
        <v>18</v>
      </c>
      <c r="F24" s="24" t="s">
        <v>19</v>
      </c>
      <c r="G24" s="24" t="s">
        <v>20</v>
      </c>
      <c r="H24" s="26">
        <v>20</v>
      </c>
      <c r="I24" s="24" t="s">
        <v>21</v>
      </c>
      <c r="J24" s="36">
        <v>45317</v>
      </c>
      <c r="K24" s="24" t="s">
        <v>22</v>
      </c>
    </row>
    <row r="25" spans="1:11" x14ac:dyDescent="0.2">
      <c r="A25" s="27" t="s">
        <v>104</v>
      </c>
      <c r="B25" s="27" t="s">
        <v>105</v>
      </c>
      <c r="C25" s="27" t="s">
        <v>106</v>
      </c>
      <c r="D25" s="27" t="s">
        <v>17</v>
      </c>
      <c r="E25" s="27" t="s">
        <v>48</v>
      </c>
      <c r="F25" s="27" t="s">
        <v>49</v>
      </c>
      <c r="G25" s="27" t="s">
        <v>59</v>
      </c>
      <c r="H25" s="29">
        <v>22</v>
      </c>
      <c r="I25" s="27" t="s">
        <v>21</v>
      </c>
      <c r="J25" s="37">
        <v>45294</v>
      </c>
      <c r="K25" s="27" t="s">
        <v>22</v>
      </c>
    </row>
    <row r="26" spans="1:11" x14ac:dyDescent="0.2">
      <c r="A26" s="24" t="s">
        <v>107</v>
      </c>
      <c r="B26" s="24" t="s">
        <v>108</v>
      </c>
      <c r="C26" s="24" t="s">
        <v>109</v>
      </c>
      <c r="D26" s="24" t="s">
        <v>17</v>
      </c>
      <c r="E26" s="24" t="s">
        <v>26</v>
      </c>
      <c r="F26" s="24" t="s">
        <v>27</v>
      </c>
      <c r="G26" s="24" t="s">
        <v>59</v>
      </c>
      <c r="H26" s="26">
        <v>33</v>
      </c>
      <c r="I26" s="24" t="s">
        <v>21</v>
      </c>
      <c r="J26" s="36">
        <v>45294</v>
      </c>
      <c r="K26" s="24" t="s">
        <v>22</v>
      </c>
    </row>
    <row r="27" spans="1:11" x14ac:dyDescent="0.2">
      <c r="A27" s="27" t="s">
        <v>110</v>
      </c>
      <c r="B27" s="27" t="s">
        <v>111</v>
      </c>
      <c r="C27" s="27" t="s">
        <v>112</v>
      </c>
      <c r="D27" s="27" t="s">
        <v>17</v>
      </c>
      <c r="E27" s="27" t="s">
        <v>18</v>
      </c>
      <c r="F27" s="27" t="s">
        <v>19</v>
      </c>
      <c r="G27" s="27" t="s">
        <v>20</v>
      </c>
      <c r="H27" s="29">
        <v>56</v>
      </c>
      <c r="I27" s="27" t="s">
        <v>21</v>
      </c>
      <c r="J27" s="37">
        <v>45321</v>
      </c>
      <c r="K27" s="27" t="s">
        <v>22</v>
      </c>
    </row>
    <row r="28" spans="1:11" x14ac:dyDescent="0.2">
      <c r="A28" s="24" t="s">
        <v>113</v>
      </c>
      <c r="B28" s="24" t="s">
        <v>114</v>
      </c>
      <c r="C28" s="24" t="s">
        <v>115</v>
      </c>
      <c r="D28" s="24" t="s">
        <v>17</v>
      </c>
      <c r="E28" s="24" t="s">
        <v>81</v>
      </c>
      <c r="F28" s="24" t="s">
        <v>82</v>
      </c>
      <c r="G28" s="24" t="s">
        <v>116</v>
      </c>
      <c r="H28" s="26">
        <v>0</v>
      </c>
      <c r="I28" s="24" t="s">
        <v>21</v>
      </c>
      <c r="J28" s="36">
        <v>45292</v>
      </c>
      <c r="K28" s="24" t="s">
        <v>22</v>
      </c>
    </row>
    <row r="29" spans="1:11" x14ac:dyDescent="0.2">
      <c r="A29" s="27" t="s">
        <v>117</v>
      </c>
      <c r="B29" s="27" t="s">
        <v>118</v>
      </c>
      <c r="C29" s="27" t="s">
        <v>119</v>
      </c>
      <c r="D29" s="27" t="s">
        <v>17</v>
      </c>
      <c r="E29" s="27" t="s">
        <v>42</v>
      </c>
      <c r="F29" s="27" t="s">
        <v>43</v>
      </c>
      <c r="G29" s="27" t="s">
        <v>20</v>
      </c>
      <c r="H29" s="29">
        <v>224</v>
      </c>
      <c r="I29" s="27" t="s">
        <v>21</v>
      </c>
      <c r="J29" s="37">
        <v>45320</v>
      </c>
      <c r="K29" s="27" t="s">
        <v>22</v>
      </c>
    </row>
    <row r="30" spans="1:11" x14ac:dyDescent="0.2">
      <c r="A30" s="24" t="s">
        <v>120</v>
      </c>
      <c r="B30" s="24" t="s">
        <v>121</v>
      </c>
      <c r="C30" s="24" t="s">
        <v>122</v>
      </c>
      <c r="D30" s="24" t="s">
        <v>17</v>
      </c>
      <c r="E30" s="24" t="s">
        <v>18</v>
      </c>
      <c r="F30" s="24" t="s">
        <v>19</v>
      </c>
      <c r="G30" s="24" t="s">
        <v>59</v>
      </c>
      <c r="H30" s="26">
        <v>25</v>
      </c>
      <c r="I30" s="24" t="s">
        <v>21</v>
      </c>
      <c r="J30" s="36">
        <v>45316</v>
      </c>
      <c r="K30" s="24" t="s">
        <v>22</v>
      </c>
    </row>
    <row r="31" spans="1:11" x14ac:dyDescent="0.2">
      <c r="A31" s="27" t="s">
        <v>123</v>
      </c>
      <c r="B31" s="27" t="s">
        <v>124</v>
      </c>
      <c r="C31" s="27" t="s">
        <v>125</v>
      </c>
      <c r="D31" s="27" t="s">
        <v>17</v>
      </c>
      <c r="E31" s="27" t="s">
        <v>26</v>
      </c>
      <c r="F31" s="27" t="s">
        <v>27</v>
      </c>
      <c r="G31" s="27" t="s">
        <v>28</v>
      </c>
      <c r="H31" s="29">
        <v>138</v>
      </c>
      <c r="I31" s="27" t="s">
        <v>29</v>
      </c>
      <c r="J31" s="37">
        <v>45310</v>
      </c>
      <c r="K31" s="27" t="s">
        <v>22</v>
      </c>
    </row>
    <row r="32" spans="1:11" x14ac:dyDescent="0.2">
      <c r="A32" s="24" t="s">
        <v>126</v>
      </c>
      <c r="B32" s="24" t="s">
        <v>127</v>
      </c>
      <c r="C32" s="24" t="s">
        <v>128</v>
      </c>
      <c r="D32" s="24" t="s">
        <v>17</v>
      </c>
      <c r="E32" s="24" t="s">
        <v>48</v>
      </c>
      <c r="F32" s="24" t="s">
        <v>49</v>
      </c>
      <c r="G32" s="24" t="s">
        <v>20</v>
      </c>
      <c r="H32" s="26">
        <v>317</v>
      </c>
      <c r="I32" s="24" t="s">
        <v>21</v>
      </c>
      <c r="J32" s="36">
        <v>45313</v>
      </c>
      <c r="K32" s="24" t="s">
        <v>22</v>
      </c>
    </row>
    <row r="33" spans="1:11" x14ac:dyDescent="0.2">
      <c r="A33" s="27" t="s">
        <v>129</v>
      </c>
      <c r="B33" s="27" t="s">
        <v>130</v>
      </c>
      <c r="C33" s="27" t="s">
        <v>131</v>
      </c>
      <c r="D33" s="27" t="s">
        <v>17</v>
      </c>
      <c r="E33" s="27" t="s">
        <v>18</v>
      </c>
      <c r="F33" s="27" t="s">
        <v>19</v>
      </c>
      <c r="G33" s="27" t="s">
        <v>28</v>
      </c>
      <c r="H33" s="29">
        <v>24</v>
      </c>
      <c r="I33" s="27" t="s">
        <v>29</v>
      </c>
      <c r="J33" s="37">
        <v>45308</v>
      </c>
      <c r="K33" s="27" t="s">
        <v>22</v>
      </c>
    </row>
    <row r="34" spans="1:11" x14ac:dyDescent="0.2">
      <c r="A34" s="24" t="s">
        <v>132</v>
      </c>
      <c r="B34" s="24" t="s">
        <v>133</v>
      </c>
      <c r="C34" s="24" t="s">
        <v>134</v>
      </c>
      <c r="D34" s="24" t="s">
        <v>17</v>
      </c>
      <c r="E34" s="24" t="s">
        <v>18</v>
      </c>
      <c r="F34" s="24" t="s">
        <v>19</v>
      </c>
      <c r="G34" s="24" t="s">
        <v>20</v>
      </c>
      <c r="H34" s="26">
        <v>34</v>
      </c>
      <c r="I34" s="24" t="s">
        <v>21</v>
      </c>
      <c r="J34" s="36">
        <v>45301</v>
      </c>
      <c r="K34" s="24" t="s">
        <v>22</v>
      </c>
    </row>
    <row r="35" spans="1:11" x14ac:dyDescent="0.2">
      <c r="A35" s="27" t="s">
        <v>135</v>
      </c>
      <c r="B35" s="27" t="s">
        <v>136</v>
      </c>
      <c r="C35" s="27" t="s">
        <v>137</v>
      </c>
      <c r="D35" s="27" t="s">
        <v>17</v>
      </c>
      <c r="E35" s="27" t="s">
        <v>33</v>
      </c>
      <c r="F35" s="27" t="s">
        <v>34</v>
      </c>
      <c r="G35" s="27" t="s">
        <v>28</v>
      </c>
      <c r="H35" s="29">
        <v>956</v>
      </c>
      <c r="I35" s="27" t="s">
        <v>29</v>
      </c>
      <c r="J35" s="37">
        <v>45315</v>
      </c>
      <c r="K35" s="27" t="s">
        <v>22</v>
      </c>
    </row>
    <row r="36" spans="1:11" x14ac:dyDescent="0.2">
      <c r="A36" s="24" t="s">
        <v>138</v>
      </c>
      <c r="B36" s="24" t="s">
        <v>139</v>
      </c>
      <c r="C36" s="24" t="s">
        <v>140</v>
      </c>
      <c r="D36" s="24" t="s">
        <v>17</v>
      </c>
      <c r="E36" s="24" t="s">
        <v>48</v>
      </c>
      <c r="F36" s="24" t="s">
        <v>49</v>
      </c>
      <c r="G36" s="24" t="s">
        <v>20</v>
      </c>
      <c r="H36" s="26">
        <v>186</v>
      </c>
      <c r="I36" s="24" t="s">
        <v>21</v>
      </c>
      <c r="J36" s="36">
        <v>45296</v>
      </c>
      <c r="K36" s="24" t="s">
        <v>22</v>
      </c>
    </row>
    <row r="37" spans="1:11" x14ac:dyDescent="0.2">
      <c r="A37" s="27" t="s">
        <v>141</v>
      </c>
      <c r="B37" s="27" t="s">
        <v>142</v>
      </c>
      <c r="C37" s="27" t="s">
        <v>143</v>
      </c>
      <c r="D37" s="27" t="s">
        <v>17</v>
      </c>
      <c r="E37" s="27" t="s">
        <v>26</v>
      </c>
      <c r="F37" s="27" t="s">
        <v>27</v>
      </c>
      <c r="G37" s="27" t="s">
        <v>28</v>
      </c>
      <c r="H37" s="29">
        <v>29</v>
      </c>
      <c r="I37" s="27" t="s">
        <v>29</v>
      </c>
      <c r="J37" s="37">
        <v>45302</v>
      </c>
      <c r="K37" s="27" t="s">
        <v>22</v>
      </c>
    </row>
    <row r="38" spans="1:11" x14ac:dyDescent="0.2">
      <c r="A38" s="24" t="s">
        <v>144</v>
      </c>
      <c r="B38" s="24" t="s">
        <v>145</v>
      </c>
      <c r="C38" s="24" t="s">
        <v>146</v>
      </c>
      <c r="D38" s="24" t="s">
        <v>17</v>
      </c>
      <c r="E38" s="24" t="s">
        <v>48</v>
      </c>
      <c r="F38" s="24" t="s">
        <v>49</v>
      </c>
      <c r="G38" s="24" t="s">
        <v>20</v>
      </c>
      <c r="H38" s="26">
        <v>61</v>
      </c>
      <c r="I38" s="24" t="s">
        <v>21</v>
      </c>
      <c r="J38" s="36">
        <v>45313</v>
      </c>
      <c r="K38" s="24" t="s">
        <v>22</v>
      </c>
    </row>
    <row r="39" spans="1:11" x14ac:dyDescent="0.2">
      <c r="A39" s="27" t="s">
        <v>147</v>
      </c>
      <c r="B39" s="27" t="s">
        <v>148</v>
      </c>
      <c r="C39" s="27" t="s">
        <v>149</v>
      </c>
      <c r="D39" s="27" t="s">
        <v>17</v>
      </c>
      <c r="E39" s="27" t="s">
        <v>48</v>
      </c>
      <c r="F39" s="27" t="s">
        <v>49</v>
      </c>
      <c r="G39" s="27" t="s">
        <v>20</v>
      </c>
      <c r="H39" s="29">
        <v>24</v>
      </c>
      <c r="I39" s="27" t="s">
        <v>21</v>
      </c>
      <c r="J39" s="37">
        <v>45315</v>
      </c>
      <c r="K39" s="27" t="s">
        <v>22</v>
      </c>
    </row>
    <row r="40" spans="1:11" x14ac:dyDescent="0.2">
      <c r="A40" s="24" t="s">
        <v>150</v>
      </c>
      <c r="B40" s="24" t="s">
        <v>151</v>
      </c>
      <c r="C40" s="24" t="s">
        <v>25</v>
      </c>
      <c r="D40" s="24" t="s">
        <v>17</v>
      </c>
      <c r="E40" s="24" t="s">
        <v>26</v>
      </c>
      <c r="F40" s="24" t="s">
        <v>27</v>
      </c>
      <c r="G40" s="24" t="s">
        <v>28</v>
      </c>
      <c r="H40" s="26">
        <v>68</v>
      </c>
      <c r="I40" s="24" t="s">
        <v>29</v>
      </c>
      <c r="J40" s="36">
        <v>45302</v>
      </c>
      <c r="K40" s="24" t="s">
        <v>22</v>
      </c>
    </row>
    <row r="41" spans="1:11" x14ac:dyDescent="0.2">
      <c r="A41" s="27" t="s">
        <v>152</v>
      </c>
      <c r="B41" s="27" t="s">
        <v>153</v>
      </c>
      <c r="C41" s="27" t="s">
        <v>154</v>
      </c>
      <c r="D41" s="27" t="s">
        <v>17</v>
      </c>
      <c r="E41" s="27" t="s">
        <v>26</v>
      </c>
      <c r="F41" s="27" t="s">
        <v>27</v>
      </c>
      <c r="G41" s="27" t="s">
        <v>28</v>
      </c>
      <c r="H41" s="29">
        <v>18</v>
      </c>
      <c r="I41" s="27" t="s">
        <v>29</v>
      </c>
      <c r="J41" s="37">
        <v>45294</v>
      </c>
      <c r="K41" s="27" t="s">
        <v>22</v>
      </c>
    </row>
    <row r="42" spans="1:11" x14ac:dyDescent="0.2">
      <c r="A42" s="24" t="s">
        <v>155</v>
      </c>
      <c r="B42" s="24" t="s">
        <v>156</v>
      </c>
      <c r="C42" s="24" t="s">
        <v>77</v>
      </c>
      <c r="D42" s="24" t="s">
        <v>17</v>
      </c>
      <c r="E42" s="24" t="s">
        <v>18</v>
      </c>
      <c r="F42" s="24" t="s">
        <v>19</v>
      </c>
      <c r="G42" s="24" t="s">
        <v>20</v>
      </c>
      <c r="H42" s="26">
        <v>6</v>
      </c>
      <c r="I42" s="24" t="s">
        <v>21</v>
      </c>
      <c r="J42" s="36">
        <v>45311</v>
      </c>
      <c r="K42" s="24" t="s">
        <v>22</v>
      </c>
    </row>
    <row r="43" spans="1:11" x14ac:dyDescent="0.2">
      <c r="A43" s="27" t="s">
        <v>157</v>
      </c>
      <c r="B43" s="27" t="s">
        <v>158</v>
      </c>
      <c r="C43" s="27" t="s">
        <v>159</v>
      </c>
      <c r="D43" s="27" t="s">
        <v>17</v>
      </c>
      <c r="E43" s="27" t="s">
        <v>26</v>
      </c>
      <c r="F43" s="27" t="s">
        <v>27</v>
      </c>
      <c r="G43" s="27" t="s">
        <v>28</v>
      </c>
      <c r="H43" s="29">
        <v>54</v>
      </c>
      <c r="I43" s="27" t="s">
        <v>29</v>
      </c>
      <c r="J43" s="37">
        <v>45292</v>
      </c>
      <c r="K43" s="27" t="s">
        <v>22</v>
      </c>
    </row>
    <row r="44" spans="1:11" x14ac:dyDescent="0.2">
      <c r="A44" s="24" t="s">
        <v>160</v>
      </c>
      <c r="B44" s="24" t="s">
        <v>161</v>
      </c>
      <c r="C44" s="24" t="s">
        <v>162</v>
      </c>
      <c r="D44" s="24" t="s">
        <v>17</v>
      </c>
      <c r="E44" s="24" t="s">
        <v>163</v>
      </c>
      <c r="F44" s="24" t="s">
        <v>164</v>
      </c>
      <c r="G44" s="24" t="s">
        <v>28</v>
      </c>
      <c r="H44" s="26">
        <v>10</v>
      </c>
      <c r="I44" s="24" t="s">
        <v>29</v>
      </c>
      <c r="J44" s="36">
        <v>45317</v>
      </c>
      <c r="K44" s="24" t="s">
        <v>22</v>
      </c>
    </row>
    <row r="45" spans="1:11" x14ac:dyDescent="0.2">
      <c r="A45" s="27" t="s">
        <v>165</v>
      </c>
      <c r="B45" s="27" t="s">
        <v>166</v>
      </c>
      <c r="C45" s="27" t="s">
        <v>55</v>
      </c>
      <c r="D45" s="27" t="s">
        <v>17</v>
      </c>
      <c r="E45" s="27" t="s">
        <v>18</v>
      </c>
      <c r="F45" s="27" t="s">
        <v>19</v>
      </c>
      <c r="G45" s="27" t="s">
        <v>20</v>
      </c>
      <c r="H45" s="29">
        <v>38</v>
      </c>
      <c r="I45" s="27" t="s">
        <v>21</v>
      </c>
      <c r="J45" s="37">
        <v>45313</v>
      </c>
      <c r="K45" s="27" t="s">
        <v>22</v>
      </c>
    </row>
    <row r="46" spans="1:11" x14ac:dyDescent="0.2">
      <c r="A46" s="24" t="s">
        <v>167</v>
      </c>
      <c r="B46" s="24" t="s">
        <v>168</v>
      </c>
      <c r="C46" s="24" t="s">
        <v>169</v>
      </c>
      <c r="D46" s="24" t="s">
        <v>17</v>
      </c>
      <c r="E46" s="24" t="s">
        <v>26</v>
      </c>
      <c r="F46" s="24" t="s">
        <v>27</v>
      </c>
      <c r="G46" s="24" t="s">
        <v>28</v>
      </c>
      <c r="H46" s="26">
        <v>68</v>
      </c>
      <c r="I46" s="24" t="s">
        <v>29</v>
      </c>
      <c r="J46" s="36">
        <v>45317</v>
      </c>
      <c r="K46" s="24" t="s">
        <v>22</v>
      </c>
    </row>
    <row r="47" spans="1:11" x14ac:dyDescent="0.2">
      <c r="A47" s="27" t="s">
        <v>170</v>
      </c>
      <c r="B47" s="27" t="s">
        <v>171</v>
      </c>
      <c r="C47" s="27" t="s">
        <v>172</v>
      </c>
      <c r="D47" s="27" t="s">
        <v>17</v>
      </c>
      <c r="E47" s="27" t="s">
        <v>26</v>
      </c>
      <c r="F47" s="27" t="s">
        <v>27</v>
      </c>
      <c r="G47" s="27" t="s">
        <v>28</v>
      </c>
      <c r="H47" s="29">
        <v>40</v>
      </c>
      <c r="I47" s="27" t="s">
        <v>29</v>
      </c>
      <c r="J47" s="37">
        <v>45308</v>
      </c>
      <c r="K47" s="27" t="s">
        <v>22</v>
      </c>
    </row>
    <row r="48" spans="1:11" x14ac:dyDescent="0.2">
      <c r="A48" s="24" t="s">
        <v>173</v>
      </c>
      <c r="B48" s="24" t="s">
        <v>174</v>
      </c>
      <c r="C48" s="24" t="s">
        <v>97</v>
      </c>
      <c r="D48" s="24" t="s">
        <v>17</v>
      </c>
      <c r="E48" s="24" t="s">
        <v>81</v>
      </c>
      <c r="F48" s="24" t="s">
        <v>82</v>
      </c>
      <c r="G48" s="24" t="s">
        <v>116</v>
      </c>
      <c r="H48" s="26">
        <v>0</v>
      </c>
      <c r="I48" s="24" t="s">
        <v>21</v>
      </c>
      <c r="J48" s="36">
        <v>45310</v>
      </c>
      <c r="K48" s="24" t="s">
        <v>22</v>
      </c>
    </row>
    <row r="49" spans="1:11" x14ac:dyDescent="0.2">
      <c r="A49" s="27" t="s">
        <v>175</v>
      </c>
      <c r="B49" s="27" t="s">
        <v>176</v>
      </c>
      <c r="C49" s="27" t="s">
        <v>177</v>
      </c>
      <c r="D49" s="27" t="s">
        <v>17</v>
      </c>
      <c r="E49" s="27" t="s">
        <v>18</v>
      </c>
      <c r="F49" s="27" t="s">
        <v>19</v>
      </c>
      <c r="G49" s="27" t="s">
        <v>44</v>
      </c>
      <c r="H49" s="29">
        <v>91</v>
      </c>
      <c r="I49" s="27" t="s">
        <v>29</v>
      </c>
      <c r="J49" s="37">
        <v>45310</v>
      </c>
      <c r="K49" s="27" t="s">
        <v>22</v>
      </c>
    </row>
    <row r="50" spans="1:11" x14ac:dyDescent="0.2">
      <c r="A50" s="24" t="s">
        <v>178</v>
      </c>
      <c r="B50" s="24" t="s">
        <v>179</v>
      </c>
      <c r="C50" s="24" t="s">
        <v>85</v>
      </c>
      <c r="D50" s="24" t="s">
        <v>17</v>
      </c>
      <c r="E50" s="24" t="s">
        <v>18</v>
      </c>
      <c r="F50" s="24" t="s">
        <v>19</v>
      </c>
      <c r="G50" s="24" t="s">
        <v>20</v>
      </c>
      <c r="H50" s="26">
        <v>24</v>
      </c>
      <c r="I50" s="24" t="s">
        <v>21</v>
      </c>
      <c r="J50" s="36">
        <v>45296</v>
      </c>
      <c r="K50" s="24" t="s">
        <v>22</v>
      </c>
    </row>
    <row r="51" spans="1:11" x14ac:dyDescent="0.2">
      <c r="A51" s="27" t="s">
        <v>180</v>
      </c>
      <c r="B51" s="27" t="s">
        <v>181</v>
      </c>
      <c r="C51" s="27" t="s">
        <v>182</v>
      </c>
      <c r="D51" s="27" t="s">
        <v>17</v>
      </c>
      <c r="E51" s="27" t="s">
        <v>18</v>
      </c>
      <c r="F51" s="27" t="s">
        <v>19</v>
      </c>
      <c r="G51" s="27" t="s">
        <v>116</v>
      </c>
      <c r="H51" s="29">
        <v>0</v>
      </c>
      <c r="I51" s="27" t="s">
        <v>21</v>
      </c>
      <c r="J51" s="37">
        <v>45292</v>
      </c>
      <c r="K51" s="27" t="s">
        <v>22</v>
      </c>
    </row>
    <row r="52" spans="1:11" x14ac:dyDescent="0.2">
      <c r="A52" s="24" t="s">
        <v>183</v>
      </c>
      <c r="B52" s="24" t="s">
        <v>184</v>
      </c>
      <c r="C52" s="24" t="s">
        <v>185</v>
      </c>
      <c r="D52" s="24" t="s">
        <v>17</v>
      </c>
      <c r="E52" s="24" t="s">
        <v>18</v>
      </c>
      <c r="F52" s="24" t="s">
        <v>19</v>
      </c>
      <c r="G52" s="24" t="s">
        <v>38</v>
      </c>
      <c r="H52" s="26">
        <v>96</v>
      </c>
      <c r="I52" s="24" t="s">
        <v>29</v>
      </c>
      <c r="J52" s="36">
        <v>45322</v>
      </c>
      <c r="K52" s="24" t="s">
        <v>22</v>
      </c>
    </row>
    <row r="53" spans="1:11" x14ac:dyDescent="0.2">
      <c r="A53" s="27" t="s">
        <v>186</v>
      </c>
      <c r="B53" s="27" t="s">
        <v>187</v>
      </c>
      <c r="C53" s="27" t="s">
        <v>188</v>
      </c>
      <c r="D53" s="27" t="s">
        <v>17</v>
      </c>
      <c r="E53" s="27" t="s">
        <v>26</v>
      </c>
      <c r="F53" s="27" t="s">
        <v>27</v>
      </c>
      <c r="G53" s="27" t="s">
        <v>28</v>
      </c>
      <c r="H53" s="29">
        <v>306</v>
      </c>
      <c r="I53" s="27" t="s">
        <v>29</v>
      </c>
      <c r="J53" s="37">
        <v>45302</v>
      </c>
      <c r="K53" s="27" t="s">
        <v>22</v>
      </c>
    </row>
    <row r="54" spans="1:11" x14ac:dyDescent="0.2">
      <c r="A54" s="24" t="s">
        <v>189</v>
      </c>
      <c r="B54" s="24" t="s">
        <v>190</v>
      </c>
      <c r="C54" s="24" t="s">
        <v>191</v>
      </c>
      <c r="D54" s="24" t="s">
        <v>17</v>
      </c>
      <c r="E54" s="24" t="s">
        <v>18</v>
      </c>
      <c r="F54" s="24" t="s">
        <v>19</v>
      </c>
      <c r="G54" s="24" t="s">
        <v>44</v>
      </c>
      <c r="H54" s="26">
        <v>163</v>
      </c>
      <c r="I54" s="24" t="s">
        <v>21</v>
      </c>
      <c r="J54" s="36">
        <v>45307</v>
      </c>
      <c r="K54" s="24" t="s">
        <v>22</v>
      </c>
    </row>
    <row r="55" spans="1:11" x14ac:dyDescent="0.2">
      <c r="A55" s="27" t="s">
        <v>192</v>
      </c>
      <c r="B55" s="27" t="s">
        <v>193</v>
      </c>
      <c r="C55" s="27" t="s">
        <v>194</v>
      </c>
      <c r="D55" s="27" t="s">
        <v>17</v>
      </c>
      <c r="E55" s="27" t="s">
        <v>26</v>
      </c>
      <c r="F55" s="27" t="s">
        <v>27</v>
      </c>
      <c r="G55" s="27" t="s">
        <v>28</v>
      </c>
      <c r="H55" s="29">
        <v>42</v>
      </c>
      <c r="I55" s="27" t="s">
        <v>29</v>
      </c>
      <c r="J55" s="37">
        <v>45310</v>
      </c>
      <c r="K55" s="27" t="s">
        <v>22</v>
      </c>
    </row>
    <row r="56" spans="1:11" x14ac:dyDescent="0.2">
      <c r="A56" s="24" t="s">
        <v>195</v>
      </c>
      <c r="B56" s="24" t="s">
        <v>196</v>
      </c>
      <c r="C56" s="24" t="s">
        <v>197</v>
      </c>
      <c r="D56" s="24" t="s">
        <v>17</v>
      </c>
      <c r="E56" s="24" t="s">
        <v>42</v>
      </c>
      <c r="F56" s="24" t="s">
        <v>43</v>
      </c>
      <c r="G56" s="24" t="s">
        <v>28</v>
      </c>
      <c r="H56" s="26">
        <v>100</v>
      </c>
      <c r="I56" s="24" t="s">
        <v>29</v>
      </c>
      <c r="J56" s="36">
        <v>45307</v>
      </c>
      <c r="K56" s="24" t="s">
        <v>22</v>
      </c>
    </row>
    <row r="57" spans="1:11" x14ac:dyDescent="0.2">
      <c r="A57" s="27" t="s">
        <v>198</v>
      </c>
      <c r="B57" s="27" t="s">
        <v>199</v>
      </c>
      <c r="C57" s="27" t="s">
        <v>200</v>
      </c>
      <c r="D57" s="27" t="s">
        <v>17</v>
      </c>
      <c r="E57" s="27" t="s">
        <v>18</v>
      </c>
      <c r="F57" s="27" t="s">
        <v>19</v>
      </c>
      <c r="G57" s="27" t="s">
        <v>28</v>
      </c>
      <c r="H57" s="29">
        <v>66</v>
      </c>
      <c r="I57" s="27" t="s">
        <v>29</v>
      </c>
      <c r="J57" s="37">
        <v>45294</v>
      </c>
      <c r="K57" s="27" t="s">
        <v>22</v>
      </c>
    </row>
    <row r="58" spans="1:11" x14ac:dyDescent="0.2">
      <c r="A58" s="24" t="s">
        <v>201</v>
      </c>
      <c r="B58" s="24" t="s">
        <v>202</v>
      </c>
      <c r="C58" s="24" t="s">
        <v>203</v>
      </c>
      <c r="D58" s="24" t="s">
        <v>17</v>
      </c>
      <c r="E58" s="24" t="s">
        <v>48</v>
      </c>
      <c r="F58" s="24" t="s">
        <v>49</v>
      </c>
      <c r="G58" s="24" t="s">
        <v>44</v>
      </c>
      <c r="H58" s="26">
        <v>226</v>
      </c>
      <c r="I58" s="24" t="s">
        <v>21</v>
      </c>
      <c r="J58" s="36">
        <v>45301</v>
      </c>
      <c r="K58" s="24" t="s">
        <v>22</v>
      </c>
    </row>
    <row r="59" spans="1:11" x14ac:dyDescent="0.2">
      <c r="A59" s="27" t="s">
        <v>204</v>
      </c>
      <c r="B59" s="27" t="s">
        <v>205</v>
      </c>
      <c r="C59" s="27" t="s">
        <v>74</v>
      </c>
      <c r="D59" s="27" t="s">
        <v>17</v>
      </c>
      <c r="E59" s="27" t="s">
        <v>18</v>
      </c>
      <c r="F59" s="27" t="s">
        <v>19</v>
      </c>
      <c r="G59" s="27" t="s">
        <v>44</v>
      </c>
      <c r="H59" s="29">
        <v>125</v>
      </c>
      <c r="I59" s="27" t="s">
        <v>21</v>
      </c>
      <c r="J59" s="37">
        <v>45296</v>
      </c>
      <c r="K59" s="27" t="s">
        <v>22</v>
      </c>
    </row>
    <row r="60" spans="1:11" x14ac:dyDescent="0.2">
      <c r="A60" s="24" t="s">
        <v>206</v>
      </c>
      <c r="B60" s="24" t="s">
        <v>207</v>
      </c>
      <c r="C60" s="24" t="s">
        <v>208</v>
      </c>
      <c r="D60" s="24" t="s">
        <v>17</v>
      </c>
      <c r="E60" s="24" t="s">
        <v>42</v>
      </c>
      <c r="F60" s="24" t="s">
        <v>43</v>
      </c>
      <c r="G60" s="24" t="s">
        <v>44</v>
      </c>
      <c r="H60" s="26">
        <v>700</v>
      </c>
      <c r="I60" s="24" t="s">
        <v>29</v>
      </c>
      <c r="J60" s="36">
        <v>45302</v>
      </c>
      <c r="K60" s="24" t="s">
        <v>22</v>
      </c>
    </row>
    <row r="61" spans="1:11" x14ac:dyDescent="0.2">
      <c r="A61" s="27" t="s">
        <v>209</v>
      </c>
      <c r="B61" s="27" t="s">
        <v>210</v>
      </c>
      <c r="C61" s="27" t="s">
        <v>55</v>
      </c>
      <c r="D61" s="27" t="s">
        <v>17</v>
      </c>
      <c r="E61" s="27" t="s">
        <v>48</v>
      </c>
      <c r="F61" s="27" t="s">
        <v>49</v>
      </c>
      <c r="G61" s="27" t="s">
        <v>116</v>
      </c>
      <c r="H61" s="29">
        <v>0</v>
      </c>
      <c r="I61" s="27" t="s">
        <v>21</v>
      </c>
      <c r="J61" s="37">
        <v>45295</v>
      </c>
      <c r="K61" s="27" t="s">
        <v>22</v>
      </c>
    </row>
    <row r="62" spans="1:11" x14ac:dyDescent="0.2">
      <c r="A62" s="24" t="s">
        <v>211</v>
      </c>
      <c r="B62" s="24" t="s">
        <v>212</v>
      </c>
      <c r="C62" s="24" t="s">
        <v>213</v>
      </c>
      <c r="D62" s="24" t="s">
        <v>17</v>
      </c>
      <c r="E62" s="24" t="s">
        <v>48</v>
      </c>
      <c r="F62" s="24" t="s">
        <v>49</v>
      </c>
      <c r="G62" s="24" t="s">
        <v>20</v>
      </c>
      <c r="H62" s="26">
        <v>644</v>
      </c>
      <c r="I62" s="24" t="s">
        <v>21</v>
      </c>
      <c r="J62" s="36">
        <v>45322</v>
      </c>
      <c r="K62" s="24" t="s">
        <v>22</v>
      </c>
    </row>
    <row r="63" spans="1:11" x14ac:dyDescent="0.2">
      <c r="A63" s="27" t="s">
        <v>214</v>
      </c>
      <c r="B63" s="27" t="s">
        <v>215</v>
      </c>
      <c r="C63" s="27" t="s">
        <v>216</v>
      </c>
      <c r="D63" s="27" t="s">
        <v>17</v>
      </c>
      <c r="E63" s="27" t="s">
        <v>42</v>
      </c>
      <c r="F63" s="27" t="s">
        <v>43</v>
      </c>
      <c r="G63" s="27" t="s">
        <v>217</v>
      </c>
      <c r="H63" s="29">
        <v>672</v>
      </c>
      <c r="I63" s="27" t="s">
        <v>29</v>
      </c>
      <c r="J63" s="37">
        <v>45292</v>
      </c>
      <c r="K63" s="27" t="s">
        <v>22</v>
      </c>
    </row>
    <row r="64" spans="1:11" x14ac:dyDescent="0.2">
      <c r="A64" s="24" t="s">
        <v>218</v>
      </c>
      <c r="B64" s="24" t="s">
        <v>219</v>
      </c>
      <c r="C64" s="24" t="s">
        <v>220</v>
      </c>
      <c r="D64" s="24" t="s">
        <v>17</v>
      </c>
      <c r="E64" s="24" t="s">
        <v>42</v>
      </c>
      <c r="F64" s="24" t="s">
        <v>43</v>
      </c>
      <c r="G64" s="24" t="s">
        <v>28</v>
      </c>
      <c r="H64" s="26">
        <v>35</v>
      </c>
      <c r="I64" s="24" t="s">
        <v>29</v>
      </c>
      <c r="J64" s="36">
        <v>45321</v>
      </c>
      <c r="K64" s="24" t="s">
        <v>22</v>
      </c>
    </row>
    <row r="65" spans="1:11" x14ac:dyDescent="0.2">
      <c r="A65" s="27" t="s">
        <v>221</v>
      </c>
      <c r="B65" s="27" t="s">
        <v>222</v>
      </c>
      <c r="C65" s="27" t="s">
        <v>223</v>
      </c>
      <c r="D65" s="27" t="s">
        <v>17</v>
      </c>
      <c r="E65" s="27" t="s">
        <v>26</v>
      </c>
      <c r="F65" s="27" t="s">
        <v>27</v>
      </c>
      <c r="G65" s="27" t="s">
        <v>217</v>
      </c>
      <c r="H65" s="29">
        <v>168</v>
      </c>
      <c r="I65" s="27" t="s">
        <v>29</v>
      </c>
      <c r="J65" s="37">
        <v>45321</v>
      </c>
      <c r="K65" s="27" t="s">
        <v>22</v>
      </c>
    </row>
    <row r="66" spans="1:11" x14ac:dyDescent="0.2">
      <c r="A66" s="24" t="s">
        <v>224</v>
      </c>
      <c r="B66" s="24" t="s">
        <v>225</v>
      </c>
      <c r="C66" s="24" t="s">
        <v>226</v>
      </c>
      <c r="D66" s="24" t="s">
        <v>17</v>
      </c>
      <c r="E66" s="24" t="s">
        <v>48</v>
      </c>
      <c r="F66" s="24" t="s">
        <v>49</v>
      </c>
      <c r="G66" s="24" t="s">
        <v>227</v>
      </c>
      <c r="H66" s="26">
        <v>75</v>
      </c>
      <c r="I66" s="24" t="s">
        <v>29</v>
      </c>
      <c r="J66" s="36">
        <v>45316</v>
      </c>
      <c r="K66" s="24" t="s">
        <v>22</v>
      </c>
    </row>
    <row r="67" spans="1:11" x14ac:dyDescent="0.2">
      <c r="A67" s="27" t="s">
        <v>228</v>
      </c>
      <c r="B67" s="27" t="s">
        <v>229</v>
      </c>
      <c r="C67" s="27" t="s">
        <v>230</v>
      </c>
      <c r="D67" s="27" t="s">
        <v>17</v>
      </c>
      <c r="E67" s="27" t="s">
        <v>18</v>
      </c>
      <c r="F67" s="27" t="s">
        <v>19</v>
      </c>
      <c r="G67" s="27" t="s">
        <v>20</v>
      </c>
      <c r="H67" s="29">
        <v>172</v>
      </c>
      <c r="I67" s="27" t="s">
        <v>21</v>
      </c>
      <c r="J67" s="37">
        <v>45303</v>
      </c>
      <c r="K67" s="27" t="s">
        <v>22</v>
      </c>
    </row>
    <row r="68" spans="1:11" x14ac:dyDescent="0.2">
      <c r="A68" s="24" t="s">
        <v>231</v>
      </c>
      <c r="B68" s="24" t="s">
        <v>232</v>
      </c>
      <c r="C68" s="24" t="s">
        <v>233</v>
      </c>
      <c r="D68" s="24" t="s">
        <v>17</v>
      </c>
      <c r="E68" s="24" t="s">
        <v>42</v>
      </c>
      <c r="F68" s="24" t="s">
        <v>43</v>
      </c>
      <c r="G68" s="24" t="s">
        <v>20</v>
      </c>
      <c r="H68" s="26">
        <v>488</v>
      </c>
      <c r="I68" s="24" t="s">
        <v>21</v>
      </c>
      <c r="J68" s="36">
        <v>45317</v>
      </c>
      <c r="K68" s="24" t="s">
        <v>22</v>
      </c>
    </row>
    <row r="69" spans="1:11" x14ac:dyDescent="0.2">
      <c r="A69" s="27" t="s">
        <v>234</v>
      </c>
      <c r="B69" s="27" t="s">
        <v>235</v>
      </c>
      <c r="C69" s="27" t="s">
        <v>236</v>
      </c>
      <c r="D69" s="27" t="s">
        <v>17</v>
      </c>
      <c r="E69" s="27" t="s">
        <v>18</v>
      </c>
      <c r="F69" s="27" t="s">
        <v>19</v>
      </c>
      <c r="G69" s="27" t="s">
        <v>28</v>
      </c>
      <c r="H69" s="29">
        <v>101</v>
      </c>
      <c r="I69" s="27" t="s">
        <v>29</v>
      </c>
      <c r="J69" s="37">
        <v>45309</v>
      </c>
      <c r="K69" s="27" t="s">
        <v>22</v>
      </c>
    </row>
    <row r="70" spans="1:11" x14ac:dyDescent="0.2">
      <c r="A70" s="24" t="s">
        <v>237</v>
      </c>
      <c r="B70" s="24" t="s">
        <v>238</v>
      </c>
      <c r="C70" s="24" t="s">
        <v>239</v>
      </c>
      <c r="D70" s="24" t="s">
        <v>17</v>
      </c>
      <c r="E70" s="24" t="s">
        <v>18</v>
      </c>
      <c r="F70" s="24" t="s">
        <v>19</v>
      </c>
      <c r="G70" s="24" t="s">
        <v>38</v>
      </c>
      <c r="H70" s="26">
        <v>12</v>
      </c>
      <c r="I70" s="24" t="s">
        <v>29</v>
      </c>
      <c r="J70" s="36">
        <v>45292</v>
      </c>
      <c r="K70" s="24" t="s">
        <v>22</v>
      </c>
    </row>
    <row r="71" spans="1:11" x14ac:dyDescent="0.2">
      <c r="A71" s="27" t="s">
        <v>240</v>
      </c>
      <c r="B71" s="27" t="s">
        <v>241</v>
      </c>
      <c r="C71" s="27" t="s">
        <v>242</v>
      </c>
      <c r="D71" s="27" t="s">
        <v>17</v>
      </c>
      <c r="E71" s="27" t="s">
        <v>42</v>
      </c>
      <c r="F71" s="27" t="s">
        <v>43</v>
      </c>
      <c r="G71" s="27" t="s">
        <v>20</v>
      </c>
      <c r="H71" s="29">
        <v>519</v>
      </c>
      <c r="I71" s="27" t="s">
        <v>21</v>
      </c>
      <c r="J71" s="37">
        <v>45313</v>
      </c>
      <c r="K71" s="27" t="s">
        <v>22</v>
      </c>
    </row>
    <row r="72" spans="1:11" x14ac:dyDescent="0.2">
      <c r="A72" s="24" t="s">
        <v>243</v>
      </c>
      <c r="B72" s="24" t="s">
        <v>244</v>
      </c>
      <c r="C72" s="24" t="s">
        <v>245</v>
      </c>
      <c r="D72" s="24" t="s">
        <v>17</v>
      </c>
      <c r="E72" s="24" t="s">
        <v>42</v>
      </c>
      <c r="F72" s="24" t="s">
        <v>43</v>
      </c>
      <c r="G72" s="24" t="s">
        <v>20</v>
      </c>
      <c r="H72" s="26">
        <v>480</v>
      </c>
      <c r="I72" s="24" t="s">
        <v>21</v>
      </c>
      <c r="J72" s="36">
        <v>45314</v>
      </c>
      <c r="K72" s="24" t="s">
        <v>22</v>
      </c>
    </row>
    <row r="73" spans="1:11" x14ac:dyDescent="0.2">
      <c r="A73" s="27" t="s">
        <v>246</v>
      </c>
      <c r="B73" s="27" t="s">
        <v>247</v>
      </c>
      <c r="C73" s="27" t="s">
        <v>248</v>
      </c>
      <c r="D73" s="27" t="s">
        <v>17</v>
      </c>
      <c r="E73" s="27" t="s">
        <v>33</v>
      </c>
      <c r="F73" s="27" t="s">
        <v>34</v>
      </c>
      <c r="G73" s="27" t="s">
        <v>59</v>
      </c>
      <c r="H73" s="29">
        <v>95</v>
      </c>
      <c r="I73" s="27" t="s">
        <v>21</v>
      </c>
      <c r="J73" s="37">
        <v>45316</v>
      </c>
      <c r="K73" s="27" t="s">
        <v>22</v>
      </c>
    </row>
    <row r="74" spans="1:11" x14ac:dyDescent="0.2">
      <c r="A74" s="24" t="s">
        <v>249</v>
      </c>
      <c r="B74" s="24" t="s">
        <v>250</v>
      </c>
      <c r="C74" s="24" t="s">
        <v>251</v>
      </c>
      <c r="D74" s="24" t="s">
        <v>17</v>
      </c>
      <c r="E74" s="24" t="s">
        <v>48</v>
      </c>
      <c r="F74" s="24" t="s">
        <v>49</v>
      </c>
      <c r="G74" s="24" t="s">
        <v>44</v>
      </c>
      <c r="H74" s="26">
        <v>320</v>
      </c>
      <c r="I74" s="24" t="s">
        <v>29</v>
      </c>
      <c r="J74" s="36">
        <v>45309</v>
      </c>
      <c r="K74" s="24" t="s">
        <v>22</v>
      </c>
    </row>
    <row r="75" spans="1:11" x14ac:dyDescent="0.2">
      <c r="A75" s="27" t="s">
        <v>252</v>
      </c>
      <c r="B75" s="27" t="s">
        <v>253</v>
      </c>
      <c r="C75" s="27" t="s">
        <v>254</v>
      </c>
      <c r="D75" s="27" t="s">
        <v>17</v>
      </c>
      <c r="E75" s="27" t="s">
        <v>48</v>
      </c>
      <c r="F75" s="27" t="s">
        <v>49</v>
      </c>
      <c r="G75" s="27" t="s">
        <v>20</v>
      </c>
      <c r="H75" s="29">
        <v>231</v>
      </c>
      <c r="I75" s="27" t="s">
        <v>21</v>
      </c>
      <c r="J75" s="37">
        <v>45294</v>
      </c>
      <c r="K75" s="27" t="s">
        <v>22</v>
      </c>
    </row>
    <row r="76" spans="1:11" x14ac:dyDescent="0.2">
      <c r="A76" s="24" t="s">
        <v>255</v>
      </c>
      <c r="B76" s="24" t="s">
        <v>256</v>
      </c>
      <c r="C76" s="24" t="s">
        <v>146</v>
      </c>
      <c r="D76" s="24" t="s">
        <v>17</v>
      </c>
      <c r="E76" s="24" t="s">
        <v>18</v>
      </c>
      <c r="F76" s="24" t="s">
        <v>19</v>
      </c>
      <c r="G76" s="24" t="s">
        <v>257</v>
      </c>
      <c r="H76" s="26">
        <v>65</v>
      </c>
      <c r="I76" s="24" t="s">
        <v>29</v>
      </c>
      <c r="J76" s="36">
        <v>45303</v>
      </c>
      <c r="K76" s="24" t="s">
        <v>22</v>
      </c>
    </row>
    <row r="77" spans="1:11" x14ac:dyDescent="0.2">
      <c r="A77" s="27" t="s">
        <v>258</v>
      </c>
      <c r="B77" s="27" t="s">
        <v>259</v>
      </c>
      <c r="C77" s="27" t="s">
        <v>260</v>
      </c>
      <c r="D77" s="27" t="s">
        <v>17</v>
      </c>
      <c r="E77" s="27" t="s">
        <v>18</v>
      </c>
      <c r="F77" s="27" t="s">
        <v>19</v>
      </c>
      <c r="G77" s="27" t="s">
        <v>20</v>
      </c>
      <c r="H77" s="29">
        <v>558</v>
      </c>
      <c r="I77" s="27" t="s">
        <v>21</v>
      </c>
      <c r="J77" s="37">
        <v>45314</v>
      </c>
      <c r="K77" s="27" t="s">
        <v>22</v>
      </c>
    </row>
    <row r="78" spans="1:11" x14ac:dyDescent="0.2">
      <c r="A78" s="24" t="s">
        <v>261</v>
      </c>
      <c r="B78" s="24" t="s">
        <v>262</v>
      </c>
      <c r="C78" s="24" t="s">
        <v>263</v>
      </c>
      <c r="D78" s="24" t="s">
        <v>17</v>
      </c>
      <c r="E78" s="24" t="s">
        <v>48</v>
      </c>
      <c r="F78" s="24" t="s">
        <v>49</v>
      </c>
      <c r="G78" s="24" t="s">
        <v>59</v>
      </c>
      <c r="H78" s="26">
        <v>7</v>
      </c>
      <c r="I78" s="24" t="s">
        <v>21</v>
      </c>
      <c r="J78" s="36">
        <v>45294</v>
      </c>
      <c r="K78" s="24" t="s">
        <v>22</v>
      </c>
    </row>
    <row r="79" spans="1:11" x14ac:dyDescent="0.2">
      <c r="A79" s="27" t="s">
        <v>264</v>
      </c>
      <c r="B79" s="27" t="s">
        <v>265</v>
      </c>
      <c r="C79" s="27" t="s">
        <v>266</v>
      </c>
      <c r="D79" s="27" t="s">
        <v>17</v>
      </c>
      <c r="E79" s="27" t="s">
        <v>42</v>
      </c>
      <c r="F79" s="27" t="s">
        <v>43</v>
      </c>
      <c r="G79" s="27" t="s">
        <v>20</v>
      </c>
      <c r="H79" s="29">
        <v>467</v>
      </c>
      <c r="I79" s="27" t="s">
        <v>21</v>
      </c>
      <c r="J79" s="37">
        <v>45322</v>
      </c>
      <c r="K79" s="27" t="s">
        <v>22</v>
      </c>
    </row>
    <row r="80" spans="1:11" x14ac:dyDescent="0.2">
      <c r="A80" s="24" t="s">
        <v>267</v>
      </c>
      <c r="B80" s="24" t="s">
        <v>268</v>
      </c>
      <c r="C80" s="24" t="s">
        <v>269</v>
      </c>
      <c r="D80" s="24" t="s">
        <v>17</v>
      </c>
      <c r="E80" s="24" t="s">
        <v>48</v>
      </c>
      <c r="F80" s="24" t="s">
        <v>49</v>
      </c>
      <c r="G80" s="24" t="s">
        <v>116</v>
      </c>
      <c r="H80" s="26">
        <v>0</v>
      </c>
      <c r="I80" s="24" t="s">
        <v>21</v>
      </c>
      <c r="J80" s="36">
        <v>45292</v>
      </c>
      <c r="K80" s="24" t="s">
        <v>22</v>
      </c>
    </row>
    <row r="81" spans="1:11" x14ac:dyDescent="0.2">
      <c r="A81" s="27" t="s">
        <v>270</v>
      </c>
      <c r="B81" s="27" t="s">
        <v>271</v>
      </c>
      <c r="C81" s="27" t="s">
        <v>272</v>
      </c>
      <c r="D81" s="27" t="s">
        <v>17</v>
      </c>
      <c r="E81" s="27" t="s">
        <v>18</v>
      </c>
      <c r="F81" s="27" t="s">
        <v>19</v>
      </c>
      <c r="G81" s="27" t="s">
        <v>38</v>
      </c>
      <c r="H81" s="29">
        <v>92</v>
      </c>
      <c r="I81" s="27" t="s">
        <v>29</v>
      </c>
      <c r="J81" s="37">
        <v>45309</v>
      </c>
      <c r="K81" s="27" t="s">
        <v>22</v>
      </c>
    </row>
    <row r="82" spans="1:11" x14ac:dyDescent="0.2">
      <c r="A82" s="24" t="s">
        <v>273</v>
      </c>
      <c r="B82" s="24" t="s">
        <v>274</v>
      </c>
      <c r="C82" s="24" t="s">
        <v>68</v>
      </c>
      <c r="D82" s="24" t="s">
        <v>17</v>
      </c>
      <c r="E82" s="24" t="s">
        <v>81</v>
      </c>
      <c r="F82" s="24" t="s">
        <v>82</v>
      </c>
      <c r="G82" s="24" t="s">
        <v>38</v>
      </c>
      <c r="H82" s="26">
        <v>240</v>
      </c>
      <c r="I82" s="24" t="s">
        <v>29</v>
      </c>
      <c r="J82" s="36">
        <v>45292</v>
      </c>
      <c r="K82" s="24" t="s">
        <v>22</v>
      </c>
    </row>
    <row r="83" spans="1:11" x14ac:dyDescent="0.2">
      <c r="A83" s="27" t="s">
        <v>275</v>
      </c>
      <c r="B83" s="27" t="s">
        <v>276</v>
      </c>
      <c r="C83" s="27" t="s">
        <v>277</v>
      </c>
      <c r="D83" s="27" t="s">
        <v>17</v>
      </c>
      <c r="E83" s="27" t="s">
        <v>18</v>
      </c>
      <c r="F83" s="27" t="s">
        <v>19</v>
      </c>
      <c r="G83" s="27" t="s">
        <v>20</v>
      </c>
      <c r="H83" s="29">
        <v>300</v>
      </c>
      <c r="I83" s="27" t="s">
        <v>21</v>
      </c>
      <c r="J83" s="37">
        <v>45293</v>
      </c>
      <c r="K83" s="27" t="s">
        <v>22</v>
      </c>
    </row>
    <row r="84" spans="1:11" x14ac:dyDescent="0.2">
      <c r="A84" s="24" t="s">
        <v>278</v>
      </c>
      <c r="B84" s="24" t="s">
        <v>279</v>
      </c>
      <c r="C84" s="24" t="s">
        <v>280</v>
      </c>
      <c r="D84" s="24" t="s">
        <v>17</v>
      </c>
      <c r="E84" s="24" t="s">
        <v>18</v>
      </c>
      <c r="F84" s="24" t="s">
        <v>19</v>
      </c>
      <c r="G84" s="24" t="s">
        <v>20</v>
      </c>
      <c r="H84" s="26">
        <v>39</v>
      </c>
      <c r="I84" s="24" t="s">
        <v>21</v>
      </c>
      <c r="J84" s="36">
        <v>45299</v>
      </c>
      <c r="K84" s="24" t="s">
        <v>22</v>
      </c>
    </row>
    <row r="85" spans="1:11" x14ac:dyDescent="0.2">
      <c r="A85" s="27" t="s">
        <v>281</v>
      </c>
      <c r="B85" s="27" t="s">
        <v>282</v>
      </c>
      <c r="C85" s="27" t="s">
        <v>283</v>
      </c>
      <c r="D85" s="27" t="s">
        <v>17</v>
      </c>
      <c r="E85" s="27" t="s">
        <v>18</v>
      </c>
      <c r="F85" s="27" t="s">
        <v>19</v>
      </c>
      <c r="G85" s="27" t="s">
        <v>38</v>
      </c>
      <c r="H85" s="29">
        <v>48</v>
      </c>
      <c r="I85" s="27" t="s">
        <v>29</v>
      </c>
      <c r="J85" s="37">
        <v>45292</v>
      </c>
      <c r="K85" s="27" t="s">
        <v>22</v>
      </c>
    </row>
    <row r="86" spans="1:11" x14ac:dyDescent="0.2">
      <c r="A86" s="24" t="s">
        <v>284</v>
      </c>
      <c r="B86" s="24" t="s">
        <v>285</v>
      </c>
      <c r="C86" s="24" t="s">
        <v>286</v>
      </c>
      <c r="D86" s="24" t="s">
        <v>17</v>
      </c>
      <c r="E86" s="24" t="s">
        <v>18</v>
      </c>
      <c r="F86" s="24" t="s">
        <v>19</v>
      </c>
      <c r="G86" s="24" t="s">
        <v>20</v>
      </c>
      <c r="H86" s="26">
        <v>120</v>
      </c>
      <c r="I86" s="24" t="s">
        <v>21</v>
      </c>
      <c r="J86" s="36">
        <v>45317</v>
      </c>
      <c r="K86" s="24" t="s">
        <v>22</v>
      </c>
    </row>
    <row r="87" spans="1:11" x14ac:dyDescent="0.2">
      <c r="A87" s="27" t="s">
        <v>287</v>
      </c>
      <c r="B87" s="27" t="s">
        <v>288</v>
      </c>
      <c r="C87" s="27" t="s">
        <v>289</v>
      </c>
      <c r="D87" s="27" t="s">
        <v>17</v>
      </c>
      <c r="E87" s="27" t="s">
        <v>42</v>
      </c>
      <c r="F87" s="27" t="s">
        <v>43</v>
      </c>
      <c r="G87" s="27" t="s">
        <v>44</v>
      </c>
      <c r="H87" s="29">
        <v>95</v>
      </c>
      <c r="I87" s="27" t="s">
        <v>29</v>
      </c>
      <c r="J87" s="37">
        <v>45299</v>
      </c>
      <c r="K87" s="27" t="s">
        <v>22</v>
      </c>
    </row>
    <row r="88" spans="1:11" x14ac:dyDescent="0.2">
      <c r="A88" s="24" t="s">
        <v>290</v>
      </c>
      <c r="B88" s="24" t="s">
        <v>291</v>
      </c>
      <c r="C88" s="24" t="s">
        <v>292</v>
      </c>
      <c r="D88" s="24" t="s">
        <v>17</v>
      </c>
      <c r="E88" s="24" t="s">
        <v>48</v>
      </c>
      <c r="F88" s="24" t="s">
        <v>49</v>
      </c>
      <c r="G88" s="24" t="s">
        <v>20</v>
      </c>
      <c r="H88" s="26">
        <v>27</v>
      </c>
      <c r="I88" s="24" t="s">
        <v>21</v>
      </c>
      <c r="J88" s="36">
        <v>45306</v>
      </c>
      <c r="K88" s="24" t="s">
        <v>22</v>
      </c>
    </row>
    <row r="89" spans="1:11" x14ac:dyDescent="0.2">
      <c r="A89" s="27" t="s">
        <v>293</v>
      </c>
      <c r="B89" s="27" t="s">
        <v>294</v>
      </c>
      <c r="C89" s="27" t="s">
        <v>295</v>
      </c>
      <c r="D89" s="27" t="s">
        <v>17</v>
      </c>
      <c r="E89" s="27" t="s">
        <v>42</v>
      </c>
      <c r="F89" s="27" t="s">
        <v>43</v>
      </c>
      <c r="G89" s="27" t="s">
        <v>44</v>
      </c>
      <c r="H89" s="29">
        <v>46</v>
      </c>
      <c r="I89" s="27" t="s">
        <v>21</v>
      </c>
      <c r="J89" s="37">
        <v>45313</v>
      </c>
      <c r="K89" s="27" t="s">
        <v>22</v>
      </c>
    </row>
    <row r="90" spans="1:11" x14ac:dyDescent="0.2">
      <c r="A90" s="24" t="s">
        <v>296</v>
      </c>
      <c r="B90" s="24" t="s">
        <v>297</v>
      </c>
      <c r="C90" s="24" t="s">
        <v>298</v>
      </c>
      <c r="D90" s="24" t="s">
        <v>17</v>
      </c>
      <c r="E90" s="24" t="s">
        <v>18</v>
      </c>
      <c r="F90" s="24" t="s">
        <v>19</v>
      </c>
      <c r="G90" s="24" t="s">
        <v>28</v>
      </c>
      <c r="H90" s="26">
        <v>254</v>
      </c>
      <c r="I90" s="24" t="s">
        <v>29</v>
      </c>
      <c r="J90" s="36">
        <v>45300</v>
      </c>
      <c r="K90" s="24" t="s">
        <v>22</v>
      </c>
    </row>
    <row r="91" spans="1:11" x14ac:dyDescent="0.2">
      <c r="A91" s="27" t="s">
        <v>299</v>
      </c>
      <c r="B91" s="27" t="s">
        <v>300</v>
      </c>
      <c r="C91" s="27" t="s">
        <v>301</v>
      </c>
      <c r="D91" s="27" t="s">
        <v>17</v>
      </c>
      <c r="E91" s="27" t="s">
        <v>42</v>
      </c>
      <c r="F91" s="27" t="s">
        <v>43</v>
      </c>
      <c r="G91" s="27" t="s">
        <v>28</v>
      </c>
      <c r="H91" s="29">
        <v>795</v>
      </c>
      <c r="I91" s="27" t="s">
        <v>29</v>
      </c>
      <c r="J91" s="37">
        <v>45313</v>
      </c>
      <c r="K91" s="27" t="s">
        <v>22</v>
      </c>
    </row>
    <row r="92" spans="1:11" x14ac:dyDescent="0.2">
      <c r="A92" s="24" t="s">
        <v>302</v>
      </c>
      <c r="B92" s="24" t="s">
        <v>303</v>
      </c>
      <c r="C92" s="24" t="s">
        <v>236</v>
      </c>
      <c r="D92" s="24" t="s">
        <v>17</v>
      </c>
      <c r="E92" s="24" t="s">
        <v>48</v>
      </c>
      <c r="F92" s="24" t="s">
        <v>49</v>
      </c>
      <c r="G92" s="24" t="s">
        <v>44</v>
      </c>
      <c r="H92" s="26">
        <v>180</v>
      </c>
      <c r="I92" s="24" t="s">
        <v>29</v>
      </c>
      <c r="J92" s="36">
        <v>45322</v>
      </c>
      <c r="K92" s="24" t="s">
        <v>22</v>
      </c>
    </row>
    <row r="93" spans="1:11" x14ac:dyDescent="0.2">
      <c r="A93" s="27" t="s">
        <v>304</v>
      </c>
      <c r="B93" s="27" t="s">
        <v>305</v>
      </c>
      <c r="C93" s="27" t="s">
        <v>306</v>
      </c>
      <c r="D93" s="27" t="s">
        <v>17</v>
      </c>
      <c r="E93" s="27" t="s">
        <v>163</v>
      </c>
      <c r="F93" s="27" t="s">
        <v>164</v>
      </c>
      <c r="G93" s="27" t="s">
        <v>28</v>
      </c>
      <c r="H93" s="29">
        <v>53</v>
      </c>
      <c r="I93" s="27" t="s">
        <v>29</v>
      </c>
      <c r="J93" s="37">
        <v>45303</v>
      </c>
      <c r="K93" s="27" t="s">
        <v>22</v>
      </c>
    </row>
    <row r="94" spans="1:11" x14ac:dyDescent="0.2">
      <c r="A94" s="24" t="s">
        <v>307</v>
      </c>
      <c r="B94" s="24" t="s">
        <v>308</v>
      </c>
      <c r="C94" s="24" t="s">
        <v>309</v>
      </c>
      <c r="D94" s="24" t="s">
        <v>17</v>
      </c>
      <c r="E94" s="24" t="s">
        <v>42</v>
      </c>
      <c r="F94" s="24" t="s">
        <v>43</v>
      </c>
      <c r="G94" s="24" t="s">
        <v>44</v>
      </c>
      <c r="H94" s="26">
        <v>228</v>
      </c>
      <c r="I94" s="24" t="s">
        <v>21</v>
      </c>
      <c r="J94" s="36">
        <v>45320</v>
      </c>
      <c r="K94" s="24" t="s">
        <v>22</v>
      </c>
    </row>
    <row r="95" spans="1:11" x14ac:dyDescent="0.2">
      <c r="A95" s="27" t="s">
        <v>310</v>
      </c>
      <c r="B95" s="27" t="s">
        <v>311</v>
      </c>
      <c r="C95" s="27" t="s">
        <v>251</v>
      </c>
      <c r="D95" s="27" t="s">
        <v>17</v>
      </c>
      <c r="E95" s="27" t="s">
        <v>48</v>
      </c>
      <c r="F95" s="27" t="s">
        <v>49</v>
      </c>
      <c r="G95" s="27" t="s">
        <v>44</v>
      </c>
      <c r="H95" s="29">
        <v>49</v>
      </c>
      <c r="I95" s="27" t="s">
        <v>21</v>
      </c>
      <c r="J95" s="37">
        <v>45294</v>
      </c>
      <c r="K95" s="27" t="s">
        <v>22</v>
      </c>
    </row>
    <row r="96" spans="1:11" x14ac:dyDescent="0.2">
      <c r="A96" s="24" t="s">
        <v>312</v>
      </c>
      <c r="B96" s="24" t="s">
        <v>313</v>
      </c>
      <c r="C96" s="24" t="s">
        <v>106</v>
      </c>
      <c r="D96" s="24" t="s">
        <v>17</v>
      </c>
      <c r="E96" s="24" t="s">
        <v>42</v>
      </c>
      <c r="F96" s="24" t="s">
        <v>43</v>
      </c>
      <c r="G96" s="24" t="s">
        <v>20</v>
      </c>
      <c r="H96" s="26">
        <v>274</v>
      </c>
      <c r="I96" s="24" t="s">
        <v>21</v>
      </c>
      <c r="J96" s="36">
        <v>45307</v>
      </c>
      <c r="K96" s="24" t="s">
        <v>22</v>
      </c>
    </row>
    <row r="97" spans="1:11" x14ac:dyDescent="0.2">
      <c r="A97" s="27" t="s">
        <v>314</v>
      </c>
      <c r="B97" s="27" t="s">
        <v>315</v>
      </c>
      <c r="C97" s="27" t="s">
        <v>316</v>
      </c>
      <c r="D97" s="27" t="s">
        <v>17</v>
      </c>
      <c r="E97" s="27" t="s">
        <v>48</v>
      </c>
      <c r="F97" s="27" t="s">
        <v>49</v>
      </c>
      <c r="G97" s="27" t="s">
        <v>44</v>
      </c>
      <c r="H97" s="29">
        <v>30</v>
      </c>
      <c r="I97" s="27" t="s">
        <v>29</v>
      </c>
      <c r="J97" s="37">
        <v>45301</v>
      </c>
      <c r="K97" s="27" t="s">
        <v>22</v>
      </c>
    </row>
    <row r="98" spans="1:11" x14ac:dyDescent="0.2">
      <c r="A98" s="24" t="s">
        <v>317</v>
      </c>
      <c r="B98" s="24" t="s">
        <v>318</v>
      </c>
      <c r="C98" s="24" t="s">
        <v>319</v>
      </c>
      <c r="D98" s="24" t="s">
        <v>17</v>
      </c>
      <c r="E98" s="24" t="s">
        <v>48</v>
      </c>
      <c r="F98" s="24" t="s">
        <v>49</v>
      </c>
      <c r="G98" s="24" t="s">
        <v>44</v>
      </c>
      <c r="H98" s="26">
        <v>39</v>
      </c>
      <c r="I98" s="24" t="s">
        <v>21</v>
      </c>
      <c r="J98" s="36">
        <v>45313</v>
      </c>
      <c r="K98" s="24" t="s">
        <v>22</v>
      </c>
    </row>
    <row r="99" spans="1:11" x14ac:dyDescent="0.2">
      <c r="A99" s="27" t="s">
        <v>320</v>
      </c>
      <c r="B99" s="27" t="s">
        <v>321</v>
      </c>
      <c r="C99" s="27" t="s">
        <v>322</v>
      </c>
      <c r="D99" s="27" t="s">
        <v>17</v>
      </c>
      <c r="E99" s="27" t="s">
        <v>48</v>
      </c>
      <c r="F99" s="27" t="s">
        <v>49</v>
      </c>
      <c r="G99" s="27" t="s">
        <v>20</v>
      </c>
      <c r="H99" s="29">
        <v>91</v>
      </c>
      <c r="I99" s="27" t="s">
        <v>21</v>
      </c>
      <c r="J99" s="37">
        <v>45302</v>
      </c>
      <c r="K99" s="27" t="s">
        <v>22</v>
      </c>
    </row>
    <row r="100" spans="1:11" x14ac:dyDescent="0.2">
      <c r="A100" s="24" t="s">
        <v>323</v>
      </c>
      <c r="B100" s="24" t="s">
        <v>324</v>
      </c>
      <c r="C100" s="24" t="s">
        <v>325</v>
      </c>
      <c r="D100" s="24" t="s">
        <v>17</v>
      </c>
      <c r="E100" s="24" t="s">
        <v>18</v>
      </c>
      <c r="F100" s="24" t="s">
        <v>19</v>
      </c>
      <c r="G100" s="24" t="s">
        <v>20</v>
      </c>
      <c r="H100" s="26">
        <v>64</v>
      </c>
      <c r="I100" s="24" t="s">
        <v>21</v>
      </c>
      <c r="J100" s="36">
        <v>45299</v>
      </c>
      <c r="K100" s="24" t="s">
        <v>22</v>
      </c>
    </row>
    <row r="101" spans="1:11" x14ac:dyDescent="0.2">
      <c r="A101" s="27" t="s">
        <v>326</v>
      </c>
      <c r="B101" s="27" t="s">
        <v>327</v>
      </c>
      <c r="C101" s="27" t="s">
        <v>328</v>
      </c>
      <c r="D101" s="27" t="s">
        <v>17</v>
      </c>
      <c r="E101" s="27" t="s">
        <v>26</v>
      </c>
      <c r="F101" s="27" t="s">
        <v>27</v>
      </c>
      <c r="G101" s="27" t="s">
        <v>59</v>
      </c>
      <c r="H101" s="29">
        <v>6</v>
      </c>
      <c r="I101" s="27" t="s">
        <v>21</v>
      </c>
      <c r="J101" s="37">
        <v>45301</v>
      </c>
      <c r="K101" s="27" t="s">
        <v>22</v>
      </c>
    </row>
    <row r="102" spans="1:11" x14ac:dyDescent="0.2">
      <c r="A102" s="24" t="s">
        <v>329</v>
      </c>
      <c r="B102" s="24" t="s">
        <v>330</v>
      </c>
      <c r="C102" s="24" t="s">
        <v>331</v>
      </c>
      <c r="D102" s="24" t="s">
        <v>17</v>
      </c>
      <c r="E102" s="24" t="s">
        <v>18</v>
      </c>
      <c r="F102" s="24" t="s">
        <v>19</v>
      </c>
      <c r="G102" s="24" t="s">
        <v>28</v>
      </c>
      <c r="H102" s="26">
        <v>710</v>
      </c>
      <c r="I102" s="24" t="s">
        <v>29</v>
      </c>
      <c r="J102" s="36">
        <v>45295</v>
      </c>
      <c r="K102" s="24" t="s">
        <v>22</v>
      </c>
    </row>
    <row r="103" spans="1:11" x14ac:dyDescent="0.2">
      <c r="A103" s="27" t="s">
        <v>332</v>
      </c>
      <c r="B103" s="27" t="s">
        <v>333</v>
      </c>
      <c r="C103" s="27" t="s">
        <v>334</v>
      </c>
      <c r="D103" s="27" t="s">
        <v>17</v>
      </c>
      <c r="E103" s="27" t="s">
        <v>48</v>
      </c>
      <c r="F103" s="27" t="s">
        <v>49</v>
      </c>
      <c r="G103" s="27" t="s">
        <v>116</v>
      </c>
      <c r="H103" s="29">
        <v>0</v>
      </c>
      <c r="I103" s="27" t="s">
        <v>21</v>
      </c>
      <c r="J103" s="37">
        <v>45321</v>
      </c>
      <c r="K103" s="27" t="s">
        <v>22</v>
      </c>
    </row>
    <row r="104" spans="1:11" x14ac:dyDescent="0.2">
      <c r="A104" s="24" t="s">
        <v>335</v>
      </c>
      <c r="B104" s="24" t="s">
        <v>336</v>
      </c>
      <c r="C104" s="24" t="s">
        <v>337</v>
      </c>
      <c r="D104" s="24" t="s">
        <v>17</v>
      </c>
      <c r="E104" s="24" t="s">
        <v>18</v>
      </c>
      <c r="F104" s="24" t="s">
        <v>19</v>
      </c>
      <c r="G104" s="24" t="s">
        <v>28</v>
      </c>
      <c r="H104" s="26">
        <v>80</v>
      </c>
      <c r="I104" s="24" t="s">
        <v>29</v>
      </c>
      <c r="J104" s="36">
        <v>45294</v>
      </c>
      <c r="K104" s="24" t="s">
        <v>22</v>
      </c>
    </row>
    <row r="105" spans="1:11" x14ac:dyDescent="0.2">
      <c r="A105" s="27" t="s">
        <v>338</v>
      </c>
      <c r="B105" s="27" t="s">
        <v>339</v>
      </c>
      <c r="C105" s="27" t="s">
        <v>340</v>
      </c>
      <c r="D105" s="27" t="s">
        <v>17</v>
      </c>
      <c r="E105" s="27" t="s">
        <v>18</v>
      </c>
      <c r="F105" s="27" t="s">
        <v>19</v>
      </c>
      <c r="G105" s="27" t="s">
        <v>59</v>
      </c>
      <c r="H105" s="29">
        <v>18</v>
      </c>
      <c r="I105" s="27" t="s">
        <v>21</v>
      </c>
      <c r="J105" s="37">
        <v>45309</v>
      </c>
      <c r="K105" s="27" t="s">
        <v>22</v>
      </c>
    </row>
    <row r="106" spans="1:11" x14ac:dyDescent="0.2">
      <c r="A106" s="24" t="s">
        <v>341</v>
      </c>
      <c r="B106" s="24" t="s">
        <v>342</v>
      </c>
      <c r="C106" s="24" t="s">
        <v>343</v>
      </c>
      <c r="D106" s="24" t="s">
        <v>17</v>
      </c>
      <c r="E106" s="24" t="s">
        <v>48</v>
      </c>
      <c r="F106" s="24" t="s">
        <v>49</v>
      </c>
      <c r="G106" s="24" t="s">
        <v>59</v>
      </c>
      <c r="H106" s="26">
        <v>18</v>
      </c>
      <c r="I106" s="24" t="s">
        <v>21</v>
      </c>
      <c r="J106" s="36">
        <v>45306</v>
      </c>
      <c r="K106" s="24" t="s">
        <v>22</v>
      </c>
    </row>
    <row r="107" spans="1:11" x14ac:dyDescent="0.2">
      <c r="A107" s="27" t="s">
        <v>344</v>
      </c>
      <c r="B107" s="27" t="s">
        <v>345</v>
      </c>
      <c r="C107" s="27" t="s">
        <v>346</v>
      </c>
      <c r="D107" s="27" t="s">
        <v>17</v>
      </c>
      <c r="E107" s="27" t="s">
        <v>18</v>
      </c>
      <c r="F107" s="27" t="s">
        <v>19</v>
      </c>
      <c r="G107" s="27" t="s">
        <v>28</v>
      </c>
      <c r="H107" s="29">
        <v>48</v>
      </c>
      <c r="I107" s="27" t="s">
        <v>29</v>
      </c>
      <c r="J107" s="37">
        <v>45302</v>
      </c>
      <c r="K107" s="27" t="s">
        <v>22</v>
      </c>
    </row>
    <row r="108" spans="1:11" x14ac:dyDescent="0.2">
      <c r="A108" s="24" t="s">
        <v>347</v>
      </c>
      <c r="B108" s="24" t="s">
        <v>348</v>
      </c>
      <c r="C108" s="24" t="s">
        <v>349</v>
      </c>
      <c r="D108" s="24" t="s">
        <v>17</v>
      </c>
      <c r="E108" s="24" t="s">
        <v>18</v>
      </c>
      <c r="F108" s="24" t="s">
        <v>19</v>
      </c>
      <c r="G108" s="24" t="s">
        <v>20</v>
      </c>
      <c r="H108" s="26">
        <v>37</v>
      </c>
      <c r="I108" s="24" t="s">
        <v>21</v>
      </c>
      <c r="J108" s="36">
        <v>45321</v>
      </c>
      <c r="K108" s="24" t="s">
        <v>22</v>
      </c>
    </row>
    <row r="109" spans="1:11" x14ac:dyDescent="0.2">
      <c r="A109" s="27" t="s">
        <v>350</v>
      </c>
      <c r="B109" s="27" t="s">
        <v>351</v>
      </c>
      <c r="C109" s="27" t="s">
        <v>97</v>
      </c>
      <c r="D109" s="27" t="s">
        <v>17</v>
      </c>
      <c r="E109" s="27" t="s">
        <v>26</v>
      </c>
      <c r="F109" s="27" t="s">
        <v>27</v>
      </c>
      <c r="G109" s="27" t="s">
        <v>28</v>
      </c>
      <c r="H109" s="29">
        <v>234</v>
      </c>
      <c r="I109" s="27" t="s">
        <v>29</v>
      </c>
      <c r="J109" s="37">
        <v>45309</v>
      </c>
      <c r="K109" s="27" t="s">
        <v>22</v>
      </c>
    </row>
    <row r="110" spans="1:11" x14ac:dyDescent="0.2">
      <c r="A110" s="24" t="s">
        <v>352</v>
      </c>
      <c r="B110" s="24" t="s">
        <v>353</v>
      </c>
      <c r="C110" s="24" t="s">
        <v>354</v>
      </c>
      <c r="D110" s="24" t="s">
        <v>17</v>
      </c>
      <c r="E110" s="24" t="s">
        <v>18</v>
      </c>
      <c r="F110" s="24" t="s">
        <v>19</v>
      </c>
      <c r="G110" s="24" t="s">
        <v>20</v>
      </c>
      <c r="H110" s="26">
        <v>39</v>
      </c>
      <c r="I110" s="24" t="s">
        <v>21</v>
      </c>
      <c r="J110" s="36">
        <v>45295</v>
      </c>
      <c r="K110" s="24" t="s">
        <v>22</v>
      </c>
    </row>
    <row r="111" spans="1:11" x14ac:dyDescent="0.2">
      <c r="A111" s="27" t="s">
        <v>355</v>
      </c>
      <c r="B111" s="27" t="s">
        <v>356</v>
      </c>
      <c r="C111" s="27" t="s">
        <v>357</v>
      </c>
      <c r="D111" s="27" t="s">
        <v>17</v>
      </c>
      <c r="E111" s="27" t="s">
        <v>18</v>
      </c>
      <c r="F111" s="27" t="s">
        <v>19</v>
      </c>
      <c r="G111" s="27" t="s">
        <v>28</v>
      </c>
      <c r="H111" s="29">
        <v>67</v>
      </c>
      <c r="I111" s="27" t="s">
        <v>29</v>
      </c>
      <c r="J111" s="37">
        <v>45294</v>
      </c>
      <c r="K111" s="27" t="s">
        <v>22</v>
      </c>
    </row>
    <row r="112" spans="1:11" x14ac:dyDescent="0.2">
      <c r="A112" s="24" t="s">
        <v>358</v>
      </c>
      <c r="B112" s="24" t="s">
        <v>359</v>
      </c>
      <c r="C112" s="24" t="s">
        <v>360</v>
      </c>
      <c r="D112" s="24" t="s">
        <v>17</v>
      </c>
      <c r="E112" s="24" t="s">
        <v>26</v>
      </c>
      <c r="F112" s="24" t="s">
        <v>27</v>
      </c>
      <c r="G112" s="24" t="s">
        <v>116</v>
      </c>
      <c r="H112" s="26">
        <v>0</v>
      </c>
      <c r="I112" s="24" t="s">
        <v>21</v>
      </c>
      <c r="J112" s="36">
        <v>45292</v>
      </c>
      <c r="K112" s="24" t="s">
        <v>22</v>
      </c>
    </row>
    <row r="113" spans="1:11" x14ac:dyDescent="0.2">
      <c r="A113" s="27" t="s">
        <v>361</v>
      </c>
      <c r="B113" s="27" t="s">
        <v>362</v>
      </c>
      <c r="C113" s="27" t="s">
        <v>363</v>
      </c>
      <c r="D113" s="27" t="s">
        <v>17</v>
      </c>
      <c r="E113" s="27" t="s">
        <v>48</v>
      </c>
      <c r="F113" s="27" t="s">
        <v>49</v>
      </c>
      <c r="G113" s="27" t="s">
        <v>28</v>
      </c>
      <c r="H113" s="29">
        <v>150</v>
      </c>
      <c r="I113" s="27" t="s">
        <v>29</v>
      </c>
      <c r="J113" s="37">
        <v>45317</v>
      </c>
      <c r="K113" s="27" t="s">
        <v>22</v>
      </c>
    </row>
    <row r="114" spans="1:11" x14ac:dyDescent="0.2">
      <c r="A114" s="24" t="s">
        <v>364</v>
      </c>
      <c r="B114" s="24" t="s">
        <v>365</v>
      </c>
      <c r="C114" s="24" t="s">
        <v>280</v>
      </c>
      <c r="D114" s="24" t="s">
        <v>17</v>
      </c>
      <c r="E114" s="24" t="s">
        <v>42</v>
      </c>
      <c r="F114" s="24" t="s">
        <v>43</v>
      </c>
      <c r="G114" s="24" t="s">
        <v>217</v>
      </c>
      <c r="H114" s="26">
        <v>120</v>
      </c>
      <c r="I114" s="24" t="s">
        <v>29</v>
      </c>
      <c r="J114" s="36">
        <v>45292</v>
      </c>
      <c r="K114" s="24" t="s">
        <v>22</v>
      </c>
    </row>
    <row r="115" spans="1:11" x14ac:dyDescent="0.2">
      <c r="A115" s="27" t="s">
        <v>366</v>
      </c>
      <c r="B115" s="27" t="s">
        <v>367</v>
      </c>
      <c r="C115" s="27" t="s">
        <v>368</v>
      </c>
      <c r="D115" s="27" t="s">
        <v>17</v>
      </c>
      <c r="E115" s="27" t="s">
        <v>18</v>
      </c>
      <c r="F115" s="27" t="s">
        <v>19</v>
      </c>
      <c r="G115" s="27" t="s">
        <v>227</v>
      </c>
      <c r="H115" s="29">
        <v>12</v>
      </c>
      <c r="I115" s="27" t="s">
        <v>29</v>
      </c>
      <c r="J115" s="37">
        <v>45292</v>
      </c>
      <c r="K115" s="27" t="s">
        <v>22</v>
      </c>
    </row>
    <row r="116" spans="1:11" x14ac:dyDescent="0.2">
      <c r="A116" s="24" t="s">
        <v>369</v>
      </c>
      <c r="B116" s="24" t="s">
        <v>370</v>
      </c>
      <c r="C116" s="24" t="s">
        <v>371</v>
      </c>
      <c r="D116" s="24" t="s">
        <v>17</v>
      </c>
      <c r="E116" s="24" t="s">
        <v>18</v>
      </c>
      <c r="F116" s="24" t="s">
        <v>19</v>
      </c>
      <c r="G116" s="24" t="s">
        <v>20</v>
      </c>
      <c r="H116" s="26">
        <v>30</v>
      </c>
      <c r="I116" s="24" t="s">
        <v>21</v>
      </c>
      <c r="J116" s="36">
        <v>45299</v>
      </c>
      <c r="K116" s="24" t="s">
        <v>22</v>
      </c>
    </row>
    <row r="117" spans="1:11" x14ac:dyDescent="0.2">
      <c r="A117" s="27" t="s">
        <v>372</v>
      </c>
      <c r="B117" s="27" t="s">
        <v>373</v>
      </c>
      <c r="C117" s="27" t="s">
        <v>301</v>
      </c>
      <c r="D117" s="27" t="s">
        <v>17</v>
      </c>
      <c r="E117" s="27" t="s">
        <v>163</v>
      </c>
      <c r="F117" s="27" t="s">
        <v>164</v>
      </c>
      <c r="G117" s="27" t="s">
        <v>20</v>
      </c>
      <c r="H117" s="29">
        <v>32</v>
      </c>
      <c r="I117" s="27" t="s">
        <v>21</v>
      </c>
      <c r="J117" s="37">
        <v>45303</v>
      </c>
      <c r="K117" s="27" t="s">
        <v>22</v>
      </c>
    </row>
    <row r="118" spans="1:11" x14ac:dyDescent="0.2">
      <c r="A118" s="24" t="s">
        <v>374</v>
      </c>
      <c r="B118" s="24" t="s">
        <v>375</v>
      </c>
      <c r="C118" s="24" t="s">
        <v>376</v>
      </c>
      <c r="D118" s="24" t="s">
        <v>17</v>
      </c>
      <c r="E118" s="24" t="s">
        <v>18</v>
      </c>
      <c r="F118" s="24" t="s">
        <v>19</v>
      </c>
      <c r="G118" s="24" t="s">
        <v>28</v>
      </c>
      <c r="H118" s="26">
        <v>9</v>
      </c>
      <c r="I118" s="24" t="s">
        <v>29</v>
      </c>
      <c r="J118" s="36">
        <v>45296</v>
      </c>
      <c r="K118" s="24" t="s">
        <v>22</v>
      </c>
    </row>
    <row r="119" spans="1:11" x14ac:dyDescent="0.2">
      <c r="A119" s="27" t="s">
        <v>377</v>
      </c>
      <c r="B119" s="27" t="s">
        <v>378</v>
      </c>
      <c r="C119" s="27" t="s">
        <v>379</v>
      </c>
      <c r="D119" s="27" t="s">
        <v>17</v>
      </c>
      <c r="E119" s="27" t="s">
        <v>48</v>
      </c>
      <c r="F119" s="27" t="s">
        <v>49</v>
      </c>
      <c r="G119" s="27" t="s">
        <v>44</v>
      </c>
      <c r="H119" s="29">
        <v>93</v>
      </c>
      <c r="I119" s="27" t="s">
        <v>21</v>
      </c>
      <c r="J119" s="37">
        <v>45295</v>
      </c>
      <c r="K119" s="27" t="s">
        <v>22</v>
      </c>
    </row>
    <row r="120" spans="1:11" x14ac:dyDescent="0.2">
      <c r="A120" s="24" t="s">
        <v>380</v>
      </c>
      <c r="B120" s="24" t="s">
        <v>381</v>
      </c>
      <c r="C120" s="24" t="s">
        <v>382</v>
      </c>
      <c r="D120" s="24" t="s">
        <v>17</v>
      </c>
      <c r="E120" s="24" t="s">
        <v>18</v>
      </c>
      <c r="F120" s="24" t="s">
        <v>19</v>
      </c>
      <c r="G120" s="24" t="s">
        <v>28</v>
      </c>
      <c r="H120" s="26">
        <v>187</v>
      </c>
      <c r="I120" s="24" t="s">
        <v>29</v>
      </c>
      <c r="J120" s="36">
        <v>45314</v>
      </c>
      <c r="K120" s="24" t="s">
        <v>22</v>
      </c>
    </row>
    <row r="121" spans="1:11" x14ac:dyDescent="0.2">
      <c r="A121" s="27" t="s">
        <v>383</v>
      </c>
      <c r="B121" s="27" t="s">
        <v>384</v>
      </c>
      <c r="C121" s="27" t="s">
        <v>385</v>
      </c>
      <c r="D121" s="27" t="s">
        <v>17</v>
      </c>
      <c r="E121" s="27" t="s">
        <v>48</v>
      </c>
      <c r="F121" s="27" t="s">
        <v>49</v>
      </c>
      <c r="G121" s="27" t="s">
        <v>38</v>
      </c>
      <c r="H121" s="29">
        <v>100</v>
      </c>
      <c r="I121" s="27" t="s">
        <v>29</v>
      </c>
      <c r="J121" s="37">
        <v>45292</v>
      </c>
      <c r="K121" s="27" t="s">
        <v>22</v>
      </c>
    </row>
    <row r="122" spans="1:11" x14ac:dyDescent="0.2">
      <c r="A122" s="24" t="s">
        <v>386</v>
      </c>
      <c r="B122" s="24" t="s">
        <v>387</v>
      </c>
      <c r="C122" s="24" t="s">
        <v>388</v>
      </c>
      <c r="D122" s="24" t="s">
        <v>17</v>
      </c>
      <c r="E122" s="24" t="s">
        <v>42</v>
      </c>
      <c r="F122" s="24" t="s">
        <v>43</v>
      </c>
      <c r="G122" s="24" t="s">
        <v>20</v>
      </c>
      <c r="H122" s="26">
        <v>82</v>
      </c>
      <c r="I122" s="24" t="s">
        <v>21</v>
      </c>
      <c r="J122" s="36">
        <v>45313</v>
      </c>
      <c r="K122" s="24" t="s">
        <v>22</v>
      </c>
    </row>
    <row r="123" spans="1:11" x14ac:dyDescent="0.2">
      <c r="A123" s="27" t="s">
        <v>389</v>
      </c>
      <c r="B123" s="27" t="s">
        <v>390</v>
      </c>
      <c r="C123" s="27" t="s">
        <v>106</v>
      </c>
      <c r="D123" s="27" t="s">
        <v>17</v>
      </c>
      <c r="E123" s="27" t="s">
        <v>18</v>
      </c>
      <c r="F123" s="27" t="s">
        <v>19</v>
      </c>
      <c r="G123" s="27" t="s">
        <v>28</v>
      </c>
      <c r="H123" s="29">
        <v>55</v>
      </c>
      <c r="I123" s="27" t="s">
        <v>29</v>
      </c>
      <c r="J123" s="37">
        <v>45313</v>
      </c>
      <c r="K123" s="27" t="s">
        <v>22</v>
      </c>
    </row>
    <row r="124" spans="1:11" x14ac:dyDescent="0.2">
      <c r="A124" s="24" t="s">
        <v>391</v>
      </c>
      <c r="B124" s="24" t="s">
        <v>392</v>
      </c>
      <c r="C124" s="24" t="s">
        <v>41</v>
      </c>
      <c r="D124" s="24" t="s">
        <v>17</v>
      </c>
      <c r="E124" s="24" t="s">
        <v>18</v>
      </c>
      <c r="F124" s="24" t="s">
        <v>19</v>
      </c>
      <c r="G124" s="24" t="s">
        <v>20</v>
      </c>
      <c r="H124" s="26">
        <v>60</v>
      </c>
      <c r="I124" s="24" t="s">
        <v>21</v>
      </c>
      <c r="J124" s="36">
        <v>45308</v>
      </c>
      <c r="K124" s="24" t="s">
        <v>22</v>
      </c>
    </row>
    <row r="125" spans="1:11" x14ac:dyDescent="0.2">
      <c r="A125" s="27" t="s">
        <v>393</v>
      </c>
      <c r="B125" s="27" t="s">
        <v>394</v>
      </c>
      <c r="C125" s="27" t="s">
        <v>395</v>
      </c>
      <c r="D125" s="27" t="s">
        <v>17</v>
      </c>
      <c r="E125" s="27" t="s">
        <v>18</v>
      </c>
      <c r="F125" s="27" t="s">
        <v>19</v>
      </c>
      <c r="G125" s="27" t="s">
        <v>38</v>
      </c>
      <c r="H125" s="29">
        <v>72</v>
      </c>
      <c r="I125" s="27" t="s">
        <v>29</v>
      </c>
      <c r="J125" s="37">
        <v>45297</v>
      </c>
      <c r="K125" s="27" t="s">
        <v>22</v>
      </c>
    </row>
    <row r="126" spans="1:11" x14ac:dyDescent="0.2">
      <c r="A126" s="24" t="s">
        <v>396</v>
      </c>
      <c r="B126" s="24" t="s">
        <v>397</v>
      </c>
      <c r="C126" s="24" t="s">
        <v>398</v>
      </c>
      <c r="D126" s="24" t="s">
        <v>17</v>
      </c>
      <c r="E126" s="24" t="s">
        <v>42</v>
      </c>
      <c r="F126" s="24" t="s">
        <v>43</v>
      </c>
      <c r="G126" s="24" t="s">
        <v>116</v>
      </c>
      <c r="H126" s="26">
        <v>0</v>
      </c>
      <c r="I126" s="24" t="s">
        <v>21</v>
      </c>
      <c r="J126" s="36">
        <v>45306</v>
      </c>
      <c r="K126" s="24" t="s">
        <v>22</v>
      </c>
    </row>
    <row r="127" spans="1:11" x14ac:dyDescent="0.2">
      <c r="A127" s="27" t="s">
        <v>399</v>
      </c>
      <c r="B127" s="27" t="s">
        <v>400</v>
      </c>
      <c r="C127" s="27" t="s">
        <v>401</v>
      </c>
      <c r="D127" s="27" t="s">
        <v>17</v>
      </c>
      <c r="E127" s="27" t="s">
        <v>48</v>
      </c>
      <c r="F127" s="27" t="s">
        <v>49</v>
      </c>
      <c r="G127" s="27" t="s">
        <v>20</v>
      </c>
      <c r="H127" s="29">
        <v>60</v>
      </c>
      <c r="I127" s="27" t="s">
        <v>21</v>
      </c>
      <c r="J127" s="37">
        <v>45322</v>
      </c>
      <c r="K127" s="27" t="s">
        <v>22</v>
      </c>
    </row>
    <row r="128" spans="1:11" x14ac:dyDescent="0.2">
      <c r="A128" s="24" t="s">
        <v>402</v>
      </c>
      <c r="B128" s="24" t="s">
        <v>403</v>
      </c>
      <c r="C128" s="24" t="s">
        <v>404</v>
      </c>
      <c r="D128" s="24" t="s">
        <v>17</v>
      </c>
      <c r="E128" s="24" t="s">
        <v>18</v>
      </c>
      <c r="F128" s="24" t="s">
        <v>19</v>
      </c>
      <c r="G128" s="24" t="s">
        <v>28</v>
      </c>
      <c r="H128" s="26">
        <v>110</v>
      </c>
      <c r="I128" s="24" t="s">
        <v>29</v>
      </c>
      <c r="J128" s="36">
        <v>45302</v>
      </c>
      <c r="K128" s="24" t="s">
        <v>22</v>
      </c>
    </row>
    <row r="129" spans="1:11" x14ac:dyDescent="0.2">
      <c r="A129" s="27" t="s">
        <v>405</v>
      </c>
      <c r="B129" s="27" t="s">
        <v>406</v>
      </c>
      <c r="C129" s="27" t="s">
        <v>208</v>
      </c>
      <c r="D129" s="27" t="s">
        <v>17</v>
      </c>
      <c r="E129" s="27" t="s">
        <v>42</v>
      </c>
      <c r="F129" s="27" t="s">
        <v>43</v>
      </c>
      <c r="G129" s="27" t="s">
        <v>20</v>
      </c>
      <c r="H129" s="29">
        <v>643</v>
      </c>
      <c r="I129" s="27" t="s">
        <v>21</v>
      </c>
      <c r="J129" s="37">
        <v>45309</v>
      </c>
      <c r="K129" s="27" t="s">
        <v>22</v>
      </c>
    </row>
    <row r="130" spans="1:11" x14ac:dyDescent="0.2">
      <c r="A130" s="24" t="s">
        <v>407</v>
      </c>
      <c r="B130" s="24" t="s">
        <v>408</v>
      </c>
      <c r="C130" s="24" t="s">
        <v>409</v>
      </c>
      <c r="D130" s="24" t="s">
        <v>17</v>
      </c>
      <c r="E130" s="24" t="s">
        <v>42</v>
      </c>
      <c r="F130" s="24" t="s">
        <v>43</v>
      </c>
      <c r="G130" s="24" t="s">
        <v>44</v>
      </c>
      <c r="H130" s="26">
        <v>420</v>
      </c>
      <c r="I130" s="24" t="s">
        <v>29</v>
      </c>
      <c r="J130" s="36">
        <v>45294</v>
      </c>
      <c r="K130" s="24" t="s">
        <v>22</v>
      </c>
    </row>
    <row r="131" spans="1:11" x14ac:dyDescent="0.2">
      <c r="A131" s="27" t="s">
        <v>410</v>
      </c>
      <c r="B131" s="27" t="s">
        <v>411</v>
      </c>
      <c r="C131" s="27" t="s">
        <v>412</v>
      </c>
      <c r="D131" s="27" t="s">
        <v>17</v>
      </c>
      <c r="E131" s="27" t="s">
        <v>18</v>
      </c>
      <c r="F131" s="27" t="s">
        <v>19</v>
      </c>
      <c r="G131" s="27" t="s">
        <v>28</v>
      </c>
      <c r="H131" s="29">
        <v>164</v>
      </c>
      <c r="I131" s="27" t="s">
        <v>29</v>
      </c>
      <c r="J131" s="37">
        <v>45309</v>
      </c>
      <c r="K131" s="27" t="s">
        <v>22</v>
      </c>
    </row>
    <row r="132" spans="1:11" x14ac:dyDescent="0.2">
      <c r="A132" s="24" t="s">
        <v>413</v>
      </c>
      <c r="B132" s="24" t="s">
        <v>414</v>
      </c>
      <c r="C132" s="24" t="s">
        <v>415</v>
      </c>
      <c r="D132" s="24" t="s">
        <v>17</v>
      </c>
      <c r="E132" s="24" t="s">
        <v>163</v>
      </c>
      <c r="F132" s="24" t="s">
        <v>164</v>
      </c>
      <c r="G132" s="24" t="s">
        <v>28</v>
      </c>
      <c r="H132" s="26">
        <v>10</v>
      </c>
      <c r="I132" s="24" t="s">
        <v>29</v>
      </c>
      <c r="J132" s="36">
        <v>45314</v>
      </c>
      <c r="K132" s="24" t="s">
        <v>22</v>
      </c>
    </row>
    <row r="133" spans="1:11" x14ac:dyDescent="0.2">
      <c r="A133" s="27" t="s">
        <v>416</v>
      </c>
      <c r="B133" s="27" t="s">
        <v>417</v>
      </c>
      <c r="C133" s="27" t="s">
        <v>418</v>
      </c>
      <c r="D133" s="27" t="s">
        <v>17</v>
      </c>
      <c r="E133" s="27" t="s">
        <v>42</v>
      </c>
      <c r="F133" s="27" t="s">
        <v>43</v>
      </c>
      <c r="G133" s="27" t="s">
        <v>20</v>
      </c>
      <c r="H133" s="29">
        <v>465</v>
      </c>
      <c r="I133" s="27" t="s">
        <v>21</v>
      </c>
      <c r="J133" s="37">
        <v>45303</v>
      </c>
      <c r="K133" s="27" t="s">
        <v>22</v>
      </c>
    </row>
    <row r="134" spans="1:11" x14ac:dyDescent="0.2">
      <c r="A134" s="24" t="s">
        <v>419</v>
      </c>
      <c r="B134" s="24" t="s">
        <v>420</v>
      </c>
      <c r="C134" s="24" t="s">
        <v>68</v>
      </c>
      <c r="D134" s="24" t="s">
        <v>17</v>
      </c>
      <c r="E134" s="24" t="s">
        <v>48</v>
      </c>
      <c r="F134" s="24" t="s">
        <v>49</v>
      </c>
      <c r="G134" s="24" t="s">
        <v>59</v>
      </c>
      <c r="H134" s="26">
        <v>82</v>
      </c>
      <c r="I134" s="24" t="s">
        <v>21</v>
      </c>
      <c r="J134" s="36">
        <v>45306</v>
      </c>
      <c r="K134" s="24" t="s">
        <v>22</v>
      </c>
    </row>
    <row r="135" spans="1:11" x14ac:dyDescent="0.2">
      <c r="A135" s="27" t="s">
        <v>421</v>
      </c>
      <c r="B135" s="27" t="s">
        <v>422</v>
      </c>
      <c r="C135" s="27" t="s">
        <v>423</v>
      </c>
      <c r="D135" s="27" t="s">
        <v>17</v>
      </c>
      <c r="E135" s="27" t="s">
        <v>18</v>
      </c>
      <c r="F135" s="27" t="s">
        <v>19</v>
      </c>
      <c r="G135" s="27" t="s">
        <v>20</v>
      </c>
      <c r="H135" s="29">
        <v>63</v>
      </c>
      <c r="I135" s="27" t="s">
        <v>21</v>
      </c>
      <c r="J135" s="37">
        <v>45295</v>
      </c>
      <c r="K135" s="27" t="s">
        <v>22</v>
      </c>
    </row>
    <row r="136" spans="1:11" x14ac:dyDescent="0.2">
      <c r="A136" s="24" t="s">
        <v>424</v>
      </c>
      <c r="B136" s="24" t="s">
        <v>425</v>
      </c>
      <c r="C136" s="24" t="s">
        <v>426</v>
      </c>
      <c r="D136" s="24" t="s">
        <v>17</v>
      </c>
      <c r="E136" s="24" t="s">
        <v>48</v>
      </c>
      <c r="F136" s="24" t="s">
        <v>49</v>
      </c>
      <c r="G136" s="24" t="s">
        <v>44</v>
      </c>
      <c r="H136" s="26">
        <v>227</v>
      </c>
      <c r="I136" s="24" t="s">
        <v>21</v>
      </c>
      <c r="J136" s="36">
        <v>45314</v>
      </c>
      <c r="K136" s="24" t="s">
        <v>22</v>
      </c>
    </row>
    <row r="137" spans="1:11" x14ac:dyDescent="0.2">
      <c r="A137" s="27" t="s">
        <v>427</v>
      </c>
      <c r="B137" s="27" t="s">
        <v>428</v>
      </c>
      <c r="C137" s="27" t="s">
        <v>429</v>
      </c>
      <c r="D137" s="27" t="s">
        <v>17</v>
      </c>
      <c r="E137" s="27" t="s">
        <v>18</v>
      </c>
      <c r="F137" s="27" t="s">
        <v>19</v>
      </c>
      <c r="G137" s="27" t="s">
        <v>20</v>
      </c>
      <c r="H137" s="29">
        <v>99</v>
      </c>
      <c r="I137" s="27" t="s">
        <v>21</v>
      </c>
      <c r="J137" s="37">
        <v>45296</v>
      </c>
      <c r="K137" s="27" t="s">
        <v>22</v>
      </c>
    </row>
    <row r="138" spans="1:11" x14ac:dyDescent="0.2">
      <c r="A138" s="24" t="s">
        <v>430</v>
      </c>
      <c r="B138" s="24" t="s">
        <v>431</v>
      </c>
      <c r="C138" s="24" t="s">
        <v>68</v>
      </c>
      <c r="D138" s="24" t="s">
        <v>17</v>
      </c>
      <c r="E138" s="24" t="s">
        <v>18</v>
      </c>
      <c r="F138" s="24" t="s">
        <v>19</v>
      </c>
      <c r="G138" s="24" t="s">
        <v>20</v>
      </c>
      <c r="H138" s="26">
        <v>24</v>
      </c>
      <c r="I138" s="24" t="s">
        <v>21</v>
      </c>
      <c r="J138" s="36">
        <v>45295</v>
      </c>
      <c r="K138" s="24" t="s">
        <v>22</v>
      </c>
    </row>
    <row r="139" spans="1:11" x14ac:dyDescent="0.2">
      <c r="A139" s="27" t="s">
        <v>432</v>
      </c>
      <c r="B139" s="27" t="s">
        <v>433</v>
      </c>
      <c r="C139" s="27" t="s">
        <v>434</v>
      </c>
      <c r="D139" s="27" t="s">
        <v>17</v>
      </c>
      <c r="E139" s="27" t="s">
        <v>26</v>
      </c>
      <c r="F139" s="27" t="s">
        <v>27</v>
      </c>
      <c r="G139" s="27" t="s">
        <v>28</v>
      </c>
      <c r="H139" s="29">
        <v>96</v>
      </c>
      <c r="I139" s="27" t="s">
        <v>29</v>
      </c>
      <c r="J139" s="37">
        <v>45322</v>
      </c>
      <c r="K139" s="27" t="s">
        <v>22</v>
      </c>
    </row>
    <row r="140" spans="1:11" x14ac:dyDescent="0.2">
      <c r="A140" s="24" t="s">
        <v>435</v>
      </c>
      <c r="B140" s="24" t="s">
        <v>436</v>
      </c>
      <c r="C140" s="24" t="s">
        <v>437</v>
      </c>
      <c r="D140" s="24" t="s">
        <v>17</v>
      </c>
      <c r="E140" s="24" t="s">
        <v>42</v>
      </c>
      <c r="F140" s="24" t="s">
        <v>43</v>
      </c>
      <c r="G140" s="24" t="s">
        <v>44</v>
      </c>
      <c r="H140" s="26">
        <v>651</v>
      </c>
      <c r="I140" s="24" t="s">
        <v>21</v>
      </c>
      <c r="J140" s="36">
        <v>45315</v>
      </c>
      <c r="K140" s="24" t="s">
        <v>22</v>
      </c>
    </row>
    <row r="141" spans="1:11" x14ac:dyDescent="0.2">
      <c r="A141" s="27" t="s">
        <v>438</v>
      </c>
      <c r="B141" s="27" t="s">
        <v>439</v>
      </c>
      <c r="C141" s="27" t="s">
        <v>440</v>
      </c>
      <c r="D141" s="27" t="s">
        <v>17</v>
      </c>
      <c r="E141" s="27" t="s">
        <v>18</v>
      </c>
      <c r="F141" s="27" t="s">
        <v>19</v>
      </c>
      <c r="G141" s="27" t="s">
        <v>44</v>
      </c>
      <c r="H141" s="29">
        <v>22</v>
      </c>
      <c r="I141" s="27" t="s">
        <v>21</v>
      </c>
      <c r="J141" s="37">
        <v>45299</v>
      </c>
      <c r="K141" s="27" t="s">
        <v>22</v>
      </c>
    </row>
    <row r="142" spans="1:11" x14ac:dyDescent="0.2">
      <c r="A142" s="24" t="s">
        <v>441</v>
      </c>
      <c r="B142" s="24" t="s">
        <v>442</v>
      </c>
      <c r="C142" s="24" t="s">
        <v>194</v>
      </c>
      <c r="D142" s="24" t="s">
        <v>17</v>
      </c>
      <c r="E142" s="24" t="s">
        <v>48</v>
      </c>
      <c r="F142" s="24" t="s">
        <v>49</v>
      </c>
      <c r="G142" s="24" t="s">
        <v>28</v>
      </c>
      <c r="H142" s="26">
        <v>121</v>
      </c>
      <c r="I142" s="24" t="s">
        <v>29</v>
      </c>
      <c r="J142" s="36">
        <v>45320</v>
      </c>
      <c r="K142" s="24" t="s">
        <v>22</v>
      </c>
    </row>
    <row r="143" spans="1:11" x14ac:dyDescent="0.2">
      <c r="A143" s="27" t="s">
        <v>443</v>
      </c>
      <c r="B143" s="27" t="s">
        <v>444</v>
      </c>
      <c r="C143" s="27" t="s">
        <v>437</v>
      </c>
      <c r="D143" s="27" t="s">
        <v>17</v>
      </c>
      <c r="E143" s="27" t="s">
        <v>18</v>
      </c>
      <c r="F143" s="27" t="s">
        <v>19</v>
      </c>
      <c r="G143" s="27" t="s">
        <v>20</v>
      </c>
      <c r="H143" s="29">
        <v>20</v>
      </c>
      <c r="I143" s="27" t="s">
        <v>21</v>
      </c>
      <c r="J143" s="37">
        <v>45314</v>
      </c>
      <c r="K143" s="27" t="s">
        <v>22</v>
      </c>
    </row>
    <row r="144" spans="1:11" x14ac:dyDescent="0.2">
      <c r="A144" s="24" t="s">
        <v>445</v>
      </c>
      <c r="B144" s="24" t="s">
        <v>446</v>
      </c>
      <c r="C144" s="24" t="s">
        <v>447</v>
      </c>
      <c r="D144" s="24" t="s">
        <v>17</v>
      </c>
      <c r="E144" s="24" t="s">
        <v>42</v>
      </c>
      <c r="F144" s="24" t="s">
        <v>43</v>
      </c>
      <c r="G144" s="24" t="s">
        <v>20</v>
      </c>
      <c r="H144" s="26">
        <v>189</v>
      </c>
      <c r="I144" s="24" t="s">
        <v>21</v>
      </c>
      <c r="J144" s="36">
        <v>45308</v>
      </c>
      <c r="K144" s="24" t="s">
        <v>22</v>
      </c>
    </row>
    <row r="145" spans="1:11" x14ac:dyDescent="0.2">
      <c r="A145" s="27" t="s">
        <v>448</v>
      </c>
      <c r="B145" s="27" t="s">
        <v>449</v>
      </c>
      <c r="C145" s="27" t="s">
        <v>450</v>
      </c>
      <c r="D145" s="27" t="s">
        <v>17</v>
      </c>
      <c r="E145" s="27" t="s">
        <v>42</v>
      </c>
      <c r="F145" s="27" t="s">
        <v>43</v>
      </c>
      <c r="G145" s="27" t="s">
        <v>28</v>
      </c>
      <c r="H145" s="29">
        <v>500</v>
      </c>
      <c r="I145" s="27" t="s">
        <v>29</v>
      </c>
      <c r="J145" s="37">
        <v>45316</v>
      </c>
      <c r="K145" s="27" t="s">
        <v>22</v>
      </c>
    </row>
    <row r="146" spans="1:11" x14ac:dyDescent="0.2">
      <c r="A146" s="24" t="s">
        <v>451</v>
      </c>
      <c r="B146" s="24" t="s">
        <v>452</v>
      </c>
      <c r="C146" s="24" t="s">
        <v>453</v>
      </c>
      <c r="D146" s="24" t="s">
        <v>17</v>
      </c>
      <c r="E146" s="24" t="s">
        <v>18</v>
      </c>
      <c r="F146" s="24" t="s">
        <v>19</v>
      </c>
      <c r="G146" s="24" t="s">
        <v>20</v>
      </c>
      <c r="H146" s="26">
        <v>32</v>
      </c>
      <c r="I146" s="24" t="s">
        <v>21</v>
      </c>
      <c r="J146" s="36">
        <v>45309</v>
      </c>
      <c r="K146" s="24" t="s">
        <v>22</v>
      </c>
    </row>
    <row r="147" spans="1:11" x14ac:dyDescent="0.2">
      <c r="A147" s="27" t="s">
        <v>454</v>
      </c>
      <c r="B147" s="27" t="s">
        <v>455</v>
      </c>
      <c r="C147" s="27" t="s">
        <v>456</v>
      </c>
      <c r="D147" s="27" t="s">
        <v>17</v>
      </c>
      <c r="E147" s="27" t="s">
        <v>18</v>
      </c>
      <c r="F147" s="27" t="s">
        <v>19</v>
      </c>
      <c r="G147" s="27" t="s">
        <v>20</v>
      </c>
      <c r="H147" s="29">
        <v>80</v>
      </c>
      <c r="I147" s="27" t="s">
        <v>21</v>
      </c>
      <c r="J147" s="37">
        <v>45314</v>
      </c>
      <c r="K147" s="27" t="s">
        <v>22</v>
      </c>
    </row>
    <row r="148" spans="1:11" x14ac:dyDescent="0.2">
      <c r="A148" s="24" t="s">
        <v>457</v>
      </c>
      <c r="B148" s="24" t="s">
        <v>458</v>
      </c>
      <c r="C148" s="24" t="s">
        <v>459</v>
      </c>
      <c r="D148" s="24" t="s">
        <v>17</v>
      </c>
      <c r="E148" s="24" t="s">
        <v>18</v>
      </c>
      <c r="F148" s="24" t="s">
        <v>19</v>
      </c>
      <c r="G148" s="24" t="s">
        <v>28</v>
      </c>
      <c r="H148" s="26">
        <v>24</v>
      </c>
      <c r="I148" s="24" t="s">
        <v>29</v>
      </c>
      <c r="J148" s="36">
        <v>45304</v>
      </c>
      <c r="K148" s="24" t="s">
        <v>22</v>
      </c>
    </row>
    <row r="149" spans="1:11" x14ac:dyDescent="0.2">
      <c r="A149" s="27" t="s">
        <v>460</v>
      </c>
      <c r="B149" s="27" t="s">
        <v>461</v>
      </c>
      <c r="C149" s="27" t="s">
        <v>462</v>
      </c>
      <c r="D149" s="27" t="s">
        <v>17</v>
      </c>
      <c r="E149" s="27" t="s">
        <v>18</v>
      </c>
      <c r="F149" s="27" t="s">
        <v>19</v>
      </c>
      <c r="G149" s="27" t="s">
        <v>20</v>
      </c>
      <c r="H149" s="29">
        <v>48</v>
      </c>
      <c r="I149" s="27" t="s">
        <v>21</v>
      </c>
      <c r="J149" s="37">
        <v>45302</v>
      </c>
      <c r="K149" s="27" t="s">
        <v>22</v>
      </c>
    </row>
    <row r="150" spans="1:11" x14ac:dyDescent="0.2">
      <c r="A150" s="24" t="s">
        <v>463</v>
      </c>
      <c r="B150" s="24" t="s">
        <v>464</v>
      </c>
      <c r="C150" s="24" t="s">
        <v>97</v>
      </c>
      <c r="D150" s="24" t="s">
        <v>17</v>
      </c>
      <c r="E150" s="24" t="s">
        <v>18</v>
      </c>
      <c r="F150" s="24" t="s">
        <v>19</v>
      </c>
      <c r="G150" s="24" t="s">
        <v>44</v>
      </c>
      <c r="H150" s="26">
        <v>96</v>
      </c>
      <c r="I150" s="24" t="s">
        <v>21</v>
      </c>
      <c r="J150" s="36">
        <v>45307</v>
      </c>
      <c r="K150" s="24" t="s">
        <v>22</v>
      </c>
    </row>
    <row r="151" spans="1:11" x14ac:dyDescent="0.2">
      <c r="A151" s="27" t="s">
        <v>465</v>
      </c>
      <c r="B151" s="27" t="s">
        <v>466</v>
      </c>
      <c r="C151" s="27" t="s">
        <v>208</v>
      </c>
      <c r="D151" s="27" t="s">
        <v>17</v>
      </c>
      <c r="E151" s="27" t="s">
        <v>42</v>
      </c>
      <c r="F151" s="27" t="s">
        <v>43</v>
      </c>
      <c r="G151" s="27" t="s">
        <v>44</v>
      </c>
      <c r="H151" s="29">
        <v>260</v>
      </c>
      <c r="I151" s="27" t="s">
        <v>29</v>
      </c>
      <c r="J151" s="37">
        <v>45314</v>
      </c>
      <c r="K151" s="27" t="s">
        <v>22</v>
      </c>
    </row>
    <row r="152" spans="1:11" x14ac:dyDescent="0.2">
      <c r="A152" s="24" t="s">
        <v>467</v>
      </c>
      <c r="B152" s="24" t="s">
        <v>468</v>
      </c>
      <c r="C152" s="24" t="s">
        <v>58</v>
      </c>
      <c r="D152" s="24" t="s">
        <v>17</v>
      </c>
      <c r="E152" s="24" t="s">
        <v>26</v>
      </c>
      <c r="F152" s="24" t="s">
        <v>27</v>
      </c>
      <c r="G152" s="24" t="s">
        <v>59</v>
      </c>
      <c r="H152" s="26">
        <v>3</v>
      </c>
      <c r="I152" s="24" t="s">
        <v>21</v>
      </c>
      <c r="J152" s="36">
        <v>45317</v>
      </c>
      <c r="K152" s="24" t="s">
        <v>22</v>
      </c>
    </row>
    <row r="153" spans="1:11" x14ac:dyDescent="0.2">
      <c r="A153" s="27" t="s">
        <v>469</v>
      </c>
      <c r="B153" s="27" t="s">
        <v>470</v>
      </c>
      <c r="C153" s="27" t="s">
        <v>251</v>
      </c>
      <c r="D153" s="27" t="s">
        <v>17</v>
      </c>
      <c r="E153" s="27" t="s">
        <v>48</v>
      </c>
      <c r="F153" s="27" t="s">
        <v>49</v>
      </c>
      <c r="G153" s="27" t="s">
        <v>20</v>
      </c>
      <c r="H153" s="29">
        <v>52</v>
      </c>
      <c r="I153" s="27" t="s">
        <v>21</v>
      </c>
      <c r="J153" s="37">
        <v>45314</v>
      </c>
      <c r="K153" s="27" t="s">
        <v>22</v>
      </c>
    </row>
    <row r="154" spans="1:11" x14ac:dyDescent="0.2">
      <c r="A154" s="24" t="s">
        <v>471</v>
      </c>
      <c r="B154" s="24" t="s">
        <v>472</v>
      </c>
      <c r="C154" s="24" t="s">
        <v>213</v>
      </c>
      <c r="D154" s="24" t="s">
        <v>17</v>
      </c>
      <c r="E154" s="24" t="s">
        <v>18</v>
      </c>
      <c r="F154" s="24" t="s">
        <v>19</v>
      </c>
      <c r="G154" s="24" t="s">
        <v>20</v>
      </c>
      <c r="H154" s="26">
        <v>40</v>
      </c>
      <c r="I154" s="24" t="s">
        <v>21</v>
      </c>
      <c r="J154" s="36">
        <v>45306</v>
      </c>
      <c r="K154" s="24" t="s">
        <v>22</v>
      </c>
    </row>
    <row r="155" spans="1:11" x14ac:dyDescent="0.2">
      <c r="A155" s="27" t="s">
        <v>473</v>
      </c>
      <c r="B155" s="27" t="s">
        <v>474</v>
      </c>
      <c r="C155" s="27" t="s">
        <v>475</v>
      </c>
      <c r="D155" s="27" t="s">
        <v>17</v>
      </c>
      <c r="E155" s="27" t="s">
        <v>26</v>
      </c>
      <c r="F155" s="27" t="s">
        <v>27</v>
      </c>
      <c r="G155" s="27" t="s">
        <v>28</v>
      </c>
      <c r="H155" s="29">
        <v>180</v>
      </c>
      <c r="I155" s="27" t="s">
        <v>29</v>
      </c>
      <c r="J155" s="37">
        <v>45293</v>
      </c>
      <c r="K155" s="27" t="s">
        <v>22</v>
      </c>
    </row>
    <row r="156" spans="1:11" x14ac:dyDescent="0.2">
      <c r="A156" s="24" t="s">
        <v>476</v>
      </c>
      <c r="B156" s="24" t="s">
        <v>477</v>
      </c>
      <c r="C156" s="24" t="s">
        <v>478</v>
      </c>
      <c r="D156" s="24" t="s">
        <v>17</v>
      </c>
      <c r="E156" s="24" t="s">
        <v>48</v>
      </c>
      <c r="F156" s="24" t="s">
        <v>49</v>
      </c>
      <c r="G156" s="24" t="s">
        <v>116</v>
      </c>
      <c r="H156" s="26">
        <v>0</v>
      </c>
      <c r="I156" s="24" t="s">
        <v>21</v>
      </c>
      <c r="J156" s="36">
        <v>45292</v>
      </c>
      <c r="K156" s="24" t="s">
        <v>22</v>
      </c>
    </row>
    <row r="157" spans="1:11" x14ac:dyDescent="0.2">
      <c r="A157" s="27" t="s">
        <v>479</v>
      </c>
      <c r="B157" s="27" t="s">
        <v>480</v>
      </c>
      <c r="C157" s="27" t="s">
        <v>481</v>
      </c>
      <c r="D157" s="27" t="s">
        <v>17</v>
      </c>
      <c r="E157" s="27" t="s">
        <v>18</v>
      </c>
      <c r="F157" s="27" t="s">
        <v>19</v>
      </c>
      <c r="G157" s="27" t="s">
        <v>227</v>
      </c>
      <c r="H157" s="29">
        <v>9</v>
      </c>
      <c r="I157" s="27" t="s">
        <v>29</v>
      </c>
      <c r="J157" s="37">
        <v>45314</v>
      </c>
      <c r="K157" s="27" t="s">
        <v>22</v>
      </c>
    </row>
    <row r="158" spans="1:11" x14ac:dyDescent="0.2">
      <c r="A158" s="24" t="s">
        <v>482</v>
      </c>
      <c r="B158" s="24" t="s">
        <v>483</v>
      </c>
      <c r="C158" s="24" t="s">
        <v>213</v>
      </c>
      <c r="D158" s="24" t="s">
        <v>17</v>
      </c>
      <c r="E158" s="24" t="s">
        <v>42</v>
      </c>
      <c r="F158" s="24" t="s">
        <v>43</v>
      </c>
      <c r="G158" s="24" t="s">
        <v>28</v>
      </c>
      <c r="H158" s="26">
        <v>400</v>
      </c>
      <c r="I158" s="24" t="s">
        <v>29</v>
      </c>
      <c r="J158" s="36">
        <v>45310</v>
      </c>
      <c r="K158" s="24" t="s">
        <v>22</v>
      </c>
    </row>
    <row r="159" spans="1:11" x14ac:dyDescent="0.2">
      <c r="A159" s="27" t="s">
        <v>484</v>
      </c>
      <c r="B159" s="27" t="s">
        <v>485</v>
      </c>
      <c r="C159" s="27" t="s">
        <v>486</v>
      </c>
      <c r="D159" s="27" t="s">
        <v>17</v>
      </c>
      <c r="E159" s="27" t="s">
        <v>18</v>
      </c>
      <c r="F159" s="27" t="s">
        <v>19</v>
      </c>
      <c r="G159" s="27" t="s">
        <v>38</v>
      </c>
      <c r="H159" s="29">
        <v>12</v>
      </c>
      <c r="I159" s="27" t="s">
        <v>29</v>
      </c>
      <c r="J159" s="37">
        <v>45306</v>
      </c>
      <c r="K159" s="27" t="s">
        <v>22</v>
      </c>
    </row>
    <row r="160" spans="1:11" x14ac:dyDescent="0.2">
      <c r="A160" s="24" t="s">
        <v>487</v>
      </c>
      <c r="B160" s="24" t="s">
        <v>488</v>
      </c>
      <c r="C160" s="24" t="s">
        <v>489</v>
      </c>
      <c r="D160" s="24" t="s">
        <v>17</v>
      </c>
      <c r="E160" s="24" t="s">
        <v>163</v>
      </c>
      <c r="F160" s="24" t="s">
        <v>164</v>
      </c>
      <c r="G160" s="24" t="s">
        <v>44</v>
      </c>
      <c r="H160" s="26">
        <v>20</v>
      </c>
      <c r="I160" s="24" t="s">
        <v>21</v>
      </c>
      <c r="J160" s="36">
        <v>45309</v>
      </c>
      <c r="K160" s="24" t="s">
        <v>22</v>
      </c>
    </row>
    <row r="161" spans="1:11" x14ac:dyDescent="0.2">
      <c r="A161" s="27" t="s">
        <v>490</v>
      </c>
      <c r="B161" s="27" t="s">
        <v>491</v>
      </c>
      <c r="C161" s="27" t="s">
        <v>55</v>
      </c>
      <c r="D161" s="27" t="s">
        <v>17</v>
      </c>
      <c r="E161" s="27" t="s">
        <v>18</v>
      </c>
      <c r="F161" s="27" t="s">
        <v>19</v>
      </c>
      <c r="G161" s="27" t="s">
        <v>44</v>
      </c>
      <c r="H161" s="29">
        <v>14</v>
      </c>
      <c r="I161" s="27" t="s">
        <v>21</v>
      </c>
      <c r="J161" s="37">
        <v>45321</v>
      </c>
      <c r="K161" s="27" t="s">
        <v>22</v>
      </c>
    </row>
    <row r="162" spans="1:11" x14ac:dyDescent="0.2">
      <c r="A162" s="24" t="s">
        <v>492</v>
      </c>
      <c r="B162" s="24" t="s">
        <v>493</v>
      </c>
      <c r="C162" s="24" t="s">
        <v>494</v>
      </c>
      <c r="D162" s="24" t="s">
        <v>17</v>
      </c>
      <c r="E162" s="24" t="s">
        <v>18</v>
      </c>
      <c r="F162" s="24" t="s">
        <v>19</v>
      </c>
      <c r="G162" s="24" t="s">
        <v>38</v>
      </c>
      <c r="H162" s="26">
        <v>8</v>
      </c>
      <c r="I162" s="24" t="s">
        <v>29</v>
      </c>
      <c r="J162" s="36">
        <v>45292</v>
      </c>
      <c r="K162" s="24" t="s">
        <v>22</v>
      </c>
    </row>
    <row r="163" spans="1:11" x14ac:dyDescent="0.2">
      <c r="A163" s="27" t="s">
        <v>495</v>
      </c>
      <c r="B163" s="27" t="s">
        <v>496</v>
      </c>
      <c r="C163" s="27" t="s">
        <v>497</v>
      </c>
      <c r="D163" s="27" t="s">
        <v>17</v>
      </c>
      <c r="E163" s="27" t="s">
        <v>81</v>
      </c>
      <c r="F163" s="27" t="s">
        <v>82</v>
      </c>
      <c r="G163" s="27" t="s">
        <v>28</v>
      </c>
      <c r="H163" s="29">
        <v>8600</v>
      </c>
      <c r="I163" s="27" t="s">
        <v>29</v>
      </c>
      <c r="J163" s="37">
        <v>45294</v>
      </c>
      <c r="K163" s="27" t="s">
        <v>22</v>
      </c>
    </row>
    <row r="164" spans="1:11" x14ac:dyDescent="0.2">
      <c r="A164" s="24" t="s">
        <v>498</v>
      </c>
      <c r="B164" s="24" t="s">
        <v>499</v>
      </c>
      <c r="C164" s="24" t="s">
        <v>500</v>
      </c>
      <c r="D164" s="24" t="s">
        <v>17</v>
      </c>
      <c r="E164" s="24" t="s">
        <v>18</v>
      </c>
      <c r="F164" s="24" t="s">
        <v>19</v>
      </c>
      <c r="G164" s="24" t="s">
        <v>20</v>
      </c>
      <c r="H164" s="26">
        <v>36</v>
      </c>
      <c r="I164" s="24" t="s">
        <v>21</v>
      </c>
      <c r="J164" s="36">
        <v>45295</v>
      </c>
      <c r="K164" s="24" t="s">
        <v>22</v>
      </c>
    </row>
    <row r="165" spans="1:11" x14ac:dyDescent="0.2">
      <c r="A165" s="27" t="s">
        <v>501</v>
      </c>
      <c r="B165" s="27" t="s">
        <v>502</v>
      </c>
      <c r="C165" s="27" t="s">
        <v>503</v>
      </c>
      <c r="D165" s="27" t="s">
        <v>17</v>
      </c>
      <c r="E165" s="27" t="s">
        <v>18</v>
      </c>
      <c r="F165" s="27" t="s">
        <v>19</v>
      </c>
      <c r="G165" s="27" t="s">
        <v>28</v>
      </c>
      <c r="H165" s="29">
        <v>24</v>
      </c>
      <c r="I165" s="27" t="s">
        <v>29</v>
      </c>
      <c r="J165" s="37">
        <v>45294</v>
      </c>
      <c r="K165" s="27" t="s">
        <v>22</v>
      </c>
    </row>
    <row r="166" spans="1:11" x14ac:dyDescent="0.2">
      <c r="A166" s="24" t="s">
        <v>504</v>
      </c>
      <c r="B166" s="24" t="s">
        <v>505</v>
      </c>
      <c r="C166" s="24" t="s">
        <v>506</v>
      </c>
      <c r="D166" s="24" t="s">
        <v>17</v>
      </c>
      <c r="E166" s="24" t="s">
        <v>48</v>
      </c>
      <c r="F166" s="24" t="s">
        <v>49</v>
      </c>
      <c r="G166" s="24" t="s">
        <v>20</v>
      </c>
      <c r="H166" s="26">
        <v>82</v>
      </c>
      <c r="I166" s="24" t="s">
        <v>21</v>
      </c>
      <c r="J166" s="36">
        <v>45320</v>
      </c>
      <c r="K166" s="24" t="s">
        <v>22</v>
      </c>
    </row>
    <row r="167" spans="1:11" x14ac:dyDescent="0.2">
      <c r="A167" s="27" t="s">
        <v>507</v>
      </c>
      <c r="B167" s="27" t="s">
        <v>508</v>
      </c>
      <c r="C167" s="27" t="s">
        <v>509</v>
      </c>
      <c r="D167" s="27" t="s">
        <v>17</v>
      </c>
      <c r="E167" s="27" t="s">
        <v>42</v>
      </c>
      <c r="F167" s="27" t="s">
        <v>43</v>
      </c>
      <c r="G167" s="27" t="s">
        <v>20</v>
      </c>
      <c r="H167" s="29">
        <v>400</v>
      </c>
      <c r="I167" s="27" t="s">
        <v>21</v>
      </c>
      <c r="J167" s="37">
        <v>45315</v>
      </c>
      <c r="K167" s="27" t="s">
        <v>22</v>
      </c>
    </row>
    <row r="168" spans="1:11" x14ac:dyDescent="0.2">
      <c r="A168" s="24" t="s">
        <v>510</v>
      </c>
      <c r="B168" s="24" t="s">
        <v>511</v>
      </c>
      <c r="C168" s="24" t="s">
        <v>512</v>
      </c>
      <c r="D168" s="24" t="s">
        <v>17</v>
      </c>
      <c r="E168" s="24" t="s">
        <v>18</v>
      </c>
      <c r="F168" s="24" t="s">
        <v>19</v>
      </c>
      <c r="G168" s="24" t="s">
        <v>28</v>
      </c>
      <c r="H168" s="26">
        <v>36</v>
      </c>
      <c r="I168" s="24" t="s">
        <v>29</v>
      </c>
      <c r="J168" s="36">
        <v>45301</v>
      </c>
      <c r="K168" s="24" t="s">
        <v>22</v>
      </c>
    </row>
    <row r="169" spans="1:11" x14ac:dyDescent="0.2">
      <c r="A169" s="27" t="s">
        <v>513</v>
      </c>
      <c r="B169" s="27" t="s">
        <v>514</v>
      </c>
      <c r="C169" s="27" t="s">
        <v>515</v>
      </c>
      <c r="D169" s="27" t="s">
        <v>17</v>
      </c>
      <c r="E169" s="27" t="s">
        <v>42</v>
      </c>
      <c r="F169" s="27" t="s">
        <v>43</v>
      </c>
      <c r="G169" s="27" t="s">
        <v>44</v>
      </c>
      <c r="H169" s="29">
        <v>344</v>
      </c>
      <c r="I169" s="27" t="s">
        <v>21</v>
      </c>
      <c r="J169" s="37">
        <v>45320</v>
      </c>
      <c r="K169" s="27" t="s">
        <v>22</v>
      </c>
    </row>
    <row r="170" spans="1:11" x14ac:dyDescent="0.2">
      <c r="A170" s="24" t="s">
        <v>516</v>
      </c>
      <c r="B170" s="24" t="s">
        <v>517</v>
      </c>
      <c r="C170" s="24" t="s">
        <v>518</v>
      </c>
      <c r="D170" s="24" t="s">
        <v>17</v>
      </c>
      <c r="E170" s="24" t="s">
        <v>42</v>
      </c>
      <c r="F170" s="24" t="s">
        <v>43</v>
      </c>
      <c r="G170" s="24" t="s">
        <v>38</v>
      </c>
      <c r="H170" s="26">
        <v>450</v>
      </c>
      <c r="I170" s="24" t="s">
        <v>29</v>
      </c>
      <c r="J170" s="36">
        <v>45292</v>
      </c>
      <c r="K170" s="24" t="s">
        <v>22</v>
      </c>
    </row>
    <row r="171" spans="1:11" x14ac:dyDescent="0.2">
      <c r="A171" s="27" t="s">
        <v>519</v>
      </c>
      <c r="B171" s="27" t="s">
        <v>520</v>
      </c>
      <c r="C171" s="27" t="s">
        <v>97</v>
      </c>
      <c r="D171" s="27" t="s">
        <v>17</v>
      </c>
      <c r="E171" s="27" t="s">
        <v>26</v>
      </c>
      <c r="F171" s="27" t="s">
        <v>27</v>
      </c>
      <c r="G171" s="27" t="s">
        <v>28</v>
      </c>
      <c r="H171" s="29">
        <v>110</v>
      </c>
      <c r="I171" s="27" t="s">
        <v>29</v>
      </c>
      <c r="J171" s="37">
        <v>45314</v>
      </c>
      <c r="K171" s="27" t="s">
        <v>22</v>
      </c>
    </row>
    <row r="172" spans="1:11" x14ac:dyDescent="0.2">
      <c r="A172" s="24" t="s">
        <v>521</v>
      </c>
      <c r="B172" s="24" t="s">
        <v>522</v>
      </c>
      <c r="C172" s="24" t="s">
        <v>523</v>
      </c>
      <c r="D172" s="24" t="s">
        <v>17</v>
      </c>
      <c r="E172" s="24" t="s">
        <v>18</v>
      </c>
      <c r="F172" s="24" t="s">
        <v>19</v>
      </c>
      <c r="G172" s="24" t="s">
        <v>38</v>
      </c>
      <c r="H172" s="26">
        <v>18</v>
      </c>
      <c r="I172" s="24" t="s">
        <v>29</v>
      </c>
      <c r="J172" s="36">
        <v>45292</v>
      </c>
      <c r="K172" s="24" t="s">
        <v>22</v>
      </c>
    </row>
    <row r="173" spans="1:11" x14ac:dyDescent="0.2">
      <c r="A173" s="27" t="s">
        <v>524</v>
      </c>
      <c r="B173" s="27" t="s">
        <v>525</v>
      </c>
      <c r="C173" s="27" t="s">
        <v>526</v>
      </c>
      <c r="D173" s="27" t="s">
        <v>17</v>
      </c>
      <c r="E173" s="27" t="s">
        <v>18</v>
      </c>
      <c r="F173" s="27" t="s">
        <v>19</v>
      </c>
      <c r="G173" s="27" t="s">
        <v>20</v>
      </c>
      <c r="H173" s="29">
        <v>10</v>
      </c>
      <c r="I173" s="27" t="s">
        <v>21</v>
      </c>
      <c r="J173" s="37">
        <v>45303</v>
      </c>
      <c r="K173" s="27" t="s">
        <v>22</v>
      </c>
    </row>
    <row r="174" spans="1:11" x14ac:dyDescent="0.2">
      <c r="A174" s="24" t="s">
        <v>527</v>
      </c>
      <c r="B174" s="24" t="s">
        <v>528</v>
      </c>
      <c r="C174" s="24" t="s">
        <v>529</v>
      </c>
      <c r="D174" s="24" t="s">
        <v>17</v>
      </c>
      <c r="E174" s="24" t="s">
        <v>18</v>
      </c>
      <c r="F174" s="24" t="s">
        <v>19</v>
      </c>
      <c r="G174" s="24" t="s">
        <v>38</v>
      </c>
      <c r="H174" s="26">
        <v>52</v>
      </c>
      <c r="I174" s="24" t="s">
        <v>29</v>
      </c>
      <c r="J174" s="36">
        <v>45315</v>
      </c>
      <c r="K174" s="24" t="s">
        <v>22</v>
      </c>
    </row>
    <row r="175" spans="1:11" x14ac:dyDescent="0.2">
      <c r="A175" s="27" t="s">
        <v>530</v>
      </c>
      <c r="B175" s="27" t="s">
        <v>531</v>
      </c>
      <c r="C175" s="27" t="s">
        <v>331</v>
      </c>
      <c r="D175" s="27" t="s">
        <v>17</v>
      </c>
      <c r="E175" s="27" t="s">
        <v>42</v>
      </c>
      <c r="F175" s="27" t="s">
        <v>43</v>
      </c>
      <c r="G175" s="27" t="s">
        <v>44</v>
      </c>
      <c r="H175" s="29">
        <v>617</v>
      </c>
      <c r="I175" s="27" t="s">
        <v>21</v>
      </c>
      <c r="J175" s="37">
        <v>45321</v>
      </c>
      <c r="K175" s="27" t="s">
        <v>22</v>
      </c>
    </row>
    <row r="176" spans="1:11" x14ac:dyDescent="0.2">
      <c r="A176" s="24" t="s">
        <v>532</v>
      </c>
      <c r="B176" s="24" t="s">
        <v>533</v>
      </c>
      <c r="C176" s="24" t="s">
        <v>534</v>
      </c>
      <c r="D176" s="24" t="s">
        <v>17</v>
      </c>
      <c r="E176" s="24" t="s">
        <v>42</v>
      </c>
      <c r="F176" s="24" t="s">
        <v>43</v>
      </c>
      <c r="G176" s="24" t="s">
        <v>44</v>
      </c>
      <c r="H176" s="26">
        <v>17</v>
      </c>
      <c r="I176" s="24" t="s">
        <v>21</v>
      </c>
      <c r="J176" s="36">
        <v>45306</v>
      </c>
      <c r="K176" s="24" t="s">
        <v>22</v>
      </c>
    </row>
    <row r="177" spans="1:11" x14ac:dyDescent="0.2">
      <c r="A177" s="27" t="s">
        <v>535</v>
      </c>
      <c r="B177" s="27" t="s">
        <v>536</v>
      </c>
      <c r="C177" s="27" t="s">
        <v>537</v>
      </c>
      <c r="D177" s="27" t="s">
        <v>17</v>
      </c>
      <c r="E177" s="27" t="s">
        <v>18</v>
      </c>
      <c r="F177" s="27" t="s">
        <v>19</v>
      </c>
      <c r="G177" s="27" t="s">
        <v>28</v>
      </c>
      <c r="H177" s="29">
        <v>110</v>
      </c>
      <c r="I177" s="27" t="s">
        <v>29</v>
      </c>
      <c r="J177" s="37">
        <v>45315</v>
      </c>
      <c r="K177" s="27" t="s">
        <v>22</v>
      </c>
    </row>
    <row r="178" spans="1:11" x14ac:dyDescent="0.2">
      <c r="A178" s="24" t="s">
        <v>538</v>
      </c>
      <c r="B178" s="24" t="s">
        <v>539</v>
      </c>
      <c r="C178" s="24" t="s">
        <v>55</v>
      </c>
      <c r="D178" s="24" t="s">
        <v>17</v>
      </c>
      <c r="E178" s="24" t="s">
        <v>18</v>
      </c>
      <c r="F178" s="24" t="s">
        <v>19</v>
      </c>
      <c r="G178" s="24" t="s">
        <v>59</v>
      </c>
      <c r="H178" s="26">
        <v>9</v>
      </c>
      <c r="I178" s="24" t="s">
        <v>21</v>
      </c>
      <c r="J178" s="36">
        <v>45315</v>
      </c>
      <c r="K178" s="24" t="s">
        <v>22</v>
      </c>
    </row>
    <row r="179" spans="1:11" x14ac:dyDescent="0.2">
      <c r="A179" s="27" t="s">
        <v>540</v>
      </c>
      <c r="B179" s="27" t="s">
        <v>541</v>
      </c>
      <c r="C179" s="27" t="s">
        <v>251</v>
      </c>
      <c r="D179" s="27" t="s">
        <v>17</v>
      </c>
      <c r="E179" s="27" t="s">
        <v>48</v>
      </c>
      <c r="F179" s="27" t="s">
        <v>49</v>
      </c>
      <c r="G179" s="27" t="s">
        <v>20</v>
      </c>
      <c r="H179" s="29">
        <v>60</v>
      </c>
      <c r="I179" s="27" t="s">
        <v>21</v>
      </c>
      <c r="J179" s="37">
        <v>45314</v>
      </c>
      <c r="K179" s="27" t="s">
        <v>22</v>
      </c>
    </row>
    <row r="180" spans="1:11" x14ac:dyDescent="0.2">
      <c r="A180" s="24" t="s">
        <v>542</v>
      </c>
      <c r="B180" s="24" t="s">
        <v>543</v>
      </c>
      <c r="C180" s="24" t="s">
        <v>85</v>
      </c>
      <c r="D180" s="24" t="s">
        <v>17</v>
      </c>
      <c r="E180" s="24" t="s">
        <v>18</v>
      </c>
      <c r="F180" s="24" t="s">
        <v>19</v>
      </c>
      <c r="G180" s="24" t="s">
        <v>59</v>
      </c>
      <c r="H180" s="26">
        <v>1</v>
      </c>
      <c r="I180" s="24" t="s">
        <v>21</v>
      </c>
      <c r="J180" s="36">
        <v>45303</v>
      </c>
      <c r="K180" s="24" t="s">
        <v>22</v>
      </c>
    </row>
    <row r="181" spans="1:11" x14ac:dyDescent="0.2">
      <c r="A181" s="27" t="s">
        <v>544</v>
      </c>
      <c r="B181" s="27" t="s">
        <v>545</v>
      </c>
      <c r="C181" s="27" t="s">
        <v>80</v>
      </c>
      <c r="D181" s="27" t="s">
        <v>17</v>
      </c>
      <c r="E181" s="27" t="s">
        <v>81</v>
      </c>
      <c r="F181" s="27" t="s">
        <v>82</v>
      </c>
      <c r="G181" s="27" t="s">
        <v>28</v>
      </c>
      <c r="H181" s="29">
        <v>3</v>
      </c>
      <c r="I181" s="27" t="s">
        <v>29</v>
      </c>
      <c r="J181" s="37">
        <v>45292</v>
      </c>
      <c r="K181" s="27" t="s">
        <v>22</v>
      </c>
    </row>
    <row r="182" spans="1:11" x14ac:dyDescent="0.2">
      <c r="A182" s="24" t="s">
        <v>546</v>
      </c>
      <c r="B182" s="24" t="s">
        <v>547</v>
      </c>
      <c r="C182" s="24" t="s">
        <v>548</v>
      </c>
      <c r="D182" s="24" t="s">
        <v>17</v>
      </c>
      <c r="E182" s="24" t="s">
        <v>18</v>
      </c>
      <c r="F182" s="24" t="s">
        <v>19</v>
      </c>
      <c r="G182" s="24" t="s">
        <v>28</v>
      </c>
      <c r="H182" s="26">
        <v>97</v>
      </c>
      <c r="I182" s="24" t="s">
        <v>29</v>
      </c>
      <c r="J182" s="36">
        <v>45310</v>
      </c>
      <c r="K182" s="24" t="s">
        <v>22</v>
      </c>
    </row>
    <row r="183" spans="1:11" x14ac:dyDescent="0.2">
      <c r="A183" s="27" t="s">
        <v>549</v>
      </c>
      <c r="B183" s="27" t="s">
        <v>550</v>
      </c>
      <c r="C183" s="27" t="s">
        <v>551</v>
      </c>
      <c r="D183" s="27" t="s">
        <v>17</v>
      </c>
      <c r="E183" s="27" t="s">
        <v>48</v>
      </c>
      <c r="F183" s="27" t="s">
        <v>49</v>
      </c>
      <c r="G183" s="27" t="s">
        <v>20</v>
      </c>
      <c r="H183" s="29">
        <v>161</v>
      </c>
      <c r="I183" s="27" t="s">
        <v>21</v>
      </c>
      <c r="J183" s="37">
        <v>45322</v>
      </c>
      <c r="K183" s="27" t="s">
        <v>22</v>
      </c>
    </row>
    <row r="184" spans="1:11" x14ac:dyDescent="0.2">
      <c r="A184" s="24" t="s">
        <v>552</v>
      </c>
      <c r="B184" s="24" t="s">
        <v>553</v>
      </c>
      <c r="C184" s="24" t="s">
        <v>554</v>
      </c>
      <c r="D184" s="24" t="s">
        <v>17</v>
      </c>
      <c r="E184" s="24" t="s">
        <v>26</v>
      </c>
      <c r="F184" s="24" t="s">
        <v>27</v>
      </c>
      <c r="G184" s="24" t="s">
        <v>116</v>
      </c>
      <c r="H184" s="26">
        <v>0</v>
      </c>
      <c r="I184" s="24" t="s">
        <v>21</v>
      </c>
      <c r="J184" s="36">
        <v>45292</v>
      </c>
      <c r="K184" s="24" t="s">
        <v>22</v>
      </c>
    </row>
    <row r="185" spans="1:11" x14ac:dyDescent="0.2">
      <c r="A185" s="27" t="s">
        <v>555</v>
      </c>
      <c r="B185" s="27" t="s">
        <v>556</v>
      </c>
      <c r="C185" s="27" t="s">
        <v>557</v>
      </c>
      <c r="D185" s="27" t="s">
        <v>17</v>
      </c>
      <c r="E185" s="27" t="s">
        <v>163</v>
      </c>
      <c r="F185" s="27" t="s">
        <v>164</v>
      </c>
      <c r="G185" s="27" t="s">
        <v>20</v>
      </c>
      <c r="H185" s="29">
        <v>34</v>
      </c>
      <c r="I185" s="27" t="s">
        <v>21</v>
      </c>
      <c r="J185" s="37">
        <v>45321</v>
      </c>
      <c r="K185" s="27" t="s">
        <v>22</v>
      </c>
    </row>
    <row r="186" spans="1:11" x14ac:dyDescent="0.2">
      <c r="A186" s="24" t="s">
        <v>558</v>
      </c>
      <c r="B186" s="24" t="s">
        <v>559</v>
      </c>
      <c r="C186" s="24" t="s">
        <v>526</v>
      </c>
      <c r="D186" s="24" t="s">
        <v>17</v>
      </c>
      <c r="E186" s="24" t="s">
        <v>18</v>
      </c>
      <c r="F186" s="24" t="s">
        <v>19</v>
      </c>
      <c r="G186" s="24" t="s">
        <v>20</v>
      </c>
      <c r="H186" s="26">
        <v>18</v>
      </c>
      <c r="I186" s="24" t="s">
        <v>21</v>
      </c>
      <c r="J186" s="36">
        <v>45294</v>
      </c>
      <c r="K186" s="24" t="s">
        <v>22</v>
      </c>
    </row>
    <row r="187" spans="1:11" x14ac:dyDescent="0.2">
      <c r="A187" s="27" t="s">
        <v>560</v>
      </c>
      <c r="B187" s="27" t="s">
        <v>561</v>
      </c>
      <c r="C187" s="27" t="s">
        <v>106</v>
      </c>
      <c r="D187" s="27" t="s">
        <v>17</v>
      </c>
      <c r="E187" s="27" t="s">
        <v>18</v>
      </c>
      <c r="F187" s="27" t="s">
        <v>19</v>
      </c>
      <c r="G187" s="27" t="s">
        <v>44</v>
      </c>
      <c r="H187" s="29">
        <v>18</v>
      </c>
      <c r="I187" s="27" t="s">
        <v>21</v>
      </c>
      <c r="J187" s="37">
        <v>45321</v>
      </c>
      <c r="K187" s="27" t="s">
        <v>22</v>
      </c>
    </row>
    <row r="188" spans="1:11" x14ac:dyDescent="0.2">
      <c r="A188" s="24" t="s">
        <v>562</v>
      </c>
      <c r="B188" s="24" t="s">
        <v>563</v>
      </c>
      <c r="C188" s="24" t="s">
        <v>564</v>
      </c>
      <c r="D188" s="24" t="s">
        <v>17</v>
      </c>
      <c r="E188" s="24" t="s">
        <v>48</v>
      </c>
      <c r="F188" s="24" t="s">
        <v>49</v>
      </c>
      <c r="G188" s="24" t="s">
        <v>59</v>
      </c>
      <c r="H188" s="26">
        <v>6</v>
      </c>
      <c r="I188" s="24" t="s">
        <v>21</v>
      </c>
      <c r="J188" s="36">
        <v>45310</v>
      </c>
      <c r="K188" s="24" t="s">
        <v>22</v>
      </c>
    </row>
    <row r="189" spans="1:11" x14ac:dyDescent="0.2">
      <c r="A189" s="27" t="s">
        <v>565</v>
      </c>
      <c r="B189" s="27" t="s">
        <v>566</v>
      </c>
      <c r="C189" s="27" t="s">
        <v>134</v>
      </c>
      <c r="D189" s="27" t="s">
        <v>17</v>
      </c>
      <c r="E189" s="27" t="s">
        <v>81</v>
      </c>
      <c r="F189" s="27" t="s">
        <v>82</v>
      </c>
      <c r="G189" s="27" t="s">
        <v>44</v>
      </c>
      <c r="H189" s="29">
        <v>63</v>
      </c>
      <c r="I189" s="27" t="s">
        <v>21</v>
      </c>
      <c r="J189" s="37">
        <v>45315</v>
      </c>
      <c r="K189" s="27" t="s">
        <v>22</v>
      </c>
    </row>
    <row r="190" spans="1:11" x14ac:dyDescent="0.2">
      <c r="A190" s="24" t="s">
        <v>567</v>
      </c>
      <c r="B190" s="24" t="s">
        <v>568</v>
      </c>
      <c r="C190" s="24" t="s">
        <v>230</v>
      </c>
      <c r="D190" s="24" t="s">
        <v>17</v>
      </c>
      <c r="E190" s="24" t="s">
        <v>42</v>
      </c>
      <c r="F190" s="24" t="s">
        <v>43</v>
      </c>
      <c r="G190" s="24" t="s">
        <v>28</v>
      </c>
      <c r="H190" s="26">
        <v>512</v>
      </c>
      <c r="I190" s="24" t="s">
        <v>29</v>
      </c>
      <c r="J190" s="36">
        <v>45302</v>
      </c>
      <c r="K190" s="24" t="s">
        <v>22</v>
      </c>
    </row>
    <row r="191" spans="1:11" x14ac:dyDescent="0.2">
      <c r="A191" s="27" t="s">
        <v>569</v>
      </c>
      <c r="B191" s="27" t="s">
        <v>570</v>
      </c>
      <c r="C191" s="27" t="s">
        <v>526</v>
      </c>
      <c r="D191" s="27" t="s">
        <v>17</v>
      </c>
      <c r="E191" s="27" t="s">
        <v>18</v>
      </c>
      <c r="F191" s="27" t="s">
        <v>19</v>
      </c>
      <c r="G191" s="27" t="s">
        <v>20</v>
      </c>
      <c r="H191" s="29">
        <v>30</v>
      </c>
      <c r="I191" s="27" t="s">
        <v>21</v>
      </c>
      <c r="J191" s="37">
        <v>45303</v>
      </c>
      <c r="K191" s="27" t="s">
        <v>22</v>
      </c>
    </row>
    <row r="192" spans="1:11" x14ac:dyDescent="0.2">
      <c r="A192" s="24" t="s">
        <v>571</v>
      </c>
      <c r="B192" s="24" t="s">
        <v>572</v>
      </c>
      <c r="C192" s="24" t="s">
        <v>573</v>
      </c>
      <c r="D192" s="24" t="s">
        <v>17</v>
      </c>
      <c r="E192" s="24" t="s">
        <v>18</v>
      </c>
      <c r="F192" s="24" t="s">
        <v>19</v>
      </c>
      <c r="G192" s="24" t="s">
        <v>217</v>
      </c>
      <c r="H192" s="26">
        <v>50</v>
      </c>
      <c r="I192" s="24" t="s">
        <v>29</v>
      </c>
      <c r="J192" s="36">
        <v>45292</v>
      </c>
      <c r="K192" s="24" t="s">
        <v>22</v>
      </c>
    </row>
    <row r="193" spans="1:11" x14ac:dyDescent="0.2">
      <c r="A193" s="27" t="s">
        <v>574</v>
      </c>
      <c r="B193" s="27" t="s">
        <v>575</v>
      </c>
      <c r="C193" s="27" t="s">
        <v>534</v>
      </c>
      <c r="D193" s="27" t="s">
        <v>17</v>
      </c>
      <c r="E193" s="27" t="s">
        <v>18</v>
      </c>
      <c r="F193" s="27" t="s">
        <v>19</v>
      </c>
      <c r="G193" s="27" t="s">
        <v>59</v>
      </c>
      <c r="H193" s="29">
        <v>5</v>
      </c>
      <c r="I193" s="27" t="s">
        <v>21</v>
      </c>
      <c r="J193" s="37">
        <v>45320</v>
      </c>
      <c r="K193" s="27" t="s">
        <v>22</v>
      </c>
    </row>
    <row r="194" spans="1:11" x14ac:dyDescent="0.2">
      <c r="A194" s="24" t="s">
        <v>576</v>
      </c>
      <c r="B194" s="24" t="s">
        <v>577</v>
      </c>
      <c r="C194" s="24" t="s">
        <v>578</v>
      </c>
      <c r="D194" s="24" t="s">
        <v>17</v>
      </c>
      <c r="E194" s="24" t="s">
        <v>48</v>
      </c>
      <c r="F194" s="24" t="s">
        <v>49</v>
      </c>
      <c r="G194" s="24" t="s">
        <v>28</v>
      </c>
      <c r="H194" s="26">
        <v>72</v>
      </c>
      <c r="I194" s="24" t="s">
        <v>29</v>
      </c>
      <c r="J194" s="36">
        <v>45314</v>
      </c>
      <c r="K194" s="24" t="s">
        <v>22</v>
      </c>
    </row>
    <row r="195" spans="1:11" x14ac:dyDescent="0.2">
      <c r="A195" s="27" t="s">
        <v>579</v>
      </c>
      <c r="B195" s="27" t="s">
        <v>580</v>
      </c>
      <c r="C195" s="27" t="s">
        <v>68</v>
      </c>
      <c r="D195" s="27" t="s">
        <v>17</v>
      </c>
      <c r="E195" s="27" t="s">
        <v>18</v>
      </c>
      <c r="F195" s="27" t="s">
        <v>19</v>
      </c>
      <c r="G195" s="27" t="s">
        <v>20</v>
      </c>
      <c r="H195" s="29">
        <v>16</v>
      </c>
      <c r="I195" s="27" t="s">
        <v>21</v>
      </c>
      <c r="J195" s="37">
        <v>45307</v>
      </c>
      <c r="K195" s="27" t="s">
        <v>22</v>
      </c>
    </row>
    <row r="196" spans="1:11" x14ac:dyDescent="0.2">
      <c r="A196" s="24" t="s">
        <v>581</v>
      </c>
      <c r="B196" s="24" t="s">
        <v>582</v>
      </c>
      <c r="C196" s="24" t="s">
        <v>583</v>
      </c>
      <c r="D196" s="24" t="s">
        <v>17</v>
      </c>
      <c r="E196" s="24" t="s">
        <v>18</v>
      </c>
      <c r="F196" s="24" t="s">
        <v>19</v>
      </c>
      <c r="G196" s="24" t="s">
        <v>20</v>
      </c>
      <c r="H196" s="26">
        <v>30</v>
      </c>
      <c r="I196" s="24" t="s">
        <v>21</v>
      </c>
      <c r="J196" s="36">
        <v>45310</v>
      </c>
      <c r="K196" s="24" t="s">
        <v>22</v>
      </c>
    </row>
    <row r="197" spans="1:11" x14ac:dyDescent="0.2">
      <c r="A197" s="27" t="s">
        <v>584</v>
      </c>
      <c r="B197" s="27" t="s">
        <v>585</v>
      </c>
      <c r="C197" s="27" t="s">
        <v>586</v>
      </c>
      <c r="D197" s="27" t="s">
        <v>17</v>
      </c>
      <c r="E197" s="27" t="s">
        <v>48</v>
      </c>
      <c r="F197" s="27" t="s">
        <v>49</v>
      </c>
      <c r="G197" s="27" t="s">
        <v>28</v>
      </c>
      <c r="H197" s="29">
        <v>30</v>
      </c>
      <c r="I197" s="27" t="s">
        <v>29</v>
      </c>
      <c r="J197" s="37">
        <v>45321</v>
      </c>
      <c r="K197" s="27" t="s">
        <v>22</v>
      </c>
    </row>
    <row r="198" spans="1:11" x14ac:dyDescent="0.2">
      <c r="A198" s="24" t="s">
        <v>587</v>
      </c>
      <c r="B198" s="24" t="s">
        <v>588</v>
      </c>
      <c r="C198" s="24" t="s">
        <v>589</v>
      </c>
      <c r="D198" s="24" t="s">
        <v>17</v>
      </c>
      <c r="E198" s="24" t="s">
        <v>48</v>
      </c>
      <c r="F198" s="24" t="s">
        <v>49</v>
      </c>
      <c r="G198" s="24" t="s">
        <v>28</v>
      </c>
      <c r="H198" s="26">
        <v>36</v>
      </c>
      <c r="I198" s="24" t="s">
        <v>29</v>
      </c>
      <c r="J198" s="36">
        <v>45306</v>
      </c>
      <c r="K198" s="24" t="s">
        <v>22</v>
      </c>
    </row>
    <row r="199" spans="1:11" x14ac:dyDescent="0.2">
      <c r="A199" s="27" t="s">
        <v>590</v>
      </c>
      <c r="B199" s="27" t="s">
        <v>591</v>
      </c>
      <c r="C199" s="27" t="s">
        <v>592</v>
      </c>
      <c r="D199" s="27" t="s">
        <v>17</v>
      </c>
      <c r="E199" s="27" t="s">
        <v>48</v>
      </c>
      <c r="F199" s="27" t="s">
        <v>49</v>
      </c>
      <c r="G199" s="27" t="s">
        <v>28</v>
      </c>
      <c r="H199" s="29">
        <v>116</v>
      </c>
      <c r="I199" s="27" t="s">
        <v>29</v>
      </c>
      <c r="J199" s="37">
        <v>45302</v>
      </c>
      <c r="K199" s="27" t="s">
        <v>22</v>
      </c>
    </row>
    <row r="200" spans="1:11" x14ac:dyDescent="0.2">
      <c r="A200" s="24" t="s">
        <v>593</v>
      </c>
      <c r="B200" s="24" t="s">
        <v>594</v>
      </c>
      <c r="C200" s="24" t="s">
        <v>595</v>
      </c>
      <c r="D200" s="24" t="s">
        <v>17</v>
      </c>
      <c r="E200" s="24" t="s">
        <v>18</v>
      </c>
      <c r="F200" s="24" t="s">
        <v>19</v>
      </c>
      <c r="G200" s="24" t="s">
        <v>20</v>
      </c>
      <c r="H200" s="26">
        <v>110</v>
      </c>
      <c r="I200" s="24" t="s">
        <v>21</v>
      </c>
      <c r="J200" s="36">
        <v>45294</v>
      </c>
      <c r="K200" s="24" t="s">
        <v>22</v>
      </c>
    </row>
    <row r="201" spans="1:11" x14ac:dyDescent="0.2">
      <c r="A201" s="27" t="s">
        <v>596</v>
      </c>
      <c r="B201" s="27" t="s">
        <v>597</v>
      </c>
      <c r="C201" s="27" t="s">
        <v>41</v>
      </c>
      <c r="D201" s="27" t="s">
        <v>17</v>
      </c>
      <c r="E201" s="27" t="s">
        <v>42</v>
      </c>
      <c r="F201" s="27" t="s">
        <v>43</v>
      </c>
      <c r="G201" s="27" t="s">
        <v>44</v>
      </c>
      <c r="H201" s="29">
        <v>124</v>
      </c>
      <c r="I201" s="27" t="s">
        <v>21</v>
      </c>
      <c r="J201" s="37">
        <v>45294</v>
      </c>
      <c r="K201" s="27" t="s">
        <v>22</v>
      </c>
    </row>
    <row r="202" spans="1:11" x14ac:dyDescent="0.2">
      <c r="A202" s="24" t="s">
        <v>598</v>
      </c>
      <c r="B202" s="24" t="s">
        <v>599</v>
      </c>
      <c r="C202" s="24" t="s">
        <v>68</v>
      </c>
      <c r="D202" s="24" t="s">
        <v>17</v>
      </c>
      <c r="E202" s="24" t="s">
        <v>18</v>
      </c>
      <c r="F202" s="24" t="s">
        <v>19</v>
      </c>
      <c r="G202" s="24" t="s">
        <v>20</v>
      </c>
      <c r="H202" s="26">
        <v>18</v>
      </c>
      <c r="I202" s="24" t="s">
        <v>21</v>
      </c>
      <c r="J202" s="36">
        <v>45305</v>
      </c>
      <c r="K202" s="24" t="s">
        <v>22</v>
      </c>
    </row>
    <row r="203" spans="1:11" x14ac:dyDescent="0.2">
      <c r="A203" s="27" t="s">
        <v>600</v>
      </c>
      <c r="B203" s="27" t="s">
        <v>601</v>
      </c>
      <c r="C203" s="27" t="s">
        <v>602</v>
      </c>
      <c r="D203" s="27" t="s">
        <v>17</v>
      </c>
      <c r="E203" s="27" t="s">
        <v>26</v>
      </c>
      <c r="F203" s="27" t="s">
        <v>27</v>
      </c>
      <c r="G203" s="27" t="s">
        <v>59</v>
      </c>
      <c r="H203" s="29">
        <v>11</v>
      </c>
      <c r="I203" s="27" t="s">
        <v>21</v>
      </c>
      <c r="J203" s="37">
        <v>45309</v>
      </c>
      <c r="K203" s="27" t="s">
        <v>22</v>
      </c>
    </row>
    <row r="204" spans="1:11" x14ac:dyDescent="0.2">
      <c r="A204" s="24" t="s">
        <v>603</v>
      </c>
      <c r="B204" s="24" t="s">
        <v>604</v>
      </c>
      <c r="C204" s="24" t="s">
        <v>605</v>
      </c>
      <c r="D204" s="24" t="s">
        <v>17</v>
      </c>
      <c r="E204" s="24" t="s">
        <v>18</v>
      </c>
      <c r="F204" s="24" t="s">
        <v>19</v>
      </c>
      <c r="G204" s="24" t="s">
        <v>20</v>
      </c>
      <c r="H204" s="26">
        <v>10</v>
      </c>
      <c r="I204" s="24" t="s">
        <v>21</v>
      </c>
      <c r="J204" s="36">
        <v>45303</v>
      </c>
      <c r="K204" s="24" t="s">
        <v>22</v>
      </c>
    </row>
    <row r="205" spans="1:11" x14ac:dyDescent="0.2">
      <c r="A205" s="27" t="s">
        <v>606</v>
      </c>
      <c r="B205" s="27" t="s">
        <v>607</v>
      </c>
      <c r="C205" s="27" t="s">
        <v>213</v>
      </c>
      <c r="D205" s="27" t="s">
        <v>17</v>
      </c>
      <c r="E205" s="27" t="s">
        <v>48</v>
      </c>
      <c r="F205" s="27" t="s">
        <v>49</v>
      </c>
      <c r="G205" s="27" t="s">
        <v>44</v>
      </c>
      <c r="H205" s="29">
        <v>333</v>
      </c>
      <c r="I205" s="27" t="s">
        <v>21</v>
      </c>
      <c r="J205" s="37">
        <v>45300</v>
      </c>
      <c r="K205" s="27" t="s">
        <v>22</v>
      </c>
    </row>
    <row r="206" spans="1:11" x14ac:dyDescent="0.2">
      <c r="A206" s="24" t="s">
        <v>608</v>
      </c>
      <c r="B206" s="24" t="s">
        <v>609</v>
      </c>
      <c r="C206" s="24" t="s">
        <v>610</v>
      </c>
      <c r="D206" s="24" t="s">
        <v>17</v>
      </c>
      <c r="E206" s="24" t="s">
        <v>18</v>
      </c>
      <c r="F206" s="24" t="s">
        <v>19</v>
      </c>
      <c r="G206" s="24" t="s">
        <v>38</v>
      </c>
      <c r="H206" s="26">
        <v>9</v>
      </c>
      <c r="I206" s="24" t="s">
        <v>29</v>
      </c>
      <c r="J206" s="36">
        <v>45316</v>
      </c>
      <c r="K206" s="24" t="s">
        <v>22</v>
      </c>
    </row>
    <row r="207" spans="1:11" x14ac:dyDescent="0.2">
      <c r="A207" s="27" t="s">
        <v>611</v>
      </c>
      <c r="B207" s="27" t="s">
        <v>612</v>
      </c>
      <c r="C207" s="27" t="s">
        <v>613</v>
      </c>
      <c r="D207" s="27" t="s">
        <v>17</v>
      </c>
      <c r="E207" s="27" t="s">
        <v>18</v>
      </c>
      <c r="F207" s="27" t="s">
        <v>19</v>
      </c>
      <c r="G207" s="27" t="s">
        <v>28</v>
      </c>
      <c r="H207" s="29">
        <v>152</v>
      </c>
      <c r="I207" s="27" t="s">
        <v>29</v>
      </c>
      <c r="J207" s="37">
        <v>45314</v>
      </c>
      <c r="K207" s="27" t="s">
        <v>22</v>
      </c>
    </row>
    <row r="208" spans="1:11" x14ac:dyDescent="0.2">
      <c r="A208" s="24" t="s">
        <v>614</v>
      </c>
      <c r="B208" s="24" t="s">
        <v>615</v>
      </c>
      <c r="C208" s="24" t="s">
        <v>325</v>
      </c>
      <c r="D208" s="24" t="s">
        <v>17</v>
      </c>
      <c r="E208" s="24" t="s">
        <v>18</v>
      </c>
      <c r="F208" s="24" t="s">
        <v>19</v>
      </c>
      <c r="G208" s="24" t="s">
        <v>20</v>
      </c>
      <c r="H208" s="26">
        <v>8</v>
      </c>
      <c r="I208" s="24" t="s">
        <v>21</v>
      </c>
      <c r="J208" s="36">
        <v>45316</v>
      </c>
      <c r="K208" s="24" t="s">
        <v>22</v>
      </c>
    </row>
    <row r="209" spans="1:11" x14ac:dyDescent="0.2">
      <c r="A209" s="27" t="s">
        <v>616</v>
      </c>
      <c r="B209" s="27" t="s">
        <v>617</v>
      </c>
      <c r="C209" s="27" t="s">
        <v>618</v>
      </c>
      <c r="D209" s="27" t="s">
        <v>17</v>
      </c>
      <c r="E209" s="27" t="s">
        <v>48</v>
      </c>
      <c r="F209" s="27" t="s">
        <v>49</v>
      </c>
      <c r="G209" s="27" t="s">
        <v>28</v>
      </c>
      <c r="H209" s="29">
        <v>120</v>
      </c>
      <c r="I209" s="27" t="s">
        <v>29</v>
      </c>
      <c r="J209" s="37">
        <v>45309</v>
      </c>
      <c r="K209" s="27" t="s">
        <v>22</v>
      </c>
    </row>
    <row r="210" spans="1:11" x14ac:dyDescent="0.2">
      <c r="A210" s="24" t="s">
        <v>619</v>
      </c>
      <c r="B210" s="24" t="s">
        <v>620</v>
      </c>
      <c r="C210" s="24" t="s">
        <v>621</v>
      </c>
      <c r="D210" s="24" t="s">
        <v>17</v>
      </c>
      <c r="E210" s="24" t="s">
        <v>81</v>
      </c>
      <c r="F210" s="24" t="s">
        <v>82</v>
      </c>
      <c r="G210" s="24" t="s">
        <v>28</v>
      </c>
      <c r="H210" s="26">
        <v>160</v>
      </c>
      <c r="I210" s="24" t="s">
        <v>29</v>
      </c>
      <c r="J210" s="36">
        <v>45315</v>
      </c>
      <c r="K210" s="24" t="s">
        <v>22</v>
      </c>
    </row>
    <row r="211" spans="1:11" x14ac:dyDescent="0.2">
      <c r="A211" s="27" t="s">
        <v>622</v>
      </c>
      <c r="B211" s="27" t="s">
        <v>623</v>
      </c>
      <c r="C211" s="27" t="s">
        <v>624</v>
      </c>
      <c r="D211" s="27" t="s">
        <v>17</v>
      </c>
      <c r="E211" s="27" t="s">
        <v>42</v>
      </c>
      <c r="F211" s="27" t="s">
        <v>43</v>
      </c>
      <c r="G211" s="27" t="s">
        <v>44</v>
      </c>
      <c r="H211" s="29">
        <v>780</v>
      </c>
      <c r="I211" s="27" t="s">
        <v>29</v>
      </c>
      <c r="J211" s="37">
        <v>45316</v>
      </c>
      <c r="K211" s="27" t="s">
        <v>22</v>
      </c>
    </row>
    <row r="212" spans="1:11" x14ac:dyDescent="0.2">
      <c r="A212" s="24" t="s">
        <v>625</v>
      </c>
      <c r="B212" s="24" t="s">
        <v>626</v>
      </c>
      <c r="C212" s="24" t="s">
        <v>627</v>
      </c>
      <c r="D212" s="24" t="s">
        <v>17</v>
      </c>
      <c r="E212" s="24" t="s">
        <v>18</v>
      </c>
      <c r="F212" s="24" t="s">
        <v>19</v>
      </c>
      <c r="G212" s="24" t="s">
        <v>20</v>
      </c>
      <c r="H212" s="26">
        <v>48</v>
      </c>
      <c r="I212" s="24" t="s">
        <v>21</v>
      </c>
      <c r="J212" s="36">
        <v>45299</v>
      </c>
      <c r="K212" s="24" t="s">
        <v>22</v>
      </c>
    </row>
    <row r="213" spans="1:11" x14ac:dyDescent="0.2">
      <c r="A213" s="27" t="s">
        <v>628</v>
      </c>
      <c r="B213" s="27" t="s">
        <v>629</v>
      </c>
      <c r="C213" s="27" t="s">
        <v>325</v>
      </c>
      <c r="D213" s="27" t="s">
        <v>17</v>
      </c>
      <c r="E213" s="27" t="s">
        <v>48</v>
      </c>
      <c r="F213" s="27" t="s">
        <v>49</v>
      </c>
      <c r="G213" s="27" t="s">
        <v>20</v>
      </c>
      <c r="H213" s="29">
        <v>258</v>
      </c>
      <c r="I213" s="27" t="s">
        <v>21</v>
      </c>
      <c r="J213" s="37">
        <v>45306</v>
      </c>
      <c r="K213" s="27" t="s">
        <v>22</v>
      </c>
    </row>
    <row r="214" spans="1:11" x14ac:dyDescent="0.2">
      <c r="A214" s="24" t="s">
        <v>630</v>
      </c>
      <c r="B214" s="24" t="s">
        <v>631</v>
      </c>
      <c r="C214" s="24" t="s">
        <v>632</v>
      </c>
      <c r="D214" s="24" t="s">
        <v>17</v>
      </c>
      <c r="E214" s="24" t="s">
        <v>42</v>
      </c>
      <c r="F214" s="24" t="s">
        <v>43</v>
      </c>
      <c r="G214" s="24" t="s">
        <v>28</v>
      </c>
      <c r="H214" s="26">
        <v>230</v>
      </c>
      <c r="I214" s="24" t="s">
        <v>29</v>
      </c>
      <c r="J214" s="36">
        <v>45301</v>
      </c>
      <c r="K214" s="24" t="s">
        <v>22</v>
      </c>
    </row>
    <row r="215" spans="1:11" x14ac:dyDescent="0.2">
      <c r="A215" s="27" t="s">
        <v>633</v>
      </c>
      <c r="B215" s="27" t="s">
        <v>634</v>
      </c>
      <c r="C215" s="27" t="s">
        <v>635</v>
      </c>
      <c r="D215" s="27" t="s">
        <v>17</v>
      </c>
      <c r="E215" s="27" t="s">
        <v>18</v>
      </c>
      <c r="F215" s="27" t="s">
        <v>19</v>
      </c>
      <c r="G215" s="27" t="s">
        <v>20</v>
      </c>
      <c r="H215" s="29">
        <v>72</v>
      </c>
      <c r="I215" s="27" t="s">
        <v>21</v>
      </c>
      <c r="J215" s="37">
        <v>45299</v>
      </c>
      <c r="K215" s="27" t="s">
        <v>22</v>
      </c>
    </row>
    <row r="216" spans="1:11" x14ac:dyDescent="0.2">
      <c r="A216" s="24" t="s">
        <v>636</v>
      </c>
      <c r="B216" s="24" t="s">
        <v>637</v>
      </c>
      <c r="C216" s="24" t="s">
        <v>638</v>
      </c>
      <c r="D216" s="24" t="s">
        <v>17</v>
      </c>
      <c r="E216" s="24" t="s">
        <v>48</v>
      </c>
      <c r="F216" s="24" t="s">
        <v>49</v>
      </c>
      <c r="G216" s="24" t="s">
        <v>44</v>
      </c>
      <c r="H216" s="26">
        <v>90</v>
      </c>
      <c r="I216" s="24" t="s">
        <v>29</v>
      </c>
      <c r="J216" s="36">
        <v>45321</v>
      </c>
      <c r="K216" s="24" t="s">
        <v>22</v>
      </c>
    </row>
    <row r="217" spans="1:11" x14ac:dyDescent="0.2">
      <c r="A217" s="27" t="s">
        <v>639</v>
      </c>
      <c r="B217" s="27" t="s">
        <v>640</v>
      </c>
      <c r="C217" s="27" t="s">
        <v>641</v>
      </c>
      <c r="D217" s="27" t="s">
        <v>17</v>
      </c>
      <c r="E217" s="27" t="s">
        <v>18</v>
      </c>
      <c r="F217" s="27" t="s">
        <v>19</v>
      </c>
      <c r="G217" s="27" t="s">
        <v>20</v>
      </c>
      <c r="H217" s="29">
        <v>90</v>
      </c>
      <c r="I217" s="27" t="s">
        <v>21</v>
      </c>
      <c r="J217" s="37">
        <v>45314</v>
      </c>
      <c r="K217" s="27" t="s">
        <v>22</v>
      </c>
    </row>
    <row r="218" spans="1:11" x14ac:dyDescent="0.2">
      <c r="A218" s="24" t="s">
        <v>642</v>
      </c>
      <c r="B218" s="24" t="s">
        <v>643</v>
      </c>
      <c r="C218" s="24" t="s">
        <v>644</v>
      </c>
      <c r="D218" s="24" t="s">
        <v>17</v>
      </c>
      <c r="E218" s="24" t="s">
        <v>18</v>
      </c>
      <c r="F218" s="24" t="s">
        <v>19</v>
      </c>
      <c r="G218" s="24" t="s">
        <v>20</v>
      </c>
      <c r="H218" s="26">
        <v>28</v>
      </c>
      <c r="I218" s="24" t="s">
        <v>21</v>
      </c>
      <c r="J218" s="36">
        <v>45311</v>
      </c>
      <c r="K218" s="24" t="s">
        <v>22</v>
      </c>
    </row>
    <row r="219" spans="1:11" x14ac:dyDescent="0.2">
      <c r="A219" s="27" t="s">
        <v>645</v>
      </c>
      <c r="B219" s="27" t="s">
        <v>646</v>
      </c>
      <c r="C219" s="27" t="s">
        <v>647</v>
      </c>
      <c r="D219" s="27" t="s">
        <v>17</v>
      </c>
      <c r="E219" s="27" t="s">
        <v>18</v>
      </c>
      <c r="F219" s="27" t="s">
        <v>19</v>
      </c>
      <c r="G219" s="27" t="s">
        <v>38</v>
      </c>
      <c r="H219" s="29">
        <v>18</v>
      </c>
      <c r="I219" s="27" t="s">
        <v>29</v>
      </c>
      <c r="J219" s="37">
        <v>45292</v>
      </c>
      <c r="K219" s="27" t="s">
        <v>22</v>
      </c>
    </row>
    <row r="220" spans="1:11" x14ac:dyDescent="0.2">
      <c r="A220" s="24" t="s">
        <v>648</v>
      </c>
      <c r="B220" s="24" t="s">
        <v>649</v>
      </c>
      <c r="C220" s="24" t="s">
        <v>650</v>
      </c>
      <c r="D220" s="24" t="s">
        <v>17</v>
      </c>
      <c r="E220" s="24" t="s">
        <v>18</v>
      </c>
      <c r="F220" s="24" t="s">
        <v>19</v>
      </c>
      <c r="G220" s="24" t="s">
        <v>217</v>
      </c>
      <c r="H220" s="26">
        <v>12</v>
      </c>
      <c r="I220" s="24" t="s">
        <v>29</v>
      </c>
      <c r="J220" s="36">
        <v>45292</v>
      </c>
      <c r="K220" s="24" t="s">
        <v>22</v>
      </c>
    </row>
    <row r="221" spans="1:11" x14ac:dyDescent="0.2">
      <c r="A221" s="27" t="s">
        <v>651</v>
      </c>
      <c r="B221" s="27" t="s">
        <v>652</v>
      </c>
      <c r="C221" s="27" t="s">
        <v>653</v>
      </c>
      <c r="D221" s="27" t="s">
        <v>17</v>
      </c>
      <c r="E221" s="27" t="s">
        <v>18</v>
      </c>
      <c r="F221" s="27" t="s">
        <v>19</v>
      </c>
      <c r="G221" s="27" t="s">
        <v>38</v>
      </c>
      <c r="H221" s="29">
        <v>12</v>
      </c>
      <c r="I221" s="27" t="s">
        <v>29</v>
      </c>
      <c r="J221" s="37">
        <v>45316</v>
      </c>
      <c r="K221" s="27" t="s">
        <v>22</v>
      </c>
    </row>
    <row r="222" spans="1:11" x14ac:dyDescent="0.2">
      <c r="A222" s="24" t="s">
        <v>654</v>
      </c>
      <c r="B222" s="24" t="s">
        <v>655</v>
      </c>
      <c r="C222" s="24" t="s">
        <v>213</v>
      </c>
      <c r="D222" s="24" t="s">
        <v>17</v>
      </c>
      <c r="E222" s="24" t="s">
        <v>18</v>
      </c>
      <c r="F222" s="24" t="s">
        <v>19</v>
      </c>
      <c r="G222" s="24" t="s">
        <v>116</v>
      </c>
      <c r="H222" s="26">
        <v>0</v>
      </c>
      <c r="I222" s="24" t="s">
        <v>21</v>
      </c>
      <c r="J222" s="36">
        <v>45306</v>
      </c>
      <c r="K222" s="24" t="s">
        <v>22</v>
      </c>
    </row>
    <row r="223" spans="1:11" x14ac:dyDescent="0.2">
      <c r="A223" s="27" t="s">
        <v>656</v>
      </c>
      <c r="B223" s="27" t="s">
        <v>657</v>
      </c>
      <c r="C223" s="27" t="s">
        <v>592</v>
      </c>
      <c r="D223" s="27" t="s">
        <v>17</v>
      </c>
      <c r="E223" s="27" t="s">
        <v>48</v>
      </c>
      <c r="F223" s="27" t="s">
        <v>49</v>
      </c>
      <c r="G223" s="27" t="s">
        <v>20</v>
      </c>
      <c r="H223" s="29">
        <v>43</v>
      </c>
      <c r="I223" s="27" t="s">
        <v>21</v>
      </c>
      <c r="J223" s="37">
        <v>45310</v>
      </c>
      <c r="K223" s="27" t="s">
        <v>22</v>
      </c>
    </row>
    <row r="224" spans="1:11" x14ac:dyDescent="0.2">
      <c r="A224" s="24" t="s">
        <v>658</v>
      </c>
      <c r="B224" s="24" t="s">
        <v>659</v>
      </c>
      <c r="C224" s="24" t="s">
        <v>309</v>
      </c>
      <c r="D224" s="24" t="s">
        <v>17</v>
      </c>
      <c r="E224" s="24" t="s">
        <v>42</v>
      </c>
      <c r="F224" s="24" t="s">
        <v>43</v>
      </c>
      <c r="G224" s="24" t="s">
        <v>44</v>
      </c>
      <c r="H224" s="26">
        <v>541</v>
      </c>
      <c r="I224" s="24" t="s">
        <v>21</v>
      </c>
      <c r="J224" s="36">
        <v>45309</v>
      </c>
      <c r="K224" s="24" t="s">
        <v>22</v>
      </c>
    </row>
    <row r="225" spans="1:11" x14ac:dyDescent="0.2">
      <c r="A225" s="27" t="s">
        <v>660</v>
      </c>
      <c r="B225" s="27" t="s">
        <v>661</v>
      </c>
      <c r="C225" s="27" t="s">
        <v>662</v>
      </c>
      <c r="D225" s="27" t="s">
        <v>17</v>
      </c>
      <c r="E225" s="27" t="s">
        <v>18</v>
      </c>
      <c r="F225" s="27" t="s">
        <v>19</v>
      </c>
      <c r="G225" s="27" t="s">
        <v>20</v>
      </c>
      <c r="H225" s="29">
        <v>40</v>
      </c>
      <c r="I225" s="27" t="s">
        <v>21</v>
      </c>
      <c r="J225" s="37">
        <v>45314</v>
      </c>
      <c r="K225" s="27" t="s">
        <v>22</v>
      </c>
    </row>
    <row r="226" spans="1:11" x14ac:dyDescent="0.2">
      <c r="A226" s="24" t="s">
        <v>663</v>
      </c>
      <c r="B226" s="24" t="s">
        <v>664</v>
      </c>
      <c r="C226" s="24" t="s">
        <v>134</v>
      </c>
      <c r="D226" s="24" t="s">
        <v>17</v>
      </c>
      <c r="E226" s="24" t="s">
        <v>18</v>
      </c>
      <c r="F226" s="24" t="s">
        <v>19</v>
      </c>
      <c r="G226" s="24" t="s">
        <v>59</v>
      </c>
      <c r="H226" s="26">
        <v>267</v>
      </c>
      <c r="I226" s="24" t="s">
        <v>21</v>
      </c>
      <c r="J226" s="36">
        <v>45320</v>
      </c>
      <c r="K226" s="24" t="s">
        <v>22</v>
      </c>
    </row>
    <row r="227" spans="1:11" x14ac:dyDescent="0.2">
      <c r="A227" s="27" t="s">
        <v>665</v>
      </c>
      <c r="B227" s="27" t="s">
        <v>666</v>
      </c>
      <c r="C227" s="27" t="s">
        <v>667</v>
      </c>
      <c r="D227" s="27" t="s">
        <v>17</v>
      </c>
      <c r="E227" s="27" t="s">
        <v>48</v>
      </c>
      <c r="F227" s="27" t="s">
        <v>49</v>
      </c>
      <c r="G227" s="27" t="s">
        <v>20</v>
      </c>
      <c r="H227" s="29">
        <v>202</v>
      </c>
      <c r="I227" s="27" t="s">
        <v>21</v>
      </c>
      <c r="J227" s="37">
        <v>45317</v>
      </c>
      <c r="K227" s="27" t="s">
        <v>22</v>
      </c>
    </row>
    <row r="228" spans="1:11" x14ac:dyDescent="0.2">
      <c r="A228" s="24" t="s">
        <v>668</v>
      </c>
      <c r="B228" s="24" t="s">
        <v>669</v>
      </c>
      <c r="C228" s="24" t="s">
        <v>670</v>
      </c>
      <c r="D228" s="24" t="s">
        <v>17</v>
      </c>
      <c r="E228" s="24" t="s">
        <v>42</v>
      </c>
      <c r="F228" s="24" t="s">
        <v>43</v>
      </c>
      <c r="G228" s="24" t="s">
        <v>44</v>
      </c>
      <c r="H228" s="26">
        <v>53</v>
      </c>
      <c r="I228" s="24" t="s">
        <v>21</v>
      </c>
      <c r="J228" s="36">
        <v>45300</v>
      </c>
      <c r="K228" s="24" t="s">
        <v>22</v>
      </c>
    </row>
    <row r="229" spans="1:11" x14ac:dyDescent="0.2">
      <c r="A229" s="27" t="s">
        <v>671</v>
      </c>
      <c r="B229" s="27" t="s">
        <v>672</v>
      </c>
      <c r="C229" s="27" t="s">
        <v>673</v>
      </c>
      <c r="D229" s="27" t="s">
        <v>17</v>
      </c>
      <c r="E229" s="27" t="s">
        <v>26</v>
      </c>
      <c r="F229" s="27" t="s">
        <v>27</v>
      </c>
      <c r="G229" s="27" t="s">
        <v>28</v>
      </c>
      <c r="H229" s="29">
        <v>600</v>
      </c>
      <c r="I229" s="27" t="s">
        <v>29</v>
      </c>
      <c r="J229" s="37">
        <v>45301</v>
      </c>
      <c r="K229" s="27" t="s">
        <v>22</v>
      </c>
    </row>
    <row r="230" spans="1:11" x14ac:dyDescent="0.2">
      <c r="A230" s="24" t="s">
        <v>674</v>
      </c>
      <c r="B230" s="24" t="s">
        <v>675</v>
      </c>
      <c r="C230" s="24" t="s">
        <v>494</v>
      </c>
      <c r="D230" s="24" t="s">
        <v>17</v>
      </c>
      <c r="E230" s="24" t="s">
        <v>18</v>
      </c>
      <c r="F230" s="24" t="s">
        <v>19</v>
      </c>
      <c r="G230" s="24" t="s">
        <v>217</v>
      </c>
      <c r="H230" s="26">
        <v>208</v>
      </c>
      <c r="I230" s="24" t="s">
        <v>29</v>
      </c>
      <c r="J230" s="36">
        <v>45292</v>
      </c>
      <c r="K230" s="24" t="s">
        <v>22</v>
      </c>
    </row>
    <row r="231" spans="1:11" x14ac:dyDescent="0.2">
      <c r="A231" s="27" t="s">
        <v>676</v>
      </c>
      <c r="B231" s="27" t="s">
        <v>677</v>
      </c>
      <c r="C231" s="27" t="s">
        <v>678</v>
      </c>
      <c r="D231" s="27" t="s">
        <v>17</v>
      </c>
      <c r="E231" s="27" t="s">
        <v>48</v>
      </c>
      <c r="F231" s="27" t="s">
        <v>49</v>
      </c>
      <c r="G231" s="27" t="s">
        <v>28</v>
      </c>
      <c r="H231" s="29">
        <v>98</v>
      </c>
      <c r="I231" s="27" t="s">
        <v>29</v>
      </c>
      <c r="J231" s="37">
        <v>45296</v>
      </c>
      <c r="K231" s="27" t="s">
        <v>22</v>
      </c>
    </row>
    <row r="232" spans="1:11" x14ac:dyDescent="0.2">
      <c r="A232" s="24" t="s">
        <v>679</v>
      </c>
      <c r="B232" s="24" t="s">
        <v>680</v>
      </c>
      <c r="C232" s="24" t="s">
        <v>681</v>
      </c>
      <c r="D232" s="24" t="s">
        <v>17</v>
      </c>
      <c r="E232" s="24" t="s">
        <v>48</v>
      </c>
      <c r="F232" s="24" t="s">
        <v>49</v>
      </c>
      <c r="G232" s="24" t="s">
        <v>44</v>
      </c>
      <c r="H232" s="26">
        <v>14</v>
      </c>
      <c r="I232" s="24" t="s">
        <v>21</v>
      </c>
      <c r="J232" s="36">
        <v>45308</v>
      </c>
      <c r="K232" s="24" t="s">
        <v>22</v>
      </c>
    </row>
    <row r="233" spans="1:11" x14ac:dyDescent="0.2">
      <c r="A233" s="27" t="s">
        <v>682</v>
      </c>
      <c r="B233" s="27" t="s">
        <v>683</v>
      </c>
      <c r="C233" s="27" t="s">
        <v>684</v>
      </c>
      <c r="D233" s="27" t="s">
        <v>17</v>
      </c>
      <c r="E233" s="27" t="s">
        <v>18</v>
      </c>
      <c r="F233" s="27" t="s">
        <v>19</v>
      </c>
      <c r="G233" s="27" t="s">
        <v>38</v>
      </c>
      <c r="H233" s="29">
        <v>50</v>
      </c>
      <c r="I233" s="27" t="s">
        <v>29</v>
      </c>
      <c r="J233" s="37">
        <v>45300</v>
      </c>
      <c r="K233" s="27" t="s">
        <v>22</v>
      </c>
    </row>
    <row r="234" spans="1:11" x14ac:dyDescent="0.2">
      <c r="A234" s="24" t="s">
        <v>685</v>
      </c>
      <c r="B234" s="24" t="s">
        <v>686</v>
      </c>
      <c r="C234" s="24" t="s">
        <v>687</v>
      </c>
      <c r="D234" s="24" t="s">
        <v>17</v>
      </c>
      <c r="E234" s="24" t="s">
        <v>42</v>
      </c>
      <c r="F234" s="24" t="s">
        <v>43</v>
      </c>
      <c r="G234" s="24" t="s">
        <v>116</v>
      </c>
      <c r="H234" s="26">
        <v>0</v>
      </c>
      <c r="I234" s="24" t="s">
        <v>21</v>
      </c>
      <c r="J234" s="36">
        <v>45317</v>
      </c>
      <c r="K234" s="24" t="s">
        <v>22</v>
      </c>
    </row>
    <row r="235" spans="1:11" x14ac:dyDescent="0.2">
      <c r="A235" s="27" t="s">
        <v>688</v>
      </c>
      <c r="B235" s="27" t="s">
        <v>689</v>
      </c>
      <c r="C235" s="27" t="s">
        <v>690</v>
      </c>
      <c r="D235" s="27" t="s">
        <v>17</v>
      </c>
      <c r="E235" s="27" t="s">
        <v>42</v>
      </c>
      <c r="F235" s="27" t="s">
        <v>43</v>
      </c>
      <c r="G235" s="27" t="s">
        <v>28</v>
      </c>
      <c r="H235" s="29">
        <v>100</v>
      </c>
      <c r="I235" s="27" t="s">
        <v>29</v>
      </c>
      <c r="J235" s="37">
        <v>45300</v>
      </c>
      <c r="K235" s="27" t="s">
        <v>22</v>
      </c>
    </row>
    <row r="236" spans="1:11" x14ac:dyDescent="0.2">
      <c r="A236" s="24" t="s">
        <v>691</v>
      </c>
      <c r="B236" s="24" t="s">
        <v>692</v>
      </c>
      <c r="C236" s="24" t="s">
        <v>115</v>
      </c>
      <c r="D236" s="24" t="s">
        <v>17</v>
      </c>
      <c r="E236" s="24" t="s">
        <v>48</v>
      </c>
      <c r="F236" s="24" t="s">
        <v>49</v>
      </c>
      <c r="G236" s="24" t="s">
        <v>116</v>
      </c>
      <c r="H236" s="26">
        <v>0</v>
      </c>
      <c r="I236" s="24" t="s">
        <v>21</v>
      </c>
      <c r="J236" s="36">
        <v>45293</v>
      </c>
      <c r="K236" s="24" t="s">
        <v>22</v>
      </c>
    </row>
    <row r="237" spans="1:11" x14ac:dyDescent="0.2">
      <c r="A237" s="27" t="s">
        <v>693</v>
      </c>
      <c r="B237" s="27" t="s">
        <v>694</v>
      </c>
      <c r="C237" s="27" t="s">
        <v>526</v>
      </c>
      <c r="D237" s="27" t="s">
        <v>17</v>
      </c>
      <c r="E237" s="27" t="s">
        <v>42</v>
      </c>
      <c r="F237" s="27" t="s">
        <v>43</v>
      </c>
      <c r="G237" s="27" t="s">
        <v>20</v>
      </c>
      <c r="H237" s="29">
        <v>962</v>
      </c>
      <c r="I237" s="27" t="s">
        <v>21</v>
      </c>
      <c r="J237" s="37">
        <v>45301</v>
      </c>
      <c r="K237" s="27" t="s">
        <v>22</v>
      </c>
    </row>
    <row r="238" spans="1:11" x14ac:dyDescent="0.2">
      <c r="A238" s="24" t="s">
        <v>695</v>
      </c>
      <c r="B238" s="24" t="s">
        <v>696</v>
      </c>
      <c r="C238" s="24" t="s">
        <v>500</v>
      </c>
      <c r="D238" s="24" t="s">
        <v>17</v>
      </c>
      <c r="E238" s="24" t="s">
        <v>18</v>
      </c>
      <c r="F238" s="24" t="s">
        <v>19</v>
      </c>
      <c r="G238" s="24" t="s">
        <v>20</v>
      </c>
      <c r="H238" s="26">
        <v>32</v>
      </c>
      <c r="I238" s="24" t="s">
        <v>21</v>
      </c>
      <c r="J238" s="36">
        <v>45302</v>
      </c>
      <c r="K238" s="24" t="s">
        <v>22</v>
      </c>
    </row>
    <row r="239" spans="1:11" x14ac:dyDescent="0.2">
      <c r="A239" s="27" t="s">
        <v>697</v>
      </c>
      <c r="B239" s="27" t="s">
        <v>698</v>
      </c>
      <c r="C239" s="27" t="s">
        <v>699</v>
      </c>
      <c r="D239" s="27" t="s">
        <v>17</v>
      </c>
      <c r="E239" s="27" t="s">
        <v>42</v>
      </c>
      <c r="F239" s="27" t="s">
        <v>43</v>
      </c>
      <c r="G239" s="27" t="s">
        <v>28</v>
      </c>
      <c r="H239" s="29">
        <v>429</v>
      </c>
      <c r="I239" s="27" t="s">
        <v>29</v>
      </c>
      <c r="J239" s="37">
        <v>45316</v>
      </c>
      <c r="K239" s="27" t="s">
        <v>22</v>
      </c>
    </row>
    <row r="240" spans="1:11" x14ac:dyDescent="0.2">
      <c r="A240" s="24" t="s">
        <v>700</v>
      </c>
      <c r="B240" s="24" t="s">
        <v>701</v>
      </c>
      <c r="C240" s="24" t="s">
        <v>702</v>
      </c>
      <c r="D240" s="24" t="s">
        <v>17</v>
      </c>
      <c r="E240" s="24" t="s">
        <v>33</v>
      </c>
      <c r="F240" s="24" t="s">
        <v>34</v>
      </c>
      <c r="G240" s="24" t="s">
        <v>28</v>
      </c>
      <c r="H240" s="26">
        <v>55</v>
      </c>
      <c r="I240" s="24" t="s">
        <v>29</v>
      </c>
      <c r="J240" s="36">
        <v>45294</v>
      </c>
      <c r="K240" s="24" t="s">
        <v>22</v>
      </c>
    </row>
    <row r="241" spans="1:11" x14ac:dyDescent="0.2">
      <c r="A241" s="27" t="s">
        <v>703</v>
      </c>
      <c r="B241" s="27" t="s">
        <v>704</v>
      </c>
      <c r="C241" s="27" t="s">
        <v>705</v>
      </c>
      <c r="D241" s="27" t="s">
        <v>17</v>
      </c>
      <c r="E241" s="27" t="s">
        <v>48</v>
      </c>
      <c r="F241" s="27" t="s">
        <v>49</v>
      </c>
      <c r="G241" s="27" t="s">
        <v>20</v>
      </c>
      <c r="H241" s="29">
        <v>129</v>
      </c>
      <c r="I241" s="27" t="s">
        <v>21</v>
      </c>
      <c r="J241" s="37">
        <v>45295</v>
      </c>
      <c r="K241" s="27" t="s">
        <v>22</v>
      </c>
    </row>
    <row r="242" spans="1:11" x14ac:dyDescent="0.2">
      <c r="A242" s="24" t="s">
        <v>706</v>
      </c>
      <c r="B242" s="24" t="s">
        <v>707</v>
      </c>
      <c r="C242" s="24" t="s">
        <v>708</v>
      </c>
      <c r="D242" s="24" t="s">
        <v>17</v>
      </c>
      <c r="E242" s="24" t="s">
        <v>48</v>
      </c>
      <c r="F242" s="24" t="s">
        <v>49</v>
      </c>
      <c r="G242" s="24" t="s">
        <v>44</v>
      </c>
      <c r="H242" s="26">
        <v>40</v>
      </c>
      <c r="I242" s="24" t="s">
        <v>21</v>
      </c>
      <c r="J242" s="36">
        <v>45321</v>
      </c>
      <c r="K242" s="24" t="s">
        <v>22</v>
      </c>
    </row>
    <row r="243" spans="1:11" x14ac:dyDescent="0.2">
      <c r="A243" s="27" t="s">
        <v>709</v>
      </c>
      <c r="B243" s="27" t="s">
        <v>710</v>
      </c>
      <c r="C243" s="27" t="s">
        <v>687</v>
      </c>
      <c r="D243" s="27" t="s">
        <v>17</v>
      </c>
      <c r="E243" s="27" t="s">
        <v>42</v>
      </c>
      <c r="F243" s="27" t="s">
        <v>43</v>
      </c>
      <c r="G243" s="27" t="s">
        <v>44</v>
      </c>
      <c r="H243" s="29">
        <v>1000</v>
      </c>
      <c r="I243" s="27" t="s">
        <v>29</v>
      </c>
      <c r="J243" s="37">
        <v>45307</v>
      </c>
      <c r="K243" s="27" t="s">
        <v>22</v>
      </c>
    </row>
    <row r="244" spans="1:11" x14ac:dyDescent="0.2">
      <c r="A244" s="24" t="s">
        <v>711</v>
      </c>
      <c r="B244" s="24" t="s">
        <v>712</v>
      </c>
      <c r="C244" s="24" t="s">
        <v>97</v>
      </c>
      <c r="D244" s="24" t="s">
        <v>17</v>
      </c>
      <c r="E244" s="24" t="s">
        <v>48</v>
      </c>
      <c r="F244" s="24" t="s">
        <v>49</v>
      </c>
      <c r="G244" s="24" t="s">
        <v>20</v>
      </c>
      <c r="H244" s="26">
        <v>428</v>
      </c>
      <c r="I244" s="24" t="s">
        <v>21</v>
      </c>
      <c r="J244" s="36">
        <v>45310</v>
      </c>
      <c r="K244" s="24" t="s">
        <v>22</v>
      </c>
    </row>
    <row r="245" spans="1:11" x14ac:dyDescent="0.2">
      <c r="A245" s="27" t="s">
        <v>713</v>
      </c>
      <c r="B245" s="27" t="s">
        <v>714</v>
      </c>
      <c r="C245" s="27" t="s">
        <v>715</v>
      </c>
      <c r="D245" s="27" t="s">
        <v>17</v>
      </c>
      <c r="E245" s="27" t="s">
        <v>18</v>
      </c>
      <c r="F245" s="27" t="s">
        <v>19</v>
      </c>
      <c r="G245" s="27" t="s">
        <v>20</v>
      </c>
      <c r="H245" s="29">
        <v>26</v>
      </c>
      <c r="I245" s="27" t="s">
        <v>21</v>
      </c>
      <c r="J245" s="37">
        <v>45307</v>
      </c>
      <c r="K245" s="27" t="s">
        <v>22</v>
      </c>
    </row>
    <row r="246" spans="1:11" x14ac:dyDescent="0.2">
      <c r="A246" s="24" t="s">
        <v>716</v>
      </c>
      <c r="B246" s="24" t="s">
        <v>717</v>
      </c>
      <c r="C246" s="24" t="s">
        <v>718</v>
      </c>
      <c r="D246" s="24" t="s">
        <v>17</v>
      </c>
      <c r="E246" s="24" t="s">
        <v>48</v>
      </c>
      <c r="F246" s="24" t="s">
        <v>49</v>
      </c>
      <c r="G246" s="24" t="s">
        <v>28</v>
      </c>
      <c r="H246" s="26">
        <v>128</v>
      </c>
      <c r="I246" s="24" t="s">
        <v>29</v>
      </c>
      <c r="J246" s="36">
        <v>45322</v>
      </c>
      <c r="K246" s="24" t="s">
        <v>22</v>
      </c>
    </row>
    <row r="247" spans="1:11" x14ac:dyDescent="0.2">
      <c r="A247" s="27" t="s">
        <v>719</v>
      </c>
      <c r="B247" s="27" t="s">
        <v>720</v>
      </c>
      <c r="C247" s="27" t="s">
        <v>721</v>
      </c>
      <c r="D247" s="27" t="s">
        <v>17</v>
      </c>
      <c r="E247" s="27" t="s">
        <v>48</v>
      </c>
      <c r="F247" s="27" t="s">
        <v>49</v>
      </c>
      <c r="G247" s="27" t="s">
        <v>44</v>
      </c>
      <c r="H247" s="29">
        <v>50</v>
      </c>
      <c r="I247" s="27" t="s">
        <v>29</v>
      </c>
      <c r="J247" s="37">
        <v>45315</v>
      </c>
      <c r="K247" s="27" t="s">
        <v>22</v>
      </c>
    </row>
    <row r="248" spans="1:11" x14ac:dyDescent="0.2">
      <c r="A248" s="24" t="s">
        <v>722</v>
      </c>
      <c r="B248" s="24" t="s">
        <v>723</v>
      </c>
      <c r="C248" s="24" t="s">
        <v>429</v>
      </c>
      <c r="D248" s="24" t="s">
        <v>17</v>
      </c>
      <c r="E248" s="24" t="s">
        <v>26</v>
      </c>
      <c r="F248" s="24" t="s">
        <v>27</v>
      </c>
      <c r="G248" s="24" t="s">
        <v>20</v>
      </c>
      <c r="H248" s="26">
        <v>19</v>
      </c>
      <c r="I248" s="24" t="s">
        <v>21</v>
      </c>
      <c r="J248" s="36">
        <v>45307</v>
      </c>
      <c r="K248" s="24" t="s">
        <v>22</v>
      </c>
    </row>
    <row r="249" spans="1:11" x14ac:dyDescent="0.2">
      <c r="A249" s="27" t="s">
        <v>724</v>
      </c>
      <c r="B249" s="27" t="s">
        <v>725</v>
      </c>
      <c r="C249" s="27" t="s">
        <v>726</v>
      </c>
      <c r="D249" s="27" t="s">
        <v>17</v>
      </c>
      <c r="E249" s="27" t="s">
        <v>26</v>
      </c>
      <c r="F249" s="27" t="s">
        <v>27</v>
      </c>
      <c r="G249" s="27" t="s">
        <v>44</v>
      </c>
      <c r="H249" s="29">
        <v>160</v>
      </c>
      <c r="I249" s="27" t="s">
        <v>29</v>
      </c>
      <c r="J249" s="37">
        <v>45317</v>
      </c>
      <c r="K249" s="27" t="s">
        <v>22</v>
      </c>
    </row>
    <row r="250" spans="1:11" x14ac:dyDescent="0.2">
      <c r="A250" s="24" t="s">
        <v>727</v>
      </c>
      <c r="B250" s="24" t="s">
        <v>728</v>
      </c>
      <c r="C250" s="24" t="s">
        <v>500</v>
      </c>
      <c r="D250" s="24" t="s">
        <v>17</v>
      </c>
      <c r="E250" s="24" t="s">
        <v>18</v>
      </c>
      <c r="F250" s="24" t="s">
        <v>19</v>
      </c>
      <c r="G250" s="24" t="s">
        <v>20</v>
      </c>
      <c r="H250" s="26">
        <v>32</v>
      </c>
      <c r="I250" s="24" t="s">
        <v>21</v>
      </c>
      <c r="J250" s="36">
        <v>45294</v>
      </c>
      <c r="K250" s="24" t="s">
        <v>22</v>
      </c>
    </row>
    <row r="251" spans="1:11" x14ac:dyDescent="0.2">
      <c r="A251" s="27" t="s">
        <v>729</v>
      </c>
      <c r="B251" s="27" t="s">
        <v>730</v>
      </c>
      <c r="C251" s="27" t="s">
        <v>731</v>
      </c>
      <c r="D251" s="27" t="s">
        <v>17</v>
      </c>
      <c r="E251" s="27" t="s">
        <v>48</v>
      </c>
      <c r="F251" s="27" t="s">
        <v>49</v>
      </c>
      <c r="G251" s="27" t="s">
        <v>38</v>
      </c>
      <c r="H251" s="29">
        <v>142</v>
      </c>
      <c r="I251" s="27" t="s">
        <v>29</v>
      </c>
      <c r="J251" s="37">
        <v>45292</v>
      </c>
      <c r="K251" s="27" t="s">
        <v>22</v>
      </c>
    </row>
    <row r="252" spans="1:11" x14ac:dyDescent="0.2">
      <c r="A252" s="24" t="s">
        <v>732</v>
      </c>
      <c r="B252" s="24" t="s">
        <v>733</v>
      </c>
      <c r="C252" s="24" t="s">
        <v>687</v>
      </c>
      <c r="D252" s="24" t="s">
        <v>17</v>
      </c>
      <c r="E252" s="24" t="s">
        <v>18</v>
      </c>
      <c r="F252" s="24" t="s">
        <v>19</v>
      </c>
      <c r="G252" s="24" t="s">
        <v>20</v>
      </c>
      <c r="H252" s="26">
        <v>11</v>
      </c>
      <c r="I252" s="24" t="s">
        <v>21</v>
      </c>
      <c r="J252" s="36">
        <v>45320</v>
      </c>
      <c r="K252" s="24" t="s">
        <v>22</v>
      </c>
    </row>
    <row r="253" spans="1:11" x14ac:dyDescent="0.2">
      <c r="A253" s="27" t="s">
        <v>734</v>
      </c>
      <c r="B253" s="27" t="s">
        <v>735</v>
      </c>
      <c r="C253" s="27" t="s">
        <v>55</v>
      </c>
      <c r="D253" s="27" t="s">
        <v>17</v>
      </c>
      <c r="E253" s="27" t="s">
        <v>42</v>
      </c>
      <c r="F253" s="27" t="s">
        <v>43</v>
      </c>
      <c r="G253" s="27" t="s">
        <v>20</v>
      </c>
      <c r="H253" s="29">
        <v>882</v>
      </c>
      <c r="I253" s="27" t="s">
        <v>21</v>
      </c>
      <c r="J253" s="37">
        <v>45309</v>
      </c>
      <c r="K253" s="27" t="s">
        <v>22</v>
      </c>
    </row>
    <row r="254" spans="1:11" x14ac:dyDescent="0.2">
      <c r="A254" s="24" t="s">
        <v>736</v>
      </c>
      <c r="B254" s="24" t="s">
        <v>737</v>
      </c>
      <c r="C254" s="24" t="s">
        <v>85</v>
      </c>
      <c r="D254" s="24" t="s">
        <v>17</v>
      </c>
      <c r="E254" s="24" t="s">
        <v>18</v>
      </c>
      <c r="F254" s="24" t="s">
        <v>19</v>
      </c>
      <c r="G254" s="24" t="s">
        <v>20</v>
      </c>
      <c r="H254" s="26">
        <v>41</v>
      </c>
      <c r="I254" s="24" t="s">
        <v>21</v>
      </c>
      <c r="J254" s="36">
        <v>45320</v>
      </c>
      <c r="K254" s="24" t="s">
        <v>22</v>
      </c>
    </row>
    <row r="255" spans="1:11" x14ac:dyDescent="0.2">
      <c r="A255" s="27" t="s">
        <v>738</v>
      </c>
      <c r="B255" s="27" t="s">
        <v>739</v>
      </c>
      <c r="C255" s="27" t="s">
        <v>740</v>
      </c>
      <c r="D255" s="27" t="s">
        <v>17</v>
      </c>
      <c r="E255" s="27" t="s">
        <v>18</v>
      </c>
      <c r="F255" s="27" t="s">
        <v>19</v>
      </c>
      <c r="G255" s="27" t="s">
        <v>28</v>
      </c>
      <c r="H255" s="29">
        <v>144</v>
      </c>
      <c r="I255" s="27" t="s">
        <v>29</v>
      </c>
      <c r="J255" s="37">
        <v>45313</v>
      </c>
      <c r="K255" s="27" t="s">
        <v>22</v>
      </c>
    </row>
    <row r="256" spans="1:11" x14ac:dyDescent="0.2">
      <c r="A256" s="24" t="s">
        <v>741</v>
      </c>
      <c r="B256" s="24" t="s">
        <v>742</v>
      </c>
      <c r="C256" s="24" t="s">
        <v>743</v>
      </c>
      <c r="D256" s="24" t="s">
        <v>17</v>
      </c>
      <c r="E256" s="24" t="s">
        <v>18</v>
      </c>
      <c r="F256" s="24" t="s">
        <v>19</v>
      </c>
      <c r="G256" s="24" t="s">
        <v>28</v>
      </c>
      <c r="H256" s="26">
        <v>44</v>
      </c>
      <c r="I256" s="24" t="s">
        <v>29</v>
      </c>
      <c r="J256" s="36">
        <v>45309</v>
      </c>
      <c r="K256" s="24" t="s">
        <v>22</v>
      </c>
    </row>
    <row r="257" spans="1:11" x14ac:dyDescent="0.2">
      <c r="A257" s="27" t="s">
        <v>744</v>
      </c>
      <c r="B257" s="27" t="s">
        <v>745</v>
      </c>
      <c r="C257" s="27" t="s">
        <v>746</v>
      </c>
      <c r="D257" s="27" t="s">
        <v>17</v>
      </c>
      <c r="E257" s="27" t="s">
        <v>42</v>
      </c>
      <c r="F257" s="27" t="s">
        <v>43</v>
      </c>
      <c r="G257" s="27" t="s">
        <v>20</v>
      </c>
      <c r="H257" s="29">
        <v>143</v>
      </c>
      <c r="I257" s="27" t="s">
        <v>21</v>
      </c>
      <c r="J257" s="37">
        <v>45322</v>
      </c>
      <c r="K257" s="27" t="s">
        <v>22</v>
      </c>
    </row>
    <row r="258" spans="1:11" x14ac:dyDescent="0.2">
      <c r="A258" s="24" t="s">
        <v>747</v>
      </c>
      <c r="B258" s="24" t="s">
        <v>748</v>
      </c>
      <c r="C258" s="24" t="s">
        <v>749</v>
      </c>
      <c r="D258" s="24" t="s">
        <v>17</v>
      </c>
      <c r="E258" s="24" t="s">
        <v>18</v>
      </c>
      <c r="F258" s="24" t="s">
        <v>19</v>
      </c>
      <c r="G258" s="24" t="s">
        <v>116</v>
      </c>
      <c r="H258" s="26">
        <v>0</v>
      </c>
      <c r="I258" s="24" t="s">
        <v>21</v>
      </c>
      <c r="J258" s="36">
        <v>45292</v>
      </c>
      <c r="K258" s="24" t="s">
        <v>22</v>
      </c>
    </row>
    <row r="259" spans="1:11" x14ac:dyDescent="0.2">
      <c r="A259" s="27" t="s">
        <v>750</v>
      </c>
      <c r="B259" s="27" t="s">
        <v>751</v>
      </c>
      <c r="C259" s="27" t="s">
        <v>752</v>
      </c>
      <c r="D259" s="27" t="s">
        <v>17</v>
      </c>
      <c r="E259" s="27" t="s">
        <v>18</v>
      </c>
      <c r="F259" s="27" t="s">
        <v>19</v>
      </c>
      <c r="G259" s="27" t="s">
        <v>20</v>
      </c>
      <c r="H259" s="29">
        <v>53</v>
      </c>
      <c r="I259" s="27" t="s">
        <v>21</v>
      </c>
      <c r="J259" s="37">
        <v>45321</v>
      </c>
      <c r="K259" s="27" t="s">
        <v>22</v>
      </c>
    </row>
    <row r="260" spans="1:11" x14ac:dyDescent="0.2">
      <c r="A260" s="24" t="s">
        <v>753</v>
      </c>
      <c r="B260" s="24" t="s">
        <v>754</v>
      </c>
      <c r="C260" s="24" t="s">
        <v>755</v>
      </c>
      <c r="D260" s="24" t="s">
        <v>17</v>
      </c>
      <c r="E260" s="24" t="s">
        <v>42</v>
      </c>
      <c r="F260" s="24" t="s">
        <v>43</v>
      </c>
      <c r="G260" s="24" t="s">
        <v>28</v>
      </c>
      <c r="H260" s="26">
        <v>410</v>
      </c>
      <c r="I260" s="24" t="s">
        <v>29</v>
      </c>
      <c r="J260" s="36">
        <v>45302</v>
      </c>
      <c r="K260" s="24" t="s">
        <v>22</v>
      </c>
    </row>
    <row r="261" spans="1:11" x14ac:dyDescent="0.2">
      <c r="A261" s="27" t="s">
        <v>756</v>
      </c>
      <c r="B261" s="27" t="s">
        <v>757</v>
      </c>
      <c r="C261" s="27" t="s">
        <v>758</v>
      </c>
      <c r="D261" s="27" t="s">
        <v>17</v>
      </c>
      <c r="E261" s="27" t="s">
        <v>42</v>
      </c>
      <c r="F261" s="27" t="s">
        <v>43</v>
      </c>
      <c r="G261" s="27" t="s">
        <v>44</v>
      </c>
      <c r="H261" s="29">
        <v>560</v>
      </c>
      <c r="I261" s="27" t="s">
        <v>29</v>
      </c>
      <c r="J261" s="37">
        <v>45320</v>
      </c>
      <c r="K261" s="27" t="s">
        <v>22</v>
      </c>
    </row>
    <row r="262" spans="1:11" x14ac:dyDescent="0.2">
      <c r="A262" s="24" t="s">
        <v>759</v>
      </c>
      <c r="B262" s="24" t="s">
        <v>760</v>
      </c>
      <c r="C262" s="24" t="s">
        <v>761</v>
      </c>
      <c r="D262" s="24" t="s">
        <v>17</v>
      </c>
      <c r="E262" s="24" t="s">
        <v>48</v>
      </c>
      <c r="F262" s="24" t="s">
        <v>49</v>
      </c>
      <c r="G262" s="24" t="s">
        <v>28</v>
      </c>
      <c r="H262" s="26">
        <v>100</v>
      </c>
      <c r="I262" s="24" t="s">
        <v>29</v>
      </c>
      <c r="J262" s="36">
        <v>45294</v>
      </c>
      <c r="K262" s="24" t="s">
        <v>22</v>
      </c>
    </row>
    <row r="263" spans="1:11" x14ac:dyDescent="0.2">
      <c r="A263" s="27" t="s">
        <v>762</v>
      </c>
      <c r="B263" s="27" t="s">
        <v>763</v>
      </c>
      <c r="C263" s="27" t="s">
        <v>764</v>
      </c>
      <c r="D263" s="27" t="s">
        <v>17</v>
      </c>
      <c r="E263" s="27" t="s">
        <v>81</v>
      </c>
      <c r="F263" s="27" t="s">
        <v>82</v>
      </c>
      <c r="G263" s="27" t="s">
        <v>38</v>
      </c>
      <c r="H263" s="29">
        <v>130</v>
      </c>
      <c r="I263" s="27" t="s">
        <v>29</v>
      </c>
      <c r="J263" s="37">
        <v>45317</v>
      </c>
      <c r="K263" s="27" t="s">
        <v>22</v>
      </c>
    </row>
    <row r="264" spans="1:11" x14ac:dyDescent="0.2">
      <c r="A264" s="24" t="s">
        <v>765</v>
      </c>
      <c r="B264" s="24" t="s">
        <v>766</v>
      </c>
      <c r="C264" s="24" t="s">
        <v>146</v>
      </c>
      <c r="D264" s="24" t="s">
        <v>17</v>
      </c>
      <c r="E264" s="24" t="s">
        <v>48</v>
      </c>
      <c r="F264" s="24" t="s">
        <v>49</v>
      </c>
      <c r="G264" s="24" t="s">
        <v>28</v>
      </c>
      <c r="H264" s="26">
        <v>516</v>
      </c>
      <c r="I264" s="24" t="s">
        <v>29</v>
      </c>
      <c r="J264" s="36">
        <v>45306</v>
      </c>
      <c r="K264" s="24" t="s">
        <v>22</v>
      </c>
    </row>
    <row r="265" spans="1:11" x14ac:dyDescent="0.2">
      <c r="A265" s="27" t="s">
        <v>767</v>
      </c>
      <c r="B265" s="27" t="s">
        <v>768</v>
      </c>
      <c r="C265" s="27" t="s">
        <v>769</v>
      </c>
      <c r="D265" s="27" t="s">
        <v>17</v>
      </c>
      <c r="E265" s="27" t="s">
        <v>48</v>
      </c>
      <c r="F265" s="27" t="s">
        <v>49</v>
      </c>
      <c r="G265" s="27" t="s">
        <v>28</v>
      </c>
      <c r="H265" s="29">
        <v>48</v>
      </c>
      <c r="I265" s="27" t="s">
        <v>29</v>
      </c>
      <c r="J265" s="37">
        <v>45303</v>
      </c>
      <c r="K265" s="27" t="s">
        <v>22</v>
      </c>
    </row>
    <row r="266" spans="1:11" x14ac:dyDescent="0.2">
      <c r="A266" s="24" t="s">
        <v>770</v>
      </c>
      <c r="B266" s="24" t="s">
        <v>771</v>
      </c>
      <c r="C266" s="24" t="s">
        <v>251</v>
      </c>
      <c r="D266" s="24" t="s">
        <v>17</v>
      </c>
      <c r="E266" s="24" t="s">
        <v>48</v>
      </c>
      <c r="F266" s="24" t="s">
        <v>49</v>
      </c>
      <c r="G266" s="24" t="s">
        <v>28</v>
      </c>
      <c r="H266" s="26">
        <v>327</v>
      </c>
      <c r="I266" s="24" t="s">
        <v>29</v>
      </c>
      <c r="J266" s="36">
        <v>45314</v>
      </c>
      <c r="K266" s="24" t="s">
        <v>22</v>
      </c>
    </row>
    <row r="267" spans="1:11" x14ac:dyDescent="0.2">
      <c r="A267" s="27" t="s">
        <v>772</v>
      </c>
      <c r="B267" s="27" t="s">
        <v>773</v>
      </c>
      <c r="C267" s="27" t="s">
        <v>774</v>
      </c>
      <c r="D267" s="27" t="s">
        <v>17</v>
      </c>
      <c r="E267" s="27" t="s">
        <v>26</v>
      </c>
      <c r="F267" s="27" t="s">
        <v>27</v>
      </c>
      <c r="G267" s="27" t="s">
        <v>28</v>
      </c>
      <c r="H267" s="29">
        <v>616</v>
      </c>
      <c r="I267" s="27" t="s">
        <v>29</v>
      </c>
      <c r="J267" s="37">
        <v>45309</v>
      </c>
      <c r="K267" s="27" t="s">
        <v>22</v>
      </c>
    </row>
    <row r="268" spans="1:11" x14ac:dyDescent="0.2">
      <c r="A268" s="24" t="s">
        <v>775</v>
      </c>
      <c r="B268" s="24" t="s">
        <v>776</v>
      </c>
      <c r="C268" s="24" t="s">
        <v>777</v>
      </c>
      <c r="D268" s="24" t="s">
        <v>17</v>
      </c>
      <c r="E268" s="24" t="s">
        <v>18</v>
      </c>
      <c r="F268" s="24" t="s">
        <v>19</v>
      </c>
      <c r="G268" s="24" t="s">
        <v>20</v>
      </c>
      <c r="H268" s="26">
        <v>140</v>
      </c>
      <c r="I268" s="24" t="s">
        <v>21</v>
      </c>
      <c r="J268" s="36">
        <v>45295</v>
      </c>
      <c r="K268" s="24" t="s">
        <v>22</v>
      </c>
    </row>
    <row r="269" spans="1:11" x14ac:dyDescent="0.2">
      <c r="A269" s="27" t="s">
        <v>778</v>
      </c>
      <c r="B269" s="27" t="s">
        <v>779</v>
      </c>
      <c r="C269" s="27" t="s">
        <v>780</v>
      </c>
      <c r="D269" s="27" t="s">
        <v>17</v>
      </c>
      <c r="E269" s="27" t="s">
        <v>18</v>
      </c>
      <c r="F269" s="27" t="s">
        <v>19</v>
      </c>
      <c r="G269" s="27" t="s">
        <v>20</v>
      </c>
      <c r="H269" s="29">
        <v>40</v>
      </c>
      <c r="I269" s="27" t="s">
        <v>21</v>
      </c>
      <c r="J269" s="37">
        <v>45308</v>
      </c>
      <c r="K269" s="27" t="s">
        <v>22</v>
      </c>
    </row>
    <row r="270" spans="1:11" x14ac:dyDescent="0.2">
      <c r="A270" s="24" t="s">
        <v>781</v>
      </c>
      <c r="B270" s="24" t="s">
        <v>782</v>
      </c>
      <c r="C270" s="24" t="s">
        <v>783</v>
      </c>
      <c r="D270" s="24" t="s">
        <v>17</v>
      </c>
      <c r="E270" s="24" t="s">
        <v>18</v>
      </c>
      <c r="F270" s="24" t="s">
        <v>19</v>
      </c>
      <c r="G270" s="24" t="s">
        <v>28</v>
      </c>
      <c r="H270" s="26">
        <v>351</v>
      </c>
      <c r="I270" s="24" t="s">
        <v>29</v>
      </c>
      <c r="J270" s="36">
        <v>45296</v>
      </c>
      <c r="K270" s="24" t="s">
        <v>22</v>
      </c>
    </row>
    <row r="271" spans="1:11" x14ac:dyDescent="0.2">
      <c r="A271" s="27" t="s">
        <v>784</v>
      </c>
      <c r="B271" s="27" t="s">
        <v>785</v>
      </c>
      <c r="C271" s="27" t="s">
        <v>786</v>
      </c>
      <c r="D271" s="27" t="s">
        <v>17</v>
      </c>
      <c r="E271" s="27" t="s">
        <v>26</v>
      </c>
      <c r="F271" s="27" t="s">
        <v>27</v>
      </c>
      <c r="G271" s="27" t="s">
        <v>44</v>
      </c>
      <c r="H271" s="29">
        <v>84</v>
      </c>
      <c r="I271" s="27" t="s">
        <v>21</v>
      </c>
      <c r="J271" s="37">
        <v>45320</v>
      </c>
      <c r="K271" s="27" t="s">
        <v>22</v>
      </c>
    </row>
    <row r="272" spans="1:11" x14ac:dyDescent="0.2">
      <c r="A272" s="24" t="s">
        <v>787</v>
      </c>
      <c r="B272" s="24" t="s">
        <v>788</v>
      </c>
      <c r="C272" s="24" t="s">
        <v>789</v>
      </c>
      <c r="D272" s="24" t="s">
        <v>17</v>
      </c>
      <c r="E272" s="24" t="s">
        <v>48</v>
      </c>
      <c r="F272" s="24" t="s">
        <v>49</v>
      </c>
      <c r="G272" s="24" t="s">
        <v>28</v>
      </c>
      <c r="H272" s="26">
        <v>124</v>
      </c>
      <c r="I272" s="24" t="s">
        <v>29</v>
      </c>
      <c r="J272" s="36">
        <v>45322</v>
      </c>
      <c r="K272" s="24" t="s">
        <v>22</v>
      </c>
    </row>
    <row r="273" spans="1:11" x14ac:dyDescent="0.2">
      <c r="A273" s="27" t="s">
        <v>790</v>
      </c>
      <c r="B273" s="27" t="s">
        <v>791</v>
      </c>
      <c r="C273" s="27" t="s">
        <v>792</v>
      </c>
      <c r="D273" s="27" t="s">
        <v>17</v>
      </c>
      <c r="E273" s="27" t="s">
        <v>42</v>
      </c>
      <c r="F273" s="27" t="s">
        <v>43</v>
      </c>
      <c r="G273" s="27" t="s">
        <v>28</v>
      </c>
      <c r="H273" s="29">
        <v>50</v>
      </c>
      <c r="I273" s="27" t="s">
        <v>29</v>
      </c>
      <c r="J273" s="37">
        <v>45296</v>
      </c>
      <c r="K273" s="27" t="s">
        <v>22</v>
      </c>
    </row>
    <row r="274" spans="1:11" x14ac:dyDescent="0.2">
      <c r="A274" s="24" t="s">
        <v>793</v>
      </c>
      <c r="B274" s="24" t="s">
        <v>794</v>
      </c>
      <c r="C274" s="24" t="s">
        <v>325</v>
      </c>
      <c r="D274" s="24" t="s">
        <v>17</v>
      </c>
      <c r="E274" s="24" t="s">
        <v>48</v>
      </c>
      <c r="F274" s="24" t="s">
        <v>49</v>
      </c>
      <c r="G274" s="24" t="s">
        <v>44</v>
      </c>
      <c r="H274" s="26">
        <v>13</v>
      </c>
      <c r="I274" s="24" t="s">
        <v>29</v>
      </c>
      <c r="J274" s="36">
        <v>45315</v>
      </c>
      <c r="K274" s="24" t="s">
        <v>22</v>
      </c>
    </row>
    <row r="275" spans="1:11" x14ac:dyDescent="0.2">
      <c r="A275" s="27" t="s">
        <v>795</v>
      </c>
      <c r="B275" s="27" t="s">
        <v>796</v>
      </c>
      <c r="C275" s="27" t="s">
        <v>208</v>
      </c>
      <c r="D275" s="27" t="s">
        <v>17</v>
      </c>
      <c r="E275" s="27" t="s">
        <v>42</v>
      </c>
      <c r="F275" s="27" t="s">
        <v>43</v>
      </c>
      <c r="G275" s="27" t="s">
        <v>28</v>
      </c>
      <c r="H275" s="29">
        <v>90</v>
      </c>
      <c r="I275" s="27" t="s">
        <v>29</v>
      </c>
      <c r="J275" s="37">
        <v>45294</v>
      </c>
      <c r="K275" s="27" t="s">
        <v>22</v>
      </c>
    </row>
    <row r="276" spans="1:11" x14ac:dyDescent="0.2">
      <c r="A276" s="24" t="s">
        <v>797</v>
      </c>
      <c r="B276" s="24" t="s">
        <v>798</v>
      </c>
      <c r="C276" s="24" t="s">
        <v>382</v>
      </c>
      <c r="D276" s="24" t="s">
        <v>17</v>
      </c>
      <c r="E276" s="24" t="s">
        <v>42</v>
      </c>
      <c r="F276" s="24" t="s">
        <v>43</v>
      </c>
      <c r="G276" s="24" t="s">
        <v>116</v>
      </c>
      <c r="H276" s="26">
        <v>0</v>
      </c>
      <c r="I276" s="24" t="s">
        <v>21</v>
      </c>
      <c r="J276" s="36">
        <v>45307</v>
      </c>
      <c r="K276" s="24" t="s">
        <v>22</v>
      </c>
    </row>
    <row r="277" spans="1:11" x14ac:dyDescent="0.2">
      <c r="A277" s="27" t="s">
        <v>799</v>
      </c>
      <c r="B277" s="27" t="s">
        <v>800</v>
      </c>
      <c r="C277" s="27" t="s">
        <v>801</v>
      </c>
      <c r="D277" s="27" t="s">
        <v>17</v>
      </c>
      <c r="E277" s="27" t="s">
        <v>18</v>
      </c>
      <c r="F277" s="27" t="s">
        <v>19</v>
      </c>
      <c r="G277" s="27" t="s">
        <v>20</v>
      </c>
      <c r="H277" s="29">
        <v>10</v>
      </c>
      <c r="I277" s="27" t="s">
        <v>21</v>
      </c>
      <c r="J277" s="37">
        <v>45299</v>
      </c>
      <c r="K277" s="27" t="s">
        <v>22</v>
      </c>
    </row>
    <row r="278" spans="1:11" x14ac:dyDescent="0.2">
      <c r="A278" s="24" t="s">
        <v>802</v>
      </c>
      <c r="B278" s="24" t="s">
        <v>803</v>
      </c>
      <c r="C278" s="24" t="s">
        <v>804</v>
      </c>
      <c r="D278" s="24" t="s">
        <v>17</v>
      </c>
      <c r="E278" s="24" t="s">
        <v>18</v>
      </c>
      <c r="F278" s="24" t="s">
        <v>19</v>
      </c>
      <c r="G278" s="24" t="s">
        <v>20</v>
      </c>
      <c r="H278" s="26">
        <v>49</v>
      </c>
      <c r="I278" s="24" t="s">
        <v>21</v>
      </c>
      <c r="J278" s="36">
        <v>45315</v>
      </c>
      <c r="K278" s="24" t="s">
        <v>22</v>
      </c>
    </row>
    <row r="279" spans="1:11" x14ac:dyDescent="0.2">
      <c r="A279" s="27" t="s">
        <v>805</v>
      </c>
      <c r="B279" s="27" t="s">
        <v>806</v>
      </c>
      <c r="C279" s="27" t="s">
        <v>807</v>
      </c>
      <c r="D279" s="27" t="s">
        <v>17</v>
      </c>
      <c r="E279" s="27" t="s">
        <v>26</v>
      </c>
      <c r="F279" s="27" t="s">
        <v>27</v>
      </c>
      <c r="G279" s="27" t="s">
        <v>28</v>
      </c>
      <c r="H279" s="29">
        <v>6</v>
      </c>
      <c r="I279" s="27" t="s">
        <v>29</v>
      </c>
      <c r="J279" s="37">
        <v>45298</v>
      </c>
      <c r="K279" s="27" t="s">
        <v>22</v>
      </c>
    </row>
    <row r="280" spans="1:11" x14ac:dyDescent="0.2">
      <c r="A280" s="24" t="s">
        <v>808</v>
      </c>
      <c r="B280" s="24" t="s">
        <v>809</v>
      </c>
      <c r="C280" s="24" t="s">
        <v>810</v>
      </c>
      <c r="D280" s="24" t="s">
        <v>17</v>
      </c>
      <c r="E280" s="24" t="s">
        <v>18</v>
      </c>
      <c r="F280" s="24" t="s">
        <v>19</v>
      </c>
      <c r="G280" s="24" t="s">
        <v>20</v>
      </c>
      <c r="H280" s="26">
        <v>16</v>
      </c>
      <c r="I280" s="24" t="s">
        <v>21</v>
      </c>
      <c r="J280" s="36">
        <v>45306</v>
      </c>
      <c r="K280" s="24" t="s">
        <v>22</v>
      </c>
    </row>
    <row r="281" spans="1:11" x14ac:dyDescent="0.2">
      <c r="A281" s="27" t="s">
        <v>811</v>
      </c>
      <c r="B281" s="27" t="s">
        <v>812</v>
      </c>
      <c r="C281" s="27" t="s">
        <v>813</v>
      </c>
      <c r="D281" s="27" t="s">
        <v>17</v>
      </c>
      <c r="E281" s="27" t="s">
        <v>163</v>
      </c>
      <c r="F281" s="27" t="s">
        <v>164</v>
      </c>
      <c r="G281" s="27" t="s">
        <v>20</v>
      </c>
      <c r="H281" s="29">
        <v>30</v>
      </c>
      <c r="I281" s="27" t="s">
        <v>21</v>
      </c>
      <c r="J281" s="37">
        <v>45320</v>
      </c>
      <c r="K281" s="27" t="s">
        <v>22</v>
      </c>
    </row>
    <row r="282" spans="1:11" x14ac:dyDescent="0.2">
      <c r="A282" s="24" t="s">
        <v>814</v>
      </c>
      <c r="B282" s="24" t="s">
        <v>815</v>
      </c>
      <c r="C282" s="24" t="s">
        <v>106</v>
      </c>
      <c r="D282" s="24" t="s">
        <v>17</v>
      </c>
      <c r="E282" s="24" t="s">
        <v>18</v>
      </c>
      <c r="F282" s="24" t="s">
        <v>19</v>
      </c>
      <c r="G282" s="24" t="s">
        <v>20</v>
      </c>
      <c r="H282" s="26">
        <v>56</v>
      </c>
      <c r="I282" s="24" t="s">
        <v>21</v>
      </c>
      <c r="J282" s="36">
        <v>45316</v>
      </c>
      <c r="K282" s="24" t="s">
        <v>22</v>
      </c>
    </row>
    <row r="283" spans="1:11" x14ac:dyDescent="0.2">
      <c r="A283" s="27" t="s">
        <v>816</v>
      </c>
      <c r="B283" s="27" t="s">
        <v>817</v>
      </c>
      <c r="C283" s="27" t="s">
        <v>106</v>
      </c>
      <c r="D283" s="27" t="s">
        <v>17</v>
      </c>
      <c r="E283" s="27" t="s">
        <v>18</v>
      </c>
      <c r="F283" s="27" t="s">
        <v>19</v>
      </c>
      <c r="G283" s="27" t="s">
        <v>20</v>
      </c>
      <c r="H283" s="29">
        <v>16</v>
      </c>
      <c r="I283" s="27" t="s">
        <v>21</v>
      </c>
      <c r="J283" s="37">
        <v>45307</v>
      </c>
      <c r="K283" s="27" t="s">
        <v>22</v>
      </c>
    </row>
    <row r="284" spans="1:11" x14ac:dyDescent="0.2">
      <c r="A284" s="24" t="s">
        <v>818</v>
      </c>
      <c r="B284" s="24" t="s">
        <v>819</v>
      </c>
      <c r="C284" s="24" t="s">
        <v>475</v>
      </c>
      <c r="D284" s="24" t="s">
        <v>17</v>
      </c>
      <c r="E284" s="24" t="s">
        <v>18</v>
      </c>
      <c r="F284" s="24" t="s">
        <v>19</v>
      </c>
      <c r="G284" s="24" t="s">
        <v>28</v>
      </c>
      <c r="H284" s="26">
        <v>156</v>
      </c>
      <c r="I284" s="24" t="s">
        <v>29</v>
      </c>
      <c r="J284" s="36">
        <v>45293</v>
      </c>
      <c r="K284" s="24" t="s">
        <v>22</v>
      </c>
    </row>
    <row r="285" spans="1:11" x14ac:dyDescent="0.2">
      <c r="A285" s="27" t="s">
        <v>820</v>
      </c>
      <c r="B285" s="27" t="s">
        <v>821</v>
      </c>
      <c r="C285" s="27" t="s">
        <v>822</v>
      </c>
      <c r="D285" s="27" t="s">
        <v>17</v>
      </c>
      <c r="E285" s="27" t="s">
        <v>18</v>
      </c>
      <c r="F285" s="27" t="s">
        <v>19</v>
      </c>
      <c r="G285" s="27" t="s">
        <v>38</v>
      </c>
      <c r="H285" s="29">
        <v>90</v>
      </c>
      <c r="I285" s="27" t="s">
        <v>29</v>
      </c>
      <c r="J285" s="37">
        <v>45317</v>
      </c>
      <c r="K285" s="27" t="s">
        <v>22</v>
      </c>
    </row>
    <row r="286" spans="1:11" x14ac:dyDescent="0.2">
      <c r="A286" s="24" t="s">
        <v>823</v>
      </c>
      <c r="B286" s="24" t="s">
        <v>824</v>
      </c>
      <c r="C286" s="24" t="s">
        <v>236</v>
      </c>
      <c r="D286" s="24" t="s">
        <v>17</v>
      </c>
      <c r="E286" s="24" t="s">
        <v>48</v>
      </c>
      <c r="F286" s="24" t="s">
        <v>49</v>
      </c>
      <c r="G286" s="24" t="s">
        <v>44</v>
      </c>
      <c r="H286" s="26">
        <v>150</v>
      </c>
      <c r="I286" s="24" t="s">
        <v>29</v>
      </c>
      <c r="J286" s="36">
        <v>45300</v>
      </c>
      <c r="K286" s="24" t="s">
        <v>22</v>
      </c>
    </row>
    <row r="287" spans="1:11" x14ac:dyDescent="0.2">
      <c r="A287" s="27" t="s">
        <v>825</v>
      </c>
      <c r="B287" s="27" t="s">
        <v>826</v>
      </c>
      <c r="C287" s="27" t="s">
        <v>827</v>
      </c>
      <c r="D287" s="27" t="s">
        <v>17</v>
      </c>
      <c r="E287" s="27" t="s">
        <v>18</v>
      </c>
      <c r="F287" s="27" t="s">
        <v>19</v>
      </c>
      <c r="G287" s="27" t="s">
        <v>28</v>
      </c>
      <c r="H287" s="29">
        <v>130</v>
      </c>
      <c r="I287" s="27" t="s">
        <v>29</v>
      </c>
      <c r="J287" s="37">
        <v>45301</v>
      </c>
      <c r="K287" s="27" t="s">
        <v>22</v>
      </c>
    </row>
    <row r="288" spans="1:11" x14ac:dyDescent="0.2">
      <c r="A288" s="24" t="s">
        <v>828</v>
      </c>
      <c r="B288" s="24" t="s">
        <v>829</v>
      </c>
      <c r="C288" s="24" t="s">
        <v>830</v>
      </c>
      <c r="D288" s="24" t="s">
        <v>17</v>
      </c>
      <c r="E288" s="24" t="s">
        <v>42</v>
      </c>
      <c r="F288" s="24" t="s">
        <v>43</v>
      </c>
      <c r="G288" s="24" t="s">
        <v>38</v>
      </c>
      <c r="H288" s="26">
        <v>272</v>
      </c>
      <c r="I288" s="24" t="s">
        <v>29</v>
      </c>
      <c r="J288" s="36">
        <v>45295</v>
      </c>
      <c r="K288" s="24" t="s">
        <v>22</v>
      </c>
    </row>
    <row r="289" spans="1:11" x14ac:dyDescent="0.2">
      <c r="A289" s="27" t="s">
        <v>831</v>
      </c>
      <c r="B289" s="27" t="s">
        <v>832</v>
      </c>
      <c r="C289" s="27" t="s">
        <v>55</v>
      </c>
      <c r="D289" s="27" t="s">
        <v>17</v>
      </c>
      <c r="E289" s="27" t="s">
        <v>18</v>
      </c>
      <c r="F289" s="27" t="s">
        <v>19</v>
      </c>
      <c r="G289" s="27" t="s">
        <v>20</v>
      </c>
      <c r="H289" s="29">
        <v>36</v>
      </c>
      <c r="I289" s="27" t="s">
        <v>21</v>
      </c>
      <c r="J289" s="37">
        <v>45308</v>
      </c>
      <c r="K289" s="27" t="s">
        <v>22</v>
      </c>
    </row>
    <row r="290" spans="1:11" x14ac:dyDescent="0.2">
      <c r="A290" s="24" t="s">
        <v>833</v>
      </c>
      <c r="B290" s="24" t="s">
        <v>834</v>
      </c>
      <c r="C290" s="24" t="s">
        <v>301</v>
      </c>
      <c r="D290" s="24" t="s">
        <v>17</v>
      </c>
      <c r="E290" s="24" t="s">
        <v>42</v>
      </c>
      <c r="F290" s="24" t="s">
        <v>43</v>
      </c>
      <c r="G290" s="24" t="s">
        <v>44</v>
      </c>
      <c r="H290" s="26">
        <v>112</v>
      </c>
      <c r="I290" s="24" t="s">
        <v>21</v>
      </c>
      <c r="J290" s="36">
        <v>45310</v>
      </c>
      <c r="K290" s="24" t="s">
        <v>22</v>
      </c>
    </row>
    <row r="291" spans="1:11" x14ac:dyDescent="0.2">
      <c r="A291" s="27" t="s">
        <v>835</v>
      </c>
      <c r="B291" s="27" t="s">
        <v>836</v>
      </c>
      <c r="C291" s="27" t="s">
        <v>678</v>
      </c>
      <c r="D291" s="27" t="s">
        <v>17</v>
      </c>
      <c r="E291" s="27" t="s">
        <v>48</v>
      </c>
      <c r="F291" s="27" t="s">
        <v>49</v>
      </c>
      <c r="G291" s="27" t="s">
        <v>44</v>
      </c>
      <c r="H291" s="29">
        <v>94</v>
      </c>
      <c r="I291" s="27" t="s">
        <v>29</v>
      </c>
      <c r="J291" s="37">
        <v>45314</v>
      </c>
      <c r="K291" s="27" t="s">
        <v>22</v>
      </c>
    </row>
    <row r="292" spans="1:11" x14ac:dyDescent="0.2">
      <c r="A292" s="24" t="s">
        <v>837</v>
      </c>
      <c r="B292" s="24" t="s">
        <v>838</v>
      </c>
      <c r="C292" s="24" t="s">
        <v>213</v>
      </c>
      <c r="D292" s="24" t="s">
        <v>17</v>
      </c>
      <c r="E292" s="24" t="s">
        <v>18</v>
      </c>
      <c r="F292" s="24" t="s">
        <v>19</v>
      </c>
      <c r="G292" s="24" t="s">
        <v>20</v>
      </c>
      <c r="H292" s="26">
        <v>12</v>
      </c>
      <c r="I292" s="24" t="s">
        <v>21</v>
      </c>
      <c r="J292" s="36">
        <v>45322</v>
      </c>
      <c r="K292" s="24" t="s">
        <v>22</v>
      </c>
    </row>
    <row r="293" spans="1:11" x14ac:dyDescent="0.2">
      <c r="A293" s="27" t="s">
        <v>839</v>
      </c>
      <c r="B293" s="27" t="s">
        <v>840</v>
      </c>
      <c r="C293" s="27" t="s">
        <v>841</v>
      </c>
      <c r="D293" s="27" t="s">
        <v>17</v>
      </c>
      <c r="E293" s="27" t="s">
        <v>18</v>
      </c>
      <c r="F293" s="27" t="s">
        <v>19</v>
      </c>
      <c r="G293" s="27" t="s">
        <v>38</v>
      </c>
      <c r="H293" s="29">
        <v>56</v>
      </c>
      <c r="I293" s="27" t="s">
        <v>29</v>
      </c>
      <c r="J293" s="37">
        <v>45294</v>
      </c>
      <c r="K293" s="27" t="s">
        <v>22</v>
      </c>
    </row>
    <row r="294" spans="1:11" x14ac:dyDescent="0.2">
      <c r="A294" s="24" t="s">
        <v>842</v>
      </c>
      <c r="B294" s="24" t="s">
        <v>843</v>
      </c>
      <c r="C294" s="24" t="s">
        <v>844</v>
      </c>
      <c r="D294" s="24" t="s">
        <v>17</v>
      </c>
      <c r="E294" s="24" t="s">
        <v>18</v>
      </c>
      <c r="F294" s="24" t="s">
        <v>19</v>
      </c>
      <c r="G294" s="24" t="s">
        <v>20</v>
      </c>
      <c r="H294" s="26">
        <v>151</v>
      </c>
      <c r="I294" s="24" t="s">
        <v>21</v>
      </c>
      <c r="J294" s="36">
        <v>45317</v>
      </c>
      <c r="K294" s="24" t="s">
        <v>22</v>
      </c>
    </row>
    <row r="295" spans="1:11" x14ac:dyDescent="0.2">
      <c r="A295" s="27" t="s">
        <v>845</v>
      </c>
      <c r="B295" s="27" t="s">
        <v>846</v>
      </c>
      <c r="C295" s="27" t="s">
        <v>97</v>
      </c>
      <c r="D295" s="27" t="s">
        <v>17</v>
      </c>
      <c r="E295" s="27" t="s">
        <v>26</v>
      </c>
      <c r="F295" s="27" t="s">
        <v>27</v>
      </c>
      <c r="G295" s="27" t="s">
        <v>44</v>
      </c>
      <c r="H295" s="29">
        <v>56</v>
      </c>
      <c r="I295" s="27" t="s">
        <v>21</v>
      </c>
      <c r="J295" s="37">
        <v>45322</v>
      </c>
      <c r="K295" s="27" t="s">
        <v>22</v>
      </c>
    </row>
    <row r="296" spans="1:11" x14ac:dyDescent="0.2">
      <c r="A296" s="24" t="s">
        <v>847</v>
      </c>
      <c r="B296" s="24" t="s">
        <v>848</v>
      </c>
      <c r="C296" s="24" t="s">
        <v>140</v>
      </c>
      <c r="D296" s="24" t="s">
        <v>17</v>
      </c>
      <c r="E296" s="24" t="s">
        <v>48</v>
      </c>
      <c r="F296" s="24" t="s">
        <v>49</v>
      </c>
      <c r="G296" s="24" t="s">
        <v>20</v>
      </c>
      <c r="H296" s="26">
        <v>64</v>
      </c>
      <c r="I296" s="24" t="s">
        <v>21</v>
      </c>
      <c r="J296" s="36">
        <v>45306</v>
      </c>
      <c r="K296" s="24" t="s">
        <v>22</v>
      </c>
    </row>
    <row r="297" spans="1:11" x14ac:dyDescent="0.2">
      <c r="A297" s="27" t="s">
        <v>849</v>
      </c>
      <c r="B297" s="27" t="s">
        <v>850</v>
      </c>
      <c r="C297" s="27" t="s">
        <v>494</v>
      </c>
      <c r="D297" s="27" t="s">
        <v>17</v>
      </c>
      <c r="E297" s="27" t="s">
        <v>18</v>
      </c>
      <c r="F297" s="27" t="s">
        <v>19</v>
      </c>
      <c r="G297" s="27" t="s">
        <v>38</v>
      </c>
      <c r="H297" s="29">
        <v>75</v>
      </c>
      <c r="I297" s="27" t="s">
        <v>29</v>
      </c>
      <c r="J297" s="37">
        <v>45304</v>
      </c>
      <c r="K297" s="27" t="s">
        <v>22</v>
      </c>
    </row>
    <row r="298" spans="1:11" x14ac:dyDescent="0.2">
      <c r="A298" s="24" t="s">
        <v>851</v>
      </c>
      <c r="B298" s="24" t="s">
        <v>852</v>
      </c>
      <c r="C298" s="24" t="s">
        <v>853</v>
      </c>
      <c r="D298" s="24" t="s">
        <v>17</v>
      </c>
      <c r="E298" s="24" t="s">
        <v>18</v>
      </c>
      <c r="F298" s="24" t="s">
        <v>19</v>
      </c>
      <c r="G298" s="24" t="s">
        <v>20</v>
      </c>
      <c r="H298" s="26">
        <v>45</v>
      </c>
      <c r="I298" s="24" t="s">
        <v>21</v>
      </c>
      <c r="J298" s="36">
        <v>45309</v>
      </c>
      <c r="K298" s="24" t="s">
        <v>22</v>
      </c>
    </row>
    <row r="299" spans="1:11" x14ac:dyDescent="0.2">
      <c r="A299" s="27" t="s">
        <v>854</v>
      </c>
      <c r="B299" s="27" t="s">
        <v>855</v>
      </c>
      <c r="C299" s="27" t="s">
        <v>856</v>
      </c>
      <c r="D299" s="27" t="s">
        <v>17</v>
      </c>
      <c r="E299" s="27" t="s">
        <v>18</v>
      </c>
      <c r="F299" s="27" t="s">
        <v>19</v>
      </c>
      <c r="G299" s="27" t="s">
        <v>38</v>
      </c>
      <c r="H299" s="29">
        <v>200</v>
      </c>
      <c r="I299" s="27" t="s">
        <v>29</v>
      </c>
      <c r="J299" s="37">
        <v>45310</v>
      </c>
      <c r="K299" s="27" t="s">
        <v>22</v>
      </c>
    </row>
    <row r="300" spans="1:11" x14ac:dyDescent="0.2">
      <c r="A300" s="24" t="s">
        <v>857</v>
      </c>
      <c r="B300" s="24" t="s">
        <v>858</v>
      </c>
      <c r="C300" s="24" t="s">
        <v>859</v>
      </c>
      <c r="D300" s="24" t="s">
        <v>17</v>
      </c>
      <c r="E300" s="24" t="s">
        <v>26</v>
      </c>
      <c r="F300" s="24" t="s">
        <v>27</v>
      </c>
      <c r="G300" s="24" t="s">
        <v>28</v>
      </c>
      <c r="H300" s="26">
        <v>282</v>
      </c>
      <c r="I300" s="24" t="s">
        <v>29</v>
      </c>
      <c r="J300" s="36">
        <v>45322</v>
      </c>
      <c r="K300" s="24" t="s">
        <v>22</v>
      </c>
    </row>
    <row r="301" spans="1:11" x14ac:dyDescent="0.2">
      <c r="A301" s="27" t="s">
        <v>860</v>
      </c>
      <c r="B301" s="27" t="s">
        <v>861</v>
      </c>
      <c r="C301" s="27" t="s">
        <v>862</v>
      </c>
      <c r="D301" s="27" t="s">
        <v>17</v>
      </c>
      <c r="E301" s="27" t="s">
        <v>18</v>
      </c>
      <c r="F301" s="27" t="s">
        <v>19</v>
      </c>
      <c r="G301" s="27" t="s">
        <v>116</v>
      </c>
      <c r="H301" s="29">
        <v>0</v>
      </c>
      <c r="I301" s="27" t="s">
        <v>21</v>
      </c>
      <c r="J301" s="37">
        <v>45292</v>
      </c>
      <c r="K301" s="27" t="s">
        <v>22</v>
      </c>
    </row>
    <row r="302" spans="1:11" x14ac:dyDescent="0.2">
      <c r="A302" s="24" t="s">
        <v>863</v>
      </c>
      <c r="B302" s="24" t="s">
        <v>864</v>
      </c>
      <c r="C302" s="24" t="s">
        <v>865</v>
      </c>
      <c r="D302" s="24" t="s">
        <v>17</v>
      </c>
      <c r="E302" s="24" t="s">
        <v>18</v>
      </c>
      <c r="F302" s="24" t="s">
        <v>19</v>
      </c>
      <c r="G302" s="24" t="s">
        <v>59</v>
      </c>
      <c r="H302" s="26">
        <v>54</v>
      </c>
      <c r="I302" s="24" t="s">
        <v>21</v>
      </c>
      <c r="J302" s="36">
        <v>45306</v>
      </c>
      <c r="K302" s="24" t="s">
        <v>22</v>
      </c>
    </row>
    <row r="303" spans="1:11" x14ac:dyDescent="0.2">
      <c r="A303" s="27" t="s">
        <v>866</v>
      </c>
      <c r="B303" s="27" t="s">
        <v>867</v>
      </c>
      <c r="C303" s="27" t="s">
        <v>868</v>
      </c>
      <c r="D303" s="27" t="s">
        <v>17</v>
      </c>
      <c r="E303" s="27" t="s">
        <v>42</v>
      </c>
      <c r="F303" s="27" t="s">
        <v>43</v>
      </c>
      <c r="G303" s="27" t="s">
        <v>20</v>
      </c>
      <c r="H303" s="29">
        <v>108</v>
      </c>
      <c r="I303" s="27" t="s">
        <v>21</v>
      </c>
      <c r="J303" s="37">
        <v>45310</v>
      </c>
      <c r="K303" s="27" t="s">
        <v>22</v>
      </c>
    </row>
    <row r="304" spans="1:11" x14ac:dyDescent="0.2">
      <c r="A304" s="24" t="s">
        <v>869</v>
      </c>
      <c r="B304" s="24" t="s">
        <v>870</v>
      </c>
      <c r="C304" s="24" t="s">
        <v>871</v>
      </c>
      <c r="D304" s="24" t="s">
        <v>17</v>
      </c>
      <c r="E304" s="24" t="s">
        <v>18</v>
      </c>
      <c r="F304" s="24" t="s">
        <v>19</v>
      </c>
      <c r="G304" s="24" t="s">
        <v>20</v>
      </c>
      <c r="H304" s="26">
        <v>139</v>
      </c>
      <c r="I304" s="24" t="s">
        <v>21</v>
      </c>
      <c r="J304" s="36">
        <v>45313</v>
      </c>
      <c r="K304" s="24" t="s">
        <v>22</v>
      </c>
    </row>
    <row r="305" spans="1:11" x14ac:dyDescent="0.2">
      <c r="A305" s="27" t="s">
        <v>872</v>
      </c>
      <c r="B305" s="27" t="s">
        <v>873</v>
      </c>
      <c r="C305" s="27" t="s">
        <v>874</v>
      </c>
      <c r="D305" s="27" t="s">
        <v>17</v>
      </c>
      <c r="E305" s="27" t="s">
        <v>81</v>
      </c>
      <c r="F305" s="27" t="s">
        <v>82</v>
      </c>
      <c r="G305" s="27" t="s">
        <v>28</v>
      </c>
      <c r="H305" s="29">
        <v>160</v>
      </c>
      <c r="I305" s="27" t="s">
        <v>29</v>
      </c>
      <c r="J305" s="37">
        <v>45299</v>
      </c>
      <c r="K305" s="27" t="s">
        <v>22</v>
      </c>
    </row>
    <row r="306" spans="1:11" x14ac:dyDescent="0.2">
      <c r="A306" s="24" t="s">
        <v>875</v>
      </c>
      <c r="B306" s="24" t="s">
        <v>876</v>
      </c>
      <c r="C306" s="24" t="s">
        <v>526</v>
      </c>
      <c r="D306" s="24" t="s">
        <v>17</v>
      </c>
      <c r="E306" s="24" t="s">
        <v>18</v>
      </c>
      <c r="F306" s="24" t="s">
        <v>19</v>
      </c>
      <c r="G306" s="24" t="s">
        <v>20</v>
      </c>
      <c r="H306" s="26">
        <v>50</v>
      </c>
      <c r="I306" s="24" t="s">
        <v>21</v>
      </c>
      <c r="J306" s="36">
        <v>45293</v>
      </c>
      <c r="K306" s="24" t="s">
        <v>22</v>
      </c>
    </row>
    <row r="307" spans="1:11" x14ac:dyDescent="0.2">
      <c r="A307" s="27" t="s">
        <v>877</v>
      </c>
      <c r="B307" s="27" t="s">
        <v>878</v>
      </c>
      <c r="C307" s="27" t="s">
        <v>879</v>
      </c>
      <c r="D307" s="27" t="s">
        <v>17</v>
      </c>
      <c r="E307" s="27" t="s">
        <v>48</v>
      </c>
      <c r="F307" s="27" t="s">
        <v>49</v>
      </c>
      <c r="G307" s="27" t="s">
        <v>28</v>
      </c>
      <c r="H307" s="29">
        <v>97</v>
      </c>
      <c r="I307" s="27" t="s">
        <v>29</v>
      </c>
      <c r="J307" s="37">
        <v>45315</v>
      </c>
      <c r="K307" s="27" t="s">
        <v>22</v>
      </c>
    </row>
    <row r="308" spans="1:11" x14ac:dyDescent="0.2">
      <c r="A308" s="24" t="s">
        <v>880</v>
      </c>
      <c r="B308" s="24" t="s">
        <v>881</v>
      </c>
      <c r="C308" s="24" t="s">
        <v>882</v>
      </c>
      <c r="D308" s="24" t="s">
        <v>17</v>
      </c>
      <c r="E308" s="24" t="s">
        <v>18</v>
      </c>
      <c r="F308" s="24" t="s">
        <v>19</v>
      </c>
      <c r="G308" s="24" t="s">
        <v>28</v>
      </c>
      <c r="H308" s="26">
        <v>196</v>
      </c>
      <c r="I308" s="24" t="s">
        <v>29</v>
      </c>
      <c r="J308" s="36">
        <v>45296</v>
      </c>
      <c r="K308" s="24" t="s">
        <v>22</v>
      </c>
    </row>
    <row r="309" spans="1:11" x14ac:dyDescent="0.2">
      <c r="A309" s="27" t="s">
        <v>883</v>
      </c>
      <c r="B309" s="27" t="s">
        <v>884</v>
      </c>
      <c r="C309" s="27" t="s">
        <v>885</v>
      </c>
      <c r="D309" s="27" t="s">
        <v>17</v>
      </c>
      <c r="E309" s="27" t="s">
        <v>18</v>
      </c>
      <c r="F309" s="27" t="s">
        <v>19</v>
      </c>
      <c r="G309" s="27" t="s">
        <v>20</v>
      </c>
      <c r="H309" s="29">
        <v>89</v>
      </c>
      <c r="I309" s="27" t="s">
        <v>21</v>
      </c>
      <c r="J309" s="37">
        <v>45322</v>
      </c>
      <c r="K309" s="27" t="s">
        <v>22</v>
      </c>
    </row>
    <row r="310" spans="1:11" x14ac:dyDescent="0.2">
      <c r="A310" s="24" t="s">
        <v>886</v>
      </c>
      <c r="B310" s="24" t="s">
        <v>887</v>
      </c>
      <c r="C310" s="24" t="s">
        <v>888</v>
      </c>
      <c r="D310" s="24" t="s">
        <v>17</v>
      </c>
      <c r="E310" s="24" t="s">
        <v>18</v>
      </c>
      <c r="F310" s="24" t="s">
        <v>19</v>
      </c>
      <c r="G310" s="24" t="s">
        <v>28</v>
      </c>
      <c r="H310" s="26">
        <v>75</v>
      </c>
      <c r="I310" s="24" t="s">
        <v>29</v>
      </c>
      <c r="J310" s="36">
        <v>45292</v>
      </c>
      <c r="K310" s="24" t="s">
        <v>22</v>
      </c>
    </row>
    <row r="311" spans="1:11" x14ac:dyDescent="0.2">
      <c r="A311" s="27" t="s">
        <v>889</v>
      </c>
      <c r="B311" s="27" t="s">
        <v>890</v>
      </c>
      <c r="C311" s="27" t="s">
        <v>891</v>
      </c>
      <c r="D311" s="27" t="s">
        <v>17</v>
      </c>
      <c r="E311" s="27" t="s">
        <v>48</v>
      </c>
      <c r="F311" s="27" t="s">
        <v>49</v>
      </c>
      <c r="G311" s="27" t="s">
        <v>28</v>
      </c>
      <c r="H311" s="29">
        <v>126</v>
      </c>
      <c r="I311" s="27" t="s">
        <v>29</v>
      </c>
      <c r="J311" s="37">
        <v>45302</v>
      </c>
      <c r="K311" s="27" t="s">
        <v>22</v>
      </c>
    </row>
    <row r="312" spans="1:11" x14ac:dyDescent="0.2">
      <c r="A312" s="24" t="s">
        <v>892</v>
      </c>
      <c r="B312" s="24" t="s">
        <v>893</v>
      </c>
      <c r="C312" s="24" t="s">
        <v>213</v>
      </c>
      <c r="D312" s="24" t="s">
        <v>17</v>
      </c>
      <c r="E312" s="24" t="s">
        <v>26</v>
      </c>
      <c r="F312" s="24" t="s">
        <v>27</v>
      </c>
      <c r="G312" s="24" t="s">
        <v>44</v>
      </c>
      <c r="H312" s="26">
        <v>11</v>
      </c>
      <c r="I312" s="24" t="s">
        <v>21</v>
      </c>
      <c r="J312" s="36">
        <v>45301</v>
      </c>
      <c r="K312" s="24" t="s">
        <v>22</v>
      </c>
    </row>
    <row r="313" spans="1:11" x14ac:dyDescent="0.2">
      <c r="A313" s="27" t="s">
        <v>894</v>
      </c>
      <c r="B313" s="27" t="s">
        <v>895</v>
      </c>
      <c r="C313" s="27" t="s">
        <v>896</v>
      </c>
      <c r="D313" s="27" t="s">
        <v>17</v>
      </c>
      <c r="E313" s="27" t="s">
        <v>18</v>
      </c>
      <c r="F313" s="27" t="s">
        <v>19</v>
      </c>
      <c r="G313" s="27" t="s">
        <v>28</v>
      </c>
      <c r="H313" s="29">
        <v>58</v>
      </c>
      <c r="I313" s="27" t="s">
        <v>29</v>
      </c>
      <c r="J313" s="37">
        <v>45300</v>
      </c>
      <c r="K313" s="27" t="s">
        <v>22</v>
      </c>
    </row>
    <row r="314" spans="1:11" x14ac:dyDescent="0.2">
      <c r="A314" s="24" t="s">
        <v>897</v>
      </c>
      <c r="B314" s="24" t="s">
        <v>898</v>
      </c>
      <c r="C314" s="24" t="s">
        <v>899</v>
      </c>
      <c r="D314" s="24" t="s">
        <v>17</v>
      </c>
      <c r="E314" s="24" t="s">
        <v>26</v>
      </c>
      <c r="F314" s="24" t="s">
        <v>27</v>
      </c>
      <c r="G314" s="24" t="s">
        <v>28</v>
      </c>
      <c r="H314" s="26">
        <v>76</v>
      </c>
      <c r="I314" s="24" t="s">
        <v>29</v>
      </c>
      <c r="J314" s="36">
        <v>45295</v>
      </c>
      <c r="K314" s="24" t="s">
        <v>22</v>
      </c>
    </row>
    <row r="315" spans="1:11" x14ac:dyDescent="0.2">
      <c r="A315" s="27" t="s">
        <v>900</v>
      </c>
      <c r="B315" s="27" t="s">
        <v>901</v>
      </c>
      <c r="C315" s="27" t="s">
        <v>260</v>
      </c>
      <c r="D315" s="27" t="s">
        <v>17</v>
      </c>
      <c r="E315" s="27" t="s">
        <v>42</v>
      </c>
      <c r="F315" s="27" t="s">
        <v>43</v>
      </c>
      <c r="G315" s="27" t="s">
        <v>20</v>
      </c>
      <c r="H315" s="29">
        <v>447</v>
      </c>
      <c r="I315" s="27" t="s">
        <v>21</v>
      </c>
      <c r="J315" s="37">
        <v>45309</v>
      </c>
      <c r="K315" s="27" t="s">
        <v>22</v>
      </c>
    </row>
    <row r="316" spans="1:11" x14ac:dyDescent="0.2">
      <c r="A316" s="24" t="s">
        <v>902</v>
      </c>
      <c r="B316" s="24" t="s">
        <v>903</v>
      </c>
      <c r="C316" s="24" t="s">
        <v>904</v>
      </c>
      <c r="D316" s="24" t="s">
        <v>17</v>
      </c>
      <c r="E316" s="24" t="s">
        <v>18</v>
      </c>
      <c r="F316" s="24" t="s">
        <v>19</v>
      </c>
      <c r="G316" s="24" t="s">
        <v>28</v>
      </c>
      <c r="H316" s="26">
        <v>112</v>
      </c>
      <c r="I316" s="24" t="s">
        <v>29</v>
      </c>
      <c r="J316" s="36">
        <v>45314</v>
      </c>
      <c r="K316" s="24" t="s">
        <v>22</v>
      </c>
    </row>
    <row r="317" spans="1:11" x14ac:dyDescent="0.2">
      <c r="A317" s="27" t="s">
        <v>905</v>
      </c>
      <c r="B317" s="27" t="s">
        <v>906</v>
      </c>
      <c r="C317" s="27" t="s">
        <v>907</v>
      </c>
      <c r="D317" s="27" t="s">
        <v>17</v>
      </c>
      <c r="E317" s="27" t="s">
        <v>18</v>
      </c>
      <c r="F317" s="27" t="s">
        <v>19</v>
      </c>
      <c r="G317" s="27" t="s">
        <v>20</v>
      </c>
      <c r="H317" s="29">
        <v>32</v>
      </c>
      <c r="I317" s="27" t="s">
        <v>21</v>
      </c>
      <c r="J317" s="37">
        <v>45302</v>
      </c>
      <c r="K317" s="27" t="s">
        <v>22</v>
      </c>
    </row>
    <row r="318" spans="1:11" x14ac:dyDescent="0.2">
      <c r="A318" s="24" t="s">
        <v>908</v>
      </c>
      <c r="B318" s="24" t="s">
        <v>909</v>
      </c>
      <c r="C318" s="24" t="s">
        <v>41</v>
      </c>
      <c r="D318" s="24" t="s">
        <v>17</v>
      </c>
      <c r="E318" s="24" t="s">
        <v>18</v>
      </c>
      <c r="F318" s="24" t="s">
        <v>19</v>
      </c>
      <c r="G318" s="24" t="s">
        <v>20</v>
      </c>
      <c r="H318" s="26">
        <v>60</v>
      </c>
      <c r="I318" s="24" t="s">
        <v>21</v>
      </c>
      <c r="J318" s="36">
        <v>45301</v>
      </c>
      <c r="K318" s="24" t="s">
        <v>22</v>
      </c>
    </row>
    <row r="319" spans="1:11" x14ac:dyDescent="0.2">
      <c r="A319" s="27" t="s">
        <v>910</v>
      </c>
      <c r="B319" s="27" t="s">
        <v>911</v>
      </c>
      <c r="C319" s="27" t="s">
        <v>912</v>
      </c>
      <c r="D319" s="27" t="s">
        <v>17</v>
      </c>
      <c r="E319" s="27" t="s">
        <v>42</v>
      </c>
      <c r="F319" s="27" t="s">
        <v>43</v>
      </c>
      <c r="G319" s="27" t="s">
        <v>28</v>
      </c>
      <c r="H319" s="29">
        <v>150</v>
      </c>
      <c r="I319" s="27" t="s">
        <v>29</v>
      </c>
      <c r="J319" s="37">
        <v>45327</v>
      </c>
      <c r="K319" s="27" t="s">
        <v>22</v>
      </c>
    </row>
    <row r="320" spans="1:11" x14ac:dyDescent="0.2">
      <c r="A320" s="24" t="s">
        <v>913</v>
      </c>
      <c r="B320" s="24" t="s">
        <v>914</v>
      </c>
      <c r="C320" s="24" t="s">
        <v>915</v>
      </c>
      <c r="D320" s="24" t="s">
        <v>17</v>
      </c>
      <c r="E320" s="24" t="s">
        <v>81</v>
      </c>
      <c r="F320" s="24" t="s">
        <v>82</v>
      </c>
      <c r="G320" s="24" t="s">
        <v>20</v>
      </c>
      <c r="H320" s="26">
        <v>30</v>
      </c>
      <c r="I320" s="24" t="s">
        <v>21</v>
      </c>
      <c r="J320" s="36">
        <v>45334</v>
      </c>
      <c r="K320" s="24" t="s">
        <v>22</v>
      </c>
    </row>
    <row r="321" spans="1:11" x14ac:dyDescent="0.2">
      <c r="A321" s="27" t="s">
        <v>916</v>
      </c>
      <c r="B321" s="27" t="s">
        <v>917</v>
      </c>
      <c r="C321" s="27" t="s">
        <v>918</v>
      </c>
      <c r="D321" s="27" t="s">
        <v>17</v>
      </c>
      <c r="E321" s="27" t="s">
        <v>26</v>
      </c>
      <c r="F321" s="27" t="s">
        <v>27</v>
      </c>
      <c r="G321" s="27" t="s">
        <v>44</v>
      </c>
      <c r="H321" s="29">
        <v>10</v>
      </c>
      <c r="I321" s="27" t="s">
        <v>29</v>
      </c>
      <c r="J321" s="37">
        <v>45351</v>
      </c>
      <c r="K321" s="27" t="s">
        <v>22</v>
      </c>
    </row>
    <row r="322" spans="1:11" x14ac:dyDescent="0.2">
      <c r="A322" s="24" t="s">
        <v>919</v>
      </c>
      <c r="B322" s="24" t="s">
        <v>920</v>
      </c>
      <c r="C322" s="24" t="s">
        <v>921</v>
      </c>
      <c r="D322" s="24" t="s">
        <v>17</v>
      </c>
      <c r="E322" s="24" t="s">
        <v>18</v>
      </c>
      <c r="F322" s="24" t="s">
        <v>19</v>
      </c>
      <c r="G322" s="24" t="s">
        <v>59</v>
      </c>
      <c r="H322" s="26">
        <v>20</v>
      </c>
      <c r="I322" s="24" t="s">
        <v>21</v>
      </c>
      <c r="J322" s="36">
        <v>45337</v>
      </c>
      <c r="K322" s="24" t="s">
        <v>22</v>
      </c>
    </row>
    <row r="323" spans="1:11" x14ac:dyDescent="0.2">
      <c r="A323" s="27" t="s">
        <v>922</v>
      </c>
      <c r="B323" s="27" t="s">
        <v>923</v>
      </c>
      <c r="C323" s="27" t="s">
        <v>924</v>
      </c>
      <c r="D323" s="27" t="s">
        <v>17</v>
      </c>
      <c r="E323" s="27" t="s">
        <v>163</v>
      </c>
      <c r="F323" s="27" t="s">
        <v>164</v>
      </c>
      <c r="G323" s="27" t="s">
        <v>28</v>
      </c>
      <c r="H323" s="29">
        <v>12</v>
      </c>
      <c r="I323" s="27" t="s">
        <v>29</v>
      </c>
      <c r="J323" s="37">
        <v>45347</v>
      </c>
      <c r="K323" s="27" t="s">
        <v>22</v>
      </c>
    </row>
    <row r="324" spans="1:11" x14ac:dyDescent="0.2">
      <c r="A324" s="24" t="s">
        <v>925</v>
      </c>
      <c r="B324" s="24" t="s">
        <v>926</v>
      </c>
      <c r="C324" s="24" t="s">
        <v>927</v>
      </c>
      <c r="D324" s="24" t="s">
        <v>17</v>
      </c>
      <c r="E324" s="24" t="s">
        <v>42</v>
      </c>
      <c r="F324" s="24" t="s">
        <v>43</v>
      </c>
      <c r="G324" s="24" t="s">
        <v>28</v>
      </c>
      <c r="H324" s="26">
        <v>15</v>
      </c>
      <c r="I324" s="24" t="s">
        <v>29</v>
      </c>
      <c r="J324" s="36">
        <v>45338</v>
      </c>
      <c r="K324" s="24" t="s">
        <v>22</v>
      </c>
    </row>
    <row r="325" spans="1:11" x14ac:dyDescent="0.2">
      <c r="A325" s="27" t="s">
        <v>928</v>
      </c>
      <c r="B325" s="27" t="s">
        <v>929</v>
      </c>
      <c r="C325" s="27" t="s">
        <v>930</v>
      </c>
      <c r="D325" s="27" t="s">
        <v>17</v>
      </c>
      <c r="E325" s="27" t="s">
        <v>18</v>
      </c>
      <c r="F325" s="27" t="s">
        <v>19</v>
      </c>
      <c r="G325" s="27" t="s">
        <v>20</v>
      </c>
      <c r="H325" s="29">
        <v>11</v>
      </c>
      <c r="I325" s="27" t="s">
        <v>21</v>
      </c>
      <c r="J325" s="37">
        <v>45334</v>
      </c>
      <c r="K325" s="27" t="s">
        <v>22</v>
      </c>
    </row>
    <row r="326" spans="1:11" x14ac:dyDescent="0.2">
      <c r="A326" s="24" t="s">
        <v>931</v>
      </c>
      <c r="B326" s="24" t="s">
        <v>932</v>
      </c>
      <c r="C326" s="24" t="s">
        <v>437</v>
      </c>
      <c r="D326" s="24" t="s">
        <v>17</v>
      </c>
      <c r="E326" s="24" t="s">
        <v>81</v>
      </c>
      <c r="F326" s="24" t="s">
        <v>82</v>
      </c>
      <c r="G326" s="24" t="s">
        <v>28</v>
      </c>
      <c r="H326" s="26">
        <v>300</v>
      </c>
      <c r="I326" s="24" t="s">
        <v>29</v>
      </c>
      <c r="J326" s="36">
        <v>45329</v>
      </c>
      <c r="K326" s="24" t="s">
        <v>22</v>
      </c>
    </row>
    <row r="327" spans="1:11" x14ac:dyDescent="0.2">
      <c r="A327" s="27" t="s">
        <v>933</v>
      </c>
      <c r="B327" s="27" t="s">
        <v>934</v>
      </c>
      <c r="C327" s="27" t="s">
        <v>354</v>
      </c>
      <c r="D327" s="27" t="s">
        <v>17</v>
      </c>
      <c r="E327" s="27" t="s">
        <v>26</v>
      </c>
      <c r="F327" s="27" t="s">
        <v>27</v>
      </c>
      <c r="G327" s="27" t="s">
        <v>28</v>
      </c>
      <c r="H327" s="29">
        <v>44</v>
      </c>
      <c r="I327" s="27" t="s">
        <v>29</v>
      </c>
      <c r="J327" s="37">
        <v>45342</v>
      </c>
      <c r="K327" s="27" t="s">
        <v>22</v>
      </c>
    </row>
    <row r="328" spans="1:11" x14ac:dyDescent="0.2">
      <c r="A328" s="24" t="s">
        <v>935</v>
      </c>
      <c r="B328" s="24" t="s">
        <v>936</v>
      </c>
      <c r="C328" s="24" t="s">
        <v>937</v>
      </c>
      <c r="D328" s="24" t="s">
        <v>17</v>
      </c>
      <c r="E328" s="24" t="s">
        <v>48</v>
      </c>
      <c r="F328" s="24" t="s">
        <v>49</v>
      </c>
      <c r="G328" s="24" t="s">
        <v>28</v>
      </c>
      <c r="H328" s="26">
        <v>16</v>
      </c>
      <c r="I328" s="24" t="s">
        <v>29</v>
      </c>
      <c r="J328" s="36">
        <v>45337</v>
      </c>
      <c r="K328" s="24" t="s">
        <v>22</v>
      </c>
    </row>
    <row r="329" spans="1:11" x14ac:dyDescent="0.2">
      <c r="A329" s="27" t="s">
        <v>938</v>
      </c>
      <c r="B329" s="27" t="s">
        <v>939</v>
      </c>
      <c r="C329" s="27" t="s">
        <v>68</v>
      </c>
      <c r="D329" s="27" t="s">
        <v>17</v>
      </c>
      <c r="E329" s="27" t="s">
        <v>42</v>
      </c>
      <c r="F329" s="27" t="s">
        <v>43</v>
      </c>
      <c r="G329" s="27" t="s">
        <v>28</v>
      </c>
      <c r="H329" s="29">
        <v>66</v>
      </c>
      <c r="I329" s="27" t="s">
        <v>29</v>
      </c>
      <c r="J329" s="37">
        <v>45344</v>
      </c>
      <c r="K329" s="27" t="s">
        <v>22</v>
      </c>
    </row>
    <row r="330" spans="1:11" x14ac:dyDescent="0.2">
      <c r="A330" s="24" t="s">
        <v>940</v>
      </c>
      <c r="B330" s="24" t="s">
        <v>941</v>
      </c>
      <c r="C330" s="24" t="s">
        <v>942</v>
      </c>
      <c r="D330" s="24" t="s">
        <v>17</v>
      </c>
      <c r="E330" s="24" t="s">
        <v>48</v>
      </c>
      <c r="F330" s="24" t="s">
        <v>49</v>
      </c>
      <c r="G330" s="24" t="s">
        <v>28</v>
      </c>
      <c r="H330" s="26">
        <v>300</v>
      </c>
      <c r="I330" s="24" t="s">
        <v>29</v>
      </c>
      <c r="J330" s="36">
        <v>45329</v>
      </c>
      <c r="K330" s="24" t="s">
        <v>22</v>
      </c>
    </row>
    <row r="331" spans="1:11" x14ac:dyDescent="0.2">
      <c r="A331" s="27" t="s">
        <v>943</v>
      </c>
      <c r="B331" s="27" t="s">
        <v>944</v>
      </c>
      <c r="C331" s="27" t="s">
        <v>106</v>
      </c>
      <c r="D331" s="27" t="s">
        <v>17</v>
      </c>
      <c r="E331" s="27" t="s">
        <v>42</v>
      </c>
      <c r="F331" s="27" t="s">
        <v>43</v>
      </c>
      <c r="G331" s="27" t="s">
        <v>20</v>
      </c>
      <c r="H331" s="29">
        <v>307</v>
      </c>
      <c r="I331" s="27" t="s">
        <v>21</v>
      </c>
      <c r="J331" s="37">
        <v>45328</v>
      </c>
      <c r="K331" s="27" t="s">
        <v>22</v>
      </c>
    </row>
    <row r="332" spans="1:11" x14ac:dyDescent="0.2">
      <c r="A332" s="24" t="s">
        <v>945</v>
      </c>
      <c r="B332" s="24" t="s">
        <v>946</v>
      </c>
      <c r="C332" s="24" t="s">
        <v>213</v>
      </c>
      <c r="D332" s="24" t="s">
        <v>17</v>
      </c>
      <c r="E332" s="24" t="s">
        <v>18</v>
      </c>
      <c r="F332" s="24" t="s">
        <v>19</v>
      </c>
      <c r="G332" s="24" t="s">
        <v>20</v>
      </c>
      <c r="H332" s="26">
        <v>12</v>
      </c>
      <c r="I332" s="24" t="s">
        <v>21</v>
      </c>
      <c r="J332" s="36">
        <v>45345</v>
      </c>
      <c r="K332" s="24" t="s">
        <v>22</v>
      </c>
    </row>
    <row r="333" spans="1:11" x14ac:dyDescent="0.2">
      <c r="A333" s="27" t="s">
        <v>947</v>
      </c>
      <c r="B333" s="27" t="s">
        <v>948</v>
      </c>
      <c r="C333" s="27" t="s">
        <v>106</v>
      </c>
      <c r="D333" s="27" t="s">
        <v>17</v>
      </c>
      <c r="E333" s="27" t="s">
        <v>18</v>
      </c>
      <c r="F333" s="27" t="s">
        <v>19</v>
      </c>
      <c r="G333" s="27" t="s">
        <v>44</v>
      </c>
      <c r="H333" s="29">
        <v>45</v>
      </c>
      <c r="I333" s="27" t="s">
        <v>21</v>
      </c>
      <c r="J333" s="37">
        <v>45336</v>
      </c>
      <c r="K333" s="27" t="s">
        <v>22</v>
      </c>
    </row>
    <row r="334" spans="1:11" x14ac:dyDescent="0.2">
      <c r="A334" s="24" t="s">
        <v>949</v>
      </c>
      <c r="B334" s="24" t="s">
        <v>950</v>
      </c>
      <c r="C334" s="24" t="s">
        <v>251</v>
      </c>
      <c r="D334" s="24" t="s">
        <v>17</v>
      </c>
      <c r="E334" s="24" t="s">
        <v>42</v>
      </c>
      <c r="F334" s="24" t="s">
        <v>43</v>
      </c>
      <c r="G334" s="24" t="s">
        <v>28</v>
      </c>
      <c r="H334" s="26">
        <v>1400</v>
      </c>
      <c r="I334" s="24" t="s">
        <v>29</v>
      </c>
      <c r="J334" s="36">
        <v>45350</v>
      </c>
      <c r="K334" s="24" t="s">
        <v>22</v>
      </c>
    </row>
    <row r="335" spans="1:11" x14ac:dyDescent="0.2">
      <c r="A335" s="27" t="s">
        <v>951</v>
      </c>
      <c r="B335" s="27" t="s">
        <v>952</v>
      </c>
      <c r="C335" s="27" t="s">
        <v>213</v>
      </c>
      <c r="D335" s="27" t="s">
        <v>17</v>
      </c>
      <c r="E335" s="27" t="s">
        <v>18</v>
      </c>
      <c r="F335" s="27" t="s">
        <v>19</v>
      </c>
      <c r="G335" s="27" t="s">
        <v>20</v>
      </c>
      <c r="H335" s="29">
        <v>12</v>
      </c>
      <c r="I335" s="27" t="s">
        <v>21</v>
      </c>
      <c r="J335" s="37">
        <v>45323</v>
      </c>
      <c r="K335" s="27" t="s">
        <v>22</v>
      </c>
    </row>
    <row r="336" spans="1:11" x14ac:dyDescent="0.2">
      <c r="A336" s="24" t="s">
        <v>953</v>
      </c>
      <c r="B336" s="24" t="s">
        <v>954</v>
      </c>
      <c r="C336" s="24" t="s">
        <v>687</v>
      </c>
      <c r="D336" s="24" t="s">
        <v>17</v>
      </c>
      <c r="E336" s="24" t="s">
        <v>48</v>
      </c>
      <c r="F336" s="24" t="s">
        <v>49</v>
      </c>
      <c r="G336" s="24" t="s">
        <v>44</v>
      </c>
      <c r="H336" s="26">
        <v>80</v>
      </c>
      <c r="I336" s="24" t="s">
        <v>29</v>
      </c>
      <c r="J336" s="36">
        <v>45342</v>
      </c>
      <c r="K336" s="24" t="s">
        <v>22</v>
      </c>
    </row>
    <row r="337" spans="1:11" x14ac:dyDescent="0.2">
      <c r="A337" s="27" t="s">
        <v>955</v>
      </c>
      <c r="B337" s="27" t="s">
        <v>956</v>
      </c>
      <c r="C337" s="27" t="s">
        <v>957</v>
      </c>
      <c r="D337" s="27" t="s">
        <v>17</v>
      </c>
      <c r="E337" s="27" t="s">
        <v>18</v>
      </c>
      <c r="F337" s="27" t="s">
        <v>19</v>
      </c>
      <c r="G337" s="27" t="s">
        <v>28</v>
      </c>
      <c r="H337" s="29">
        <v>6</v>
      </c>
      <c r="I337" s="27" t="s">
        <v>29</v>
      </c>
      <c r="J337" s="37">
        <v>45351</v>
      </c>
      <c r="K337" s="27" t="s">
        <v>22</v>
      </c>
    </row>
    <row r="338" spans="1:11" x14ac:dyDescent="0.2">
      <c r="A338" s="24" t="s">
        <v>958</v>
      </c>
      <c r="B338" s="24" t="s">
        <v>959</v>
      </c>
      <c r="C338" s="24" t="s">
        <v>960</v>
      </c>
      <c r="D338" s="24" t="s">
        <v>17</v>
      </c>
      <c r="E338" s="24" t="s">
        <v>48</v>
      </c>
      <c r="F338" s="24" t="s">
        <v>49</v>
      </c>
      <c r="G338" s="24" t="s">
        <v>116</v>
      </c>
      <c r="H338" s="26">
        <v>0</v>
      </c>
      <c r="I338" s="24" t="s">
        <v>21</v>
      </c>
      <c r="J338" s="36">
        <v>45323</v>
      </c>
      <c r="K338" s="24" t="s">
        <v>22</v>
      </c>
    </row>
    <row r="339" spans="1:11" x14ac:dyDescent="0.2">
      <c r="A339" s="27" t="s">
        <v>961</v>
      </c>
      <c r="B339" s="27" t="s">
        <v>962</v>
      </c>
      <c r="C339" s="27" t="s">
        <v>963</v>
      </c>
      <c r="D339" s="27" t="s">
        <v>17</v>
      </c>
      <c r="E339" s="27" t="s">
        <v>18</v>
      </c>
      <c r="F339" s="27" t="s">
        <v>19</v>
      </c>
      <c r="G339" s="27" t="s">
        <v>59</v>
      </c>
      <c r="H339" s="29">
        <v>29</v>
      </c>
      <c r="I339" s="27" t="s">
        <v>21</v>
      </c>
      <c r="J339" s="37">
        <v>45336</v>
      </c>
      <c r="K339" s="27" t="s">
        <v>22</v>
      </c>
    </row>
    <row r="340" spans="1:11" x14ac:dyDescent="0.2">
      <c r="A340" s="24" t="s">
        <v>964</v>
      </c>
      <c r="B340" s="24" t="s">
        <v>965</v>
      </c>
      <c r="C340" s="24" t="s">
        <v>526</v>
      </c>
      <c r="D340" s="24" t="s">
        <v>17</v>
      </c>
      <c r="E340" s="24" t="s">
        <v>48</v>
      </c>
      <c r="F340" s="24" t="s">
        <v>49</v>
      </c>
      <c r="G340" s="24" t="s">
        <v>20</v>
      </c>
      <c r="H340" s="26">
        <v>263</v>
      </c>
      <c r="I340" s="24" t="s">
        <v>21</v>
      </c>
      <c r="J340" s="36">
        <v>45327</v>
      </c>
      <c r="K340" s="24" t="s">
        <v>22</v>
      </c>
    </row>
    <row r="341" spans="1:11" x14ac:dyDescent="0.2">
      <c r="A341" s="27" t="s">
        <v>966</v>
      </c>
      <c r="B341" s="27" t="s">
        <v>967</v>
      </c>
      <c r="C341" s="27" t="s">
        <v>968</v>
      </c>
      <c r="D341" s="27" t="s">
        <v>17</v>
      </c>
      <c r="E341" s="27" t="s">
        <v>42</v>
      </c>
      <c r="F341" s="27" t="s">
        <v>43</v>
      </c>
      <c r="G341" s="27" t="s">
        <v>20</v>
      </c>
      <c r="H341" s="29">
        <v>35</v>
      </c>
      <c r="I341" s="27" t="s">
        <v>21</v>
      </c>
      <c r="J341" s="37">
        <v>45350</v>
      </c>
      <c r="K341" s="27" t="s">
        <v>22</v>
      </c>
    </row>
    <row r="342" spans="1:11" x14ac:dyDescent="0.2">
      <c r="A342" s="24" t="s">
        <v>969</v>
      </c>
      <c r="B342" s="24" t="s">
        <v>970</v>
      </c>
      <c r="C342" s="24" t="s">
        <v>260</v>
      </c>
      <c r="D342" s="24" t="s">
        <v>17</v>
      </c>
      <c r="E342" s="24" t="s">
        <v>42</v>
      </c>
      <c r="F342" s="24" t="s">
        <v>43</v>
      </c>
      <c r="G342" s="24" t="s">
        <v>59</v>
      </c>
      <c r="H342" s="26">
        <v>6300</v>
      </c>
      <c r="I342" s="24" t="s">
        <v>21</v>
      </c>
      <c r="J342" s="36">
        <v>45328</v>
      </c>
      <c r="K342" s="24" t="s">
        <v>22</v>
      </c>
    </row>
    <row r="343" spans="1:11" x14ac:dyDescent="0.2">
      <c r="A343" s="27" t="s">
        <v>971</v>
      </c>
      <c r="B343" s="27" t="s">
        <v>972</v>
      </c>
      <c r="C343" s="27" t="s">
        <v>973</v>
      </c>
      <c r="D343" s="27" t="s">
        <v>17</v>
      </c>
      <c r="E343" s="27" t="s">
        <v>48</v>
      </c>
      <c r="F343" s="27" t="s">
        <v>49</v>
      </c>
      <c r="G343" s="27" t="s">
        <v>44</v>
      </c>
      <c r="H343" s="29">
        <v>145</v>
      </c>
      <c r="I343" s="27" t="s">
        <v>21</v>
      </c>
      <c r="J343" s="37">
        <v>45350</v>
      </c>
      <c r="K343" s="27" t="s">
        <v>22</v>
      </c>
    </row>
    <row r="344" spans="1:11" x14ac:dyDescent="0.2">
      <c r="A344" s="24" t="s">
        <v>974</v>
      </c>
      <c r="B344" s="24" t="s">
        <v>975</v>
      </c>
      <c r="C344" s="24" t="s">
        <v>97</v>
      </c>
      <c r="D344" s="24" t="s">
        <v>17</v>
      </c>
      <c r="E344" s="24" t="s">
        <v>48</v>
      </c>
      <c r="F344" s="24" t="s">
        <v>49</v>
      </c>
      <c r="G344" s="24" t="s">
        <v>44</v>
      </c>
      <c r="H344" s="26">
        <v>56</v>
      </c>
      <c r="I344" s="24" t="s">
        <v>21</v>
      </c>
      <c r="J344" s="36">
        <v>45335</v>
      </c>
      <c r="K344" s="24" t="s">
        <v>22</v>
      </c>
    </row>
    <row r="345" spans="1:11" x14ac:dyDescent="0.2">
      <c r="A345" s="27" t="s">
        <v>976</v>
      </c>
      <c r="B345" s="27" t="s">
        <v>977</v>
      </c>
      <c r="C345" s="27" t="s">
        <v>978</v>
      </c>
      <c r="D345" s="27" t="s">
        <v>17</v>
      </c>
      <c r="E345" s="27" t="s">
        <v>48</v>
      </c>
      <c r="F345" s="27" t="s">
        <v>49</v>
      </c>
      <c r="G345" s="27" t="s">
        <v>44</v>
      </c>
      <c r="H345" s="29">
        <v>542</v>
      </c>
      <c r="I345" s="27" t="s">
        <v>21</v>
      </c>
      <c r="J345" s="37">
        <v>45351</v>
      </c>
      <c r="K345" s="27" t="s">
        <v>22</v>
      </c>
    </row>
    <row r="346" spans="1:11" x14ac:dyDescent="0.2">
      <c r="A346" s="24" t="s">
        <v>979</v>
      </c>
      <c r="B346" s="24" t="s">
        <v>980</v>
      </c>
      <c r="C346" s="24" t="s">
        <v>981</v>
      </c>
      <c r="D346" s="24" t="s">
        <v>17</v>
      </c>
      <c r="E346" s="24" t="s">
        <v>18</v>
      </c>
      <c r="F346" s="24" t="s">
        <v>19</v>
      </c>
      <c r="G346" s="24" t="s">
        <v>28</v>
      </c>
      <c r="H346" s="26">
        <v>9</v>
      </c>
      <c r="I346" s="24" t="s">
        <v>29</v>
      </c>
      <c r="J346" s="36">
        <v>45323</v>
      </c>
      <c r="K346" s="24" t="s">
        <v>22</v>
      </c>
    </row>
    <row r="347" spans="1:11" x14ac:dyDescent="0.2">
      <c r="A347" s="27" t="s">
        <v>982</v>
      </c>
      <c r="B347" s="27" t="s">
        <v>983</v>
      </c>
      <c r="C347" s="27" t="s">
        <v>984</v>
      </c>
      <c r="D347" s="27" t="s">
        <v>17</v>
      </c>
      <c r="E347" s="27" t="s">
        <v>48</v>
      </c>
      <c r="F347" s="27" t="s">
        <v>49</v>
      </c>
      <c r="G347" s="27" t="s">
        <v>116</v>
      </c>
      <c r="H347" s="29">
        <v>0</v>
      </c>
      <c r="I347" s="27" t="s">
        <v>21</v>
      </c>
      <c r="J347" s="37">
        <v>45330</v>
      </c>
      <c r="K347" s="27" t="s">
        <v>22</v>
      </c>
    </row>
    <row r="348" spans="1:11" x14ac:dyDescent="0.2">
      <c r="A348" s="24" t="s">
        <v>985</v>
      </c>
      <c r="B348" s="24" t="s">
        <v>986</v>
      </c>
      <c r="C348" s="24" t="s">
        <v>987</v>
      </c>
      <c r="D348" s="24" t="s">
        <v>17</v>
      </c>
      <c r="E348" s="24" t="s">
        <v>26</v>
      </c>
      <c r="F348" s="24" t="s">
        <v>27</v>
      </c>
      <c r="G348" s="24" t="s">
        <v>28</v>
      </c>
      <c r="H348" s="26">
        <v>70</v>
      </c>
      <c r="I348" s="24" t="s">
        <v>29</v>
      </c>
      <c r="J348" s="36">
        <v>45323</v>
      </c>
      <c r="K348" s="24" t="s">
        <v>22</v>
      </c>
    </row>
    <row r="349" spans="1:11" x14ac:dyDescent="0.2">
      <c r="A349" s="27" t="s">
        <v>988</v>
      </c>
      <c r="B349" s="27" t="s">
        <v>989</v>
      </c>
      <c r="C349" s="27" t="s">
        <v>921</v>
      </c>
      <c r="D349" s="27" t="s">
        <v>17</v>
      </c>
      <c r="E349" s="27" t="s">
        <v>18</v>
      </c>
      <c r="F349" s="27" t="s">
        <v>19</v>
      </c>
      <c r="G349" s="27" t="s">
        <v>20</v>
      </c>
      <c r="H349" s="29">
        <v>96</v>
      </c>
      <c r="I349" s="27" t="s">
        <v>21</v>
      </c>
      <c r="J349" s="37">
        <v>45324</v>
      </c>
      <c r="K349" s="27" t="s">
        <v>22</v>
      </c>
    </row>
    <row r="350" spans="1:11" x14ac:dyDescent="0.2">
      <c r="A350" s="24" t="s">
        <v>990</v>
      </c>
      <c r="B350" s="24" t="s">
        <v>991</v>
      </c>
      <c r="C350" s="24" t="s">
        <v>992</v>
      </c>
      <c r="D350" s="24" t="s">
        <v>17</v>
      </c>
      <c r="E350" s="24" t="s">
        <v>42</v>
      </c>
      <c r="F350" s="24" t="s">
        <v>43</v>
      </c>
      <c r="G350" s="24" t="s">
        <v>20</v>
      </c>
      <c r="H350" s="26">
        <v>134</v>
      </c>
      <c r="I350" s="24" t="s">
        <v>21</v>
      </c>
      <c r="J350" s="36">
        <v>45348</v>
      </c>
      <c r="K350" s="24" t="s">
        <v>22</v>
      </c>
    </row>
    <row r="351" spans="1:11" x14ac:dyDescent="0.2">
      <c r="A351" s="27" t="s">
        <v>993</v>
      </c>
      <c r="B351" s="27" t="s">
        <v>994</v>
      </c>
      <c r="C351" s="27" t="s">
        <v>251</v>
      </c>
      <c r="D351" s="27" t="s">
        <v>17</v>
      </c>
      <c r="E351" s="27" t="s">
        <v>48</v>
      </c>
      <c r="F351" s="27" t="s">
        <v>49</v>
      </c>
      <c r="G351" s="27" t="s">
        <v>28</v>
      </c>
      <c r="H351" s="29">
        <v>108</v>
      </c>
      <c r="I351" s="27" t="s">
        <v>29</v>
      </c>
      <c r="J351" s="37">
        <v>45342</v>
      </c>
      <c r="K351" s="27" t="s">
        <v>22</v>
      </c>
    </row>
    <row r="352" spans="1:11" x14ac:dyDescent="0.2">
      <c r="A352" s="24" t="s">
        <v>995</v>
      </c>
      <c r="B352" s="24" t="s">
        <v>996</v>
      </c>
      <c r="C352" s="24" t="s">
        <v>997</v>
      </c>
      <c r="D352" s="24" t="s">
        <v>17</v>
      </c>
      <c r="E352" s="24" t="s">
        <v>18</v>
      </c>
      <c r="F352" s="24" t="s">
        <v>19</v>
      </c>
      <c r="G352" s="24" t="s">
        <v>28</v>
      </c>
      <c r="H352" s="26">
        <v>96</v>
      </c>
      <c r="I352" s="24" t="s">
        <v>29</v>
      </c>
      <c r="J352" s="36">
        <v>45327</v>
      </c>
      <c r="K352" s="24" t="s">
        <v>22</v>
      </c>
    </row>
    <row r="353" spans="1:11" x14ac:dyDescent="0.2">
      <c r="A353" s="27" t="s">
        <v>998</v>
      </c>
      <c r="B353" s="27" t="s">
        <v>999</v>
      </c>
      <c r="C353" s="27" t="s">
        <v>1000</v>
      </c>
      <c r="D353" s="27" t="s">
        <v>17</v>
      </c>
      <c r="E353" s="27" t="s">
        <v>18</v>
      </c>
      <c r="F353" s="27" t="s">
        <v>19</v>
      </c>
      <c r="G353" s="27" t="s">
        <v>28</v>
      </c>
      <c r="H353" s="29">
        <v>36</v>
      </c>
      <c r="I353" s="27" t="s">
        <v>29</v>
      </c>
      <c r="J353" s="37">
        <v>45323</v>
      </c>
      <c r="K353" s="27" t="s">
        <v>22</v>
      </c>
    </row>
    <row r="354" spans="1:11" x14ac:dyDescent="0.2">
      <c r="A354" s="24" t="s">
        <v>1001</v>
      </c>
      <c r="B354" s="24" t="s">
        <v>1002</v>
      </c>
      <c r="C354" s="24" t="s">
        <v>984</v>
      </c>
      <c r="D354" s="24" t="s">
        <v>17</v>
      </c>
      <c r="E354" s="24" t="s">
        <v>18</v>
      </c>
      <c r="F354" s="24" t="s">
        <v>19</v>
      </c>
      <c r="G354" s="24" t="s">
        <v>20</v>
      </c>
      <c r="H354" s="26">
        <v>44</v>
      </c>
      <c r="I354" s="24" t="s">
        <v>21</v>
      </c>
      <c r="J354" s="36">
        <v>45338</v>
      </c>
      <c r="K354" s="24" t="s">
        <v>22</v>
      </c>
    </row>
    <row r="355" spans="1:11" x14ac:dyDescent="0.2">
      <c r="A355" s="27" t="s">
        <v>1003</v>
      </c>
      <c r="B355" s="27" t="s">
        <v>1004</v>
      </c>
      <c r="C355" s="27" t="s">
        <v>1005</v>
      </c>
      <c r="D355" s="27" t="s">
        <v>17</v>
      </c>
      <c r="E355" s="27" t="s">
        <v>48</v>
      </c>
      <c r="F355" s="27" t="s">
        <v>49</v>
      </c>
      <c r="G355" s="27" t="s">
        <v>28</v>
      </c>
      <c r="H355" s="29">
        <v>40</v>
      </c>
      <c r="I355" s="27" t="s">
        <v>29</v>
      </c>
      <c r="J355" s="37">
        <v>45330</v>
      </c>
      <c r="K355" s="27" t="s">
        <v>22</v>
      </c>
    </row>
    <row r="356" spans="1:11" x14ac:dyDescent="0.2">
      <c r="A356" s="24" t="s">
        <v>1006</v>
      </c>
      <c r="B356" s="24" t="s">
        <v>1007</v>
      </c>
      <c r="C356" s="24" t="s">
        <v>1008</v>
      </c>
      <c r="D356" s="24" t="s">
        <v>17</v>
      </c>
      <c r="E356" s="24" t="s">
        <v>48</v>
      </c>
      <c r="F356" s="24" t="s">
        <v>49</v>
      </c>
      <c r="G356" s="24" t="s">
        <v>28</v>
      </c>
      <c r="H356" s="26">
        <v>20</v>
      </c>
      <c r="I356" s="24" t="s">
        <v>29</v>
      </c>
      <c r="J356" s="36">
        <v>45349</v>
      </c>
      <c r="K356" s="24" t="s">
        <v>22</v>
      </c>
    </row>
    <row r="357" spans="1:11" x14ac:dyDescent="0.2">
      <c r="A357" s="27" t="s">
        <v>1009</v>
      </c>
      <c r="B357" s="27" t="s">
        <v>1010</v>
      </c>
      <c r="C357" s="27" t="s">
        <v>1011</v>
      </c>
      <c r="D357" s="27" t="s">
        <v>17</v>
      </c>
      <c r="E357" s="27" t="s">
        <v>18</v>
      </c>
      <c r="F357" s="27" t="s">
        <v>19</v>
      </c>
      <c r="G357" s="27" t="s">
        <v>28</v>
      </c>
      <c r="H357" s="29">
        <v>200</v>
      </c>
      <c r="I357" s="27" t="s">
        <v>29</v>
      </c>
      <c r="J357" s="37">
        <v>45348</v>
      </c>
      <c r="K357" s="27" t="s">
        <v>22</v>
      </c>
    </row>
    <row r="358" spans="1:11" x14ac:dyDescent="0.2">
      <c r="A358" s="24" t="s">
        <v>1012</v>
      </c>
      <c r="B358" s="24" t="s">
        <v>1013</v>
      </c>
      <c r="C358" s="24" t="s">
        <v>1014</v>
      </c>
      <c r="D358" s="24" t="s">
        <v>17</v>
      </c>
      <c r="E358" s="24" t="s">
        <v>18</v>
      </c>
      <c r="F358" s="24" t="s">
        <v>19</v>
      </c>
      <c r="G358" s="24" t="s">
        <v>28</v>
      </c>
      <c r="H358" s="26">
        <v>32</v>
      </c>
      <c r="I358" s="24" t="s">
        <v>29</v>
      </c>
      <c r="J358" s="36">
        <v>45335</v>
      </c>
      <c r="K358" s="24" t="s">
        <v>22</v>
      </c>
    </row>
    <row r="359" spans="1:11" x14ac:dyDescent="0.2">
      <c r="A359" s="27" t="s">
        <v>1015</v>
      </c>
      <c r="B359" s="27" t="s">
        <v>1016</v>
      </c>
      <c r="C359" s="27" t="s">
        <v>1017</v>
      </c>
      <c r="D359" s="27" t="s">
        <v>17</v>
      </c>
      <c r="E359" s="27" t="s">
        <v>26</v>
      </c>
      <c r="F359" s="27" t="s">
        <v>27</v>
      </c>
      <c r="G359" s="27" t="s">
        <v>28</v>
      </c>
      <c r="H359" s="29">
        <v>257</v>
      </c>
      <c r="I359" s="27" t="s">
        <v>29</v>
      </c>
      <c r="J359" s="37">
        <v>45326</v>
      </c>
      <c r="K359" s="27" t="s">
        <v>22</v>
      </c>
    </row>
    <row r="360" spans="1:11" x14ac:dyDescent="0.2">
      <c r="A360" s="24" t="s">
        <v>1018</v>
      </c>
      <c r="B360" s="24" t="s">
        <v>1019</v>
      </c>
      <c r="C360" s="24" t="s">
        <v>197</v>
      </c>
      <c r="D360" s="24" t="s">
        <v>17</v>
      </c>
      <c r="E360" s="24" t="s">
        <v>42</v>
      </c>
      <c r="F360" s="24" t="s">
        <v>43</v>
      </c>
      <c r="G360" s="24" t="s">
        <v>44</v>
      </c>
      <c r="H360" s="26">
        <v>7</v>
      </c>
      <c r="I360" s="24" t="s">
        <v>21</v>
      </c>
      <c r="J360" s="36">
        <v>45350</v>
      </c>
      <c r="K360" s="24" t="s">
        <v>22</v>
      </c>
    </row>
    <row r="361" spans="1:11" x14ac:dyDescent="0.2">
      <c r="A361" s="27" t="s">
        <v>1020</v>
      </c>
      <c r="B361" s="27" t="s">
        <v>1021</v>
      </c>
      <c r="C361" s="27" t="s">
        <v>1022</v>
      </c>
      <c r="D361" s="27" t="s">
        <v>17</v>
      </c>
      <c r="E361" s="27" t="s">
        <v>81</v>
      </c>
      <c r="F361" s="27" t="s">
        <v>82</v>
      </c>
      <c r="G361" s="27" t="s">
        <v>20</v>
      </c>
      <c r="H361" s="29">
        <v>24</v>
      </c>
      <c r="I361" s="27" t="s">
        <v>21</v>
      </c>
      <c r="J361" s="37">
        <v>45328</v>
      </c>
      <c r="K361" s="27" t="s">
        <v>22</v>
      </c>
    </row>
    <row r="362" spans="1:11" x14ac:dyDescent="0.2">
      <c r="A362" s="24" t="s">
        <v>1023</v>
      </c>
      <c r="B362" s="24" t="s">
        <v>1024</v>
      </c>
      <c r="C362" s="24" t="s">
        <v>1025</v>
      </c>
      <c r="D362" s="24" t="s">
        <v>17</v>
      </c>
      <c r="E362" s="24" t="s">
        <v>18</v>
      </c>
      <c r="F362" s="24" t="s">
        <v>19</v>
      </c>
      <c r="G362" s="24" t="s">
        <v>38</v>
      </c>
      <c r="H362" s="26">
        <v>300</v>
      </c>
      <c r="I362" s="24" t="s">
        <v>29</v>
      </c>
      <c r="J362" s="36">
        <v>45323</v>
      </c>
      <c r="K362" s="24" t="s">
        <v>22</v>
      </c>
    </row>
    <row r="363" spans="1:11" x14ac:dyDescent="0.2">
      <c r="A363" s="27" t="s">
        <v>1026</v>
      </c>
      <c r="B363" s="27" t="s">
        <v>1027</v>
      </c>
      <c r="C363" s="27" t="s">
        <v>382</v>
      </c>
      <c r="D363" s="27" t="s">
        <v>17</v>
      </c>
      <c r="E363" s="27" t="s">
        <v>18</v>
      </c>
      <c r="F363" s="27" t="s">
        <v>19</v>
      </c>
      <c r="G363" s="27" t="s">
        <v>28</v>
      </c>
      <c r="H363" s="29">
        <v>147</v>
      </c>
      <c r="I363" s="27" t="s">
        <v>29</v>
      </c>
      <c r="J363" s="37">
        <v>45344</v>
      </c>
      <c r="K363" s="27" t="s">
        <v>22</v>
      </c>
    </row>
    <row r="364" spans="1:11" x14ac:dyDescent="0.2">
      <c r="A364" s="24" t="s">
        <v>1028</v>
      </c>
      <c r="B364" s="24" t="s">
        <v>1029</v>
      </c>
      <c r="C364" s="24" t="s">
        <v>1030</v>
      </c>
      <c r="D364" s="24" t="s">
        <v>17</v>
      </c>
      <c r="E364" s="24" t="s">
        <v>18</v>
      </c>
      <c r="F364" s="24" t="s">
        <v>19</v>
      </c>
      <c r="G364" s="24" t="s">
        <v>20</v>
      </c>
      <c r="H364" s="26">
        <v>48</v>
      </c>
      <c r="I364" s="24" t="s">
        <v>21</v>
      </c>
      <c r="J364" s="36">
        <v>45330</v>
      </c>
      <c r="K364" s="24" t="s">
        <v>22</v>
      </c>
    </row>
    <row r="365" spans="1:11" x14ac:dyDescent="0.2">
      <c r="A365" s="27" t="s">
        <v>1031</v>
      </c>
      <c r="B365" s="27" t="s">
        <v>1032</v>
      </c>
      <c r="C365" s="27" t="s">
        <v>1033</v>
      </c>
      <c r="D365" s="27" t="s">
        <v>17</v>
      </c>
      <c r="E365" s="27" t="s">
        <v>48</v>
      </c>
      <c r="F365" s="27" t="s">
        <v>49</v>
      </c>
      <c r="G365" s="27" t="s">
        <v>44</v>
      </c>
      <c r="H365" s="29">
        <v>880</v>
      </c>
      <c r="I365" s="27" t="s">
        <v>29</v>
      </c>
      <c r="J365" s="37">
        <v>45328</v>
      </c>
      <c r="K365" s="27" t="s">
        <v>22</v>
      </c>
    </row>
    <row r="366" spans="1:11" x14ac:dyDescent="0.2">
      <c r="A366" s="24" t="s">
        <v>1034</v>
      </c>
      <c r="B366" s="24" t="s">
        <v>1035</v>
      </c>
      <c r="C366" s="24" t="s">
        <v>106</v>
      </c>
      <c r="D366" s="24" t="s">
        <v>17</v>
      </c>
      <c r="E366" s="24" t="s">
        <v>18</v>
      </c>
      <c r="F366" s="24" t="s">
        <v>19</v>
      </c>
      <c r="G366" s="24" t="s">
        <v>28</v>
      </c>
      <c r="H366" s="26">
        <v>97</v>
      </c>
      <c r="I366" s="24" t="s">
        <v>29</v>
      </c>
      <c r="J366" s="36">
        <v>45338</v>
      </c>
      <c r="K366" s="24" t="s">
        <v>22</v>
      </c>
    </row>
    <row r="367" spans="1:11" x14ac:dyDescent="0.2">
      <c r="A367" s="27" t="s">
        <v>1036</v>
      </c>
      <c r="B367" s="27" t="s">
        <v>1037</v>
      </c>
      <c r="C367" s="27" t="s">
        <v>1038</v>
      </c>
      <c r="D367" s="27" t="s">
        <v>17</v>
      </c>
      <c r="E367" s="27" t="s">
        <v>26</v>
      </c>
      <c r="F367" s="27" t="s">
        <v>27</v>
      </c>
      <c r="G367" s="27" t="s">
        <v>28</v>
      </c>
      <c r="H367" s="29">
        <v>28</v>
      </c>
      <c r="I367" s="27" t="s">
        <v>29</v>
      </c>
      <c r="J367" s="37">
        <v>45338</v>
      </c>
      <c r="K367" s="27" t="s">
        <v>22</v>
      </c>
    </row>
    <row r="368" spans="1:11" x14ac:dyDescent="0.2">
      <c r="A368" s="24" t="s">
        <v>1039</v>
      </c>
      <c r="B368" s="24" t="s">
        <v>1040</v>
      </c>
      <c r="C368" s="24" t="s">
        <v>1041</v>
      </c>
      <c r="D368" s="24" t="s">
        <v>17</v>
      </c>
      <c r="E368" s="24" t="s">
        <v>48</v>
      </c>
      <c r="F368" s="24" t="s">
        <v>49</v>
      </c>
      <c r="G368" s="24" t="s">
        <v>20</v>
      </c>
      <c r="H368" s="26">
        <v>41</v>
      </c>
      <c r="I368" s="24" t="s">
        <v>21</v>
      </c>
      <c r="J368" s="36">
        <v>45327</v>
      </c>
      <c r="K368" s="24" t="s">
        <v>22</v>
      </c>
    </row>
    <row r="369" spans="1:11" x14ac:dyDescent="0.2">
      <c r="A369" s="27" t="s">
        <v>1042</v>
      </c>
      <c r="B369" s="27" t="s">
        <v>1043</v>
      </c>
      <c r="C369" s="27" t="s">
        <v>1044</v>
      </c>
      <c r="D369" s="27" t="s">
        <v>17</v>
      </c>
      <c r="E369" s="27" t="s">
        <v>42</v>
      </c>
      <c r="F369" s="27" t="s">
        <v>43</v>
      </c>
      <c r="G369" s="27" t="s">
        <v>20</v>
      </c>
      <c r="H369" s="29">
        <v>461</v>
      </c>
      <c r="I369" s="27" t="s">
        <v>21</v>
      </c>
      <c r="J369" s="37">
        <v>45328</v>
      </c>
      <c r="K369" s="27" t="s">
        <v>22</v>
      </c>
    </row>
    <row r="370" spans="1:11" x14ac:dyDescent="0.2">
      <c r="A370" s="24" t="s">
        <v>1045</v>
      </c>
      <c r="B370" s="24" t="s">
        <v>1046</v>
      </c>
      <c r="C370" s="24" t="s">
        <v>1047</v>
      </c>
      <c r="D370" s="24" t="s">
        <v>17</v>
      </c>
      <c r="E370" s="24" t="s">
        <v>18</v>
      </c>
      <c r="F370" s="24" t="s">
        <v>19</v>
      </c>
      <c r="G370" s="24" t="s">
        <v>20</v>
      </c>
      <c r="H370" s="26">
        <v>22</v>
      </c>
      <c r="I370" s="24" t="s">
        <v>21</v>
      </c>
      <c r="J370" s="36">
        <v>45349</v>
      </c>
      <c r="K370" s="24" t="s">
        <v>22</v>
      </c>
    </row>
    <row r="371" spans="1:11" x14ac:dyDescent="0.2">
      <c r="A371" s="27" t="s">
        <v>1048</v>
      </c>
      <c r="B371" s="27" t="s">
        <v>1049</v>
      </c>
      <c r="C371" s="27" t="s">
        <v>1050</v>
      </c>
      <c r="D371" s="27" t="s">
        <v>17</v>
      </c>
      <c r="E371" s="27" t="s">
        <v>42</v>
      </c>
      <c r="F371" s="27" t="s">
        <v>43</v>
      </c>
      <c r="G371" s="27" t="s">
        <v>20</v>
      </c>
      <c r="H371" s="29">
        <v>506</v>
      </c>
      <c r="I371" s="27" t="s">
        <v>21</v>
      </c>
      <c r="J371" s="37">
        <v>45345</v>
      </c>
      <c r="K371" s="27" t="s">
        <v>22</v>
      </c>
    </row>
    <row r="372" spans="1:11" x14ac:dyDescent="0.2">
      <c r="A372" s="24" t="s">
        <v>1051</v>
      </c>
      <c r="B372" s="24" t="s">
        <v>1052</v>
      </c>
      <c r="C372" s="24" t="s">
        <v>1053</v>
      </c>
      <c r="D372" s="24" t="s">
        <v>17</v>
      </c>
      <c r="E372" s="24" t="s">
        <v>18</v>
      </c>
      <c r="F372" s="24" t="s">
        <v>19</v>
      </c>
      <c r="G372" s="24" t="s">
        <v>44</v>
      </c>
      <c r="H372" s="26">
        <v>156</v>
      </c>
      <c r="I372" s="24" t="s">
        <v>29</v>
      </c>
      <c r="J372" s="36">
        <v>45349</v>
      </c>
      <c r="K372" s="24" t="s">
        <v>22</v>
      </c>
    </row>
    <row r="373" spans="1:11" x14ac:dyDescent="0.2">
      <c r="A373" s="27" t="s">
        <v>1054</v>
      </c>
      <c r="B373" s="27" t="s">
        <v>1055</v>
      </c>
      <c r="C373" s="27" t="s">
        <v>1056</v>
      </c>
      <c r="D373" s="27" t="s">
        <v>17</v>
      </c>
      <c r="E373" s="27" t="s">
        <v>18</v>
      </c>
      <c r="F373" s="27" t="s">
        <v>19</v>
      </c>
      <c r="G373" s="27" t="s">
        <v>44</v>
      </c>
      <c r="H373" s="29">
        <v>12</v>
      </c>
      <c r="I373" s="27" t="s">
        <v>29</v>
      </c>
      <c r="J373" s="37">
        <v>45323</v>
      </c>
      <c r="K373" s="27" t="s">
        <v>22</v>
      </c>
    </row>
    <row r="374" spans="1:11" x14ac:dyDescent="0.2">
      <c r="A374" s="24" t="s">
        <v>1057</v>
      </c>
      <c r="B374" s="24" t="s">
        <v>1058</v>
      </c>
      <c r="C374" s="24" t="s">
        <v>1059</v>
      </c>
      <c r="D374" s="24" t="s">
        <v>17</v>
      </c>
      <c r="E374" s="24" t="s">
        <v>42</v>
      </c>
      <c r="F374" s="24" t="s">
        <v>43</v>
      </c>
      <c r="G374" s="24" t="s">
        <v>20</v>
      </c>
      <c r="H374" s="26">
        <v>502</v>
      </c>
      <c r="I374" s="24" t="s">
        <v>21</v>
      </c>
      <c r="J374" s="36">
        <v>45337</v>
      </c>
      <c r="K374" s="24" t="s">
        <v>22</v>
      </c>
    </row>
    <row r="375" spans="1:11" x14ac:dyDescent="0.2">
      <c r="A375" s="27" t="s">
        <v>1060</v>
      </c>
      <c r="B375" s="27" t="s">
        <v>1061</v>
      </c>
      <c r="C375" s="27" t="s">
        <v>618</v>
      </c>
      <c r="D375" s="27" t="s">
        <v>17</v>
      </c>
      <c r="E375" s="27" t="s">
        <v>48</v>
      </c>
      <c r="F375" s="27" t="s">
        <v>49</v>
      </c>
      <c r="G375" s="27" t="s">
        <v>28</v>
      </c>
      <c r="H375" s="29">
        <v>160</v>
      </c>
      <c r="I375" s="27" t="s">
        <v>29</v>
      </c>
      <c r="J375" s="37">
        <v>45348</v>
      </c>
      <c r="K375" s="27" t="s">
        <v>22</v>
      </c>
    </row>
    <row r="376" spans="1:11" x14ac:dyDescent="0.2">
      <c r="A376" s="24" t="s">
        <v>1062</v>
      </c>
      <c r="B376" s="24" t="s">
        <v>1063</v>
      </c>
      <c r="C376" s="24" t="s">
        <v>644</v>
      </c>
      <c r="D376" s="24" t="s">
        <v>17</v>
      </c>
      <c r="E376" s="24" t="s">
        <v>18</v>
      </c>
      <c r="F376" s="24" t="s">
        <v>19</v>
      </c>
      <c r="G376" s="24" t="s">
        <v>20</v>
      </c>
      <c r="H376" s="26">
        <v>30</v>
      </c>
      <c r="I376" s="24" t="s">
        <v>21</v>
      </c>
      <c r="J376" s="36">
        <v>45327</v>
      </c>
      <c r="K376" s="24" t="s">
        <v>22</v>
      </c>
    </row>
    <row r="377" spans="1:11" x14ac:dyDescent="0.2">
      <c r="A377" s="27" t="s">
        <v>1064</v>
      </c>
      <c r="B377" s="27" t="s">
        <v>1065</v>
      </c>
      <c r="C377" s="27" t="s">
        <v>1000</v>
      </c>
      <c r="D377" s="27" t="s">
        <v>17</v>
      </c>
      <c r="E377" s="27" t="s">
        <v>42</v>
      </c>
      <c r="F377" s="27" t="s">
        <v>43</v>
      </c>
      <c r="G377" s="27" t="s">
        <v>28</v>
      </c>
      <c r="H377" s="29">
        <v>277</v>
      </c>
      <c r="I377" s="27" t="s">
        <v>29</v>
      </c>
      <c r="J377" s="37">
        <v>45349</v>
      </c>
      <c r="K377" s="27" t="s">
        <v>22</v>
      </c>
    </row>
    <row r="378" spans="1:11" x14ac:dyDescent="0.2">
      <c r="A378" s="24" t="s">
        <v>1066</v>
      </c>
      <c r="B378" s="24" t="s">
        <v>1067</v>
      </c>
      <c r="C378" s="24" t="s">
        <v>1068</v>
      </c>
      <c r="D378" s="24" t="s">
        <v>17</v>
      </c>
      <c r="E378" s="24" t="s">
        <v>18</v>
      </c>
      <c r="F378" s="24" t="s">
        <v>19</v>
      </c>
      <c r="G378" s="24" t="s">
        <v>257</v>
      </c>
      <c r="H378" s="26">
        <v>120</v>
      </c>
      <c r="I378" s="24" t="s">
        <v>29</v>
      </c>
      <c r="J378" s="36">
        <v>45341</v>
      </c>
      <c r="K378" s="24" t="s">
        <v>22</v>
      </c>
    </row>
    <row r="379" spans="1:11" x14ac:dyDescent="0.2">
      <c r="A379" s="27" t="s">
        <v>1069</v>
      </c>
      <c r="B379" s="27" t="s">
        <v>1070</v>
      </c>
      <c r="C379" s="27" t="s">
        <v>1071</v>
      </c>
      <c r="D379" s="27" t="s">
        <v>17</v>
      </c>
      <c r="E379" s="27" t="s">
        <v>26</v>
      </c>
      <c r="F379" s="27" t="s">
        <v>27</v>
      </c>
      <c r="G379" s="27" t="s">
        <v>116</v>
      </c>
      <c r="H379" s="29">
        <v>0</v>
      </c>
      <c r="I379" s="27" t="s">
        <v>21</v>
      </c>
      <c r="J379" s="37">
        <v>45337</v>
      </c>
      <c r="K379" s="27" t="s">
        <v>22</v>
      </c>
    </row>
    <row r="380" spans="1:11" x14ac:dyDescent="0.2">
      <c r="A380" s="24" t="s">
        <v>1072</v>
      </c>
      <c r="B380" s="24" t="s">
        <v>1073</v>
      </c>
      <c r="C380" s="24" t="s">
        <v>213</v>
      </c>
      <c r="D380" s="24" t="s">
        <v>17</v>
      </c>
      <c r="E380" s="24" t="s">
        <v>18</v>
      </c>
      <c r="F380" s="24" t="s">
        <v>19</v>
      </c>
      <c r="G380" s="24" t="s">
        <v>20</v>
      </c>
      <c r="H380" s="26">
        <v>50</v>
      </c>
      <c r="I380" s="24" t="s">
        <v>21</v>
      </c>
      <c r="J380" s="36">
        <v>45342</v>
      </c>
      <c r="K380" s="24" t="s">
        <v>22</v>
      </c>
    </row>
    <row r="381" spans="1:11" x14ac:dyDescent="0.2">
      <c r="A381" s="27" t="s">
        <v>1074</v>
      </c>
      <c r="B381" s="27" t="s">
        <v>1075</v>
      </c>
      <c r="C381" s="27" t="s">
        <v>865</v>
      </c>
      <c r="D381" s="27" t="s">
        <v>17</v>
      </c>
      <c r="E381" s="27" t="s">
        <v>18</v>
      </c>
      <c r="F381" s="27" t="s">
        <v>19</v>
      </c>
      <c r="G381" s="27" t="s">
        <v>20</v>
      </c>
      <c r="H381" s="29">
        <v>22</v>
      </c>
      <c r="I381" s="27" t="s">
        <v>21</v>
      </c>
      <c r="J381" s="37">
        <v>45351</v>
      </c>
      <c r="K381" s="27" t="s">
        <v>22</v>
      </c>
    </row>
    <row r="382" spans="1:11" x14ac:dyDescent="0.2">
      <c r="A382" s="24" t="s">
        <v>1076</v>
      </c>
      <c r="B382" s="24" t="s">
        <v>1077</v>
      </c>
      <c r="C382" s="24" t="s">
        <v>618</v>
      </c>
      <c r="D382" s="24" t="s">
        <v>17</v>
      </c>
      <c r="E382" s="24" t="s">
        <v>48</v>
      </c>
      <c r="F382" s="24" t="s">
        <v>49</v>
      </c>
      <c r="G382" s="24" t="s">
        <v>28</v>
      </c>
      <c r="H382" s="26">
        <v>220</v>
      </c>
      <c r="I382" s="24" t="s">
        <v>29</v>
      </c>
      <c r="J382" s="36">
        <v>45328</v>
      </c>
      <c r="K382" s="24" t="s">
        <v>22</v>
      </c>
    </row>
    <row r="383" spans="1:11" x14ac:dyDescent="0.2">
      <c r="A383" s="27" t="s">
        <v>1078</v>
      </c>
      <c r="B383" s="27" t="s">
        <v>1079</v>
      </c>
      <c r="C383" s="27" t="s">
        <v>1080</v>
      </c>
      <c r="D383" s="27" t="s">
        <v>17</v>
      </c>
      <c r="E383" s="27" t="s">
        <v>81</v>
      </c>
      <c r="F383" s="27" t="s">
        <v>82</v>
      </c>
      <c r="G383" s="27" t="s">
        <v>44</v>
      </c>
      <c r="H383" s="29">
        <v>274</v>
      </c>
      <c r="I383" s="27" t="s">
        <v>29</v>
      </c>
      <c r="J383" s="37">
        <v>45330</v>
      </c>
      <c r="K383" s="27" t="s">
        <v>22</v>
      </c>
    </row>
    <row r="384" spans="1:11" x14ac:dyDescent="0.2">
      <c r="A384" s="24" t="s">
        <v>1081</v>
      </c>
      <c r="B384" s="24" t="s">
        <v>1082</v>
      </c>
      <c r="C384" s="24" t="s">
        <v>1083</v>
      </c>
      <c r="D384" s="24" t="s">
        <v>17</v>
      </c>
      <c r="E384" s="24" t="s">
        <v>81</v>
      </c>
      <c r="F384" s="24" t="s">
        <v>82</v>
      </c>
      <c r="G384" s="24" t="s">
        <v>20</v>
      </c>
      <c r="H384" s="26">
        <v>99</v>
      </c>
      <c r="I384" s="24" t="s">
        <v>21</v>
      </c>
      <c r="J384" s="36">
        <v>45350</v>
      </c>
      <c r="K384" s="24" t="s">
        <v>22</v>
      </c>
    </row>
    <row r="385" spans="1:11" x14ac:dyDescent="0.2">
      <c r="A385" s="27" t="s">
        <v>1084</v>
      </c>
      <c r="B385" s="27" t="s">
        <v>1085</v>
      </c>
      <c r="C385" s="27" t="s">
        <v>789</v>
      </c>
      <c r="D385" s="27" t="s">
        <v>17</v>
      </c>
      <c r="E385" s="27" t="s">
        <v>48</v>
      </c>
      <c r="F385" s="27" t="s">
        <v>49</v>
      </c>
      <c r="G385" s="27" t="s">
        <v>20</v>
      </c>
      <c r="H385" s="29">
        <v>46</v>
      </c>
      <c r="I385" s="27" t="s">
        <v>21</v>
      </c>
      <c r="J385" s="37">
        <v>45323</v>
      </c>
      <c r="K385" s="27" t="s">
        <v>22</v>
      </c>
    </row>
    <row r="386" spans="1:11" x14ac:dyDescent="0.2">
      <c r="A386" s="24" t="s">
        <v>1086</v>
      </c>
      <c r="B386" s="24" t="s">
        <v>1087</v>
      </c>
      <c r="C386" s="24" t="s">
        <v>1088</v>
      </c>
      <c r="D386" s="24" t="s">
        <v>17</v>
      </c>
      <c r="E386" s="24" t="s">
        <v>48</v>
      </c>
      <c r="F386" s="24" t="s">
        <v>49</v>
      </c>
      <c r="G386" s="24" t="s">
        <v>20</v>
      </c>
      <c r="H386" s="26">
        <v>375</v>
      </c>
      <c r="I386" s="24" t="s">
        <v>21</v>
      </c>
      <c r="J386" s="36">
        <v>45351</v>
      </c>
      <c r="K386" s="24" t="s">
        <v>22</v>
      </c>
    </row>
    <row r="387" spans="1:11" x14ac:dyDescent="0.2">
      <c r="A387" s="27" t="s">
        <v>1089</v>
      </c>
      <c r="B387" s="27" t="s">
        <v>1090</v>
      </c>
      <c r="C387" s="27" t="s">
        <v>792</v>
      </c>
      <c r="D387" s="27" t="s">
        <v>17</v>
      </c>
      <c r="E387" s="27" t="s">
        <v>33</v>
      </c>
      <c r="F387" s="27" t="s">
        <v>34</v>
      </c>
      <c r="G387" s="27" t="s">
        <v>28</v>
      </c>
      <c r="H387" s="29">
        <v>860</v>
      </c>
      <c r="I387" s="27" t="s">
        <v>29</v>
      </c>
      <c r="J387" s="37">
        <v>45349</v>
      </c>
      <c r="K387" s="27" t="s">
        <v>22</v>
      </c>
    </row>
    <row r="388" spans="1:11" x14ac:dyDescent="0.2">
      <c r="A388" s="24" t="s">
        <v>1091</v>
      </c>
      <c r="B388" s="24" t="s">
        <v>1092</v>
      </c>
      <c r="C388" s="24" t="s">
        <v>1093</v>
      </c>
      <c r="D388" s="24" t="s">
        <v>17</v>
      </c>
      <c r="E388" s="24" t="s">
        <v>42</v>
      </c>
      <c r="F388" s="24" t="s">
        <v>43</v>
      </c>
      <c r="G388" s="24" t="s">
        <v>20</v>
      </c>
      <c r="H388" s="26">
        <v>91</v>
      </c>
      <c r="I388" s="24" t="s">
        <v>21</v>
      </c>
      <c r="J388" s="36">
        <v>45343</v>
      </c>
      <c r="K388" s="24" t="s">
        <v>22</v>
      </c>
    </row>
    <row r="389" spans="1:11" x14ac:dyDescent="0.2">
      <c r="A389" s="27" t="s">
        <v>1094</v>
      </c>
      <c r="B389" s="27" t="s">
        <v>1095</v>
      </c>
      <c r="C389" s="27" t="s">
        <v>1096</v>
      </c>
      <c r="D389" s="27" t="s">
        <v>17</v>
      </c>
      <c r="E389" s="27" t="s">
        <v>18</v>
      </c>
      <c r="F389" s="27" t="s">
        <v>19</v>
      </c>
      <c r="G389" s="27" t="s">
        <v>116</v>
      </c>
      <c r="H389" s="29">
        <v>0</v>
      </c>
      <c r="I389" s="27" t="s">
        <v>21</v>
      </c>
      <c r="J389" s="37">
        <v>45323</v>
      </c>
      <c r="K389" s="27" t="s">
        <v>22</v>
      </c>
    </row>
    <row r="390" spans="1:11" x14ac:dyDescent="0.2">
      <c r="A390" s="24" t="s">
        <v>1097</v>
      </c>
      <c r="B390" s="24" t="s">
        <v>1098</v>
      </c>
      <c r="C390" s="24" t="s">
        <v>810</v>
      </c>
      <c r="D390" s="24" t="s">
        <v>17</v>
      </c>
      <c r="E390" s="24" t="s">
        <v>48</v>
      </c>
      <c r="F390" s="24" t="s">
        <v>49</v>
      </c>
      <c r="G390" s="24" t="s">
        <v>28</v>
      </c>
      <c r="H390" s="26">
        <v>270</v>
      </c>
      <c r="I390" s="24" t="s">
        <v>29</v>
      </c>
      <c r="J390" s="36">
        <v>45343</v>
      </c>
      <c r="K390" s="24" t="s">
        <v>22</v>
      </c>
    </row>
    <row r="391" spans="1:11" x14ac:dyDescent="0.2">
      <c r="A391" s="27" t="s">
        <v>1099</v>
      </c>
      <c r="B391" s="27" t="s">
        <v>1100</v>
      </c>
      <c r="C391" s="27" t="s">
        <v>1050</v>
      </c>
      <c r="D391" s="27" t="s">
        <v>17</v>
      </c>
      <c r="E391" s="27" t="s">
        <v>42</v>
      </c>
      <c r="F391" s="27" t="s">
        <v>43</v>
      </c>
      <c r="G391" s="27" t="s">
        <v>28</v>
      </c>
      <c r="H391" s="29">
        <v>630</v>
      </c>
      <c r="I391" s="27" t="s">
        <v>29</v>
      </c>
      <c r="J391" s="37">
        <v>45349</v>
      </c>
      <c r="K391" s="27" t="s">
        <v>22</v>
      </c>
    </row>
    <row r="392" spans="1:11" x14ac:dyDescent="0.2">
      <c r="A392" s="24" t="s">
        <v>1101</v>
      </c>
      <c r="B392" s="24" t="s">
        <v>1102</v>
      </c>
      <c r="C392" s="24" t="s">
        <v>1103</v>
      </c>
      <c r="D392" s="24" t="s">
        <v>17</v>
      </c>
      <c r="E392" s="24" t="s">
        <v>26</v>
      </c>
      <c r="F392" s="24" t="s">
        <v>27</v>
      </c>
      <c r="G392" s="24" t="s">
        <v>28</v>
      </c>
      <c r="H392" s="26">
        <v>98</v>
      </c>
      <c r="I392" s="24" t="s">
        <v>29</v>
      </c>
      <c r="J392" s="36">
        <v>45327</v>
      </c>
      <c r="K392" s="24" t="s">
        <v>22</v>
      </c>
    </row>
    <row r="393" spans="1:11" x14ac:dyDescent="0.2">
      <c r="A393" s="27" t="s">
        <v>1104</v>
      </c>
      <c r="B393" s="27" t="s">
        <v>1105</v>
      </c>
      <c r="C393" s="27" t="s">
        <v>213</v>
      </c>
      <c r="D393" s="27" t="s">
        <v>17</v>
      </c>
      <c r="E393" s="27" t="s">
        <v>18</v>
      </c>
      <c r="F393" s="27" t="s">
        <v>19</v>
      </c>
      <c r="G393" s="27" t="s">
        <v>59</v>
      </c>
      <c r="H393" s="29">
        <v>9</v>
      </c>
      <c r="I393" s="27" t="s">
        <v>21</v>
      </c>
      <c r="J393" s="37">
        <v>45330</v>
      </c>
      <c r="K393" s="27" t="s">
        <v>22</v>
      </c>
    </row>
    <row r="394" spans="1:11" x14ac:dyDescent="0.2">
      <c r="A394" s="24" t="s">
        <v>1106</v>
      </c>
      <c r="B394" s="24" t="s">
        <v>1107</v>
      </c>
      <c r="C394" s="24" t="s">
        <v>106</v>
      </c>
      <c r="D394" s="24" t="s">
        <v>17</v>
      </c>
      <c r="E394" s="24" t="s">
        <v>42</v>
      </c>
      <c r="F394" s="24" t="s">
        <v>43</v>
      </c>
      <c r="G394" s="24" t="s">
        <v>28</v>
      </c>
      <c r="H394" s="26">
        <v>416</v>
      </c>
      <c r="I394" s="24" t="s">
        <v>29</v>
      </c>
      <c r="J394" s="36">
        <v>45331</v>
      </c>
      <c r="K394" s="24" t="s">
        <v>22</v>
      </c>
    </row>
    <row r="395" spans="1:11" x14ac:dyDescent="0.2">
      <c r="A395" s="27" t="s">
        <v>1108</v>
      </c>
      <c r="B395" s="27" t="s">
        <v>1109</v>
      </c>
      <c r="C395" s="27" t="s">
        <v>1110</v>
      </c>
      <c r="D395" s="27" t="s">
        <v>17</v>
      </c>
      <c r="E395" s="27" t="s">
        <v>18</v>
      </c>
      <c r="F395" s="27" t="s">
        <v>19</v>
      </c>
      <c r="G395" s="27" t="s">
        <v>20</v>
      </c>
      <c r="H395" s="29">
        <v>48</v>
      </c>
      <c r="I395" s="27" t="s">
        <v>21</v>
      </c>
      <c r="J395" s="37">
        <v>45336</v>
      </c>
      <c r="K395" s="27" t="s">
        <v>22</v>
      </c>
    </row>
    <row r="396" spans="1:11" x14ac:dyDescent="0.2">
      <c r="A396" s="24" t="s">
        <v>1111</v>
      </c>
      <c r="B396" s="24" t="s">
        <v>1112</v>
      </c>
      <c r="C396" s="24" t="s">
        <v>1113</v>
      </c>
      <c r="D396" s="24" t="s">
        <v>17</v>
      </c>
      <c r="E396" s="24" t="s">
        <v>48</v>
      </c>
      <c r="F396" s="24" t="s">
        <v>49</v>
      </c>
      <c r="G396" s="24" t="s">
        <v>44</v>
      </c>
      <c r="H396" s="26">
        <v>113</v>
      </c>
      <c r="I396" s="24" t="s">
        <v>21</v>
      </c>
      <c r="J396" s="36">
        <v>45349</v>
      </c>
      <c r="K396" s="24" t="s">
        <v>22</v>
      </c>
    </row>
    <row r="397" spans="1:11" x14ac:dyDescent="0.2">
      <c r="A397" s="27" t="s">
        <v>1114</v>
      </c>
      <c r="B397" s="27" t="s">
        <v>1115</v>
      </c>
      <c r="C397" s="27" t="s">
        <v>1116</v>
      </c>
      <c r="D397" s="27" t="s">
        <v>17</v>
      </c>
      <c r="E397" s="27" t="s">
        <v>18</v>
      </c>
      <c r="F397" s="27" t="s">
        <v>19</v>
      </c>
      <c r="G397" s="27" t="s">
        <v>59</v>
      </c>
      <c r="H397" s="29">
        <v>22</v>
      </c>
      <c r="I397" s="27" t="s">
        <v>21</v>
      </c>
      <c r="J397" s="37">
        <v>45351</v>
      </c>
      <c r="K397" s="27" t="s">
        <v>22</v>
      </c>
    </row>
    <row r="398" spans="1:11" x14ac:dyDescent="0.2">
      <c r="A398" s="24" t="s">
        <v>1117</v>
      </c>
      <c r="B398" s="24" t="s">
        <v>1118</v>
      </c>
      <c r="C398" s="24" t="s">
        <v>1119</v>
      </c>
      <c r="D398" s="24" t="s">
        <v>17</v>
      </c>
      <c r="E398" s="24" t="s">
        <v>18</v>
      </c>
      <c r="F398" s="24" t="s">
        <v>19</v>
      </c>
      <c r="G398" s="24" t="s">
        <v>28</v>
      </c>
      <c r="H398" s="26">
        <v>100</v>
      </c>
      <c r="I398" s="24" t="s">
        <v>29</v>
      </c>
      <c r="J398" s="36">
        <v>45324</v>
      </c>
      <c r="K398" s="24" t="s">
        <v>22</v>
      </c>
    </row>
    <row r="399" spans="1:11" x14ac:dyDescent="0.2">
      <c r="A399" s="27" t="s">
        <v>1120</v>
      </c>
      <c r="B399" s="27" t="s">
        <v>1121</v>
      </c>
      <c r="C399" s="27" t="s">
        <v>301</v>
      </c>
      <c r="D399" s="27" t="s">
        <v>17</v>
      </c>
      <c r="E399" s="27" t="s">
        <v>48</v>
      </c>
      <c r="F399" s="27" t="s">
        <v>49</v>
      </c>
      <c r="G399" s="27" t="s">
        <v>28</v>
      </c>
      <c r="H399" s="29">
        <v>300</v>
      </c>
      <c r="I399" s="27" t="s">
        <v>29</v>
      </c>
      <c r="J399" s="37">
        <v>45338</v>
      </c>
      <c r="K399" s="27" t="s">
        <v>22</v>
      </c>
    </row>
    <row r="400" spans="1:11" x14ac:dyDescent="0.2">
      <c r="A400" s="24" t="s">
        <v>1122</v>
      </c>
      <c r="B400" s="24" t="s">
        <v>1123</v>
      </c>
      <c r="C400" s="24" t="s">
        <v>1124</v>
      </c>
      <c r="D400" s="24" t="s">
        <v>17</v>
      </c>
      <c r="E400" s="24" t="s">
        <v>18</v>
      </c>
      <c r="F400" s="24" t="s">
        <v>19</v>
      </c>
      <c r="G400" s="24" t="s">
        <v>38</v>
      </c>
      <c r="H400" s="26">
        <v>30</v>
      </c>
      <c r="I400" s="24" t="s">
        <v>29</v>
      </c>
      <c r="J400" s="36">
        <v>45323</v>
      </c>
      <c r="K400" s="24" t="s">
        <v>22</v>
      </c>
    </row>
    <row r="401" spans="1:11" x14ac:dyDescent="0.2">
      <c r="A401" s="27" t="s">
        <v>1125</v>
      </c>
      <c r="B401" s="27" t="s">
        <v>1126</v>
      </c>
      <c r="C401" s="27" t="s">
        <v>1127</v>
      </c>
      <c r="D401" s="27" t="s">
        <v>17</v>
      </c>
      <c r="E401" s="27" t="s">
        <v>48</v>
      </c>
      <c r="F401" s="27" t="s">
        <v>49</v>
      </c>
      <c r="G401" s="27" t="s">
        <v>116</v>
      </c>
      <c r="H401" s="29">
        <v>0</v>
      </c>
      <c r="I401" s="27" t="s">
        <v>21</v>
      </c>
      <c r="J401" s="37">
        <v>45323</v>
      </c>
      <c r="K401" s="27" t="s">
        <v>22</v>
      </c>
    </row>
    <row r="402" spans="1:11" x14ac:dyDescent="0.2">
      <c r="A402" s="24" t="s">
        <v>1128</v>
      </c>
      <c r="B402" s="24" t="s">
        <v>1129</v>
      </c>
      <c r="C402" s="24" t="s">
        <v>1130</v>
      </c>
      <c r="D402" s="24" t="s">
        <v>17</v>
      </c>
      <c r="E402" s="24" t="s">
        <v>48</v>
      </c>
      <c r="F402" s="24" t="s">
        <v>49</v>
      </c>
      <c r="G402" s="24" t="s">
        <v>28</v>
      </c>
      <c r="H402" s="26">
        <v>70</v>
      </c>
      <c r="I402" s="24" t="s">
        <v>29</v>
      </c>
      <c r="J402" s="36">
        <v>45328</v>
      </c>
      <c r="K402" s="24" t="s">
        <v>22</v>
      </c>
    </row>
    <row r="403" spans="1:11" x14ac:dyDescent="0.2">
      <c r="A403" s="27" t="s">
        <v>1131</v>
      </c>
      <c r="B403" s="27" t="s">
        <v>1132</v>
      </c>
      <c r="C403" s="27" t="s">
        <v>388</v>
      </c>
      <c r="D403" s="27" t="s">
        <v>17</v>
      </c>
      <c r="E403" s="27" t="s">
        <v>42</v>
      </c>
      <c r="F403" s="27" t="s">
        <v>43</v>
      </c>
      <c r="G403" s="27" t="s">
        <v>20</v>
      </c>
      <c r="H403" s="29">
        <v>86</v>
      </c>
      <c r="I403" s="27" t="s">
        <v>21</v>
      </c>
      <c r="J403" s="37">
        <v>45341</v>
      </c>
      <c r="K403" s="27" t="s">
        <v>22</v>
      </c>
    </row>
    <row r="404" spans="1:11" x14ac:dyDescent="0.2">
      <c r="A404" s="24" t="s">
        <v>1133</v>
      </c>
      <c r="B404" s="24" t="s">
        <v>1134</v>
      </c>
      <c r="C404" s="24" t="s">
        <v>1135</v>
      </c>
      <c r="D404" s="24" t="s">
        <v>17</v>
      </c>
      <c r="E404" s="24" t="s">
        <v>48</v>
      </c>
      <c r="F404" s="24" t="s">
        <v>49</v>
      </c>
      <c r="G404" s="24" t="s">
        <v>20</v>
      </c>
      <c r="H404" s="26">
        <v>10</v>
      </c>
      <c r="I404" s="24" t="s">
        <v>21</v>
      </c>
      <c r="J404" s="36">
        <v>45323</v>
      </c>
      <c r="K404" s="24" t="s">
        <v>22</v>
      </c>
    </row>
    <row r="405" spans="1:11" x14ac:dyDescent="0.2">
      <c r="A405" s="27" t="s">
        <v>1136</v>
      </c>
      <c r="B405" s="27" t="s">
        <v>1137</v>
      </c>
      <c r="C405" s="27" t="s">
        <v>1138</v>
      </c>
      <c r="D405" s="27" t="s">
        <v>17</v>
      </c>
      <c r="E405" s="27" t="s">
        <v>33</v>
      </c>
      <c r="F405" s="27" t="s">
        <v>34</v>
      </c>
      <c r="G405" s="27" t="s">
        <v>28</v>
      </c>
      <c r="H405" s="29">
        <v>264</v>
      </c>
      <c r="I405" s="27" t="s">
        <v>29</v>
      </c>
      <c r="J405" s="37">
        <v>45351</v>
      </c>
      <c r="K405" s="27" t="s">
        <v>22</v>
      </c>
    </row>
    <row r="406" spans="1:11" x14ac:dyDescent="0.2">
      <c r="A406" s="24" t="s">
        <v>1139</v>
      </c>
      <c r="B406" s="24" t="s">
        <v>1140</v>
      </c>
      <c r="C406" s="24" t="s">
        <v>687</v>
      </c>
      <c r="D406" s="24" t="s">
        <v>17</v>
      </c>
      <c r="E406" s="24" t="s">
        <v>18</v>
      </c>
      <c r="F406" s="24" t="s">
        <v>19</v>
      </c>
      <c r="G406" s="24" t="s">
        <v>20</v>
      </c>
      <c r="H406" s="26">
        <v>62</v>
      </c>
      <c r="I406" s="24" t="s">
        <v>21</v>
      </c>
      <c r="J406" s="36">
        <v>45345</v>
      </c>
      <c r="K406" s="24" t="s">
        <v>22</v>
      </c>
    </row>
    <row r="407" spans="1:11" x14ac:dyDescent="0.2">
      <c r="A407" s="27" t="s">
        <v>1141</v>
      </c>
      <c r="B407" s="27" t="s">
        <v>1142</v>
      </c>
      <c r="C407" s="27" t="s">
        <v>618</v>
      </c>
      <c r="D407" s="27" t="s">
        <v>17</v>
      </c>
      <c r="E407" s="27" t="s">
        <v>81</v>
      </c>
      <c r="F407" s="27" t="s">
        <v>82</v>
      </c>
      <c r="G407" s="27" t="s">
        <v>38</v>
      </c>
      <c r="H407" s="29">
        <v>33</v>
      </c>
      <c r="I407" s="27" t="s">
        <v>29</v>
      </c>
      <c r="J407" s="37">
        <v>45347</v>
      </c>
      <c r="K407" s="27" t="s">
        <v>22</v>
      </c>
    </row>
    <row r="408" spans="1:11" x14ac:dyDescent="0.2">
      <c r="A408" s="24" t="s">
        <v>1143</v>
      </c>
      <c r="B408" s="24" t="s">
        <v>1144</v>
      </c>
      <c r="C408" s="24" t="s">
        <v>331</v>
      </c>
      <c r="D408" s="24" t="s">
        <v>17</v>
      </c>
      <c r="E408" s="24" t="s">
        <v>18</v>
      </c>
      <c r="F408" s="24" t="s">
        <v>19</v>
      </c>
      <c r="G408" s="24" t="s">
        <v>20</v>
      </c>
      <c r="H408" s="26">
        <v>23</v>
      </c>
      <c r="I408" s="24" t="s">
        <v>21</v>
      </c>
      <c r="J408" s="36">
        <v>45349</v>
      </c>
      <c r="K408" s="24" t="s">
        <v>22</v>
      </c>
    </row>
    <row r="409" spans="1:11" x14ac:dyDescent="0.2">
      <c r="A409" s="27" t="s">
        <v>1145</v>
      </c>
      <c r="B409" s="27" t="s">
        <v>1146</v>
      </c>
      <c r="C409" s="27" t="s">
        <v>1147</v>
      </c>
      <c r="D409" s="27" t="s">
        <v>17</v>
      </c>
      <c r="E409" s="27" t="s">
        <v>18</v>
      </c>
      <c r="F409" s="27" t="s">
        <v>19</v>
      </c>
      <c r="G409" s="27" t="s">
        <v>28</v>
      </c>
      <c r="H409" s="29">
        <v>32</v>
      </c>
      <c r="I409" s="27" t="s">
        <v>29</v>
      </c>
      <c r="J409" s="37">
        <v>45350</v>
      </c>
      <c r="K409" s="27" t="s">
        <v>22</v>
      </c>
    </row>
    <row r="410" spans="1:11" x14ac:dyDescent="0.2">
      <c r="A410" s="24" t="s">
        <v>1148</v>
      </c>
      <c r="B410" s="24" t="s">
        <v>1149</v>
      </c>
      <c r="C410" s="24" t="s">
        <v>301</v>
      </c>
      <c r="D410" s="24" t="s">
        <v>17</v>
      </c>
      <c r="E410" s="24" t="s">
        <v>18</v>
      </c>
      <c r="F410" s="24" t="s">
        <v>19</v>
      </c>
      <c r="G410" s="24" t="s">
        <v>20</v>
      </c>
      <c r="H410" s="26">
        <v>35</v>
      </c>
      <c r="I410" s="24" t="s">
        <v>21</v>
      </c>
      <c r="J410" s="36">
        <v>45331</v>
      </c>
      <c r="K410" s="24" t="s">
        <v>22</v>
      </c>
    </row>
    <row r="411" spans="1:11" x14ac:dyDescent="0.2">
      <c r="A411" s="27" t="s">
        <v>1150</v>
      </c>
      <c r="B411" s="27" t="s">
        <v>1151</v>
      </c>
      <c r="C411" s="27" t="s">
        <v>1152</v>
      </c>
      <c r="D411" s="27" t="s">
        <v>17</v>
      </c>
      <c r="E411" s="27" t="s">
        <v>18</v>
      </c>
      <c r="F411" s="27" t="s">
        <v>19</v>
      </c>
      <c r="G411" s="27" t="s">
        <v>20</v>
      </c>
      <c r="H411" s="29">
        <v>32</v>
      </c>
      <c r="I411" s="27" t="s">
        <v>21</v>
      </c>
      <c r="J411" s="37">
        <v>45324</v>
      </c>
      <c r="K411" s="27" t="s">
        <v>22</v>
      </c>
    </row>
    <row r="412" spans="1:11" x14ac:dyDescent="0.2">
      <c r="A412" s="24" t="s">
        <v>1153</v>
      </c>
      <c r="B412" s="24" t="s">
        <v>1154</v>
      </c>
      <c r="C412" s="24" t="s">
        <v>1155</v>
      </c>
      <c r="D412" s="24" t="s">
        <v>17</v>
      </c>
      <c r="E412" s="24" t="s">
        <v>42</v>
      </c>
      <c r="F412" s="24" t="s">
        <v>43</v>
      </c>
      <c r="G412" s="24" t="s">
        <v>20</v>
      </c>
      <c r="H412" s="26">
        <v>518</v>
      </c>
      <c r="I412" s="24" t="s">
        <v>21</v>
      </c>
      <c r="J412" s="36">
        <v>45324</v>
      </c>
      <c r="K412" s="24" t="s">
        <v>22</v>
      </c>
    </row>
    <row r="413" spans="1:11" x14ac:dyDescent="0.2">
      <c r="A413" s="27" t="s">
        <v>1156</v>
      </c>
      <c r="B413" s="27" t="s">
        <v>1157</v>
      </c>
      <c r="C413" s="27" t="s">
        <v>1158</v>
      </c>
      <c r="D413" s="27" t="s">
        <v>17</v>
      </c>
      <c r="E413" s="27" t="s">
        <v>48</v>
      </c>
      <c r="F413" s="27" t="s">
        <v>49</v>
      </c>
      <c r="G413" s="27" t="s">
        <v>44</v>
      </c>
      <c r="H413" s="29">
        <v>103</v>
      </c>
      <c r="I413" s="27" t="s">
        <v>21</v>
      </c>
      <c r="J413" s="37">
        <v>45339</v>
      </c>
      <c r="K413" s="27" t="s">
        <v>22</v>
      </c>
    </row>
    <row r="414" spans="1:11" x14ac:dyDescent="0.2">
      <c r="A414" s="24" t="s">
        <v>1159</v>
      </c>
      <c r="B414" s="24" t="s">
        <v>1160</v>
      </c>
      <c r="C414" s="24" t="s">
        <v>1161</v>
      </c>
      <c r="D414" s="24" t="s">
        <v>17</v>
      </c>
      <c r="E414" s="24" t="s">
        <v>48</v>
      </c>
      <c r="F414" s="24" t="s">
        <v>49</v>
      </c>
      <c r="G414" s="24" t="s">
        <v>28</v>
      </c>
      <c r="H414" s="26">
        <v>45</v>
      </c>
      <c r="I414" s="24" t="s">
        <v>29</v>
      </c>
      <c r="J414" s="36">
        <v>45327</v>
      </c>
      <c r="K414" s="24" t="s">
        <v>22</v>
      </c>
    </row>
    <row r="415" spans="1:11" x14ac:dyDescent="0.2">
      <c r="A415" s="27" t="s">
        <v>1162</v>
      </c>
      <c r="B415" s="27" t="s">
        <v>1163</v>
      </c>
      <c r="C415" s="27" t="s">
        <v>437</v>
      </c>
      <c r="D415" s="27" t="s">
        <v>17</v>
      </c>
      <c r="E415" s="27" t="s">
        <v>42</v>
      </c>
      <c r="F415" s="27" t="s">
        <v>43</v>
      </c>
      <c r="G415" s="27" t="s">
        <v>28</v>
      </c>
      <c r="H415" s="29">
        <v>400</v>
      </c>
      <c r="I415" s="27" t="s">
        <v>29</v>
      </c>
      <c r="J415" s="37">
        <v>45342</v>
      </c>
      <c r="K415" s="27" t="s">
        <v>22</v>
      </c>
    </row>
    <row r="416" spans="1:11" x14ac:dyDescent="0.2">
      <c r="A416" s="24" t="s">
        <v>1164</v>
      </c>
      <c r="B416" s="24" t="s">
        <v>1165</v>
      </c>
      <c r="C416" s="24" t="s">
        <v>213</v>
      </c>
      <c r="D416" s="24" t="s">
        <v>17</v>
      </c>
      <c r="E416" s="24" t="s">
        <v>18</v>
      </c>
      <c r="F416" s="24" t="s">
        <v>19</v>
      </c>
      <c r="G416" s="24" t="s">
        <v>28</v>
      </c>
      <c r="H416" s="26">
        <v>87</v>
      </c>
      <c r="I416" s="24" t="s">
        <v>29</v>
      </c>
      <c r="J416" s="36">
        <v>45342</v>
      </c>
      <c r="K416" s="24" t="s">
        <v>22</v>
      </c>
    </row>
    <row r="417" spans="1:11" x14ac:dyDescent="0.2">
      <c r="A417" s="27" t="s">
        <v>1166</v>
      </c>
      <c r="B417" s="27" t="s">
        <v>1167</v>
      </c>
      <c r="C417" s="27" t="s">
        <v>1168</v>
      </c>
      <c r="D417" s="27" t="s">
        <v>17</v>
      </c>
      <c r="E417" s="27" t="s">
        <v>18</v>
      </c>
      <c r="F417" s="27" t="s">
        <v>19</v>
      </c>
      <c r="G417" s="27" t="s">
        <v>28</v>
      </c>
      <c r="H417" s="29">
        <v>263</v>
      </c>
      <c r="I417" s="27" t="s">
        <v>29</v>
      </c>
      <c r="J417" s="37">
        <v>45331</v>
      </c>
      <c r="K417" s="27" t="s">
        <v>22</v>
      </c>
    </row>
    <row r="418" spans="1:11" x14ac:dyDescent="0.2">
      <c r="A418" s="24" t="s">
        <v>1169</v>
      </c>
      <c r="B418" s="24" t="s">
        <v>1170</v>
      </c>
      <c r="C418" s="24" t="s">
        <v>1171</v>
      </c>
      <c r="D418" s="24" t="s">
        <v>17</v>
      </c>
      <c r="E418" s="24" t="s">
        <v>48</v>
      </c>
      <c r="F418" s="24" t="s">
        <v>49</v>
      </c>
      <c r="G418" s="24" t="s">
        <v>20</v>
      </c>
      <c r="H418" s="26">
        <v>81</v>
      </c>
      <c r="I418" s="24" t="s">
        <v>21</v>
      </c>
      <c r="J418" s="36">
        <v>45334</v>
      </c>
      <c r="K418" s="24" t="s">
        <v>22</v>
      </c>
    </row>
    <row r="419" spans="1:11" x14ac:dyDescent="0.2">
      <c r="A419" s="27" t="s">
        <v>1172</v>
      </c>
      <c r="B419" s="27" t="s">
        <v>1173</v>
      </c>
      <c r="C419" s="27" t="s">
        <v>1174</v>
      </c>
      <c r="D419" s="27" t="s">
        <v>17</v>
      </c>
      <c r="E419" s="27" t="s">
        <v>18</v>
      </c>
      <c r="F419" s="27" t="s">
        <v>19</v>
      </c>
      <c r="G419" s="27" t="s">
        <v>28</v>
      </c>
      <c r="H419" s="29">
        <v>15</v>
      </c>
      <c r="I419" s="27" t="s">
        <v>29</v>
      </c>
      <c r="J419" s="37">
        <v>45337</v>
      </c>
      <c r="K419" s="27" t="s">
        <v>22</v>
      </c>
    </row>
    <row r="420" spans="1:11" x14ac:dyDescent="0.2">
      <c r="A420" s="24" t="s">
        <v>1175</v>
      </c>
      <c r="B420" s="24" t="s">
        <v>1176</v>
      </c>
      <c r="C420" s="24" t="s">
        <v>1177</v>
      </c>
      <c r="D420" s="24" t="s">
        <v>17</v>
      </c>
      <c r="E420" s="24" t="s">
        <v>48</v>
      </c>
      <c r="F420" s="24" t="s">
        <v>49</v>
      </c>
      <c r="G420" s="24" t="s">
        <v>20</v>
      </c>
      <c r="H420" s="26">
        <v>557</v>
      </c>
      <c r="I420" s="24" t="s">
        <v>21</v>
      </c>
      <c r="J420" s="36">
        <v>45335</v>
      </c>
      <c r="K420" s="24" t="s">
        <v>22</v>
      </c>
    </row>
    <row r="421" spans="1:11" x14ac:dyDescent="0.2">
      <c r="A421" s="27" t="s">
        <v>1178</v>
      </c>
      <c r="B421" s="27" t="s">
        <v>1179</v>
      </c>
      <c r="C421" s="27" t="s">
        <v>1180</v>
      </c>
      <c r="D421" s="27" t="s">
        <v>17</v>
      </c>
      <c r="E421" s="27" t="s">
        <v>26</v>
      </c>
      <c r="F421" s="27" t="s">
        <v>27</v>
      </c>
      <c r="G421" s="27" t="s">
        <v>28</v>
      </c>
      <c r="H421" s="29">
        <v>403</v>
      </c>
      <c r="I421" s="27" t="s">
        <v>29</v>
      </c>
      <c r="J421" s="37">
        <v>45334</v>
      </c>
      <c r="K421" s="27" t="s">
        <v>22</v>
      </c>
    </row>
    <row r="422" spans="1:11" x14ac:dyDescent="0.2">
      <c r="A422" s="24" t="s">
        <v>1181</v>
      </c>
      <c r="B422" s="24" t="s">
        <v>1182</v>
      </c>
      <c r="C422" s="24" t="s">
        <v>1183</v>
      </c>
      <c r="D422" s="24" t="s">
        <v>17</v>
      </c>
      <c r="E422" s="24" t="s">
        <v>18</v>
      </c>
      <c r="F422" s="24" t="s">
        <v>19</v>
      </c>
      <c r="G422" s="24" t="s">
        <v>28</v>
      </c>
      <c r="H422" s="26">
        <v>73</v>
      </c>
      <c r="I422" s="24" t="s">
        <v>29</v>
      </c>
      <c r="J422" s="36">
        <v>45328</v>
      </c>
      <c r="K422" s="24" t="s">
        <v>22</v>
      </c>
    </row>
    <row r="423" spans="1:11" x14ac:dyDescent="0.2">
      <c r="A423" s="27" t="s">
        <v>1184</v>
      </c>
      <c r="B423" s="27" t="s">
        <v>1185</v>
      </c>
      <c r="C423" s="27" t="s">
        <v>1186</v>
      </c>
      <c r="D423" s="27" t="s">
        <v>17</v>
      </c>
      <c r="E423" s="27" t="s">
        <v>26</v>
      </c>
      <c r="F423" s="27" t="s">
        <v>27</v>
      </c>
      <c r="G423" s="27" t="s">
        <v>28</v>
      </c>
      <c r="H423" s="29">
        <v>154</v>
      </c>
      <c r="I423" s="27" t="s">
        <v>29</v>
      </c>
      <c r="J423" s="37">
        <v>45344</v>
      </c>
      <c r="K423" s="27" t="s">
        <v>22</v>
      </c>
    </row>
    <row r="424" spans="1:11" x14ac:dyDescent="0.2">
      <c r="A424" s="24" t="s">
        <v>1187</v>
      </c>
      <c r="B424" s="24" t="s">
        <v>1188</v>
      </c>
      <c r="C424" s="24" t="s">
        <v>1189</v>
      </c>
      <c r="D424" s="24" t="s">
        <v>17</v>
      </c>
      <c r="E424" s="24" t="s">
        <v>26</v>
      </c>
      <c r="F424" s="24" t="s">
        <v>27</v>
      </c>
      <c r="G424" s="24" t="s">
        <v>59</v>
      </c>
      <c r="H424" s="26">
        <v>10</v>
      </c>
      <c r="I424" s="24" t="s">
        <v>21</v>
      </c>
      <c r="J424" s="36">
        <v>45335</v>
      </c>
      <c r="K424" s="24" t="s">
        <v>22</v>
      </c>
    </row>
    <row r="425" spans="1:11" x14ac:dyDescent="0.2">
      <c r="A425" s="27" t="s">
        <v>1190</v>
      </c>
      <c r="B425" s="27" t="s">
        <v>1191</v>
      </c>
      <c r="C425" s="27" t="s">
        <v>429</v>
      </c>
      <c r="D425" s="27" t="s">
        <v>17</v>
      </c>
      <c r="E425" s="27" t="s">
        <v>42</v>
      </c>
      <c r="F425" s="27" t="s">
        <v>43</v>
      </c>
      <c r="G425" s="27" t="s">
        <v>44</v>
      </c>
      <c r="H425" s="29">
        <v>349</v>
      </c>
      <c r="I425" s="27" t="s">
        <v>21</v>
      </c>
      <c r="J425" s="37">
        <v>45351</v>
      </c>
      <c r="K425" s="27" t="s">
        <v>22</v>
      </c>
    </row>
    <row r="426" spans="1:11" x14ac:dyDescent="0.2">
      <c r="A426" s="24" t="s">
        <v>1192</v>
      </c>
      <c r="B426" s="24" t="s">
        <v>1193</v>
      </c>
      <c r="C426" s="24" t="s">
        <v>1194</v>
      </c>
      <c r="D426" s="24" t="s">
        <v>17</v>
      </c>
      <c r="E426" s="24" t="s">
        <v>26</v>
      </c>
      <c r="F426" s="24" t="s">
        <v>27</v>
      </c>
      <c r="G426" s="24" t="s">
        <v>20</v>
      </c>
      <c r="H426" s="26">
        <v>30</v>
      </c>
      <c r="I426" s="24" t="s">
        <v>21</v>
      </c>
      <c r="J426" s="36">
        <v>45349</v>
      </c>
      <c r="K426" s="24" t="s">
        <v>22</v>
      </c>
    </row>
    <row r="427" spans="1:11" x14ac:dyDescent="0.2">
      <c r="A427" s="27" t="s">
        <v>1195</v>
      </c>
      <c r="B427" s="27" t="s">
        <v>1196</v>
      </c>
      <c r="C427" s="27" t="s">
        <v>844</v>
      </c>
      <c r="D427" s="27" t="s">
        <v>17</v>
      </c>
      <c r="E427" s="27" t="s">
        <v>26</v>
      </c>
      <c r="F427" s="27" t="s">
        <v>27</v>
      </c>
      <c r="G427" s="27" t="s">
        <v>44</v>
      </c>
      <c r="H427" s="29">
        <v>60</v>
      </c>
      <c r="I427" s="27" t="s">
        <v>29</v>
      </c>
      <c r="J427" s="37">
        <v>45328</v>
      </c>
      <c r="K427" s="27" t="s">
        <v>22</v>
      </c>
    </row>
    <row r="428" spans="1:11" x14ac:dyDescent="0.2">
      <c r="A428" s="24" t="s">
        <v>1197</v>
      </c>
      <c r="B428" s="24" t="s">
        <v>1198</v>
      </c>
      <c r="C428" s="24" t="s">
        <v>1199</v>
      </c>
      <c r="D428" s="24" t="s">
        <v>17</v>
      </c>
      <c r="E428" s="24" t="s">
        <v>33</v>
      </c>
      <c r="F428" s="24" t="s">
        <v>34</v>
      </c>
      <c r="G428" s="24" t="s">
        <v>217</v>
      </c>
      <c r="H428" s="26">
        <v>520</v>
      </c>
      <c r="I428" s="24" t="s">
        <v>29</v>
      </c>
      <c r="J428" s="36">
        <v>45337</v>
      </c>
      <c r="K428" s="24" t="s">
        <v>22</v>
      </c>
    </row>
    <row r="429" spans="1:11" x14ac:dyDescent="0.2">
      <c r="A429" s="27" t="s">
        <v>1200</v>
      </c>
      <c r="B429" s="27" t="s">
        <v>1201</v>
      </c>
      <c r="C429" s="27" t="s">
        <v>1202</v>
      </c>
      <c r="D429" s="27" t="s">
        <v>17</v>
      </c>
      <c r="E429" s="27" t="s">
        <v>18</v>
      </c>
      <c r="F429" s="27" t="s">
        <v>19</v>
      </c>
      <c r="G429" s="27" t="s">
        <v>38</v>
      </c>
      <c r="H429" s="29">
        <v>6</v>
      </c>
      <c r="I429" s="27" t="s">
        <v>29</v>
      </c>
      <c r="J429" s="37">
        <v>45323</v>
      </c>
      <c r="K429" s="27" t="s">
        <v>22</v>
      </c>
    </row>
    <row r="430" spans="1:11" x14ac:dyDescent="0.2">
      <c r="A430" s="24" t="s">
        <v>1203</v>
      </c>
      <c r="B430" s="24" t="s">
        <v>1204</v>
      </c>
      <c r="C430" s="24" t="s">
        <v>595</v>
      </c>
      <c r="D430" s="24" t="s">
        <v>17</v>
      </c>
      <c r="E430" s="24" t="s">
        <v>18</v>
      </c>
      <c r="F430" s="24" t="s">
        <v>19</v>
      </c>
      <c r="G430" s="24" t="s">
        <v>20</v>
      </c>
      <c r="H430" s="26">
        <v>86</v>
      </c>
      <c r="I430" s="24" t="s">
        <v>21</v>
      </c>
      <c r="J430" s="36">
        <v>45349</v>
      </c>
      <c r="K430" s="24" t="s">
        <v>22</v>
      </c>
    </row>
    <row r="431" spans="1:11" x14ac:dyDescent="0.2">
      <c r="A431" s="27" t="s">
        <v>1205</v>
      </c>
      <c r="B431" s="27" t="s">
        <v>1206</v>
      </c>
      <c r="C431" s="27" t="s">
        <v>277</v>
      </c>
      <c r="D431" s="27" t="s">
        <v>17</v>
      </c>
      <c r="E431" s="27" t="s">
        <v>18</v>
      </c>
      <c r="F431" s="27" t="s">
        <v>19</v>
      </c>
      <c r="G431" s="27" t="s">
        <v>20</v>
      </c>
      <c r="H431" s="29">
        <v>18</v>
      </c>
      <c r="I431" s="27" t="s">
        <v>21</v>
      </c>
      <c r="J431" s="37">
        <v>45334</v>
      </c>
      <c r="K431" s="27" t="s">
        <v>22</v>
      </c>
    </row>
    <row r="432" spans="1:11" x14ac:dyDescent="0.2">
      <c r="A432" s="24" t="s">
        <v>1207</v>
      </c>
      <c r="B432" s="24" t="s">
        <v>1208</v>
      </c>
      <c r="C432" s="24" t="s">
        <v>1209</v>
      </c>
      <c r="D432" s="24" t="s">
        <v>17</v>
      </c>
      <c r="E432" s="24" t="s">
        <v>42</v>
      </c>
      <c r="F432" s="24" t="s">
        <v>43</v>
      </c>
      <c r="G432" s="24" t="s">
        <v>38</v>
      </c>
      <c r="H432" s="26">
        <v>60</v>
      </c>
      <c r="I432" s="24" t="s">
        <v>29</v>
      </c>
      <c r="J432" s="36">
        <v>45323</v>
      </c>
      <c r="K432" s="24" t="s">
        <v>22</v>
      </c>
    </row>
    <row r="433" spans="1:11" x14ac:dyDescent="0.2">
      <c r="A433" s="27" t="s">
        <v>1210</v>
      </c>
      <c r="B433" s="27" t="s">
        <v>1211</v>
      </c>
      <c r="C433" s="27" t="s">
        <v>1212</v>
      </c>
      <c r="D433" s="27" t="s">
        <v>17</v>
      </c>
      <c r="E433" s="27" t="s">
        <v>18</v>
      </c>
      <c r="F433" s="27" t="s">
        <v>19</v>
      </c>
      <c r="G433" s="27" t="s">
        <v>20</v>
      </c>
      <c r="H433" s="29">
        <v>52</v>
      </c>
      <c r="I433" s="27" t="s">
        <v>21</v>
      </c>
      <c r="J433" s="37">
        <v>45336</v>
      </c>
      <c r="K433" s="27" t="s">
        <v>22</v>
      </c>
    </row>
    <row r="434" spans="1:11" x14ac:dyDescent="0.2">
      <c r="A434" s="24" t="s">
        <v>1213</v>
      </c>
      <c r="B434" s="24" t="s">
        <v>1214</v>
      </c>
      <c r="C434" s="24" t="s">
        <v>251</v>
      </c>
      <c r="D434" s="24" t="s">
        <v>17</v>
      </c>
      <c r="E434" s="24" t="s">
        <v>42</v>
      </c>
      <c r="F434" s="24" t="s">
        <v>43</v>
      </c>
      <c r="G434" s="24" t="s">
        <v>28</v>
      </c>
      <c r="H434" s="26">
        <v>50</v>
      </c>
      <c r="I434" s="24" t="s">
        <v>29</v>
      </c>
      <c r="J434" s="36">
        <v>45350</v>
      </c>
      <c r="K434" s="24" t="s">
        <v>22</v>
      </c>
    </row>
    <row r="435" spans="1:11" x14ac:dyDescent="0.2">
      <c r="A435" s="27" t="s">
        <v>1215</v>
      </c>
      <c r="B435" s="27" t="s">
        <v>1216</v>
      </c>
      <c r="C435" s="27" t="s">
        <v>1217</v>
      </c>
      <c r="D435" s="27" t="s">
        <v>17</v>
      </c>
      <c r="E435" s="27" t="s">
        <v>48</v>
      </c>
      <c r="F435" s="27" t="s">
        <v>49</v>
      </c>
      <c r="G435" s="27" t="s">
        <v>44</v>
      </c>
      <c r="H435" s="29">
        <v>6</v>
      </c>
      <c r="I435" s="27" t="s">
        <v>21</v>
      </c>
      <c r="J435" s="37">
        <v>45334</v>
      </c>
      <c r="K435" s="27" t="s">
        <v>22</v>
      </c>
    </row>
    <row r="436" spans="1:11" x14ac:dyDescent="0.2">
      <c r="A436" s="24" t="s">
        <v>1218</v>
      </c>
      <c r="B436" s="24" t="s">
        <v>1219</v>
      </c>
      <c r="C436" s="24" t="s">
        <v>301</v>
      </c>
      <c r="D436" s="24" t="s">
        <v>17</v>
      </c>
      <c r="E436" s="24" t="s">
        <v>42</v>
      </c>
      <c r="F436" s="24" t="s">
        <v>43</v>
      </c>
      <c r="G436" s="24" t="s">
        <v>44</v>
      </c>
      <c r="H436" s="26">
        <v>774</v>
      </c>
      <c r="I436" s="24" t="s">
        <v>21</v>
      </c>
      <c r="J436" s="36">
        <v>45323</v>
      </c>
      <c r="K436" s="24" t="s">
        <v>22</v>
      </c>
    </row>
    <row r="437" spans="1:11" x14ac:dyDescent="0.2">
      <c r="A437" s="27" t="s">
        <v>1220</v>
      </c>
      <c r="B437" s="27" t="s">
        <v>1221</v>
      </c>
      <c r="C437" s="27" t="s">
        <v>1222</v>
      </c>
      <c r="D437" s="27" t="s">
        <v>17</v>
      </c>
      <c r="E437" s="27" t="s">
        <v>18</v>
      </c>
      <c r="F437" s="27" t="s">
        <v>19</v>
      </c>
      <c r="G437" s="27" t="s">
        <v>59</v>
      </c>
      <c r="H437" s="29">
        <v>12</v>
      </c>
      <c r="I437" s="27" t="s">
        <v>21</v>
      </c>
      <c r="J437" s="37">
        <v>45330</v>
      </c>
      <c r="K437" s="27" t="s">
        <v>22</v>
      </c>
    </row>
    <row r="438" spans="1:11" x14ac:dyDescent="0.2">
      <c r="A438" s="24" t="s">
        <v>1223</v>
      </c>
      <c r="B438" s="24" t="s">
        <v>1224</v>
      </c>
      <c r="C438" s="24" t="s">
        <v>325</v>
      </c>
      <c r="D438" s="24" t="s">
        <v>17</v>
      </c>
      <c r="E438" s="24" t="s">
        <v>42</v>
      </c>
      <c r="F438" s="24" t="s">
        <v>43</v>
      </c>
      <c r="G438" s="24" t="s">
        <v>20</v>
      </c>
      <c r="H438" s="26">
        <v>241</v>
      </c>
      <c r="I438" s="24" t="s">
        <v>21</v>
      </c>
      <c r="J438" s="36">
        <v>45348</v>
      </c>
      <c r="K438" s="24" t="s">
        <v>22</v>
      </c>
    </row>
    <row r="439" spans="1:11" x14ac:dyDescent="0.2">
      <c r="A439" s="27" t="s">
        <v>1225</v>
      </c>
      <c r="B439" s="27" t="s">
        <v>1226</v>
      </c>
      <c r="C439" s="27" t="s">
        <v>1227</v>
      </c>
      <c r="D439" s="27" t="s">
        <v>17</v>
      </c>
      <c r="E439" s="27" t="s">
        <v>18</v>
      </c>
      <c r="F439" s="27" t="s">
        <v>19</v>
      </c>
      <c r="G439" s="27" t="s">
        <v>217</v>
      </c>
      <c r="H439" s="29">
        <v>123</v>
      </c>
      <c r="I439" s="27" t="s">
        <v>29</v>
      </c>
      <c r="J439" s="37">
        <v>45323</v>
      </c>
      <c r="K439" s="27" t="s">
        <v>22</v>
      </c>
    </row>
    <row r="440" spans="1:11" x14ac:dyDescent="0.2">
      <c r="A440" s="24" t="s">
        <v>1228</v>
      </c>
      <c r="B440" s="24" t="s">
        <v>1229</v>
      </c>
      <c r="C440" s="24" t="s">
        <v>1230</v>
      </c>
      <c r="D440" s="24" t="s">
        <v>17</v>
      </c>
      <c r="E440" s="24" t="s">
        <v>81</v>
      </c>
      <c r="F440" s="24" t="s">
        <v>82</v>
      </c>
      <c r="G440" s="24" t="s">
        <v>59</v>
      </c>
      <c r="H440" s="26">
        <v>5</v>
      </c>
      <c r="I440" s="24" t="s">
        <v>21</v>
      </c>
      <c r="J440" s="36">
        <v>45343</v>
      </c>
      <c r="K440" s="24" t="s">
        <v>22</v>
      </c>
    </row>
    <row r="441" spans="1:11" x14ac:dyDescent="0.2">
      <c r="A441" s="27" t="s">
        <v>1231</v>
      </c>
      <c r="B441" s="27" t="s">
        <v>1232</v>
      </c>
      <c r="C441" s="27" t="s">
        <v>1233</v>
      </c>
      <c r="D441" s="27" t="s">
        <v>17</v>
      </c>
      <c r="E441" s="27" t="s">
        <v>48</v>
      </c>
      <c r="F441" s="27" t="s">
        <v>49</v>
      </c>
      <c r="G441" s="27" t="s">
        <v>28</v>
      </c>
      <c r="H441" s="29">
        <v>192</v>
      </c>
      <c r="I441" s="27" t="s">
        <v>29</v>
      </c>
      <c r="J441" s="37">
        <v>45323</v>
      </c>
      <c r="K441" s="27" t="s">
        <v>22</v>
      </c>
    </row>
    <row r="442" spans="1:11" x14ac:dyDescent="0.2">
      <c r="A442" s="24" t="s">
        <v>1234</v>
      </c>
      <c r="B442" s="24" t="s">
        <v>1235</v>
      </c>
      <c r="C442" s="24" t="s">
        <v>1236</v>
      </c>
      <c r="D442" s="24" t="s">
        <v>17</v>
      </c>
      <c r="E442" s="24" t="s">
        <v>48</v>
      </c>
      <c r="F442" s="24" t="s">
        <v>49</v>
      </c>
      <c r="G442" s="24" t="s">
        <v>20</v>
      </c>
      <c r="H442" s="26">
        <v>314</v>
      </c>
      <c r="I442" s="24" t="s">
        <v>21</v>
      </c>
      <c r="J442" s="36">
        <v>45343</v>
      </c>
      <c r="K442" s="24" t="s">
        <v>22</v>
      </c>
    </row>
    <row r="443" spans="1:11" x14ac:dyDescent="0.2">
      <c r="A443" s="27" t="s">
        <v>1237</v>
      </c>
      <c r="B443" s="27" t="s">
        <v>1238</v>
      </c>
      <c r="C443" s="27" t="s">
        <v>1116</v>
      </c>
      <c r="D443" s="27" t="s">
        <v>17</v>
      </c>
      <c r="E443" s="27" t="s">
        <v>42</v>
      </c>
      <c r="F443" s="27" t="s">
        <v>43</v>
      </c>
      <c r="G443" s="27" t="s">
        <v>44</v>
      </c>
      <c r="H443" s="29">
        <v>703</v>
      </c>
      <c r="I443" s="27" t="s">
        <v>21</v>
      </c>
      <c r="J443" s="37">
        <v>45343</v>
      </c>
      <c r="K443" s="27" t="s">
        <v>22</v>
      </c>
    </row>
    <row r="444" spans="1:11" x14ac:dyDescent="0.2">
      <c r="A444" s="24" t="s">
        <v>1239</v>
      </c>
      <c r="B444" s="24" t="s">
        <v>1240</v>
      </c>
      <c r="C444" s="24" t="s">
        <v>1241</v>
      </c>
      <c r="D444" s="24" t="s">
        <v>17</v>
      </c>
      <c r="E444" s="24" t="s">
        <v>48</v>
      </c>
      <c r="F444" s="24" t="s">
        <v>49</v>
      </c>
      <c r="G444" s="24" t="s">
        <v>28</v>
      </c>
      <c r="H444" s="26">
        <v>17</v>
      </c>
      <c r="I444" s="24" t="s">
        <v>29</v>
      </c>
      <c r="J444" s="36">
        <v>45337</v>
      </c>
      <c r="K444" s="24" t="s">
        <v>22</v>
      </c>
    </row>
    <row r="445" spans="1:11" x14ac:dyDescent="0.2">
      <c r="A445" s="27" t="s">
        <v>1242</v>
      </c>
      <c r="B445" s="27" t="s">
        <v>1243</v>
      </c>
      <c r="C445" s="27" t="s">
        <v>1244</v>
      </c>
      <c r="D445" s="27" t="s">
        <v>17</v>
      </c>
      <c r="E445" s="27" t="s">
        <v>48</v>
      </c>
      <c r="F445" s="27" t="s">
        <v>49</v>
      </c>
      <c r="G445" s="27" t="s">
        <v>28</v>
      </c>
      <c r="H445" s="29">
        <v>20</v>
      </c>
      <c r="I445" s="27" t="s">
        <v>29</v>
      </c>
      <c r="J445" s="37">
        <v>45344</v>
      </c>
      <c r="K445" s="27" t="s">
        <v>22</v>
      </c>
    </row>
    <row r="446" spans="1:11" x14ac:dyDescent="0.2">
      <c r="A446" s="24" t="s">
        <v>1245</v>
      </c>
      <c r="B446" s="24" t="s">
        <v>1246</v>
      </c>
      <c r="C446" s="24" t="s">
        <v>1247</v>
      </c>
      <c r="D446" s="24" t="s">
        <v>17</v>
      </c>
      <c r="E446" s="24" t="s">
        <v>18</v>
      </c>
      <c r="F446" s="24" t="s">
        <v>19</v>
      </c>
      <c r="G446" s="24" t="s">
        <v>227</v>
      </c>
      <c r="H446" s="26">
        <v>96</v>
      </c>
      <c r="I446" s="24" t="s">
        <v>29</v>
      </c>
      <c r="J446" s="36">
        <v>45326</v>
      </c>
      <c r="K446" s="24" t="s">
        <v>22</v>
      </c>
    </row>
    <row r="447" spans="1:11" x14ac:dyDescent="0.2">
      <c r="A447" s="27" t="s">
        <v>1248</v>
      </c>
      <c r="B447" s="27" t="s">
        <v>1249</v>
      </c>
      <c r="C447" s="27" t="s">
        <v>1250</v>
      </c>
      <c r="D447" s="27" t="s">
        <v>17</v>
      </c>
      <c r="E447" s="27" t="s">
        <v>48</v>
      </c>
      <c r="F447" s="27" t="s">
        <v>49</v>
      </c>
      <c r="G447" s="27" t="s">
        <v>28</v>
      </c>
      <c r="H447" s="29">
        <v>90</v>
      </c>
      <c r="I447" s="27" t="s">
        <v>29</v>
      </c>
      <c r="J447" s="37">
        <v>45349</v>
      </c>
      <c r="K447" s="27" t="s">
        <v>22</v>
      </c>
    </row>
    <row r="448" spans="1:11" x14ac:dyDescent="0.2">
      <c r="A448" s="24" t="s">
        <v>1251</v>
      </c>
      <c r="B448" s="24" t="s">
        <v>1252</v>
      </c>
      <c r="C448" s="24" t="s">
        <v>109</v>
      </c>
      <c r="D448" s="24" t="s">
        <v>17</v>
      </c>
      <c r="E448" s="24" t="s">
        <v>42</v>
      </c>
      <c r="F448" s="24" t="s">
        <v>43</v>
      </c>
      <c r="G448" s="24" t="s">
        <v>28</v>
      </c>
      <c r="H448" s="26">
        <v>1095</v>
      </c>
      <c r="I448" s="24" t="s">
        <v>29</v>
      </c>
      <c r="J448" s="36">
        <v>45327</v>
      </c>
      <c r="K448" s="24" t="s">
        <v>22</v>
      </c>
    </row>
    <row r="449" spans="1:11" x14ac:dyDescent="0.2">
      <c r="A449" s="27" t="s">
        <v>1253</v>
      </c>
      <c r="B449" s="27" t="s">
        <v>1254</v>
      </c>
      <c r="C449" s="27" t="s">
        <v>494</v>
      </c>
      <c r="D449" s="27" t="s">
        <v>17</v>
      </c>
      <c r="E449" s="27" t="s">
        <v>18</v>
      </c>
      <c r="F449" s="27" t="s">
        <v>19</v>
      </c>
      <c r="G449" s="27" t="s">
        <v>44</v>
      </c>
      <c r="H449" s="29">
        <v>39</v>
      </c>
      <c r="I449" s="27" t="s">
        <v>21</v>
      </c>
      <c r="J449" s="37">
        <v>45350</v>
      </c>
      <c r="K449" s="27" t="s">
        <v>22</v>
      </c>
    </row>
    <row r="450" spans="1:11" x14ac:dyDescent="0.2">
      <c r="A450" s="24" t="s">
        <v>1255</v>
      </c>
      <c r="B450" s="24" t="s">
        <v>1256</v>
      </c>
      <c r="C450" s="24" t="s">
        <v>1257</v>
      </c>
      <c r="D450" s="24" t="s">
        <v>17</v>
      </c>
      <c r="E450" s="24" t="s">
        <v>42</v>
      </c>
      <c r="F450" s="24" t="s">
        <v>43</v>
      </c>
      <c r="G450" s="24" t="s">
        <v>20</v>
      </c>
      <c r="H450" s="26">
        <v>410</v>
      </c>
      <c r="I450" s="24" t="s">
        <v>21</v>
      </c>
      <c r="J450" s="36">
        <v>45338</v>
      </c>
      <c r="K450" s="24" t="s">
        <v>22</v>
      </c>
    </row>
    <row r="451" spans="1:11" x14ac:dyDescent="0.2">
      <c r="A451" s="27" t="s">
        <v>1258</v>
      </c>
      <c r="B451" s="27" t="s">
        <v>1259</v>
      </c>
      <c r="C451" s="27" t="s">
        <v>1260</v>
      </c>
      <c r="D451" s="27" t="s">
        <v>17</v>
      </c>
      <c r="E451" s="27" t="s">
        <v>48</v>
      </c>
      <c r="F451" s="27" t="s">
        <v>49</v>
      </c>
      <c r="G451" s="27" t="s">
        <v>20</v>
      </c>
      <c r="H451" s="29">
        <v>22</v>
      </c>
      <c r="I451" s="27" t="s">
        <v>21</v>
      </c>
      <c r="J451" s="37">
        <v>45329</v>
      </c>
      <c r="K451" s="27" t="s">
        <v>22</v>
      </c>
    </row>
    <row r="452" spans="1:11" x14ac:dyDescent="0.2">
      <c r="A452" s="24" t="s">
        <v>1261</v>
      </c>
      <c r="B452" s="24" t="s">
        <v>1262</v>
      </c>
      <c r="C452" s="24" t="s">
        <v>494</v>
      </c>
      <c r="D452" s="24" t="s">
        <v>17</v>
      </c>
      <c r="E452" s="24" t="s">
        <v>48</v>
      </c>
      <c r="F452" s="24" t="s">
        <v>49</v>
      </c>
      <c r="G452" s="24" t="s">
        <v>44</v>
      </c>
      <c r="H452" s="26">
        <v>104</v>
      </c>
      <c r="I452" s="24" t="s">
        <v>29</v>
      </c>
      <c r="J452" s="36">
        <v>45327</v>
      </c>
      <c r="K452" s="24" t="s">
        <v>22</v>
      </c>
    </row>
    <row r="453" spans="1:11" x14ac:dyDescent="0.2">
      <c r="A453" s="27" t="s">
        <v>1263</v>
      </c>
      <c r="B453" s="27" t="s">
        <v>1264</v>
      </c>
      <c r="C453" s="27" t="s">
        <v>687</v>
      </c>
      <c r="D453" s="27" t="s">
        <v>17</v>
      </c>
      <c r="E453" s="27" t="s">
        <v>42</v>
      </c>
      <c r="F453" s="27" t="s">
        <v>43</v>
      </c>
      <c r="G453" s="27" t="s">
        <v>20</v>
      </c>
      <c r="H453" s="29">
        <v>485</v>
      </c>
      <c r="I453" s="27" t="s">
        <v>21</v>
      </c>
      <c r="J453" s="37">
        <v>45337</v>
      </c>
      <c r="K453" s="27" t="s">
        <v>22</v>
      </c>
    </row>
    <row r="454" spans="1:11" x14ac:dyDescent="0.2">
      <c r="A454" s="24" t="s">
        <v>1265</v>
      </c>
      <c r="B454" s="24" t="s">
        <v>1266</v>
      </c>
      <c r="C454" s="24" t="s">
        <v>213</v>
      </c>
      <c r="D454" s="24" t="s">
        <v>17</v>
      </c>
      <c r="E454" s="24" t="s">
        <v>18</v>
      </c>
      <c r="F454" s="24" t="s">
        <v>19</v>
      </c>
      <c r="G454" s="24" t="s">
        <v>20</v>
      </c>
      <c r="H454" s="26">
        <v>12</v>
      </c>
      <c r="I454" s="24" t="s">
        <v>21</v>
      </c>
      <c r="J454" s="36">
        <v>45349</v>
      </c>
      <c r="K454" s="24" t="s">
        <v>22</v>
      </c>
    </row>
    <row r="455" spans="1:11" x14ac:dyDescent="0.2">
      <c r="A455" s="27" t="s">
        <v>1267</v>
      </c>
      <c r="B455" s="27" t="s">
        <v>1268</v>
      </c>
      <c r="C455" s="27" t="s">
        <v>55</v>
      </c>
      <c r="D455" s="27" t="s">
        <v>17</v>
      </c>
      <c r="E455" s="27" t="s">
        <v>18</v>
      </c>
      <c r="F455" s="27" t="s">
        <v>19</v>
      </c>
      <c r="G455" s="27" t="s">
        <v>20</v>
      </c>
      <c r="H455" s="29">
        <v>20</v>
      </c>
      <c r="I455" s="27" t="s">
        <v>21</v>
      </c>
      <c r="J455" s="37">
        <v>45329</v>
      </c>
      <c r="K455" s="27" t="s">
        <v>22</v>
      </c>
    </row>
    <row r="456" spans="1:11" x14ac:dyDescent="0.2">
      <c r="A456" s="24" t="s">
        <v>1269</v>
      </c>
      <c r="B456" s="24" t="s">
        <v>1270</v>
      </c>
      <c r="C456" s="24" t="s">
        <v>213</v>
      </c>
      <c r="D456" s="24" t="s">
        <v>17</v>
      </c>
      <c r="E456" s="24" t="s">
        <v>18</v>
      </c>
      <c r="F456" s="24" t="s">
        <v>19</v>
      </c>
      <c r="G456" s="24" t="s">
        <v>59</v>
      </c>
      <c r="H456" s="26">
        <v>10</v>
      </c>
      <c r="I456" s="24" t="s">
        <v>21</v>
      </c>
      <c r="J456" s="36">
        <v>45337</v>
      </c>
      <c r="K456" s="24" t="s">
        <v>22</v>
      </c>
    </row>
    <row r="457" spans="1:11" x14ac:dyDescent="0.2">
      <c r="A457" s="27" t="s">
        <v>1271</v>
      </c>
      <c r="B457" s="27" t="s">
        <v>1272</v>
      </c>
      <c r="C457" s="27" t="s">
        <v>1273</v>
      </c>
      <c r="D457" s="27" t="s">
        <v>17</v>
      </c>
      <c r="E457" s="27" t="s">
        <v>48</v>
      </c>
      <c r="F457" s="27" t="s">
        <v>49</v>
      </c>
      <c r="G457" s="27" t="s">
        <v>44</v>
      </c>
      <c r="H457" s="29">
        <v>65</v>
      </c>
      <c r="I457" s="27" t="s">
        <v>21</v>
      </c>
      <c r="J457" s="37">
        <v>45345</v>
      </c>
      <c r="K457" s="27" t="s">
        <v>22</v>
      </c>
    </row>
    <row r="458" spans="1:11" x14ac:dyDescent="0.2">
      <c r="A458" s="24" t="s">
        <v>1274</v>
      </c>
      <c r="B458" s="24" t="s">
        <v>1275</v>
      </c>
      <c r="C458" s="24" t="s">
        <v>1276</v>
      </c>
      <c r="D458" s="24" t="s">
        <v>17</v>
      </c>
      <c r="E458" s="24" t="s">
        <v>18</v>
      </c>
      <c r="F458" s="24" t="s">
        <v>19</v>
      </c>
      <c r="G458" s="24" t="s">
        <v>20</v>
      </c>
      <c r="H458" s="26">
        <v>32</v>
      </c>
      <c r="I458" s="24" t="s">
        <v>21</v>
      </c>
      <c r="J458" s="36">
        <v>45329</v>
      </c>
      <c r="K458" s="24" t="s">
        <v>22</v>
      </c>
    </row>
    <row r="459" spans="1:11" x14ac:dyDescent="0.2">
      <c r="A459" s="27" t="s">
        <v>1277</v>
      </c>
      <c r="B459" s="27" t="s">
        <v>1278</v>
      </c>
      <c r="C459" s="27" t="s">
        <v>437</v>
      </c>
      <c r="D459" s="27" t="s">
        <v>17</v>
      </c>
      <c r="E459" s="27" t="s">
        <v>18</v>
      </c>
      <c r="F459" s="27" t="s">
        <v>19</v>
      </c>
      <c r="G459" s="27" t="s">
        <v>20</v>
      </c>
      <c r="H459" s="29">
        <v>240</v>
      </c>
      <c r="I459" s="27" t="s">
        <v>21</v>
      </c>
      <c r="J459" s="37">
        <v>45337</v>
      </c>
      <c r="K459" s="27" t="s">
        <v>22</v>
      </c>
    </row>
    <row r="460" spans="1:11" x14ac:dyDescent="0.2">
      <c r="A460" s="24" t="s">
        <v>1279</v>
      </c>
      <c r="B460" s="24" t="s">
        <v>1280</v>
      </c>
      <c r="C460" s="24" t="s">
        <v>827</v>
      </c>
      <c r="D460" s="24" t="s">
        <v>17</v>
      </c>
      <c r="E460" s="24" t="s">
        <v>48</v>
      </c>
      <c r="F460" s="24" t="s">
        <v>49</v>
      </c>
      <c r="G460" s="24" t="s">
        <v>28</v>
      </c>
      <c r="H460" s="26">
        <v>90</v>
      </c>
      <c r="I460" s="24" t="s">
        <v>29</v>
      </c>
      <c r="J460" s="36">
        <v>45329</v>
      </c>
      <c r="K460" s="24" t="s">
        <v>22</v>
      </c>
    </row>
    <row r="461" spans="1:11" x14ac:dyDescent="0.2">
      <c r="A461" s="27" t="s">
        <v>1281</v>
      </c>
      <c r="B461" s="27" t="s">
        <v>1282</v>
      </c>
      <c r="C461" s="27" t="s">
        <v>1283</v>
      </c>
      <c r="D461" s="27" t="s">
        <v>17</v>
      </c>
      <c r="E461" s="27" t="s">
        <v>18</v>
      </c>
      <c r="F461" s="27" t="s">
        <v>19</v>
      </c>
      <c r="G461" s="27" t="s">
        <v>28</v>
      </c>
      <c r="H461" s="29">
        <v>74</v>
      </c>
      <c r="I461" s="27" t="s">
        <v>29</v>
      </c>
      <c r="J461" s="37">
        <v>45350</v>
      </c>
      <c r="K461" s="27" t="s">
        <v>22</v>
      </c>
    </row>
    <row r="462" spans="1:11" x14ac:dyDescent="0.2">
      <c r="A462" s="24" t="s">
        <v>1284</v>
      </c>
      <c r="B462" s="24" t="s">
        <v>1285</v>
      </c>
      <c r="C462" s="24" t="s">
        <v>792</v>
      </c>
      <c r="D462" s="24" t="s">
        <v>17</v>
      </c>
      <c r="E462" s="24" t="s">
        <v>48</v>
      </c>
      <c r="F462" s="24" t="s">
        <v>49</v>
      </c>
      <c r="G462" s="24" t="s">
        <v>28</v>
      </c>
      <c r="H462" s="26">
        <v>740</v>
      </c>
      <c r="I462" s="24" t="s">
        <v>29</v>
      </c>
      <c r="J462" s="36">
        <v>45348</v>
      </c>
      <c r="K462" s="24" t="s">
        <v>22</v>
      </c>
    </row>
    <row r="463" spans="1:11" x14ac:dyDescent="0.2">
      <c r="A463" s="27" t="s">
        <v>1286</v>
      </c>
      <c r="B463" s="27" t="s">
        <v>1287</v>
      </c>
      <c r="C463" s="27" t="s">
        <v>1288</v>
      </c>
      <c r="D463" s="27" t="s">
        <v>17</v>
      </c>
      <c r="E463" s="27" t="s">
        <v>18</v>
      </c>
      <c r="F463" s="27" t="s">
        <v>19</v>
      </c>
      <c r="G463" s="27" t="s">
        <v>20</v>
      </c>
      <c r="H463" s="29">
        <v>14</v>
      </c>
      <c r="I463" s="27" t="s">
        <v>21</v>
      </c>
      <c r="J463" s="37">
        <v>45331</v>
      </c>
      <c r="K463" s="27" t="s">
        <v>22</v>
      </c>
    </row>
    <row r="464" spans="1:11" x14ac:dyDescent="0.2">
      <c r="A464" s="24" t="s">
        <v>1289</v>
      </c>
      <c r="B464" s="24" t="s">
        <v>1290</v>
      </c>
      <c r="C464" s="24" t="s">
        <v>55</v>
      </c>
      <c r="D464" s="24" t="s">
        <v>17</v>
      </c>
      <c r="E464" s="24" t="s">
        <v>26</v>
      </c>
      <c r="F464" s="24" t="s">
        <v>27</v>
      </c>
      <c r="G464" s="24" t="s">
        <v>20</v>
      </c>
      <c r="H464" s="26">
        <v>13</v>
      </c>
      <c r="I464" s="24" t="s">
        <v>21</v>
      </c>
      <c r="J464" s="36">
        <v>45350</v>
      </c>
      <c r="K464" s="24" t="s">
        <v>22</v>
      </c>
    </row>
    <row r="465" spans="1:11" x14ac:dyDescent="0.2">
      <c r="A465" s="27" t="s">
        <v>1291</v>
      </c>
      <c r="B465" s="27" t="s">
        <v>1292</v>
      </c>
      <c r="C465" s="27" t="s">
        <v>97</v>
      </c>
      <c r="D465" s="27" t="s">
        <v>17</v>
      </c>
      <c r="E465" s="27" t="s">
        <v>18</v>
      </c>
      <c r="F465" s="27" t="s">
        <v>19</v>
      </c>
      <c r="G465" s="27" t="s">
        <v>20</v>
      </c>
      <c r="H465" s="29">
        <v>8</v>
      </c>
      <c r="I465" s="27" t="s">
        <v>21</v>
      </c>
      <c r="J465" s="37">
        <v>45338</v>
      </c>
      <c r="K465" s="27" t="s">
        <v>22</v>
      </c>
    </row>
    <row r="466" spans="1:11" x14ac:dyDescent="0.2">
      <c r="A466" s="24" t="s">
        <v>1293</v>
      </c>
      <c r="B466" s="24" t="s">
        <v>1294</v>
      </c>
      <c r="C466" s="24" t="s">
        <v>1295</v>
      </c>
      <c r="D466" s="24" t="s">
        <v>17</v>
      </c>
      <c r="E466" s="24" t="s">
        <v>18</v>
      </c>
      <c r="F466" s="24" t="s">
        <v>19</v>
      </c>
      <c r="G466" s="24" t="s">
        <v>28</v>
      </c>
      <c r="H466" s="26">
        <v>280</v>
      </c>
      <c r="I466" s="24" t="s">
        <v>29</v>
      </c>
      <c r="J466" s="36">
        <v>45331</v>
      </c>
      <c r="K466" s="24" t="s">
        <v>22</v>
      </c>
    </row>
    <row r="467" spans="1:11" x14ac:dyDescent="0.2">
      <c r="A467" s="27" t="s">
        <v>1296</v>
      </c>
      <c r="B467" s="27" t="s">
        <v>1297</v>
      </c>
      <c r="C467" s="27" t="s">
        <v>1298</v>
      </c>
      <c r="D467" s="27" t="s">
        <v>17</v>
      </c>
      <c r="E467" s="27" t="s">
        <v>48</v>
      </c>
      <c r="F467" s="27" t="s">
        <v>49</v>
      </c>
      <c r="G467" s="27" t="s">
        <v>38</v>
      </c>
      <c r="H467" s="29">
        <v>60</v>
      </c>
      <c r="I467" s="27" t="s">
        <v>29</v>
      </c>
      <c r="J467" s="37">
        <v>45323</v>
      </c>
      <c r="K467" s="27" t="s">
        <v>22</v>
      </c>
    </row>
    <row r="468" spans="1:11" x14ac:dyDescent="0.2">
      <c r="A468" s="24" t="s">
        <v>1299</v>
      </c>
      <c r="B468" s="24" t="s">
        <v>1300</v>
      </c>
      <c r="C468" s="24" t="s">
        <v>1301</v>
      </c>
      <c r="D468" s="24" t="s">
        <v>17</v>
      </c>
      <c r="E468" s="24" t="s">
        <v>48</v>
      </c>
      <c r="F468" s="24" t="s">
        <v>49</v>
      </c>
      <c r="G468" s="24" t="s">
        <v>28</v>
      </c>
      <c r="H468" s="26">
        <v>148</v>
      </c>
      <c r="I468" s="24" t="s">
        <v>29</v>
      </c>
      <c r="J468" s="36">
        <v>45343</v>
      </c>
      <c r="K468" s="24" t="s">
        <v>22</v>
      </c>
    </row>
    <row r="469" spans="1:11" x14ac:dyDescent="0.2">
      <c r="A469" s="27" t="s">
        <v>1302</v>
      </c>
      <c r="B469" s="27" t="s">
        <v>1303</v>
      </c>
      <c r="C469" s="27" t="s">
        <v>1304</v>
      </c>
      <c r="D469" s="27" t="s">
        <v>17</v>
      </c>
      <c r="E469" s="27" t="s">
        <v>42</v>
      </c>
      <c r="F469" s="27" t="s">
        <v>43</v>
      </c>
      <c r="G469" s="27" t="s">
        <v>44</v>
      </c>
      <c r="H469" s="29">
        <v>19</v>
      </c>
      <c r="I469" s="27" t="s">
        <v>21</v>
      </c>
      <c r="J469" s="37">
        <v>45331</v>
      </c>
      <c r="K469" s="27" t="s">
        <v>22</v>
      </c>
    </row>
    <row r="470" spans="1:11" x14ac:dyDescent="0.2">
      <c r="A470" s="24" t="s">
        <v>1305</v>
      </c>
      <c r="B470" s="24" t="s">
        <v>1306</v>
      </c>
      <c r="C470" s="24" t="s">
        <v>1307</v>
      </c>
      <c r="D470" s="24" t="s">
        <v>17</v>
      </c>
      <c r="E470" s="24" t="s">
        <v>48</v>
      </c>
      <c r="F470" s="24" t="s">
        <v>49</v>
      </c>
      <c r="G470" s="24" t="s">
        <v>20</v>
      </c>
      <c r="H470" s="26">
        <v>235</v>
      </c>
      <c r="I470" s="24" t="s">
        <v>21</v>
      </c>
      <c r="J470" s="36">
        <v>45345</v>
      </c>
      <c r="K470" s="24" t="s">
        <v>22</v>
      </c>
    </row>
    <row r="471" spans="1:11" x14ac:dyDescent="0.2">
      <c r="A471" s="27" t="s">
        <v>1308</v>
      </c>
      <c r="B471" s="27" t="s">
        <v>1309</v>
      </c>
      <c r="C471" s="27" t="s">
        <v>526</v>
      </c>
      <c r="D471" s="27" t="s">
        <v>17</v>
      </c>
      <c r="E471" s="27" t="s">
        <v>18</v>
      </c>
      <c r="F471" s="27" t="s">
        <v>19</v>
      </c>
      <c r="G471" s="27" t="s">
        <v>44</v>
      </c>
      <c r="H471" s="29">
        <v>12</v>
      </c>
      <c r="I471" s="27" t="s">
        <v>29</v>
      </c>
      <c r="J471" s="37">
        <v>45351</v>
      </c>
      <c r="K471" s="27" t="s">
        <v>22</v>
      </c>
    </row>
    <row r="472" spans="1:11" x14ac:dyDescent="0.2">
      <c r="A472" s="24" t="s">
        <v>1310</v>
      </c>
      <c r="B472" s="24" t="s">
        <v>1311</v>
      </c>
      <c r="C472" s="24" t="s">
        <v>1312</v>
      </c>
      <c r="D472" s="24" t="s">
        <v>17</v>
      </c>
      <c r="E472" s="24" t="s">
        <v>18</v>
      </c>
      <c r="F472" s="24" t="s">
        <v>19</v>
      </c>
      <c r="G472" s="24" t="s">
        <v>44</v>
      </c>
      <c r="H472" s="26">
        <v>40</v>
      </c>
      <c r="I472" s="24" t="s">
        <v>21</v>
      </c>
      <c r="J472" s="36">
        <v>45343</v>
      </c>
      <c r="K472" s="24" t="s">
        <v>22</v>
      </c>
    </row>
    <row r="473" spans="1:11" x14ac:dyDescent="0.2">
      <c r="A473" s="27" t="s">
        <v>1313</v>
      </c>
      <c r="B473" s="27" t="s">
        <v>1314</v>
      </c>
      <c r="C473" s="27" t="s">
        <v>1315</v>
      </c>
      <c r="D473" s="27" t="s">
        <v>17</v>
      </c>
      <c r="E473" s="27" t="s">
        <v>18</v>
      </c>
      <c r="F473" s="27" t="s">
        <v>19</v>
      </c>
      <c r="G473" s="27" t="s">
        <v>28</v>
      </c>
      <c r="H473" s="29">
        <v>34</v>
      </c>
      <c r="I473" s="27" t="s">
        <v>29</v>
      </c>
      <c r="J473" s="37">
        <v>45337</v>
      </c>
      <c r="K473" s="27" t="s">
        <v>22</v>
      </c>
    </row>
    <row r="474" spans="1:11" x14ac:dyDescent="0.2">
      <c r="A474" s="24" t="s">
        <v>1316</v>
      </c>
      <c r="B474" s="24" t="s">
        <v>1317</v>
      </c>
      <c r="C474" s="24" t="s">
        <v>1161</v>
      </c>
      <c r="D474" s="24" t="s">
        <v>17</v>
      </c>
      <c r="E474" s="24" t="s">
        <v>48</v>
      </c>
      <c r="F474" s="24" t="s">
        <v>49</v>
      </c>
      <c r="G474" s="24" t="s">
        <v>38</v>
      </c>
      <c r="H474" s="26">
        <v>303</v>
      </c>
      <c r="I474" s="24" t="s">
        <v>21</v>
      </c>
      <c r="J474" s="36">
        <v>45342</v>
      </c>
      <c r="K474" s="24" t="s">
        <v>22</v>
      </c>
    </row>
    <row r="475" spans="1:11" x14ac:dyDescent="0.2">
      <c r="A475" s="27" t="s">
        <v>1318</v>
      </c>
      <c r="B475" s="27" t="s">
        <v>1319</v>
      </c>
      <c r="C475" s="27" t="s">
        <v>1320</v>
      </c>
      <c r="D475" s="27" t="s">
        <v>17</v>
      </c>
      <c r="E475" s="27" t="s">
        <v>48</v>
      </c>
      <c r="F475" s="27" t="s">
        <v>49</v>
      </c>
      <c r="G475" s="27" t="s">
        <v>20</v>
      </c>
      <c r="H475" s="29">
        <v>150</v>
      </c>
      <c r="I475" s="27" t="s">
        <v>21</v>
      </c>
      <c r="J475" s="37">
        <v>45324</v>
      </c>
      <c r="K475" s="27" t="s">
        <v>22</v>
      </c>
    </row>
    <row r="476" spans="1:11" x14ac:dyDescent="0.2">
      <c r="A476" s="24" t="s">
        <v>1321</v>
      </c>
      <c r="B476" s="24" t="s">
        <v>1322</v>
      </c>
      <c r="C476" s="24" t="s">
        <v>1323</v>
      </c>
      <c r="D476" s="24" t="s">
        <v>17</v>
      </c>
      <c r="E476" s="24" t="s">
        <v>48</v>
      </c>
      <c r="F476" s="24" t="s">
        <v>49</v>
      </c>
      <c r="G476" s="24" t="s">
        <v>28</v>
      </c>
      <c r="H476" s="26">
        <v>75</v>
      </c>
      <c r="I476" s="24" t="s">
        <v>29</v>
      </c>
      <c r="J476" s="36">
        <v>45330</v>
      </c>
      <c r="K476" s="24" t="s">
        <v>22</v>
      </c>
    </row>
    <row r="477" spans="1:11" x14ac:dyDescent="0.2">
      <c r="A477" s="27" t="s">
        <v>1324</v>
      </c>
      <c r="B477" s="27" t="s">
        <v>1325</v>
      </c>
      <c r="C477" s="27" t="s">
        <v>68</v>
      </c>
      <c r="D477" s="27" t="s">
        <v>17</v>
      </c>
      <c r="E477" s="27" t="s">
        <v>42</v>
      </c>
      <c r="F477" s="27" t="s">
        <v>43</v>
      </c>
      <c r="G477" s="27" t="s">
        <v>28</v>
      </c>
      <c r="H477" s="29">
        <v>130</v>
      </c>
      <c r="I477" s="27" t="s">
        <v>29</v>
      </c>
      <c r="J477" s="37">
        <v>45327</v>
      </c>
      <c r="K477" s="27" t="s">
        <v>22</v>
      </c>
    </row>
    <row r="478" spans="1:11" x14ac:dyDescent="0.2">
      <c r="A478" s="24" t="s">
        <v>1326</v>
      </c>
      <c r="B478" s="24" t="s">
        <v>1327</v>
      </c>
      <c r="C478" s="24" t="s">
        <v>55</v>
      </c>
      <c r="D478" s="24" t="s">
        <v>17</v>
      </c>
      <c r="E478" s="24" t="s">
        <v>18</v>
      </c>
      <c r="F478" s="24" t="s">
        <v>19</v>
      </c>
      <c r="G478" s="24" t="s">
        <v>20</v>
      </c>
      <c r="H478" s="26">
        <v>19</v>
      </c>
      <c r="I478" s="24" t="s">
        <v>21</v>
      </c>
      <c r="J478" s="36">
        <v>45331</v>
      </c>
      <c r="K478" s="24" t="s">
        <v>22</v>
      </c>
    </row>
    <row r="479" spans="1:11" x14ac:dyDescent="0.2">
      <c r="A479" s="27" t="s">
        <v>1328</v>
      </c>
      <c r="B479" s="27" t="s">
        <v>1329</v>
      </c>
      <c r="C479" s="27" t="s">
        <v>1330</v>
      </c>
      <c r="D479" s="27" t="s">
        <v>17</v>
      </c>
      <c r="E479" s="27" t="s">
        <v>81</v>
      </c>
      <c r="F479" s="27" t="s">
        <v>82</v>
      </c>
      <c r="G479" s="27" t="s">
        <v>20</v>
      </c>
      <c r="H479" s="29">
        <v>40</v>
      </c>
      <c r="I479" s="27" t="s">
        <v>21</v>
      </c>
      <c r="J479" s="37">
        <v>45351</v>
      </c>
      <c r="K479" s="27" t="s">
        <v>22</v>
      </c>
    </row>
    <row r="480" spans="1:11" x14ac:dyDescent="0.2">
      <c r="A480" s="24" t="s">
        <v>1331</v>
      </c>
      <c r="B480" s="24" t="s">
        <v>1332</v>
      </c>
      <c r="C480" s="24" t="s">
        <v>1333</v>
      </c>
      <c r="D480" s="24" t="s">
        <v>17</v>
      </c>
      <c r="E480" s="24" t="s">
        <v>18</v>
      </c>
      <c r="F480" s="24" t="s">
        <v>19</v>
      </c>
      <c r="G480" s="24" t="s">
        <v>20</v>
      </c>
      <c r="H480" s="26">
        <v>25</v>
      </c>
      <c r="I480" s="24" t="s">
        <v>21</v>
      </c>
      <c r="J480" s="36">
        <v>45345</v>
      </c>
      <c r="K480" s="24" t="s">
        <v>22</v>
      </c>
    </row>
    <row r="481" spans="1:11" x14ac:dyDescent="0.2">
      <c r="A481" s="27" t="s">
        <v>1334</v>
      </c>
      <c r="B481" s="27" t="s">
        <v>1335</v>
      </c>
      <c r="C481" s="27" t="s">
        <v>1336</v>
      </c>
      <c r="D481" s="27" t="s">
        <v>17</v>
      </c>
      <c r="E481" s="27" t="s">
        <v>18</v>
      </c>
      <c r="F481" s="27" t="s">
        <v>19</v>
      </c>
      <c r="G481" s="27" t="s">
        <v>20</v>
      </c>
      <c r="H481" s="29">
        <v>12</v>
      </c>
      <c r="I481" s="27" t="s">
        <v>21</v>
      </c>
      <c r="J481" s="37">
        <v>45335</v>
      </c>
      <c r="K481" s="27" t="s">
        <v>22</v>
      </c>
    </row>
    <row r="482" spans="1:11" x14ac:dyDescent="0.2">
      <c r="A482" s="24" t="s">
        <v>1337</v>
      </c>
      <c r="B482" s="24" t="s">
        <v>1338</v>
      </c>
      <c r="C482" s="24" t="s">
        <v>85</v>
      </c>
      <c r="D482" s="24" t="s">
        <v>17</v>
      </c>
      <c r="E482" s="24" t="s">
        <v>18</v>
      </c>
      <c r="F482" s="24" t="s">
        <v>19</v>
      </c>
      <c r="G482" s="24" t="s">
        <v>20</v>
      </c>
      <c r="H482" s="26">
        <v>8</v>
      </c>
      <c r="I482" s="24" t="s">
        <v>21</v>
      </c>
      <c r="J482" s="36">
        <v>45343</v>
      </c>
      <c r="K482" s="24" t="s">
        <v>22</v>
      </c>
    </row>
    <row r="483" spans="1:11" x14ac:dyDescent="0.2">
      <c r="A483" s="27" t="s">
        <v>1339</v>
      </c>
      <c r="B483" s="27" t="s">
        <v>1340</v>
      </c>
      <c r="C483" s="27" t="s">
        <v>429</v>
      </c>
      <c r="D483" s="27" t="s">
        <v>17</v>
      </c>
      <c r="E483" s="27" t="s">
        <v>18</v>
      </c>
      <c r="F483" s="27" t="s">
        <v>19</v>
      </c>
      <c r="G483" s="27" t="s">
        <v>20</v>
      </c>
      <c r="H483" s="29">
        <v>52</v>
      </c>
      <c r="I483" s="27" t="s">
        <v>21</v>
      </c>
      <c r="J483" s="37">
        <v>45348</v>
      </c>
      <c r="K483" s="27" t="s">
        <v>22</v>
      </c>
    </row>
    <row r="484" spans="1:11" x14ac:dyDescent="0.2">
      <c r="A484" s="24" t="s">
        <v>1341</v>
      </c>
      <c r="B484" s="24" t="s">
        <v>1342</v>
      </c>
      <c r="C484" s="24" t="s">
        <v>1343</v>
      </c>
      <c r="D484" s="24" t="s">
        <v>17</v>
      </c>
      <c r="E484" s="24" t="s">
        <v>26</v>
      </c>
      <c r="F484" s="24" t="s">
        <v>27</v>
      </c>
      <c r="G484" s="24" t="s">
        <v>28</v>
      </c>
      <c r="H484" s="26">
        <v>68</v>
      </c>
      <c r="I484" s="24" t="s">
        <v>29</v>
      </c>
      <c r="J484" s="36">
        <v>45345</v>
      </c>
      <c r="K484" s="24" t="s">
        <v>22</v>
      </c>
    </row>
    <row r="485" spans="1:11" x14ac:dyDescent="0.2">
      <c r="A485" s="27" t="s">
        <v>1344</v>
      </c>
      <c r="B485" s="27" t="s">
        <v>1345</v>
      </c>
      <c r="C485" s="27" t="s">
        <v>1346</v>
      </c>
      <c r="D485" s="27" t="s">
        <v>17</v>
      </c>
      <c r="E485" s="27" t="s">
        <v>18</v>
      </c>
      <c r="F485" s="27" t="s">
        <v>19</v>
      </c>
      <c r="G485" s="27" t="s">
        <v>28</v>
      </c>
      <c r="H485" s="29">
        <v>164</v>
      </c>
      <c r="I485" s="27" t="s">
        <v>29</v>
      </c>
      <c r="J485" s="37">
        <v>45344</v>
      </c>
      <c r="K485" s="27" t="s">
        <v>22</v>
      </c>
    </row>
    <row r="486" spans="1:11" x14ac:dyDescent="0.2">
      <c r="A486" s="24" t="s">
        <v>1347</v>
      </c>
      <c r="B486" s="24" t="s">
        <v>1348</v>
      </c>
      <c r="C486" s="24" t="s">
        <v>1349</v>
      </c>
      <c r="D486" s="24" t="s">
        <v>17</v>
      </c>
      <c r="E486" s="24" t="s">
        <v>48</v>
      </c>
      <c r="F486" s="24" t="s">
        <v>49</v>
      </c>
      <c r="G486" s="24" t="s">
        <v>28</v>
      </c>
      <c r="H486" s="26">
        <v>550</v>
      </c>
      <c r="I486" s="24" t="s">
        <v>29</v>
      </c>
      <c r="J486" s="36">
        <v>45337</v>
      </c>
      <c r="K486" s="24" t="s">
        <v>22</v>
      </c>
    </row>
    <row r="487" spans="1:11" x14ac:dyDescent="0.2">
      <c r="A487" s="27" t="s">
        <v>1350</v>
      </c>
      <c r="B487" s="27" t="s">
        <v>1351</v>
      </c>
      <c r="C487" s="27" t="s">
        <v>185</v>
      </c>
      <c r="D487" s="27" t="s">
        <v>17</v>
      </c>
      <c r="E487" s="27" t="s">
        <v>48</v>
      </c>
      <c r="F487" s="27" t="s">
        <v>49</v>
      </c>
      <c r="G487" s="27" t="s">
        <v>20</v>
      </c>
      <c r="H487" s="29">
        <v>275</v>
      </c>
      <c r="I487" s="27" t="s">
        <v>21</v>
      </c>
      <c r="J487" s="37">
        <v>45328</v>
      </c>
      <c r="K487" s="27" t="s">
        <v>22</v>
      </c>
    </row>
    <row r="488" spans="1:11" x14ac:dyDescent="0.2">
      <c r="A488" s="24" t="s">
        <v>1352</v>
      </c>
      <c r="B488" s="24" t="s">
        <v>1353</v>
      </c>
      <c r="C488" s="24" t="s">
        <v>68</v>
      </c>
      <c r="D488" s="24" t="s">
        <v>17</v>
      </c>
      <c r="E488" s="24" t="s">
        <v>42</v>
      </c>
      <c r="F488" s="24" t="s">
        <v>43</v>
      </c>
      <c r="G488" s="24" t="s">
        <v>116</v>
      </c>
      <c r="H488" s="26">
        <v>0</v>
      </c>
      <c r="I488" s="24" t="s">
        <v>21</v>
      </c>
      <c r="J488" s="36">
        <v>45323</v>
      </c>
      <c r="K488" s="24" t="s">
        <v>22</v>
      </c>
    </row>
    <row r="489" spans="1:11" x14ac:dyDescent="0.2">
      <c r="A489" s="27" t="s">
        <v>1354</v>
      </c>
      <c r="B489" s="27" t="s">
        <v>1355</v>
      </c>
      <c r="C489" s="27" t="s">
        <v>1356</v>
      </c>
      <c r="D489" s="27" t="s">
        <v>17</v>
      </c>
      <c r="E489" s="27" t="s">
        <v>81</v>
      </c>
      <c r="F489" s="27" t="s">
        <v>82</v>
      </c>
      <c r="G489" s="27" t="s">
        <v>20</v>
      </c>
      <c r="H489" s="29">
        <v>136</v>
      </c>
      <c r="I489" s="27" t="s">
        <v>21</v>
      </c>
      <c r="J489" s="37">
        <v>45343</v>
      </c>
      <c r="K489" s="27" t="s">
        <v>22</v>
      </c>
    </row>
    <row r="490" spans="1:11" x14ac:dyDescent="0.2">
      <c r="A490" s="24" t="s">
        <v>1357</v>
      </c>
      <c r="B490" s="24" t="s">
        <v>1358</v>
      </c>
      <c r="C490" s="24" t="s">
        <v>1359</v>
      </c>
      <c r="D490" s="24" t="s">
        <v>17</v>
      </c>
      <c r="E490" s="24" t="s">
        <v>42</v>
      </c>
      <c r="F490" s="24" t="s">
        <v>43</v>
      </c>
      <c r="G490" s="24" t="s">
        <v>28</v>
      </c>
      <c r="H490" s="26">
        <v>138</v>
      </c>
      <c r="I490" s="24" t="s">
        <v>29</v>
      </c>
      <c r="J490" s="36">
        <v>45341</v>
      </c>
      <c r="K490" s="24" t="s">
        <v>22</v>
      </c>
    </row>
    <row r="491" spans="1:11" x14ac:dyDescent="0.2">
      <c r="A491" s="27" t="s">
        <v>1360</v>
      </c>
      <c r="B491" s="27" t="s">
        <v>1361</v>
      </c>
      <c r="C491" s="27" t="s">
        <v>1362</v>
      </c>
      <c r="D491" s="27" t="s">
        <v>17</v>
      </c>
      <c r="E491" s="27" t="s">
        <v>18</v>
      </c>
      <c r="F491" s="27" t="s">
        <v>19</v>
      </c>
      <c r="G491" s="27" t="s">
        <v>20</v>
      </c>
      <c r="H491" s="29">
        <v>83</v>
      </c>
      <c r="I491" s="27" t="s">
        <v>21</v>
      </c>
      <c r="J491" s="37">
        <v>45341</v>
      </c>
      <c r="K491" s="27" t="s">
        <v>22</v>
      </c>
    </row>
    <row r="492" spans="1:11" x14ac:dyDescent="0.2">
      <c r="A492" s="24" t="s">
        <v>1363</v>
      </c>
      <c r="B492" s="24" t="s">
        <v>1364</v>
      </c>
      <c r="C492" s="24" t="s">
        <v>1365</v>
      </c>
      <c r="D492" s="24" t="s">
        <v>17</v>
      </c>
      <c r="E492" s="24" t="s">
        <v>48</v>
      </c>
      <c r="F492" s="24" t="s">
        <v>49</v>
      </c>
      <c r="G492" s="24" t="s">
        <v>28</v>
      </c>
      <c r="H492" s="26">
        <v>25</v>
      </c>
      <c r="I492" s="24" t="s">
        <v>29</v>
      </c>
      <c r="J492" s="36">
        <v>45341</v>
      </c>
      <c r="K492" s="24" t="s">
        <v>22</v>
      </c>
    </row>
    <row r="493" spans="1:11" x14ac:dyDescent="0.2">
      <c r="A493" s="27" t="s">
        <v>1366</v>
      </c>
      <c r="B493" s="27" t="s">
        <v>1367</v>
      </c>
      <c r="C493" s="27" t="s">
        <v>1368</v>
      </c>
      <c r="D493" s="27" t="s">
        <v>17</v>
      </c>
      <c r="E493" s="27" t="s">
        <v>48</v>
      </c>
      <c r="F493" s="27" t="s">
        <v>49</v>
      </c>
      <c r="G493" s="27" t="s">
        <v>20</v>
      </c>
      <c r="H493" s="29">
        <v>40</v>
      </c>
      <c r="I493" s="27" t="s">
        <v>21</v>
      </c>
      <c r="J493" s="37">
        <v>45337</v>
      </c>
      <c r="K493" s="27" t="s">
        <v>22</v>
      </c>
    </row>
    <row r="494" spans="1:11" x14ac:dyDescent="0.2">
      <c r="A494" s="24" t="s">
        <v>1369</v>
      </c>
      <c r="B494" s="24" t="s">
        <v>1370</v>
      </c>
      <c r="C494" s="24" t="s">
        <v>1371</v>
      </c>
      <c r="D494" s="24" t="s">
        <v>17</v>
      </c>
      <c r="E494" s="24" t="s">
        <v>18</v>
      </c>
      <c r="F494" s="24" t="s">
        <v>19</v>
      </c>
      <c r="G494" s="24" t="s">
        <v>28</v>
      </c>
      <c r="H494" s="26">
        <v>50</v>
      </c>
      <c r="I494" s="24" t="s">
        <v>29</v>
      </c>
      <c r="J494" s="36">
        <v>45329</v>
      </c>
      <c r="K494" s="24" t="s">
        <v>22</v>
      </c>
    </row>
    <row r="495" spans="1:11" x14ac:dyDescent="0.2">
      <c r="A495" s="27" t="s">
        <v>1372</v>
      </c>
      <c r="B495" s="27" t="s">
        <v>1373</v>
      </c>
      <c r="C495" s="27" t="s">
        <v>213</v>
      </c>
      <c r="D495" s="27" t="s">
        <v>17</v>
      </c>
      <c r="E495" s="27" t="s">
        <v>26</v>
      </c>
      <c r="F495" s="27" t="s">
        <v>27</v>
      </c>
      <c r="G495" s="27" t="s">
        <v>44</v>
      </c>
      <c r="H495" s="29">
        <v>71</v>
      </c>
      <c r="I495" s="27" t="s">
        <v>21</v>
      </c>
      <c r="J495" s="37">
        <v>45341</v>
      </c>
      <c r="K495" s="27" t="s">
        <v>22</v>
      </c>
    </row>
    <row r="496" spans="1:11" x14ac:dyDescent="0.2">
      <c r="A496" s="24" t="s">
        <v>1374</v>
      </c>
      <c r="B496" s="24" t="s">
        <v>1375</v>
      </c>
      <c r="C496" s="24" t="s">
        <v>1376</v>
      </c>
      <c r="D496" s="24" t="s">
        <v>17</v>
      </c>
      <c r="E496" s="24" t="s">
        <v>48</v>
      </c>
      <c r="F496" s="24" t="s">
        <v>49</v>
      </c>
      <c r="G496" s="24" t="s">
        <v>28</v>
      </c>
      <c r="H496" s="26">
        <v>200</v>
      </c>
      <c r="I496" s="24" t="s">
        <v>29</v>
      </c>
      <c r="J496" s="36">
        <v>45338</v>
      </c>
      <c r="K496" s="24" t="s">
        <v>22</v>
      </c>
    </row>
    <row r="497" spans="1:11" x14ac:dyDescent="0.2">
      <c r="A497" s="27" t="s">
        <v>1377</v>
      </c>
      <c r="B497" s="27" t="s">
        <v>1378</v>
      </c>
      <c r="C497" s="27" t="s">
        <v>708</v>
      </c>
      <c r="D497" s="27" t="s">
        <v>17</v>
      </c>
      <c r="E497" s="27" t="s">
        <v>42</v>
      </c>
      <c r="F497" s="27" t="s">
        <v>43</v>
      </c>
      <c r="G497" s="27" t="s">
        <v>28</v>
      </c>
      <c r="H497" s="29">
        <v>216</v>
      </c>
      <c r="I497" s="27" t="s">
        <v>29</v>
      </c>
      <c r="J497" s="37">
        <v>45337</v>
      </c>
      <c r="K497" s="27" t="s">
        <v>22</v>
      </c>
    </row>
    <row r="498" spans="1:11" x14ac:dyDescent="0.2">
      <c r="A498" s="24" t="s">
        <v>1379</v>
      </c>
      <c r="B498" s="24" t="s">
        <v>1380</v>
      </c>
      <c r="C498" s="24" t="s">
        <v>97</v>
      </c>
      <c r="D498" s="24" t="s">
        <v>17</v>
      </c>
      <c r="E498" s="24" t="s">
        <v>48</v>
      </c>
      <c r="F498" s="24" t="s">
        <v>49</v>
      </c>
      <c r="G498" s="24" t="s">
        <v>20</v>
      </c>
      <c r="H498" s="26">
        <v>73</v>
      </c>
      <c r="I498" s="24" t="s">
        <v>21</v>
      </c>
      <c r="J498" s="36">
        <v>45337</v>
      </c>
      <c r="K498" s="24" t="s">
        <v>22</v>
      </c>
    </row>
    <row r="499" spans="1:11" x14ac:dyDescent="0.2">
      <c r="A499" s="27" t="s">
        <v>1381</v>
      </c>
      <c r="B499" s="27" t="s">
        <v>1382</v>
      </c>
      <c r="C499" s="27" t="s">
        <v>1383</v>
      </c>
      <c r="D499" s="27" t="s">
        <v>17</v>
      </c>
      <c r="E499" s="27" t="s">
        <v>48</v>
      </c>
      <c r="F499" s="27" t="s">
        <v>49</v>
      </c>
      <c r="G499" s="27" t="s">
        <v>20</v>
      </c>
      <c r="H499" s="29">
        <v>165</v>
      </c>
      <c r="I499" s="27" t="s">
        <v>21</v>
      </c>
      <c r="J499" s="37">
        <v>45328</v>
      </c>
      <c r="K499" s="27" t="s">
        <v>22</v>
      </c>
    </row>
    <row r="500" spans="1:11" x14ac:dyDescent="0.2">
      <c r="A500" s="24" t="s">
        <v>1384</v>
      </c>
      <c r="B500" s="24" t="s">
        <v>1385</v>
      </c>
      <c r="C500" s="24" t="s">
        <v>1227</v>
      </c>
      <c r="D500" s="24" t="s">
        <v>17</v>
      </c>
      <c r="E500" s="24" t="s">
        <v>18</v>
      </c>
      <c r="F500" s="24" t="s">
        <v>19</v>
      </c>
      <c r="G500" s="24" t="s">
        <v>217</v>
      </c>
      <c r="H500" s="26">
        <v>82</v>
      </c>
      <c r="I500" s="24" t="s">
        <v>29</v>
      </c>
      <c r="J500" s="36">
        <v>45323</v>
      </c>
      <c r="K500" s="24" t="s">
        <v>22</v>
      </c>
    </row>
    <row r="501" spans="1:11" x14ac:dyDescent="0.2">
      <c r="A501" s="27" t="s">
        <v>1386</v>
      </c>
      <c r="B501" s="27" t="s">
        <v>1387</v>
      </c>
      <c r="C501" s="27" t="s">
        <v>208</v>
      </c>
      <c r="D501" s="27" t="s">
        <v>17</v>
      </c>
      <c r="E501" s="27" t="s">
        <v>48</v>
      </c>
      <c r="F501" s="27" t="s">
        <v>49</v>
      </c>
      <c r="G501" s="27" t="s">
        <v>20</v>
      </c>
      <c r="H501" s="29">
        <v>312</v>
      </c>
      <c r="I501" s="27" t="s">
        <v>21</v>
      </c>
      <c r="J501" s="37">
        <v>45342</v>
      </c>
      <c r="K501" s="27" t="s">
        <v>22</v>
      </c>
    </row>
    <row r="502" spans="1:11" x14ac:dyDescent="0.2">
      <c r="A502" s="24" t="s">
        <v>1388</v>
      </c>
      <c r="B502" s="24" t="s">
        <v>1389</v>
      </c>
      <c r="C502" s="24" t="s">
        <v>1390</v>
      </c>
      <c r="D502" s="24" t="s">
        <v>17</v>
      </c>
      <c r="E502" s="24" t="s">
        <v>18</v>
      </c>
      <c r="F502" s="24" t="s">
        <v>19</v>
      </c>
      <c r="G502" s="24" t="s">
        <v>28</v>
      </c>
      <c r="H502" s="26">
        <v>200</v>
      </c>
      <c r="I502" s="24" t="s">
        <v>29</v>
      </c>
      <c r="J502" s="36">
        <v>45345</v>
      </c>
      <c r="K502" s="24" t="s">
        <v>22</v>
      </c>
    </row>
    <row r="503" spans="1:11" x14ac:dyDescent="0.2">
      <c r="A503" s="27" t="s">
        <v>1391</v>
      </c>
      <c r="B503" s="27" t="s">
        <v>1392</v>
      </c>
      <c r="C503" s="27" t="s">
        <v>687</v>
      </c>
      <c r="D503" s="27" t="s">
        <v>17</v>
      </c>
      <c r="E503" s="27" t="s">
        <v>18</v>
      </c>
      <c r="F503" s="27" t="s">
        <v>19</v>
      </c>
      <c r="G503" s="27" t="s">
        <v>20</v>
      </c>
      <c r="H503" s="29">
        <v>34</v>
      </c>
      <c r="I503" s="27" t="s">
        <v>21</v>
      </c>
      <c r="J503" s="37">
        <v>45349</v>
      </c>
      <c r="K503" s="27" t="s">
        <v>22</v>
      </c>
    </row>
    <row r="504" spans="1:11" x14ac:dyDescent="0.2">
      <c r="A504" s="24" t="s">
        <v>1393</v>
      </c>
      <c r="B504" s="24" t="s">
        <v>1394</v>
      </c>
      <c r="C504" s="24" t="s">
        <v>1395</v>
      </c>
      <c r="D504" s="24" t="s">
        <v>17</v>
      </c>
      <c r="E504" s="24" t="s">
        <v>42</v>
      </c>
      <c r="F504" s="24" t="s">
        <v>43</v>
      </c>
      <c r="G504" s="24" t="s">
        <v>44</v>
      </c>
      <c r="H504" s="26">
        <v>564</v>
      </c>
      <c r="I504" s="24" t="s">
        <v>21</v>
      </c>
      <c r="J504" s="36">
        <v>45350</v>
      </c>
      <c r="K504" s="24" t="s">
        <v>22</v>
      </c>
    </row>
    <row r="505" spans="1:11" x14ac:dyDescent="0.2">
      <c r="A505" s="27" t="s">
        <v>1396</v>
      </c>
      <c r="B505" s="27" t="s">
        <v>1397</v>
      </c>
      <c r="C505" s="27" t="s">
        <v>1398</v>
      </c>
      <c r="D505" s="27" t="s">
        <v>17</v>
      </c>
      <c r="E505" s="27" t="s">
        <v>18</v>
      </c>
      <c r="F505" s="27" t="s">
        <v>19</v>
      </c>
      <c r="G505" s="27" t="s">
        <v>59</v>
      </c>
      <c r="H505" s="29">
        <v>23</v>
      </c>
      <c r="I505" s="27" t="s">
        <v>21</v>
      </c>
      <c r="J505" s="37">
        <v>45345</v>
      </c>
      <c r="K505" s="27" t="s">
        <v>22</v>
      </c>
    </row>
    <row r="506" spans="1:11" x14ac:dyDescent="0.2">
      <c r="A506" s="24" t="s">
        <v>1399</v>
      </c>
      <c r="B506" s="24" t="s">
        <v>1400</v>
      </c>
      <c r="C506" s="24" t="s">
        <v>85</v>
      </c>
      <c r="D506" s="24" t="s">
        <v>17</v>
      </c>
      <c r="E506" s="24" t="s">
        <v>18</v>
      </c>
      <c r="F506" s="24" t="s">
        <v>19</v>
      </c>
      <c r="G506" s="24" t="s">
        <v>59</v>
      </c>
      <c r="H506" s="26">
        <v>27</v>
      </c>
      <c r="I506" s="24" t="s">
        <v>21</v>
      </c>
      <c r="J506" s="36">
        <v>45328</v>
      </c>
      <c r="K506" s="24" t="s">
        <v>22</v>
      </c>
    </row>
    <row r="507" spans="1:11" x14ac:dyDescent="0.2">
      <c r="A507" s="27" t="s">
        <v>1401</v>
      </c>
      <c r="B507" s="27" t="s">
        <v>1402</v>
      </c>
      <c r="C507" s="27" t="s">
        <v>251</v>
      </c>
      <c r="D507" s="27" t="s">
        <v>17</v>
      </c>
      <c r="E507" s="27" t="s">
        <v>48</v>
      </c>
      <c r="F507" s="27" t="s">
        <v>49</v>
      </c>
      <c r="G507" s="27" t="s">
        <v>20</v>
      </c>
      <c r="H507" s="29">
        <v>31</v>
      </c>
      <c r="I507" s="27" t="s">
        <v>21</v>
      </c>
      <c r="J507" s="37">
        <v>45337</v>
      </c>
      <c r="K507" s="27" t="s">
        <v>22</v>
      </c>
    </row>
    <row r="508" spans="1:11" x14ac:dyDescent="0.2">
      <c r="A508" s="24" t="s">
        <v>1403</v>
      </c>
      <c r="B508" s="24" t="s">
        <v>1404</v>
      </c>
      <c r="C508" s="24" t="s">
        <v>1260</v>
      </c>
      <c r="D508" s="24" t="s">
        <v>17</v>
      </c>
      <c r="E508" s="24" t="s">
        <v>42</v>
      </c>
      <c r="F508" s="24" t="s">
        <v>43</v>
      </c>
      <c r="G508" s="24" t="s">
        <v>44</v>
      </c>
      <c r="H508" s="26">
        <v>473</v>
      </c>
      <c r="I508" s="24" t="s">
        <v>21</v>
      </c>
      <c r="J508" s="36">
        <v>45331</v>
      </c>
      <c r="K508" s="24" t="s">
        <v>22</v>
      </c>
    </row>
    <row r="509" spans="1:11" x14ac:dyDescent="0.2">
      <c r="A509" s="27" t="s">
        <v>1405</v>
      </c>
      <c r="B509" s="27" t="s">
        <v>1406</v>
      </c>
      <c r="C509" s="27" t="s">
        <v>1407</v>
      </c>
      <c r="D509" s="27" t="s">
        <v>17</v>
      </c>
      <c r="E509" s="27" t="s">
        <v>18</v>
      </c>
      <c r="F509" s="27" t="s">
        <v>19</v>
      </c>
      <c r="G509" s="27" t="s">
        <v>38</v>
      </c>
      <c r="H509" s="29">
        <v>18</v>
      </c>
      <c r="I509" s="27" t="s">
        <v>29</v>
      </c>
      <c r="J509" s="37">
        <v>45323</v>
      </c>
      <c r="K509" s="27" t="s">
        <v>22</v>
      </c>
    </row>
    <row r="510" spans="1:11" x14ac:dyDescent="0.2">
      <c r="A510" s="24" t="s">
        <v>1408</v>
      </c>
      <c r="B510" s="24" t="s">
        <v>1409</v>
      </c>
      <c r="C510" s="24" t="s">
        <v>1257</v>
      </c>
      <c r="D510" s="24" t="s">
        <v>17</v>
      </c>
      <c r="E510" s="24" t="s">
        <v>42</v>
      </c>
      <c r="F510" s="24" t="s">
        <v>43</v>
      </c>
      <c r="G510" s="24" t="s">
        <v>44</v>
      </c>
      <c r="H510" s="26">
        <v>277</v>
      </c>
      <c r="I510" s="24" t="s">
        <v>21</v>
      </c>
      <c r="J510" s="36">
        <v>45344</v>
      </c>
      <c r="K510" s="24" t="s">
        <v>22</v>
      </c>
    </row>
    <row r="511" spans="1:11" x14ac:dyDescent="0.2">
      <c r="A511" s="27" t="s">
        <v>1410</v>
      </c>
      <c r="B511" s="27" t="s">
        <v>1411</v>
      </c>
      <c r="C511" s="27" t="s">
        <v>1412</v>
      </c>
      <c r="D511" s="27" t="s">
        <v>17</v>
      </c>
      <c r="E511" s="27" t="s">
        <v>18</v>
      </c>
      <c r="F511" s="27" t="s">
        <v>19</v>
      </c>
      <c r="G511" s="27" t="s">
        <v>28</v>
      </c>
      <c r="H511" s="29">
        <v>50</v>
      </c>
      <c r="I511" s="27" t="s">
        <v>29</v>
      </c>
      <c r="J511" s="37">
        <v>45345</v>
      </c>
      <c r="K511" s="27" t="s">
        <v>22</v>
      </c>
    </row>
    <row r="512" spans="1:11" x14ac:dyDescent="0.2">
      <c r="A512" s="24" t="s">
        <v>1413</v>
      </c>
      <c r="B512" s="24" t="s">
        <v>1414</v>
      </c>
      <c r="C512" s="24" t="s">
        <v>97</v>
      </c>
      <c r="D512" s="24" t="s">
        <v>17</v>
      </c>
      <c r="E512" s="24" t="s">
        <v>48</v>
      </c>
      <c r="F512" s="24" t="s">
        <v>49</v>
      </c>
      <c r="G512" s="24" t="s">
        <v>44</v>
      </c>
      <c r="H512" s="26">
        <v>142</v>
      </c>
      <c r="I512" s="24" t="s">
        <v>21</v>
      </c>
      <c r="J512" s="36">
        <v>45344</v>
      </c>
      <c r="K512" s="24" t="s">
        <v>22</v>
      </c>
    </row>
    <row r="513" spans="1:11" x14ac:dyDescent="0.2">
      <c r="A513" s="27" t="s">
        <v>1415</v>
      </c>
      <c r="B513" s="27" t="s">
        <v>1416</v>
      </c>
      <c r="C513" s="27" t="s">
        <v>1417</v>
      </c>
      <c r="D513" s="27" t="s">
        <v>17</v>
      </c>
      <c r="E513" s="27" t="s">
        <v>42</v>
      </c>
      <c r="F513" s="27" t="s">
        <v>43</v>
      </c>
      <c r="G513" s="27" t="s">
        <v>28</v>
      </c>
      <c r="H513" s="29">
        <v>490</v>
      </c>
      <c r="I513" s="27" t="s">
        <v>29</v>
      </c>
      <c r="J513" s="37">
        <v>45327</v>
      </c>
      <c r="K513" s="27" t="s">
        <v>22</v>
      </c>
    </row>
    <row r="514" spans="1:11" x14ac:dyDescent="0.2">
      <c r="A514" s="24" t="s">
        <v>1418</v>
      </c>
      <c r="B514" s="24" t="s">
        <v>1419</v>
      </c>
      <c r="C514" s="24" t="s">
        <v>401</v>
      </c>
      <c r="D514" s="24" t="s">
        <v>17</v>
      </c>
      <c r="E514" s="24" t="s">
        <v>18</v>
      </c>
      <c r="F514" s="24" t="s">
        <v>19</v>
      </c>
      <c r="G514" s="24" t="s">
        <v>20</v>
      </c>
      <c r="H514" s="26">
        <v>49</v>
      </c>
      <c r="I514" s="24" t="s">
        <v>21</v>
      </c>
      <c r="J514" s="36">
        <v>45349</v>
      </c>
      <c r="K514" s="24" t="s">
        <v>22</v>
      </c>
    </row>
    <row r="515" spans="1:11" x14ac:dyDescent="0.2">
      <c r="A515" s="27" t="s">
        <v>1420</v>
      </c>
      <c r="B515" s="27" t="s">
        <v>1421</v>
      </c>
      <c r="C515" s="27" t="s">
        <v>1422</v>
      </c>
      <c r="D515" s="27" t="s">
        <v>17</v>
      </c>
      <c r="E515" s="27" t="s">
        <v>18</v>
      </c>
      <c r="F515" s="27" t="s">
        <v>19</v>
      </c>
      <c r="G515" s="27" t="s">
        <v>38</v>
      </c>
      <c r="H515" s="29">
        <v>64</v>
      </c>
      <c r="I515" s="27" t="s">
        <v>29</v>
      </c>
      <c r="J515" s="37">
        <v>45340</v>
      </c>
      <c r="K515" s="27" t="s">
        <v>22</v>
      </c>
    </row>
    <row r="516" spans="1:11" x14ac:dyDescent="0.2">
      <c r="A516" s="24" t="s">
        <v>1423</v>
      </c>
      <c r="B516" s="24" t="s">
        <v>1424</v>
      </c>
      <c r="C516" s="24" t="s">
        <v>1425</v>
      </c>
      <c r="D516" s="24" t="s">
        <v>17</v>
      </c>
      <c r="E516" s="24" t="s">
        <v>18</v>
      </c>
      <c r="F516" s="24" t="s">
        <v>19</v>
      </c>
      <c r="G516" s="24" t="s">
        <v>28</v>
      </c>
      <c r="H516" s="26">
        <v>76</v>
      </c>
      <c r="I516" s="24" t="s">
        <v>29</v>
      </c>
      <c r="J516" s="36">
        <v>45349</v>
      </c>
      <c r="K516" s="24" t="s">
        <v>22</v>
      </c>
    </row>
    <row r="517" spans="1:11" x14ac:dyDescent="0.2">
      <c r="A517" s="27" t="s">
        <v>1426</v>
      </c>
      <c r="B517" s="27" t="s">
        <v>1427</v>
      </c>
      <c r="C517" s="27" t="s">
        <v>1307</v>
      </c>
      <c r="D517" s="27" t="s">
        <v>17</v>
      </c>
      <c r="E517" s="27" t="s">
        <v>26</v>
      </c>
      <c r="F517" s="27" t="s">
        <v>27</v>
      </c>
      <c r="G517" s="27" t="s">
        <v>28</v>
      </c>
      <c r="H517" s="29">
        <v>350</v>
      </c>
      <c r="I517" s="27" t="s">
        <v>29</v>
      </c>
      <c r="J517" s="37">
        <v>45342</v>
      </c>
      <c r="K517" s="27" t="s">
        <v>22</v>
      </c>
    </row>
    <row r="518" spans="1:11" x14ac:dyDescent="0.2">
      <c r="A518" s="24" t="s">
        <v>1428</v>
      </c>
      <c r="B518" s="24" t="s">
        <v>1429</v>
      </c>
      <c r="C518" s="24" t="s">
        <v>1430</v>
      </c>
      <c r="D518" s="24" t="s">
        <v>17</v>
      </c>
      <c r="E518" s="24" t="s">
        <v>18</v>
      </c>
      <c r="F518" s="24" t="s">
        <v>19</v>
      </c>
      <c r="G518" s="24" t="s">
        <v>59</v>
      </c>
      <c r="H518" s="26">
        <v>5</v>
      </c>
      <c r="I518" s="24" t="s">
        <v>21</v>
      </c>
      <c r="J518" s="36">
        <v>45344</v>
      </c>
      <c r="K518" s="24" t="s">
        <v>22</v>
      </c>
    </row>
    <row r="519" spans="1:11" x14ac:dyDescent="0.2">
      <c r="A519" s="27" t="s">
        <v>1431</v>
      </c>
      <c r="B519" s="27" t="s">
        <v>1432</v>
      </c>
      <c r="C519" s="27" t="s">
        <v>687</v>
      </c>
      <c r="D519" s="27" t="s">
        <v>17</v>
      </c>
      <c r="E519" s="27" t="s">
        <v>18</v>
      </c>
      <c r="F519" s="27" t="s">
        <v>19</v>
      </c>
      <c r="G519" s="27" t="s">
        <v>20</v>
      </c>
      <c r="H519" s="29">
        <v>30</v>
      </c>
      <c r="I519" s="27" t="s">
        <v>21</v>
      </c>
      <c r="J519" s="37">
        <v>45348</v>
      </c>
      <c r="K519" s="27" t="s">
        <v>22</v>
      </c>
    </row>
    <row r="520" spans="1:11" x14ac:dyDescent="0.2">
      <c r="A520" s="24" t="s">
        <v>1433</v>
      </c>
      <c r="B520" s="24" t="s">
        <v>1434</v>
      </c>
      <c r="C520" s="24" t="s">
        <v>1435</v>
      </c>
      <c r="D520" s="24" t="s">
        <v>17</v>
      </c>
      <c r="E520" s="24" t="s">
        <v>18</v>
      </c>
      <c r="F520" s="24" t="s">
        <v>19</v>
      </c>
      <c r="G520" s="24" t="s">
        <v>28</v>
      </c>
      <c r="H520" s="26">
        <v>18</v>
      </c>
      <c r="I520" s="24" t="s">
        <v>29</v>
      </c>
      <c r="J520" s="36">
        <v>45340</v>
      </c>
      <c r="K520" s="24" t="s">
        <v>22</v>
      </c>
    </row>
    <row r="521" spans="1:11" x14ac:dyDescent="0.2">
      <c r="A521" s="27" t="s">
        <v>1436</v>
      </c>
      <c r="B521" s="27" t="s">
        <v>1437</v>
      </c>
      <c r="C521" s="27" t="s">
        <v>1438</v>
      </c>
      <c r="D521" s="27" t="s">
        <v>17</v>
      </c>
      <c r="E521" s="27" t="s">
        <v>48</v>
      </c>
      <c r="F521" s="27" t="s">
        <v>49</v>
      </c>
      <c r="G521" s="27" t="s">
        <v>44</v>
      </c>
      <c r="H521" s="29">
        <v>132</v>
      </c>
      <c r="I521" s="27" t="s">
        <v>21</v>
      </c>
      <c r="J521" s="37">
        <v>45328</v>
      </c>
      <c r="K521" s="27" t="s">
        <v>22</v>
      </c>
    </row>
    <row r="522" spans="1:11" x14ac:dyDescent="0.2">
      <c r="A522" s="24" t="s">
        <v>1439</v>
      </c>
      <c r="B522" s="24" t="s">
        <v>1440</v>
      </c>
      <c r="C522" s="24" t="s">
        <v>1441</v>
      </c>
      <c r="D522" s="24" t="s">
        <v>17</v>
      </c>
      <c r="E522" s="24" t="s">
        <v>26</v>
      </c>
      <c r="F522" s="24" t="s">
        <v>27</v>
      </c>
      <c r="G522" s="24" t="s">
        <v>20</v>
      </c>
      <c r="H522" s="26">
        <v>27</v>
      </c>
      <c r="I522" s="24" t="s">
        <v>21</v>
      </c>
      <c r="J522" s="36">
        <v>45341</v>
      </c>
      <c r="K522" s="24" t="s">
        <v>22</v>
      </c>
    </row>
    <row r="523" spans="1:11" x14ac:dyDescent="0.2">
      <c r="A523" s="27" t="s">
        <v>1442</v>
      </c>
      <c r="B523" s="27" t="s">
        <v>1443</v>
      </c>
      <c r="C523" s="27" t="s">
        <v>1444</v>
      </c>
      <c r="D523" s="27" t="s">
        <v>17</v>
      </c>
      <c r="E523" s="27" t="s">
        <v>42</v>
      </c>
      <c r="F523" s="27" t="s">
        <v>43</v>
      </c>
      <c r="G523" s="27" t="s">
        <v>28</v>
      </c>
      <c r="H523" s="29">
        <v>524</v>
      </c>
      <c r="I523" s="27" t="s">
        <v>29</v>
      </c>
      <c r="J523" s="37">
        <v>45350</v>
      </c>
      <c r="K523" s="27" t="s">
        <v>22</v>
      </c>
    </row>
    <row r="524" spans="1:11" x14ac:dyDescent="0.2">
      <c r="A524" s="24" t="s">
        <v>1445</v>
      </c>
      <c r="B524" s="24" t="s">
        <v>1446</v>
      </c>
      <c r="C524" s="24" t="s">
        <v>687</v>
      </c>
      <c r="D524" s="24" t="s">
        <v>17</v>
      </c>
      <c r="E524" s="24" t="s">
        <v>18</v>
      </c>
      <c r="F524" s="24" t="s">
        <v>19</v>
      </c>
      <c r="G524" s="24" t="s">
        <v>20</v>
      </c>
      <c r="H524" s="26">
        <v>164</v>
      </c>
      <c r="I524" s="24" t="s">
        <v>21</v>
      </c>
      <c r="J524" s="36">
        <v>45337</v>
      </c>
      <c r="K524" s="24" t="s">
        <v>22</v>
      </c>
    </row>
    <row r="525" spans="1:11" x14ac:dyDescent="0.2">
      <c r="A525" s="27" t="s">
        <v>1447</v>
      </c>
      <c r="B525" s="27" t="s">
        <v>1448</v>
      </c>
      <c r="C525" s="27" t="s">
        <v>749</v>
      </c>
      <c r="D525" s="27" t="s">
        <v>17</v>
      </c>
      <c r="E525" s="27" t="s">
        <v>26</v>
      </c>
      <c r="F525" s="27" t="s">
        <v>27</v>
      </c>
      <c r="G525" s="27" t="s">
        <v>28</v>
      </c>
      <c r="H525" s="29">
        <v>60</v>
      </c>
      <c r="I525" s="27" t="s">
        <v>29</v>
      </c>
      <c r="J525" s="37">
        <v>45344</v>
      </c>
      <c r="K525" s="27" t="s">
        <v>22</v>
      </c>
    </row>
    <row r="526" spans="1:11" x14ac:dyDescent="0.2">
      <c r="A526" s="24" t="s">
        <v>1449</v>
      </c>
      <c r="B526" s="24" t="s">
        <v>1450</v>
      </c>
      <c r="C526" s="24" t="s">
        <v>1451</v>
      </c>
      <c r="D526" s="24" t="s">
        <v>17</v>
      </c>
      <c r="E526" s="24" t="s">
        <v>42</v>
      </c>
      <c r="F526" s="24" t="s">
        <v>43</v>
      </c>
      <c r="G526" s="24" t="s">
        <v>44</v>
      </c>
      <c r="H526" s="26">
        <v>100</v>
      </c>
      <c r="I526" s="24" t="s">
        <v>29</v>
      </c>
      <c r="J526" s="36">
        <v>45344</v>
      </c>
      <c r="K526" s="24" t="s">
        <v>22</v>
      </c>
    </row>
    <row r="527" spans="1:11" x14ac:dyDescent="0.2">
      <c r="A527" s="27" t="s">
        <v>1452</v>
      </c>
      <c r="B527" s="27" t="s">
        <v>1453</v>
      </c>
      <c r="C527" s="27" t="s">
        <v>1454</v>
      </c>
      <c r="D527" s="27" t="s">
        <v>17</v>
      </c>
      <c r="E527" s="27" t="s">
        <v>48</v>
      </c>
      <c r="F527" s="27" t="s">
        <v>49</v>
      </c>
      <c r="G527" s="27" t="s">
        <v>28</v>
      </c>
      <c r="H527" s="29">
        <v>80</v>
      </c>
      <c r="I527" s="27" t="s">
        <v>29</v>
      </c>
      <c r="J527" s="37">
        <v>45330</v>
      </c>
      <c r="K527" s="27" t="s">
        <v>22</v>
      </c>
    </row>
    <row r="528" spans="1:11" x14ac:dyDescent="0.2">
      <c r="A528" s="24" t="s">
        <v>1455</v>
      </c>
      <c r="B528" s="24" t="s">
        <v>1456</v>
      </c>
      <c r="C528" s="24" t="s">
        <v>1014</v>
      </c>
      <c r="D528" s="24" t="s">
        <v>17</v>
      </c>
      <c r="E528" s="24" t="s">
        <v>18</v>
      </c>
      <c r="F528" s="24" t="s">
        <v>19</v>
      </c>
      <c r="G528" s="24" t="s">
        <v>38</v>
      </c>
      <c r="H528" s="26">
        <v>26</v>
      </c>
      <c r="I528" s="24" t="s">
        <v>29</v>
      </c>
      <c r="J528" s="36">
        <v>45349</v>
      </c>
      <c r="K528" s="24" t="s">
        <v>22</v>
      </c>
    </row>
    <row r="529" spans="1:11" x14ac:dyDescent="0.2">
      <c r="A529" s="27" t="s">
        <v>1457</v>
      </c>
      <c r="B529" s="27" t="s">
        <v>1458</v>
      </c>
      <c r="C529" s="27" t="s">
        <v>1459</v>
      </c>
      <c r="D529" s="27" t="s">
        <v>17</v>
      </c>
      <c r="E529" s="27" t="s">
        <v>18</v>
      </c>
      <c r="F529" s="27" t="s">
        <v>19</v>
      </c>
      <c r="G529" s="27" t="s">
        <v>20</v>
      </c>
      <c r="H529" s="29">
        <v>50</v>
      </c>
      <c r="I529" s="27" t="s">
        <v>21</v>
      </c>
      <c r="J529" s="37">
        <v>45344</v>
      </c>
      <c r="K529" s="27" t="s">
        <v>22</v>
      </c>
    </row>
    <row r="530" spans="1:11" x14ac:dyDescent="0.2">
      <c r="A530" s="24" t="s">
        <v>1460</v>
      </c>
      <c r="B530" s="24" t="s">
        <v>1461</v>
      </c>
      <c r="C530" s="24" t="s">
        <v>1462</v>
      </c>
      <c r="D530" s="24" t="s">
        <v>17</v>
      </c>
      <c r="E530" s="24" t="s">
        <v>26</v>
      </c>
      <c r="F530" s="24" t="s">
        <v>27</v>
      </c>
      <c r="G530" s="24" t="s">
        <v>28</v>
      </c>
      <c r="H530" s="26">
        <v>85</v>
      </c>
      <c r="I530" s="24" t="s">
        <v>29</v>
      </c>
      <c r="J530" s="36">
        <v>45335</v>
      </c>
      <c r="K530" s="24" t="s">
        <v>22</v>
      </c>
    </row>
    <row r="531" spans="1:11" x14ac:dyDescent="0.2">
      <c r="A531" s="27" t="s">
        <v>1463</v>
      </c>
      <c r="B531" s="27" t="s">
        <v>1464</v>
      </c>
      <c r="C531" s="27" t="s">
        <v>1465</v>
      </c>
      <c r="D531" s="27" t="s">
        <v>17</v>
      </c>
      <c r="E531" s="27" t="s">
        <v>18</v>
      </c>
      <c r="F531" s="27" t="s">
        <v>19</v>
      </c>
      <c r="G531" s="27" t="s">
        <v>59</v>
      </c>
      <c r="H531" s="29">
        <v>1</v>
      </c>
      <c r="I531" s="27" t="s">
        <v>21</v>
      </c>
      <c r="J531" s="37">
        <v>45351</v>
      </c>
      <c r="K531" s="27" t="s">
        <v>22</v>
      </c>
    </row>
    <row r="532" spans="1:11" x14ac:dyDescent="0.2">
      <c r="A532" s="24" t="s">
        <v>1466</v>
      </c>
      <c r="B532" s="24" t="s">
        <v>1467</v>
      </c>
      <c r="C532" s="24" t="s">
        <v>792</v>
      </c>
      <c r="D532" s="24" t="s">
        <v>17</v>
      </c>
      <c r="E532" s="24" t="s">
        <v>18</v>
      </c>
      <c r="F532" s="24" t="s">
        <v>19</v>
      </c>
      <c r="G532" s="24" t="s">
        <v>28</v>
      </c>
      <c r="H532" s="26">
        <v>210</v>
      </c>
      <c r="I532" s="24" t="s">
        <v>29</v>
      </c>
      <c r="J532" s="36">
        <v>45338</v>
      </c>
      <c r="K532" s="24" t="s">
        <v>22</v>
      </c>
    </row>
    <row r="533" spans="1:11" x14ac:dyDescent="0.2">
      <c r="A533" s="27" t="s">
        <v>1468</v>
      </c>
      <c r="B533" s="27" t="s">
        <v>1469</v>
      </c>
      <c r="C533" s="27" t="s">
        <v>1470</v>
      </c>
      <c r="D533" s="27" t="s">
        <v>17</v>
      </c>
      <c r="E533" s="27" t="s">
        <v>48</v>
      </c>
      <c r="F533" s="27" t="s">
        <v>49</v>
      </c>
      <c r="G533" s="27" t="s">
        <v>20</v>
      </c>
      <c r="H533" s="29">
        <v>225</v>
      </c>
      <c r="I533" s="27" t="s">
        <v>21</v>
      </c>
      <c r="J533" s="37">
        <v>45338</v>
      </c>
      <c r="K533" s="27" t="s">
        <v>22</v>
      </c>
    </row>
    <row r="534" spans="1:11" x14ac:dyDescent="0.2">
      <c r="A534" s="24" t="s">
        <v>1471</v>
      </c>
      <c r="B534" s="24" t="s">
        <v>1472</v>
      </c>
      <c r="C534" s="24" t="s">
        <v>1473</v>
      </c>
      <c r="D534" s="24" t="s">
        <v>17</v>
      </c>
      <c r="E534" s="24" t="s">
        <v>48</v>
      </c>
      <c r="F534" s="24" t="s">
        <v>49</v>
      </c>
      <c r="G534" s="24" t="s">
        <v>28</v>
      </c>
      <c r="H534" s="26">
        <v>33</v>
      </c>
      <c r="I534" s="24" t="s">
        <v>29</v>
      </c>
      <c r="J534" s="36">
        <v>45351</v>
      </c>
      <c r="K534" s="24" t="s">
        <v>22</v>
      </c>
    </row>
    <row r="535" spans="1:11" x14ac:dyDescent="0.2">
      <c r="A535" s="27" t="s">
        <v>1474</v>
      </c>
      <c r="B535" s="27" t="s">
        <v>1475</v>
      </c>
      <c r="C535" s="27" t="s">
        <v>97</v>
      </c>
      <c r="D535" s="27" t="s">
        <v>17</v>
      </c>
      <c r="E535" s="27" t="s">
        <v>48</v>
      </c>
      <c r="F535" s="27" t="s">
        <v>49</v>
      </c>
      <c r="G535" s="27" t="s">
        <v>28</v>
      </c>
      <c r="H535" s="29">
        <v>175</v>
      </c>
      <c r="I535" s="27" t="s">
        <v>29</v>
      </c>
      <c r="J535" s="37">
        <v>45340</v>
      </c>
      <c r="K535" s="27" t="s">
        <v>22</v>
      </c>
    </row>
    <row r="536" spans="1:11" x14ac:dyDescent="0.2">
      <c r="A536" s="24" t="s">
        <v>1476</v>
      </c>
      <c r="B536" s="24" t="s">
        <v>1477</v>
      </c>
      <c r="C536" s="24" t="s">
        <v>1478</v>
      </c>
      <c r="D536" s="24" t="s">
        <v>17</v>
      </c>
      <c r="E536" s="24" t="s">
        <v>163</v>
      </c>
      <c r="F536" s="24" t="s">
        <v>164</v>
      </c>
      <c r="G536" s="24" t="s">
        <v>28</v>
      </c>
      <c r="H536" s="26">
        <v>10</v>
      </c>
      <c r="I536" s="24" t="s">
        <v>29</v>
      </c>
      <c r="J536" s="36">
        <v>45323</v>
      </c>
      <c r="K536" s="24" t="s">
        <v>22</v>
      </c>
    </row>
    <row r="537" spans="1:11" x14ac:dyDescent="0.2">
      <c r="A537" s="27" t="s">
        <v>1479</v>
      </c>
      <c r="B537" s="27" t="s">
        <v>1480</v>
      </c>
      <c r="C537" s="27" t="s">
        <v>1481</v>
      </c>
      <c r="D537" s="27" t="s">
        <v>17</v>
      </c>
      <c r="E537" s="27" t="s">
        <v>42</v>
      </c>
      <c r="F537" s="27" t="s">
        <v>43</v>
      </c>
      <c r="G537" s="27" t="s">
        <v>28</v>
      </c>
      <c r="H537" s="29">
        <v>180</v>
      </c>
      <c r="I537" s="27" t="s">
        <v>29</v>
      </c>
      <c r="J537" s="37">
        <v>45351</v>
      </c>
      <c r="K537" s="27" t="s">
        <v>22</v>
      </c>
    </row>
    <row r="538" spans="1:11" x14ac:dyDescent="0.2">
      <c r="A538" s="24" t="s">
        <v>1482</v>
      </c>
      <c r="B538" s="24" t="s">
        <v>1483</v>
      </c>
      <c r="C538" s="24" t="s">
        <v>1030</v>
      </c>
      <c r="D538" s="24" t="s">
        <v>17</v>
      </c>
      <c r="E538" s="24" t="s">
        <v>18</v>
      </c>
      <c r="F538" s="24" t="s">
        <v>19</v>
      </c>
      <c r="G538" s="24" t="s">
        <v>20</v>
      </c>
      <c r="H538" s="26">
        <v>14</v>
      </c>
      <c r="I538" s="24" t="s">
        <v>21</v>
      </c>
      <c r="J538" s="36">
        <v>45328</v>
      </c>
      <c r="K538" s="24" t="s">
        <v>22</v>
      </c>
    </row>
    <row r="539" spans="1:11" x14ac:dyDescent="0.2">
      <c r="A539" s="27" t="s">
        <v>1484</v>
      </c>
      <c r="B539" s="27" t="s">
        <v>1485</v>
      </c>
      <c r="C539" s="27" t="s">
        <v>621</v>
      </c>
      <c r="D539" s="27" t="s">
        <v>17</v>
      </c>
      <c r="E539" s="27" t="s">
        <v>18</v>
      </c>
      <c r="F539" s="27" t="s">
        <v>19</v>
      </c>
      <c r="G539" s="27" t="s">
        <v>20</v>
      </c>
      <c r="H539" s="29">
        <v>28</v>
      </c>
      <c r="I539" s="27" t="s">
        <v>21</v>
      </c>
      <c r="J539" s="37">
        <v>45349</v>
      </c>
      <c r="K539" s="27" t="s">
        <v>22</v>
      </c>
    </row>
    <row r="540" spans="1:11" x14ac:dyDescent="0.2">
      <c r="A540" s="24" t="s">
        <v>1486</v>
      </c>
      <c r="B540" s="24" t="s">
        <v>1487</v>
      </c>
      <c r="C540" s="24" t="s">
        <v>1488</v>
      </c>
      <c r="D540" s="24" t="s">
        <v>17</v>
      </c>
      <c r="E540" s="24" t="s">
        <v>48</v>
      </c>
      <c r="F540" s="24" t="s">
        <v>49</v>
      </c>
      <c r="G540" s="24" t="s">
        <v>28</v>
      </c>
      <c r="H540" s="26">
        <v>81</v>
      </c>
      <c r="I540" s="24" t="s">
        <v>29</v>
      </c>
      <c r="J540" s="36">
        <v>45341</v>
      </c>
      <c r="K540" s="24" t="s">
        <v>22</v>
      </c>
    </row>
    <row r="541" spans="1:11" x14ac:dyDescent="0.2">
      <c r="A541" s="27" t="s">
        <v>1489</v>
      </c>
      <c r="B541" s="27" t="s">
        <v>1490</v>
      </c>
      <c r="C541" s="27" t="s">
        <v>1491</v>
      </c>
      <c r="D541" s="27" t="s">
        <v>17</v>
      </c>
      <c r="E541" s="27" t="s">
        <v>18</v>
      </c>
      <c r="F541" s="27" t="s">
        <v>19</v>
      </c>
      <c r="G541" s="27" t="s">
        <v>28</v>
      </c>
      <c r="H541" s="29">
        <v>82</v>
      </c>
      <c r="I541" s="27" t="s">
        <v>29</v>
      </c>
      <c r="J541" s="37">
        <v>45328</v>
      </c>
      <c r="K541" s="27" t="s">
        <v>22</v>
      </c>
    </row>
    <row r="542" spans="1:11" x14ac:dyDescent="0.2">
      <c r="A542" s="24" t="s">
        <v>1492</v>
      </c>
      <c r="B542" s="24" t="s">
        <v>1493</v>
      </c>
      <c r="C542" s="24" t="s">
        <v>1494</v>
      </c>
      <c r="D542" s="24" t="s">
        <v>17</v>
      </c>
      <c r="E542" s="24" t="s">
        <v>48</v>
      </c>
      <c r="F542" s="24" t="s">
        <v>49</v>
      </c>
      <c r="G542" s="24" t="s">
        <v>20</v>
      </c>
      <c r="H542" s="26">
        <v>150</v>
      </c>
      <c r="I542" s="24" t="s">
        <v>21</v>
      </c>
      <c r="J542" s="36">
        <v>45333</v>
      </c>
      <c r="K542" s="24" t="s">
        <v>22</v>
      </c>
    </row>
    <row r="543" spans="1:11" x14ac:dyDescent="0.2">
      <c r="A543" s="27" t="s">
        <v>1495</v>
      </c>
      <c r="B543" s="27" t="s">
        <v>1496</v>
      </c>
      <c r="C543" s="27" t="s">
        <v>194</v>
      </c>
      <c r="D543" s="27" t="s">
        <v>17</v>
      </c>
      <c r="E543" s="27" t="s">
        <v>26</v>
      </c>
      <c r="F543" s="27" t="s">
        <v>27</v>
      </c>
      <c r="G543" s="27" t="s">
        <v>28</v>
      </c>
      <c r="H543" s="29">
        <v>138</v>
      </c>
      <c r="I543" s="27" t="s">
        <v>29</v>
      </c>
      <c r="J543" s="37">
        <v>45351</v>
      </c>
      <c r="K543" s="27" t="s">
        <v>22</v>
      </c>
    </row>
    <row r="544" spans="1:11" x14ac:dyDescent="0.2">
      <c r="A544" s="24" t="s">
        <v>1497</v>
      </c>
      <c r="B544" s="24" t="s">
        <v>1498</v>
      </c>
      <c r="C544" s="24" t="s">
        <v>1499</v>
      </c>
      <c r="D544" s="24" t="s">
        <v>17</v>
      </c>
      <c r="E544" s="24" t="s">
        <v>18</v>
      </c>
      <c r="F544" s="24" t="s">
        <v>19</v>
      </c>
      <c r="G544" s="24" t="s">
        <v>20</v>
      </c>
      <c r="H544" s="26">
        <v>24</v>
      </c>
      <c r="I544" s="24" t="s">
        <v>21</v>
      </c>
      <c r="J544" s="36">
        <v>45337</v>
      </c>
      <c r="K544" s="24" t="s">
        <v>22</v>
      </c>
    </row>
    <row r="545" spans="1:11" x14ac:dyDescent="0.2">
      <c r="A545" s="27" t="s">
        <v>1500</v>
      </c>
      <c r="B545" s="27" t="s">
        <v>1501</v>
      </c>
      <c r="C545" s="27" t="s">
        <v>1502</v>
      </c>
      <c r="D545" s="27" t="s">
        <v>17</v>
      </c>
      <c r="E545" s="27" t="s">
        <v>18</v>
      </c>
      <c r="F545" s="27" t="s">
        <v>19</v>
      </c>
      <c r="G545" s="27" t="s">
        <v>20</v>
      </c>
      <c r="H545" s="29">
        <v>49</v>
      </c>
      <c r="I545" s="27" t="s">
        <v>21</v>
      </c>
      <c r="J545" s="37">
        <v>45342</v>
      </c>
      <c r="K545" s="27" t="s">
        <v>22</v>
      </c>
    </row>
    <row r="546" spans="1:11" x14ac:dyDescent="0.2">
      <c r="A546" s="24" t="s">
        <v>1503</v>
      </c>
      <c r="B546" s="24" t="s">
        <v>1504</v>
      </c>
      <c r="C546" s="24" t="s">
        <v>690</v>
      </c>
      <c r="D546" s="24" t="s">
        <v>17</v>
      </c>
      <c r="E546" s="24" t="s">
        <v>48</v>
      </c>
      <c r="F546" s="24" t="s">
        <v>49</v>
      </c>
      <c r="G546" s="24" t="s">
        <v>28</v>
      </c>
      <c r="H546" s="26">
        <v>40</v>
      </c>
      <c r="I546" s="24" t="s">
        <v>29</v>
      </c>
      <c r="J546" s="36">
        <v>45351</v>
      </c>
      <c r="K546" s="24" t="s">
        <v>22</v>
      </c>
    </row>
    <row r="547" spans="1:11" x14ac:dyDescent="0.2">
      <c r="A547" s="27" t="s">
        <v>1505</v>
      </c>
      <c r="B547" s="27" t="s">
        <v>1506</v>
      </c>
      <c r="C547" s="27" t="s">
        <v>85</v>
      </c>
      <c r="D547" s="27" t="s">
        <v>17</v>
      </c>
      <c r="E547" s="27" t="s">
        <v>81</v>
      </c>
      <c r="F547" s="27" t="s">
        <v>82</v>
      </c>
      <c r="G547" s="27" t="s">
        <v>20</v>
      </c>
      <c r="H547" s="29">
        <v>100</v>
      </c>
      <c r="I547" s="27" t="s">
        <v>21</v>
      </c>
      <c r="J547" s="37">
        <v>45327</v>
      </c>
      <c r="K547" s="27" t="s">
        <v>22</v>
      </c>
    </row>
    <row r="548" spans="1:11" x14ac:dyDescent="0.2">
      <c r="A548" s="24" t="s">
        <v>1507</v>
      </c>
      <c r="B548" s="24" t="s">
        <v>1508</v>
      </c>
      <c r="C548" s="24" t="s">
        <v>1509</v>
      </c>
      <c r="D548" s="24" t="s">
        <v>17</v>
      </c>
      <c r="E548" s="24" t="s">
        <v>42</v>
      </c>
      <c r="F548" s="24" t="s">
        <v>43</v>
      </c>
      <c r="G548" s="24" t="s">
        <v>44</v>
      </c>
      <c r="H548" s="26">
        <v>354</v>
      </c>
      <c r="I548" s="24" t="s">
        <v>29</v>
      </c>
      <c r="J548" s="36">
        <v>45328</v>
      </c>
      <c r="K548" s="24" t="s">
        <v>22</v>
      </c>
    </row>
    <row r="549" spans="1:11" x14ac:dyDescent="0.2">
      <c r="A549" s="27" t="s">
        <v>1510</v>
      </c>
      <c r="B549" s="27" t="s">
        <v>1511</v>
      </c>
      <c r="C549" s="27" t="s">
        <v>526</v>
      </c>
      <c r="D549" s="27" t="s">
        <v>17</v>
      </c>
      <c r="E549" s="27" t="s">
        <v>42</v>
      </c>
      <c r="F549" s="27" t="s">
        <v>43</v>
      </c>
      <c r="G549" s="27" t="s">
        <v>44</v>
      </c>
      <c r="H549" s="29">
        <v>1250</v>
      </c>
      <c r="I549" s="27" t="s">
        <v>29</v>
      </c>
      <c r="J549" s="37">
        <v>45343</v>
      </c>
      <c r="K549" s="27" t="s">
        <v>22</v>
      </c>
    </row>
    <row r="550" spans="1:11" x14ac:dyDescent="0.2">
      <c r="A550" s="24" t="s">
        <v>1512</v>
      </c>
      <c r="B550" s="24" t="s">
        <v>1513</v>
      </c>
      <c r="C550" s="24" t="s">
        <v>106</v>
      </c>
      <c r="D550" s="24" t="s">
        <v>17</v>
      </c>
      <c r="E550" s="24" t="s">
        <v>18</v>
      </c>
      <c r="F550" s="24" t="s">
        <v>19</v>
      </c>
      <c r="G550" s="24" t="s">
        <v>44</v>
      </c>
      <c r="H550" s="26">
        <v>69</v>
      </c>
      <c r="I550" s="24" t="s">
        <v>21</v>
      </c>
      <c r="J550" s="36">
        <v>45336</v>
      </c>
      <c r="K550" s="24" t="s">
        <v>22</v>
      </c>
    </row>
    <row r="551" spans="1:11" x14ac:dyDescent="0.2">
      <c r="A551" s="27" t="s">
        <v>1514</v>
      </c>
      <c r="B551" s="27" t="s">
        <v>1515</v>
      </c>
      <c r="C551" s="27" t="s">
        <v>1050</v>
      </c>
      <c r="D551" s="27" t="s">
        <v>17</v>
      </c>
      <c r="E551" s="27" t="s">
        <v>48</v>
      </c>
      <c r="F551" s="27" t="s">
        <v>49</v>
      </c>
      <c r="G551" s="27" t="s">
        <v>44</v>
      </c>
      <c r="H551" s="29">
        <v>78</v>
      </c>
      <c r="I551" s="27" t="s">
        <v>21</v>
      </c>
      <c r="J551" s="37">
        <v>45351</v>
      </c>
      <c r="K551" s="27" t="s">
        <v>22</v>
      </c>
    </row>
    <row r="552" spans="1:11" x14ac:dyDescent="0.2">
      <c r="A552" s="24" t="s">
        <v>1516</v>
      </c>
      <c r="B552" s="24" t="s">
        <v>1517</v>
      </c>
      <c r="C552" s="24" t="s">
        <v>1518</v>
      </c>
      <c r="D552" s="24" t="s">
        <v>17</v>
      </c>
      <c r="E552" s="24" t="s">
        <v>48</v>
      </c>
      <c r="F552" s="24" t="s">
        <v>49</v>
      </c>
      <c r="G552" s="24" t="s">
        <v>28</v>
      </c>
      <c r="H552" s="26">
        <v>100</v>
      </c>
      <c r="I552" s="24" t="s">
        <v>29</v>
      </c>
      <c r="J552" s="36">
        <v>45344</v>
      </c>
      <c r="K552" s="24" t="s">
        <v>22</v>
      </c>
    </row>
    <row r="553" spans="1:11" x14ac:dyDescent="0.2">
      <c r="A553" s="27" t="s">
        <v>1519</v>
      </c>
      <c r="B553" s="27" t="s">
        <v>1520</v>
      </c>
      <c r="C553" s="27" t="s">
        <v>213</v>
      </c>
      <c r="D553" s="27" t="s">
        <v>17</v>
      </c>
      <c r="E553" s="27" t="s">
        <v>18</v>
      </c>
      <c r="F553" s="27" t="s">
        <v>19</v>
      </c>
      <c r="G553" s="27" t="s">
        <v>20</v>
      </c>
      <c r="H553" s="29">
        <v>15</v>
      </c>
      <c r="I553" s="27" t="s">
        <v>21</v>
      </c>
      <c r="J553" s="37">
        <v>45330</v>
      </c>
      <c r="K553" s="27" t="s">
        <v>22</v>
      </c>
    </row>
    <row r="554" spans="1:11" x14ac:dyDescent="0.2">
      <c r="A554" s="24" t="s">
        <v>1521</v>
      </c>
      <c r="B554" s="24" t="s">
        <v>1522</v>
      </c>
      <c r="C554" s="24" t="s">
        <v>1523</v>
      </c>
      <c r="D554" s="24" t="s">
        <v>17</v>
      </c>
      <c r="E554" s="24" t="s">
        <v>26</v>
      </c>
      <c r="F554" s="24" t="s">
        <v>27</v>
      </c>
      <c r="G554" s="24" t="s">
        <v>38</v>
      </c>
      <c r="H554" s="26">
        <v>120</v>
      </c>
      <c r="I554" s="24" t="s">
        <v>29</v>
      </c>
      <c r="J554" s="36">
        <v>45350</v>
      </c>
      <c r="K554" s="24" t="s">
        <v>22</v>
      </c>
    </row>
    <row r="555" spans="1:11" x14ac:dyDescent="0.2">
      <c r="A555" s="27" t="s">
        <v>1524</v>
      </c>
      <c r="B555" s="27" t="s">
        <v>1525</v>
      </c>
      <c r="C555" s="27" t="s">
        <v>1526</v>
      </c>
      <c r="D555" s="27" t="s">
        <v>17</v>
      </c>
      <c r="E555" s="27" t="s">
        <v>18</v>
      </c>
      <c r="F555" s="27" t="s">
        <v>19</v>
      </c>
      <c r="G555" s="27" t="s">
        <v>20</v>
      </c>
      <c r="H555" s="29">
        <v>8</v>
      </c>
      <c r="I555" s="27" t="s">
        <v>21</v>
      </c>
      <c r="J555" s="37">
        <v>45329</v>
      </c>
      <c r="K555" s="27" t="s">
        <v>22</v>
      </c>
    </row>
    <row r="556" spans="1:11" x14ac:dyDescent="0.2">
      <c r="A556" s="24" t="s">
        <v>1527</v>
      </c>
      <c r="B556" s="24" t="s">
        <v>1528</v>
      </c>
      <c r="C556" s="24" t="s">
        <v>1529</v>
      </c>
      <c r="D556" s="24" t="s">
        <v>17</v>
      </c>
      <c r="E556" s="24" t="s">
        <v>18</v>
      </c>
      <c r="F556" s="24" t="s">
        <v>19</v>
      </c>
      <c r="G556" s="24" t="s">
        <v>20</v>
      </c>
      <c r="H556" s="26">
        <v>101</v>
      </c>
      <c r="I556" s="24" t="s">
        <v>21</v>
      </c>
      <c r="J556" s="36">
        <v>45334</v>
      </c>
      <c r="K556" s="24" t="s">
        <v>22</v>
      </c>
    </row>
    <row r="557" spans="1:11" x14ac:dyDescent="0.2">
      <c r="A557" s="27" t="s">
        <v>1530</v>
      </c>
      <c r="B557" s="27" t="s">
        <v>1531</v>
      </c>
      <c r="C557" s="27" t="s">
        <v>1532</v>
      </c>
      <c r="D557" s="27" t="s">
        <v>17</v>
      </c>
      <c r="E557" s="27" t="s">
        <v>18</v>
      </c>
      <c r="F557" s="27" t="s">
        <v>19</v>
      </c>
      <c r="G557" s="27" t="s">
        <v>28</v>
      </c>
      <c r="H557" s="29">
        <v>66</v>
      </c>
      <c r="I557" s="27" t="s">
        <v>29</v>
      </c>
      <c r="J557" s="37">
        <v>45346</v>
      </c>
      <c r="K557" s="27" t="s">
        <v>22</v>
      </c>
    </row>
    <row r="558" spans="1:11" x14ac:dyDescent="0.2">
      <c r="A558" s="24" t="s">
        <v>1533</v>
      </c>
      <c r="B558" s="24" t="s">
        <v>1534</v>
      </c>
      <c r="C558" s="24" t="s">
        <v>1535</v>
      </c>
      <c r="D558" s="24" t="s">
        <v>17</v>
      </c>
      <c r="E558" s="24" t="s">
        <v>42</v>
      </c>
      <c r="F558" s="24" t="s">
        <v>43</v>
      </c>
      <c r="G558" s="24" t="s">
        <v>28</v>
      </c>
      <c r="H558" s="26">
        <v>285</v>
      </c>
      <c r="I558" s="24" t="s">
        <v>29</v>
      </c>
      <c r="J558" s="36">
        <v>45327</v>
      </c>
      <c r="K558" s="24" t="s">
        <v>22</v>
      </c>
    </row>
    <row r="559" spans="1:11" x14ac:dyDescent="0.2">
      <c r="A559" s="27" t="s">
        <v>1536</v>
      </c>
      <c r="B559" s="27" t="s">
        <v>1537</v>
      </c>
      <c r="C559" s="27" t="s">
        <v>1538</v>
      </c>
      <c r="D559" s="27" t="s">
        <v>17</v>
      </c>
      <c r="E559" s="27" t="s">
        <v>26</v>
      </c>
      <c r="F559" s="27" t="s">
        <v>27</v>
      </c>
      <c r="G559" s="27" t="s">
        <v>28</v>
      </c>
      <c r="H559" s="29">
        <v>12</v>
      </c>
      <c r="I559" s="27" t="s">
        <v>29</v>
      </c>
      <c r="J559" s="37">
        <v>45342</v>
      </c>
      <c r="K559" s="27" t="s">
        <v>22</v>
      </c>
    </row>
    <row r="560" spans="1:11" x14ac:dyDescent="0.2">
      <c r="A560" s="24" t="s">
        <v>1539</v>
      </c>
      <c r="B560" s="24" t="s">
        <v>1540</v>
      </c>
      <c r="C560" s="24" t="s">
        <v>1541</v>
      </c>
      <c r="D560" s="24" t="s">
        <v>17</v>
      </c>
      <c r="E560" s="24" t="s">
        <v>48</v>
      </c>
      <c r="F560" s="24" t="s">
        <v>49</v>
      </c>
      <c r="G560" s="24" t="s">
        <v>44</v>
      </c>
      <c r="H560" s="26">
        <v>15</v>
      </c>
      <c r="I560" s="24" t="s">
        <v>29</v>
      </c>
      <c r="J560" s="36">
        <v>45334</v>
      </c>
      <c r="K560" s="24" t="s">
        <v>22</v>
      </c>
    </row>
    <row r="561" spans="1:11" x14ac:dyDescent="0.2">
      <c r="A561" s="27" t="s">
        <v>1542</v>
      </c>
      <c r="B561" s="27" t="s">
        <v>1543</v>
      </c>
      <c r="C561" s="27" t="s">
        <v>97</v>
      </c>
      <c r="D561" s="27" t="s">
        <v>17</v>
      </c>
      <c r="E561" s="27" t="s">
        <v>18</v>
      </c>
      <c r="F561" s="27" t="s">
        <v>19</v>
      </c>
      <c r="G561" s="27" t="s">
        <v>20</v>
      </c>
      <c r="H561" s="29">
        <v>28</v>
      </c>
      <c r="I561" s="27" t="s">
        <v>21</v>
      </c>
      <c r="J561" s="37">
        <v>45351</v>
      </c>
      <c r="K561" s="27" t="s">
        <v>22</v>
      </c>
    </row>
    <row r="562" spans="1:11" x14ac:dyDescent="0.2">
      <c r="A562" s="24" t="s">
        <v>1544</v>
      </c>
      <c r="B562" s="24" t="s">
        <v>1545</v>
      </c>
      <c r="C562" s="24" t="s">
        <v>1546</v>
      </c>
      <c r="D562" s="24" t="s">
        <v>17</v>
      </c>
      <c r="E562" s="24" t="s">
        <v>48</v>
      </c>
      <c r="F562" s="24" t="s">
        <v>49</v>
      </c>
      <c r="G562" s="24" t="s">
        <v>44</v>
      </c>
      <c r="H562" s="26">
        <v>46</v>
      </c>
      <c r="I562" s="24" t="s">
        <v>21</v>
      </c>
      <c r="J562" s="36">
        <v>45329</v>
      </c>
      <c r="K562" s="24" t="s">
        <v>22</v>
      </c>
    </row>
    <row r="563" spans="1:11" x14ac:dyDescent="0.2">
      <c r="A563" s="27" t="s">
        <v>1547</v>
      </c>
      <c r="B563" s="27" t="s">
        <v>1548</v>
      </c>
      <c r="C563" s="27" t="s">
        <v>1549</v>
      </c>
      <c r="D563" s="27" t="s">
        <v>17</v>
      </c>
      <c r="E563" s="27" t="s">
        <v>18</v>
      </c>
      <c r="F563" s="27" t="s">
        <v>19</v>
      </c>
      <c r="G563" s="27" t="s">
        <v>28</v>
      </c>
      <c r="H563" s="29">
        <v>20</v>
      </c>
      <c r="I563" s="27" t="s">
        <v>29</v>
      </c>
      <c r="J563" s="37">
        <v>45327</v>
      </c>
      <c r="K563" s="27" t="s">
        <v>22</v>
      </c>
    </row>
    <row r="564" spans="1:11" x14ac:dyDescent="0.2">
      <c r="A564" s="24" t="s">
        <v>1550</v>
      </c>
      <c r="B564" s="24" t="s">
        <v>1551</v>
      </c>
      <c r="C564" s="24" t="s">
        <v>208</v>
      </c>
      <c r="D564" s="24" t="s">
        <v>17</v>
      </c>
      <c r="E564" s="24" t="s">
        <v>42</v>
      </c>
      <c r="F564" s="24" t="s">
        <v>43</v>
      </c>
      <c r="G564" s="24" t="s">
        <v>28</v>
      </c>
      <c r="H564" s="26">
        <v>390</v>
      </c>
      <c r="I564" s="24" t="s">
        <v>29</v>
      </c>
      <c r="J564" s="36">
        <v>45351</v>
      </c>
      <c r="K564" s="24" t="s">
        <v>22</v>
      </c>
    </row>
    <row r="565" spans="1:11" x14ac:dyDescent="0.2">
      <c r="A565" s="27" t="s">
        <v>1552</v>
      </c>
      <c r="B565" s="27" t="s">
        <v>1553</v>
      </c>
      <c r="C565" s="27" t="s">
        <v>1068</v>
      </c>
      <c r="D565" s="27" t="s">
        <v>17</v>
      </c>
      <c r="E565" s="27" t="s">
        <v>18</v>
      </c>
      <c r="F565" s="27" t="s">
        <v>19</v>
      </c>
      <c r="G565" s="27" t="s">
        <v>20</v>
      </c>
      <c r="H565" s="29">
        <v>88</v>
      </c>
      <c r="I565" s="27" t="s">
        <v>21</v>
      </c>
      <c r="J565" s="37">
        <v>45343</v>
      </c>
      <c r="K565" s="27" t="s">
        <v>22</v>
      </c>
    </row>
    <row r="566" spans="1:11" x14ac:dyDescent="0.2">
      <c r="A566" s="24" t="s">
        <v>1554</v>
      </c>
      <c r="B566" s="24" t="s">
        <v>1555</v>
      </c>
      <c r="C566" s="24" t="s">
        <v>1556</v>
      </c>
      <c r="D566" s="24" t="s">
        <v>17</v>
      </c>
      <c r="E566" s="24" t="s">
        <v>26</v>
      </c>
      <c r="F566" s="24" t="s">
        <v>27</v>
      </c>
      <c r="G566" s="24" t="s">
        <v>116</v>
      </c>
      <c r="H566" s="26">
        <v>0</v>
      </c>
      <c r="I566" s="24" t="s">
        <v>21</v>
      </c>
      <c r="J566" s="36">
        <v>45323</v>
      </c>
      <c r="K566" s="24" t="s">
        <v>22</v>
      </c>
    </row>
    <row r="567" spans="1:11" x14ac:dyDescent="0.2">
      <c r="A567" s="27" t="s">
        <v>1557</v>
      </c>
      <c r="B567" s="27" t="s">
        <v>1558</v>
      </c>
      <c r="C567" s="27" t="s">
        <v>1559</v>
      </c>
      <c r="D567" s="27" t="s">
        <v>17</v>
      </c>
      <c r="E567" s="27" t="s">
        <v>26</v>
      </c>
      <c r="F567" s="27" t="s">
        <v>27</v>
      </c>
      <c r="G567" s="27" t="s">
        <v>28</v>
      </c>
      <c r="H567" s="29">
        <v>125</v>
      </c>
      <c r="I567" s="27" t="s">
        <v>29</v>
      </c>
      <c r="J567" s="37">
        <v>45342</v>
      </c>
      <c r="K567" s="27" t="s">
        <v>22</v>
      </c>
    </row>
    <row r="568" spans="1:11" x14ac:dyDescent="0.2">
      <c r="A568" s="24" t="s">
        <v>1560</v>
      </c>
      <c r="B568" s="24" t="s">
        <v>1561</v>
      </c>
      <c r="C568" s="24" t="s">
        <v>1562</v>
      </c>
      <c r="D568" s="24" t="s">
        <v>17</v>
      </c>
      <c r="E568" s="24" t="s">
        <v>42</v>
      </c>
      <c r="F568" s="24" t="s">
        <v>43</v>
      </c>
      <c r="G568" s="24" t="s">
        <v>20</v>
      </c>
      <c r="H568" s="26">
        <v>642</v>
      </c>
      <c r="I568" s="24" t="s">
        <v>21</v>
      </c>
      <c r="J568" s="36">
        <v>45351</v>
      </c>
      <c r="K568" s="24" t="s">
        <v>22</v>
      </c>
    </row>
    <row r="569" spans="1:11" x14ac:dyDescent="0.2">
      <c r="A569" s="27" t="s">
        <v>1563</v>
      </c>
      <c r="B569" s="27" t="s">
        <v>1564</v>
      </c>
      <c r="C569" s="27" t="s">
        <v>1565</v>
      </c>
      <c r="D569" s="27" t="s">
        <v>17</v>
      </c>
      <c r="E569" s="27" t="s">
        <v>18</v>
      </c>
      <c r="F569" s="27" t="s">
        <v>19</v>
      </c>
      <c r="G569" s="27" t="s">
        <v>20</v>
      </c>
      <c r="H569" s="29">
        <v>88</v>
      </c>
      <c r="I569" s="27" t="s">
        <v>21</v>
      </c>
      <c r="J569" s="37">
        <v>45342</v>
      </c>
      <c r="K569" s="27" t="s">
        <v>22</v>
      </c>
    </row>
    <row r="570" spans="1:11" x14ac:dyDescent="0.2">
      <c r="A570" s="24" t="s">
        <v>1566</v>
      </c>
      <c r="B570" s="24" t="s">
        <v>1567</v>
      </c>
      <c r="C570" s="24" t="s">
        <v>1053</v>
      </c>
      <c r="D570" s="24" t="s">
        <v>17</v>
      </c>
      <c r="E570" s="24" t="s">
        <v>18</v>
      </c>
      <c r="F570" s="24" t="s">
        <v>19</v>
      </c>
      <c r="G570" s="24" t="s">
        <v>20</v>
      </c>
      <c r="H570" s="26">
        <v>8</v>
      </c>
      <c r="I570" s="24" t="s">
        <v>21</v>
      </c>
      <c r="J570" s="36">
        <v>45324</v>
      </c>
      <c r="K570" s="24" t="s">
        <v>22</v>
      </c>
    </row>
    <row r="571" spans="1:11" x14ac:dyDescent="0.2">
      <c r="A571" s="27" t="s">
        <v>1568</v>
      </c>
      <c r="B571" s="27" t="s">
        <v>1569</v>
      </c>
      <c r="C571" s="27" t="s">
        <v>1481</v>
      </c>
      <c r="D571" s="27" t="s">
        <v>17</v>
      </c>
      <c r="E571" s="27" t="s">
        <v>18</v>
      </c>
      <c r="F571" s="27" t="s">
        <v>19</v>
      </c>
      <c r="G571" s="27" t="s">
        <v>28</v>
      </c>
      <c r="H571" s="29">
        <v>136</v>
      </c>
      <c r="I571" s="27" t="s">
        <v>29</v>
      </c>
      <c r="J571" s="37">
        <v>45351</v>
      </c>
      <c r="K571" s="27" t="s">
        <v>22</v>
      </c>
    </row>
    <row r="572" spans="1:11" x14ac:dyDescent="0.2">
      <c r="A572" s="24" t="s">
        <v>1570</v>
      </c>
      <c r="B572" s="24" t="s">
        <v>1571</v>
      </c>
      <c r="C572" s="24" t="s">
        <v>1572</v>
      </c>
      <c r="D572" s="24" t="s">
        <v>17</v>
      </c>
      <c r="E572" s="24" t="s">
        <v>81</v>
      </c>
      <c r="F572" s="24" t="s">
        <v>82</v>
      </c>
      <c r="G572" s="24" t="s">
        <v>28</v>
      </c>
      <c r="H572" s="26">
        <v>12</v>
      </c>
      <c r="I572" s="24" t="s">
        <v>29</v>
      </c>
      <c r="J572" s="36">
        <v>45330</v>
      </c>
      <c r="K572" s="24" t="s">
        <v>22</v>
      </c>
    </row>
    <row r="573" spans="1:11" x14ac:dyDescent="0.2">
      <c r="A573" s="27" t="s">
        <v>1573</v>
      </c>
      <c r="B573" s="27" t="s">
        <v>1574</v>
      </c>
      <c r="C573" s="27" t="s">
        <v>1575</v>
      </c>
      <c r="D573" s="27" t="s">
        <v>17</v>
      </c>
      <c r="E573" s="27" t="s">
        <v>18</v>
      </c>
      <c r="F573" s="27" t="s">
        <v>19</v>
      </c>
      <c r="G573" s="27" t="s">
        <v>59</v>
      </c>
      <c r="H573" s="29">
        <v>8</v>
      </c>
      <c r="I573" s="27" t="s">
        <v>21</v>
      </c>
      <c r="J573" s="37">
        <v>45350</v>
      </c>
      <c r="K573" s="27" t="s">
        <v>22</v>
      </c>
    </row>
    <row r="574" spans="1:11" x14ac:dyDescent="0.2">
      <c r="A574" s="24" t="s">
        <v>1576</v>
      </c>
      <c r="B574" s="24" t="s">
        <v>1577</v>
      </c>
      <c r="C574" s="24" t="s">
        <v>286</v>
      </c>
      <c r="D574" s="24" t="s">
        <v>17</v>
      </c>
      <c r="E574" s="24" t="s">
        <v>18</v>
      </c>
      <c r="F574" s="24" t="s">
        <v>19</v>
      </c>
      <c r="G574" s="24" t="s">
        <v>20</v>
      </c>
      <c r="H574" s="26">
        <v>36</v>
      </c>
      <c r="I574" s="24" t="s">
        <v>21</v>
      </c>
      <c r="J574" s="36">
        <v>45327</v>
      </c>
      <c r="K574" s="24" t="s">
        <v>22</v>
      </c>
    </row>
    <row r="575" spans="1:11" x14ac:dyDescent="0.2">
      <c r="A575" s="27" t="s">
        <v>1578</v>
      </c>
      <c r="B575" s="27" t="s">
        <v>1579</v>
      </c>
      <c r="C575" s="27" t="s">
        <v>687</v>
      </c>
      <c r="D575" s="27" t="s">
        <v>17</v>
      </c>
      <c r="E575" s="27" t="s">
        <v>18</v>
      </c>
      <c r="F575" s="27" t="s">
        <v>19</v>
      </c>
      <c r="G575" s="27" t="s">
        <v>20</v>
      </c>
      <c r="H575" s="29">
        <v>44</v>
      </c>
      <c r="I575" s="27" t="s">
        <v>21</v>
      </c>
      <c r="J575" s="37">
        <v>45349</v>
      </c>
      <c r="K575" s="27" t="s">
        <v>22</v>
      </c>
    </row>
    <row r="576" spans="1:11" x14ac:dyDescent="0.2">
      <c r="A576" s="24" t="s">
        <v>1580</v>
      </c>
      <c r="B576" s="24" t="s">
        <v>1581</v>
      </c>
      <c r="C576" s="24" t="s">
        <v>1582</v>
      </c>
      <c r="D576" s="24" t="s">
        <v>17</v>
      </c>
      <c r="E576" s="24" t="s">
        <v>18</v>
      </c>
      <c r="F576" s="24" t="s">
        <v>19</v>
      </c>
      <c r="G576" s="24" t="s">
        <v>28</v>
      </c>
      <c r="H576" s="26">
        <v>171</v>
      </c>
      <c r="I576" s="24" t="s">
        <v>29</v>
      </c>
      <c r="J576" s="36">
        <v>45344</v>
      </c>
      <c r="K576" s="24" t="s">
        <v>22</v>
      </c>
    </row>
    <row r="577" spans="1:11" x14ac:dyDescent="0.2">
      <c r="A577" s="27" t="s">
        <v>1583</v>
      </c>
      <c r="B577" s="27" t="s">
        <v>1584</v>
      </c>
      <c r="C577" s="27" t="s">
        <v>1585</v>
      </c>
      <c r="D577" s="27" t="s">
        <v>17</v>
      </c>
      <c r="E577" s="27" t="s">
        <v>26</v>
      </c>
      <c r="F577" s="27" t="s">
        <v>27</v>
      </c>
      <c r="G577" s="27" t="s">
        <v>44</v>
      </c>
      <c r="H577" s="29">
        <v>37</v>
      </c>
      <c r="I577" s="27" t="s">
        <v>21</v>
      </c>
      <c r="J577" s="37">
        <v>45348</v>
      </c>
      <c r="K577" s="27" t="s">
        <v>22</v>
      </c>
    </row>
    <row r="578" spans="1:11" x14ac:dyDescent="0.2">
      <c r="A578" s="24" t="s">
        <v>1586</v>
      </c>
      <c r="B578" s="24" t="s">
        <v>1587</v>
      </c>
      <c r="C578" s="24" t="s">
        <v>1588</v>
      </c>
      <c r="D578" s="24" t="s">
        <v>17</v>
      </c>
      <c r="E578" s="24" t="s">
        <v>18</v>
      </c>
      <c r="F578" s="24" t="s">
        <v>19</v>
      </c>
      <c r="G578" s="24" t="s">
        <v>28</v>
      </c>
      <c r="H578" s="26">
        <v>250</v>
      </c>
      <c r="I578" s="24" t="s">
        <v>29</v>
      </c>
      <c r="J578" s="36">
        <v>45327</v>
      </c>
      <c r="K578" s="24" t="s">
        <v>22</v>
      </c>
    </row>
    <row r="579" spans="1:11" x14ac:dyDescent="0.2">
      <c r="A579" s="27" t="s">
        <v>1589</v>
      </c>
      <c r="B579" s="27" t="s">
        <v>1590</v>
      </c>
      <c r="C579" s="27" t="s">
        <v>810</v>
      </c>
      <c r="D579" s="27" t="s">
        <v>17</v>
      </c>
      <c r="E579" s="27" t="s">
        <v>48</v>
      </c>
      <c r="F579" s="27" t="s">
        <v>49</v>
      </c>
      <c r="G579" s="27" t="s">
        <v>44</v>
      </c>
      <c r="H579" s="29">
        <v>210</v>
      </c>
      <c r="I579" s="27" t="s">
        <v>21</v>
      </c>
      <c r="J579" s="37">
        <v>45348</v>
      </c>
      <c r="K579" s="27" t="s">
        <v>22</v>
      </c>
    </row>
    <row r="580" spans="1:11" x14ac:dyDescent="0.2">
      <c r="A580" s="24" t="s">
        <v>1591</v>
      </c>
      <c r="B580" s="24" t="s">
        <v>1592</v>
      </c>
      <c r="C580" s="24" t="s">
        <v>1593</v>
      </c>
      <c r="D580" s="24" t="s">
        <v>17</v>
      </c>
      <c r="E580" s="24" t="s">
        <v>48</v>
      </c>
      <c r="F580" s="24" t="s">
        <v>49</v>
      </c>
      <c r="G580" s="24" t="s">
        <v>20</v>
      </c>
      <c r="H580" s="26">
        <v>59</v>
      </c>
      <c r="I580" s="24" t="s">
        <v>21</v>
      </c>
      <c r="J580" s="36">
        <v>45349</v>
      </c>
      <c r="K580" s="24" t="s">
        <v>22</v>
      </c>
    </row>
    <row r="581" spans="1:11" x14ac:dyDescent="0.2">
      <c r="A581" s="27" t="s">
        <v>1594</v>
      </c>
      <c r="B581" s="27" t="s">
        <v>1595</v>
      </c>
      <c r="C581" s="27" t="s">
        <v>1346</v>
      </c>
      <c r="D581" s="27" t="s">
        <v>17</v>
      </c>
      <c r="E581" s="27" t="s">
        <v>18</v>
      </c>
      <c r="F581" s="27" t="s">
        <v>19</v>
      </c>
      <c r="G581" s="27" t="s">
        <v>20</v>
      </c>
      <c r="H581" s="29">
        <v>40</v>
      </c>
      <c r="I581" s="27" t="s">
        <v>21</v>
      </c>
      <c r="J581" s="37">
        <v>45345</v>
      </c>
      <c r="K581" s="27" t="s">
        <v>22</v>
      </c>
    </row>
    <row r="582" spans="1:11" x14ac:dyDescent="0.2">
      <c r="A582" s="24" t="s">
        <v>1596</v>
      </c>
      <c r="B582" s="24" t="s">
        <v>1597</v>
      </c>
      <c r="C582" s="24" t="s">
        <v>213</v>
      </c>
      <c r="D582" s="24" t="s">
        <v>17</v>
      </c>
      <c r="E582" s="24" t="s">
        <v>42</v>
      </c>
      <c r="F582" s="24" t="s">
        <v>43</v>
      </c>
      <c r="G582" s="24" t="s">
        <v>28</v>
      </c>
      <c r="H582" s="26">
        <v>492</v>
      </c>
      <c r="I582" s="24" t="s">
        <v>29</v>
      </c>
      <c r="J582" s="36">
        <v>45330</v>
      </c>
      <c r="K582" s="24" t="s">
        <v>22</v>
      </c>
    </row>
    <row r="583" spans="1:11" x14ac:dyDescent="0.2">
      <c r="A583" s="27" t="s">
        <v>1598</v>
      </c>
      <c r="B583" s="27" t="s">
        <v>1599</v>
      </c>
      <c r="C583" s="27" t="s">
        <v>844</v>
      </c>
      <c r="D583" s="27" t="s">
        <v>17</v>
      </c>
      <c r="E583" s="27" t="s">
        <v>26</v>
      </c>
      <c r="F583" s="27" t="s">
        <v>27</v>
      </c>
      <c r="G583" s="27" t="s">
        <v>38</v>
      </c>
      <c r="H583" s="29">
        <v>72</v>
      </c>
      <c r="I583" s="27" t="s">
        <v>29</v>
      </c>
      <c r="J583" s="37">
        <v>45323</v>
      </c>
      <c r="K583" s="27" t="s">
        <v>22</v>
      </c>
    </row>
    <row r="584" spans="1:11" x14ac:dyDescent="0.2">
      <c r="A584" s="24" t="s">
        <v>1600</v>
      </c>
      <c r="B584" s="24" t="s">
        <v>1601</v>
      </c>
      <c r="C584" s="24" t="s">
        <v>1602</v>
      </c>
      <c r="D584" s="24" t="s">
        <v>17</v>
      </c>
      <c r="E584" s="24" t="s">
        <v>26</v>
      </c>
      <c r="F584" s="24" t="s">
        <v>27</v>
      </c>
      <c r="G584" s="24" t="s">
        <v>44</v>
      </c>
      <c r="H584" s="26">
        <v>4</v>
      </c>
      <c r="I584" s="24" t="s">
        <v>21</v>
      </c>
      <c r="J584" s="36">
        <v>45350</v>
      </c>
      <c r="K584" s="24" t="s">
        <v>22</v>
      </c>
    </row>
    <row r="585" spans="1:11" x14ac:dyDescent="0.2">
      <c r="A585" s="27" t="s">
        <v>1603</v>
      </c>
      <c r="B585" s="27" t="s">
        <v>1604</v>
      </c>
      <c r="C585" s="27" t="s">
        <v>1605</v>
      </c>
      <c r="D585" s="27" t="s">
        <v>17</v>
      </c>
      <c r="E585" s="27" t="s">
        <v>18</v>
      </c>
      <c r="F585" s="27" t="s">
        <v>19</v>
      </c>
      <c r="G585" s="27" t="s">
        <v>28</v>
      </c>
      <c r="H585" s="29">
        <v>48</v>
      </c>
      <c r="I585" s="27" t="s">
        <v>29</v>
      </c>
      <c r="J585" s="37">
        <v>45351</v>
      </c>
      <c r="K585" s="27" t="s">
        <v>22</v>
      </c>
    </row>
    <row r="586" spans="1:11" x14ac:dyDescent="0.2">
      <c r="A586" s="24" t="s">
        <v>1606</v>
      </c>
      <c r="B586" s="24" t="s">
        <v>1607</v>
      </c>
      <c r="C586" s="24" t="s">
        <v>1608</v>
      </c>
      <c r="D586" s="24" t="s">
        <v>17</v>
      </c>
      <c r="E586" s="24" t="s">
        <v>26</v>
      </c>
      <c r="F586" s="24" t="s">
        <v>27</v>
      </c>
      <c r="G586" s="24" t="s">
        <v>217</v>
      </c>
      <c r="H586" s="26">
        <v>236</v>
      </c>
      <c r="I586" s="24" t="s">
        <v>29</v>
      </c>
      <c r="J586" s="36">
        <v>45337</v>
      </c>
      <c r="K586" s="24" t="s">
        <v>22</v>
      </c>
    </row>
    <row r="587" spans="1:11" x14ac:dyDescent="0.2">
      <c r="A587" s="27" t="s">
        <v>1609</v>
      </c>
      <c r="B587" s="27" t="s">
        <v>1610</v>
      </c>
      <c r="C587" s="27" t="s">
        <v>97</v>
      </c>
      <c r="D587" s="27" t="s">
        <v>17</v>
      </c>
      <c r="E587" s="27" t="s">
        <v>42</v>
      </c>
      <c r="F587" s="27" t="s">
        <v>43</v>
      </c>
      <c r="G587" s="27" t="s">
        <v>44</v>
      </c>
      <c r="H587" s="29">
        <v>504</v>
      </c>
      <c r="I587" s="27" t="s">
        <v>21</v>
      </c>
      <c r="J587" s="37">
        <v>45350</v>
      </c>
      <c r="K587" s="27" t="s">
        <v>22</v>
      </c>
    </row>
    <row r="588" spans="1:11" x14ac:dyDescent="0.2">
      <c r="A588" s="24" t="s">
        <v>1611</v>
      </c>
      <c r="B588" s="24" t="s">
        <v>1612</v>
      </c>
      <c r="C588" s="24" t="s">
        <v>208</v>
      </c>
      <c r="D588" s="24" t="s">
        <v>17</v>
      </c>
      <c r="E588" s="24" t="s">
        <v>81</v>
      </c>
      <c r="F588" s="24" t="s">
        <v>82</v>
      </c>
      <c r="G588" s="24" t="s">
        <v>44</v>
      </c>
      <c r="H588" s="26">
        <v>48</v>
      </c>
      <c r="I588" s="24" t="s">
        <v>29</v>
      </c>
      <c r="J588" s="36">
        <v>45344</v>
      </c>
      <c r="K588" s="24" t="s">
        <v>22</v>
      </c>
    </row>
    <row r="589" spans="1:11" x14ac:dyDescent="0.2">
      <c r="A589" s="27" t="s">
        <v>1613</v>
      </c>
      <c r="B589" s="27" t="s">
        <v>1614</v>
      </c>
      <c r="C589" s="27" t="s">
        <v>592</v>
      </c>
      <c r="D589" s="27" t="s">
        <v>17</v>
      </c>
      <c r="E589" s="27" t="s">
        <v>33</v>
      </c>
      <c r="F589" s="27" t="s">
        <v>34</v>
      </c>
      <c r="G589" s="27" t="s">
        <v>28</v>
      </c>
      <c r="H589" s="29">
        <v>90</v>
      </c>
      <c r="I589" s="27" t="s">
        <v>29</v>
      </c>
      <c r="J589" s="37">
        <v>45344</v>
      </c>
      <c r="K589" s="27" t="s">
        <v>22</v>
      </c>
    </row>
    <row r="590" spans="1:11" x14ac:dyDescent="0.2">
      <c r="A590" s="24" t="s">
        <v>1615</v>
      </c>
      <c r="B590" s="24" t="s">
        <v>1616</v>
      </c>
      <c r="C590" s="24" t="s">
        <v>1617</v>
      </c>
      <c r="D590" s="24" t="s">
        <v>17</v>
      </c>
      <c r="E590" s="24" t="s">
        <v>42</v>
      </c>
      <c r="F590" s="24" t="s">
        <v>43</v>
      </c>
      <c r="G590" s="24" t="s">
        <v>217</v>
      </c>
      <c r="H590" s="26">
        <v>597</v>
      </c>
      <c r="I590" s="24" t="s">
        <v>29</v>
      </c>
      <c r="J590" s="36">
        <v>45323</v>
      </c>
      <c r="K590" s="24" t="s">
        <v>22</v>
      </c>
    </row>
    <row r="591" spans="1:11" x14ac:dyDescent="0.2">
      <c r="A591" s="27" t="s">
        <v>1618</v>
      </c>
      <c r="B591" s="27" t="s">
        <v>1619</v>
      </c>
      <c r="C591" s="27" t="s">
        <v>921</v>
      </c>
      <c r="D591" s="27" t="s">
        <v>17</v>
      </c>
      <c r="E591" s="27" t="s">
        <v>18</v>
      </c>
      <c r="F591" s="27" t="s">
        <v>19</v>
      </c>
      <c r="G591" s="27" t="s">
        <v>28</v>
      </c>
      <c r="H591" s="29">
        <v>150</v>
      </c>
      <c r="I591" s="27" t="s">
        <v>29</v>
      </c>
      <c r="J591" s="37">
        <v>45323</v>
      </c>
      <c r="K591" s="27" t="s">
        <v>22</v>
      </c>
    </row>
    <row r="592" spans="1:11" x14ac:dyDescent="0.2">
      <c r="A592" s="24" t="s">
        <v>1620</v>
      </c>
      <c r="B592" s="24" t="s">
        <v>1621</v>
      </c>
      <c r="C592" s="24" t="s">
        <v>1622</v>
      </c>
      <c r="D592" s="24" t="s">
        <v>17</v>
      </c>
      <c r="E592" s="24" t="s">
        <v>26</v>
      </c>
      <c r="F592" s="24" t="s">
        <v>27</v>
      </c>
      <c r="G592" s="24" t="s">
        <v>28</v>
      </c>
      <c r="H592" s="26">
        <v>6</v>
      </c>
      <c r="I592" s="24" t="s">
        <v>29</v>
      </c>
      <c r="J592" s="36">
        <v>45335</v>
      </c>
      <c r="K592" s="24" t="s">
        <v>22</v>
      </c>
    </row>
    <row r="593" spans="1:11" x14ac:dyDescent="0.2">
      <c r="A593" s="27" t="s">
        <v>1623</v>
      </c>
      <c r="B593" s="27" t="s">
        <v>1624</v>
      </c>
      <c r="C593" s="27" t="s">
        <v>97</v>
      </c>
      <c r="D593" s="27" t="s">
        <v>17</v>
      </c>
      <c r="E593" s="27" t="s">
        <v>42</v>
      </c>
      <c r="F593" s="27" t="s">
        <v>43</v>
      </c>
      <c r="G593" s="27" t="s">
        <v>28</v>
      </c>
      <c r="H593" s="29">
        <v>5000</v>
      </c>
      <c r="I593" s="27" t="s">
        <v>29</v>
      </c>
      <c r="J593" s="37">
        <v>45343</v>
      </c>
      <c r="K593" s="27" t="s">
        <v>22</v>
      </c>
    </row>
    <row r="594" spans="1:11" x14ac:dyDescent="0.2">
      <c r="A594" s="24" t="s">
        <v>1625</v>
      </c>
      <c r="B594" s="24" t="s">
        <v>1626</v>
      </c>
      <c r="C594" s="24" t="s">
        <v>1627</v>
      </c>
      <c r="D594" s="24" t="s">
        <v>17</v>
      </c>
      <c r="E594" s="24" t="s">
        <v>26</v>
      </c>
      <c r="F594" s="24" t="s">
        <v>27</v>
      </c>
      <c r="G594" s="24" t="s">
        <v>217</v>
      </c>
      <c r="H594" s="26">
        <v>216</v>
      </c>
      <c r="I594" s="24" t="s">
        <v>29</v>
      </c>
      <c r="J594" s="36">
        <v>45323</v>
      </c>
      <c r="K594" s="24" t="s">
        <v>22</v>
      </c>
    </row>
    <row r="595" spans="1:11" x14ac:dyDescent="0.2">
      <c r="A595" s="27" t="s">
        <v>1628</v>
      </c>
      <c r="B595" s="27" t="s">
        <v>1629</v>
      </c>
      <c r="C595" s="27" t="s">
        <v>1630</v>
      </c>
      <c r="D595" s="27" t="s">
        <v>17</v>
      </c>
      <c r="E595" s="27" t="s">
        <v>18</v>
      </c>
      <c r="F595" s="27" t="s">
        <v>19</v>
      </c>
      <c r="G595" s="27" t="s">
        <v>28</v>
      </c>
      <c r="H595" s="29">
        <v>18</v>
      </c>
      <c r="I595" s="27" t="s">
        <v>29</v>
      </c>
      <c r="J595" s="37">
        <v>45324</v>
      </c>
      <c r="K595" s="27" t="s">
        <v>22</v>
      </c>
    </row>
    <row r="596" spans="1:11" x14ac:dyDescent="0.2">
      <c r="A596" s="24" t="s">
        <v>1631</v>
      </c>
      <c r="B596" s="24" t="s">
        <v>1632</v>
      </c>
      <c r="C596" s="24" t="s">
        <v>1177</v>
      </c>
      <c r="D596" s="24" t="s">
        <v>17</v>
      </c>
      <c r="E596" s="24" t="s">
        <v>48</v>
      </c>
      <c r="F596" s="24" t="s">
        <v>49</v>
      </c>
      <c r="G596" s="24" t="s">
        <v>20</v>
      </c>
      <c r="H596" s="26">
        <v>303</v>
      </c>
      <c r="I596" s="24" t="s">
        <v>21</v>
      </c>
      <c r="J596" s="36">
        <v>45335</v>
      </c>
      <c r="K596" s="24" t="s">
        <v>22</v>
      </c>
    </row>
    <row r="597" spans="1:11" x14ac:dyDescent="0.2">
      <c r="A597" s="27" t="s">
        <v>1633</v>
      </c>
      <c r="B597" s="27" t="s">
        <v>1634</v>
      </c>
      <c r="C597" s="27" t="s">
        <v>1635</v>
      </c>
      <c r="D597" s="27" t="s">
        <v>17</v>
      </c>
      <c r="E597" s="27" t="s">
        <v>48</v>
      </c>
      <c r="F597" s="27" t="s">
        <v>49</v>
      </c>
      <c r="G597" s="27" t="s">
        <v>44</v>
      </c>
      <c r="H597" s="29">
        <v>479</v>
      </c>
      <c r="I597" s="27" t="s">
        <v>21</v>
      </c>
      <c r="J597" s="37">
        <v>45349</v>
      </c>
      <c r="K597" s="27" t="s">
        <v>22</v>
      </c>
    </row>
    <row r="598" spans="1:11" x14ac:dyDescent="0.2">
      <c r="A598" s="24" t="s">
        <v>1636</v>
      </c>
      <c r="B598" s="24" t="s">
        <v>1637</v>
      </c>
      <c r="C598" s="24" t="s">
        <v>984</v>
      </c>
      <c r="D598" s="24" t="s">
        <v>17</v>
      </c>
      <c r="E598" s="24" t="s">
        <v>26</v>
      </c>
      <c r="F598" s="24" t="s">
        <v>27</v>
      </c>
      <c r="G598" s="24" t="s">
        <v>116</v>
      </c>
      <c r="H598" s="26">
        <v>0</v>
      </c>
      <c r="I598" s="24" t="s">
        <v>21</v>
      </c>
      <c r="J598" s="36">
        <v>45380</v>
      </c>
      <c r="K598" s="24" t="s">
        <v>22</v>
      </c>
    </row>
    <row r="599" spans="1:11" x14ac:dyDescent="0.2">
      <c r="A599" s="27" t="s">
        <v>1638</v>
      </c>
      <c r="B599" s="27" t="s">
        <v>1639</v>
      </c>
      <c r="C599" s="27" t="s">
        <v>115</v>
      </c>
      <c r="D599" s="27" t="s">
        <v>17</v>
      </c>
      <c r="E599" s="27" t="s">
        <v>48</v>
      </c>
      <c r="F599" s="27" t="s">
        <v>49</v>
      </c>
      <c r="G599" s="27" t="s">
        <v>28</v>
      </c>
      <c r="H599" s="29">
        <v>268</v>
      </c>
      <c r="I599" s="27" t="s">
        <v>29</v>
      </c>
      <c r="J599" s="37">
        <v>45356</v>
      </c>
      <c r="K599" s="27" t="s">
        <v>22</v>
      </c>
    </row>
    <row r="600" spans="1:11" x14ac:dyDescent="0.2">
      <c r="A600" s="24" t="s">
        <v>1640</v>
      </c>
      <c r="B600" s="24" t="s">
        <v>1641</v>
      </c>
      <c r="C600" s="24" t="s">
        <v>526</v>
      </c>
      <c r="D600" s="24" t="s">
        <v>17</v>
      </c>
      <c r="E600" s="24" t="s">
        <v>18</v>
      </c>
      <c r="F600" s="24" t="s">
        <v>19</v>
      </c>
      <c r="G600" s="24" t="s">
        <v>28</v>
      </c>
      <c r="H600" s="26">
        <v>490</v>
      </c>
      <c r="I600" s="24" t="s">
        <v>29</v>
      </c>
      <c r="J600" s="36">
        <v>45356</v>
      </c>
      <c r="K600" s="24" t="s">
        <v>22</v>
      </c>
    </row>
    <row r="601" spans="1:11" x14ac:dyDescent="0.2">
      <c r="A601" s="27" t="s">
        <v>1642</v>
      </c>
      <c r="B601" s="27" t="s">
        <v>1643</v>
      </c>
      <c r="C601" s="27" t="s">
        <v>325</v>
      </c>
      <c r="D601" s="27" t="s">
        <v>17</v>
      </c>
      <c r="E601" s="27" t="s">
        <v>18</v>
      </c>
      <c r="F601" s="27" t="s">
        <v>19</v>
      </c>
      <c r="G601" s="27" t="s">
        <v>28</v>
      </c>
      <c r="H601" s="29">
        <v>198</v>
      </c>
      <c r="I601" s="27" t="s">
        <v>29</v>
      </c>
      <c r="J601" s="37">
        <v>45358</v>
      </c>
      <c r="K601" s="27" t="s">
        <v>22</v>
      </c>
    </row>
    <row r="602" spans="1:11" x14ac:dyDescent="0.2">
      <c r="A602" s="24" t="s">
        <v>1644</v>
      </c>
      <c r="B602" s="24" t="s">
        <v>1645</v>
      </c>
      <c r="C602" s="24" t="s">
        <v>1523</v>
      </c>
      <c r="D602" s="24" t="s">
        <v>17</v>
      </c>
      <c r="E602" s="24" t="s">
        <v>42</v>
      </c>
      <c r="F602" s="24" t="s">
        <v>43</v>
      </c>
      <c r="G602" s="24" t="s">
        <v>20</v>
      </c>
      <c r="H602" s="26">
        <v>180</v>
      </c>
      <c r="I602" s="24" t="s">
        <v>21</v>
      </c>
      <c r="J602" s="36">
        <v>45372</v>
      </c>
      <c r="K602" s="24" t="s">
        <v>22</v>
      </c>
    </row>
    <row r="603" spans="1:11" x14ac:dyDescent="0.2">
      <c r="A603" s="27" t="s">
        <v>1646</v>
      </c>
      <c r="B603" s="27" t="s">
        <v>1647</v>
      </c>
      <c r="C603" s="27" t="s">
        <v>1648</v>
      </c>
      <c r="D603" s="27" t="s">
        <v>17</v>
      </c>
      <c r="E603" s="27" t="s">
        <v>163</v>
      </c>
      <c r="F603" s="27" t="s">
        <v>164</v>
      </c>
      <c r="G603" s="27" t="s">
        <v>28</v>
      </c>
      <c r="H603" s="29">
        <v>20</v>
      </c>
      <c r="I603" s="27" t="s">
        <v>29</v>
      </c>
      <c r="J603" s="37">
        <v>45358</v>
      </c>
      <c r="K603" s="27" t="s">
        <v>22</v>
      </c>
    </row>
    <row r="604" spans="1:11" x14ac:dyDescent="0.2">
      <c r="A604" s="24" t="s">
        <v>1649</v>
      </c>
      <c r="B604" s="24" t="s">
        <v>1650</v>
      </c>
      <c r="C604" s="24" t="s">
        <v>644</v>
      </c>
      <c r="D604" s="24" t="s">
        <v>17</v>
      </c>
      <c r="E604" s="24" t="s">
        <v>42</v>
      </c>
      <c r="F604" s="24" t="s">
        <v>43</v>
      </c>
      <c r="G604" s="24" t="s">
        <v>20</v>
      </c>
      <c r="H604" s="26">
        <v>407</v>
      </c>
      <c r="I604" s="24" t="s">
        <v>21</v>
      </c>
      <c r="J604" s="36">
        <v>45352</v>
      </c>
      <c r="K604" s="24" t="s">
        <v>22</v>
      </c>
    </row>
    <row r="605" spans="1:11" x14ac:dyDescent="0.2">
      <c r="A605" s="27" t="s">
        <v>1651</v>
      </c>
      <c r="B605" s="27" t="s">
        <v>1652</v>
      </c>
      <c r="C605" s="27" t="s">
        <v>1653</v>
      </c>
      <c r="D605" s="27" t="s">
        <v>17</v>
      </c>
      <c r="E605" s="27" t="s">
        <v>42</v>
      </c>
      <c r="F605" s="27" t="s">
        <v>43</v>
      </c>
      <c r="G605" s="27" t="s">
        <v>44</v>
      </c>
      <c r="H605" s="29">
        <v>312</v>
      </c>
      <c r="I605" s="27" t="s">
        <v>21</v>
      </c>
      <c r="J605" s="37">
        <v>45371</v>
      </c>
      <c r="K605" s="27" t="s">
        <v>22</v>
      </c>
    </row>
    <row r="606" spans="1:11" x14ac:dyDescent="0.2">
      <c r="A606" s="24" t="s">
        <v>1654</v>
      </c>
      <c r="B606" s="24" t="s">
        <v>1655</v>
      </c>
      <c r="C606" s="24" t="s">
        <v>1068</v>
      </c>
      <c r="D606" s="24" t="s">
        <v>17</v>
      </c>
      <c r="E606" s="24" t="s">
        <v>18</v>
      </c>
      <c r="F606" s="24" t="s">
        <v>19</v>
      </c>
      <c r="G606" s="24" t="s">
        <v>59</v>
      </c>
      <c r="H606" s="26">
        <v>13</v>
      </c>
      <c r="I606" s="24" t="s">
        <v>21</v>
      </c>
      <c r="J606" s="36">
        <v>45364</v>
      </c>
      <c r="K606" s="24" t="s">
        <v>22</v>
      </c>
    </row>
    <row r="607" spans="1:11" x14ac:dyDescent="0.2">
      <c r="A607" s="27" t="s">
        <v>1656</v>
      </c>
      <c r="B607" s="27" t="s">
        <v>1657</v>
      </c>
      <c r="C607" s="27" t="s">
        <v>1199</v>
      </c>
      <c r="D607" s="27" t="s">
        <v>17</v>
      </c>
      <c r="E607" s="27" t="s">
        <v>42</v>
      </c>
      <c r="F607" s="27" t="s">
        <v>43</v>
      </c>
      <c r="G607" s="27" t="s">
        <v>44</v>
      </c>
      <c r="H607" s="29">
        <v>130</v>
      </c>
      <c r="I607" s="27" t="s">
        <v>21</v>
      </c>
      <c r="J607" s="37">
        <v>45352</v>
      </c>
      <c r="K607" s="27" t="s">
        <v>22</v>
      </c>
    </row>
    <row r="608" spans="1:11" x14ac:dyDescent="0.2">
      <c r="A608" s="24" t="s">
        <v>1658</v>
      </c>
      <c r="B608" s="24" t="s">
        <v>1659</v>
      </c>
      <c r="C608" s="24" t="s">
        <v>1660</v>
      </c>
      <c r="D608" s="24" t="s">
        <v>17</v>
      </c>
      <c r="E608" s="24" t="s">
        <v>48</v>
      </c>
      <c r="F608" s="24" t="s">
        <v>49</v>
      </c>
      <c r="G608" s="24" t="s">
        <v>116</v>
      </c>
      <c r="H608" s="26">
        <v>0</v>
      </c>
      <c r="I608" s="24" t="s">
        <v>21</v>
      </c>
      <c r="J608" s="36">
        <v>45352</v>
      </c>
      <c r="K608" s="24" t="s">
        <v>22</v>
      </c>
    </row>
    <row r="609" spans="1:11" x14ac:dyDescent="0.2">
      <c r="A609" s="27" t="s">
        <v>1661</v>
      </c>
      <c r="B609" s="27" t="s">
        <v>1662</v>
      </c>
      <c r="C609" s="27" t="s">
        <v>1663</v>
      </c>
      <c r="D609" s="27" t="s">
        <v>17</v>
      </c>
      <c r="E609" s="27" t="s">
        <v>18</v>
      </c>
      <c r="F609" s="27" t="s">
        <v>19</v>
      </c>
      <c r="G609" s="27" t="s">
        <v>28</v>
      </c>
      <c r="H609" s="29">
        <v>102</v>
      </c>
      <c r="I609" s="27" t="s">
        <v>29</v>
      </c>
      <c r="J609" s="37">
        <v>45365</v>
      </c>
      <c r="K609" s="27" t="s">
        <v>22</v>
      </c>
    </row>
    <row r="610" spans="1:11" x14ac:dyDescent="0.2">
      <c r="A610" s="24" t="s">
        <v>1664</v>
      </c>
      <c r="B610" s="24" t="s">
        <v>1665</v>
      </c>
      <c r="C610" s="24" t="s">
        <v>1666</v>
      </c>
      <c r="D610" s="24" t="s">
        <v>17</v>
      </c>
      <c r="E610" s="24" t="s">
        <v>48</v>
      </c>
      <c r="F610" s="24" t="s">
        <v>49</v>
      </c>
      <c r="G610" s="24" t="s">
        <v>20</v>
      </c>
      <c r="H610" s="26">
        <v>44</v>
      </c>
      <c r="I610" s="24" t="s">
        <v>21</v>
      </c>
      <c r="J610" s="36">
        <v>45357</v>
      </c>
      <c r="K610" s="24" t="s">
        <v>22</v>
      </c>
    </row>
    <row r="611" spans="1:11" x14ac:dyDescent="0.2">
      <c r="A611" s="27" t="s">
        <v>1667</v>
      </c>
      <c r="B611" s="27" t="s">
        <v>1668</v>
      </c>
      <c r="C611" s="27" t="s">
        <v>97</v>
      </c>
      <c r="D611" s="27" t="s">
        <v>17</v>
      </c>
      <c r="E611" s="27" t="s">
        <v>42</v>
      </c>
      <c r="F611" s="27" t="s">
        <v>43</v>
      </c>
      <c r="G611" s="27" t="s">
        <v>28</v>
      </c>
      <c r="H611" s="29">
        <v>572</v>
      </c>
      <c r="I611" s="27" t="s">
        <v>29</v>
      </c>
      <c r="J611" s="37">
        <v>45355</v>
      </c>
      <c r="K611" s="27" t="s">
        <v>22</v>
      </c>
    </row>
    <row r="612" spans="1:11" x14ac:dyDescent="0.2">
      <c r="A612" s="24" t="s">
        <v>1669</v>
      </c>
      <c r="B612" s="24" t="s">
        <v>1670</v>
      </c>
      <c r="C612" s="24" t="s">
        <v>251</v>
      </c>
      <c r="D612" s="24" t="s">
        <v>17</v>
      </c>
      <c r="E612" s="24" t="s">
        <v>42</v>
      </c>
      <c r="F612" s="24" t="s">
        <v>43</v>
      </c>
      <c r="G612" s="24" t="s">
        <v>28</v>
      </c>
      <c r="H612" s="26">
        <v>450</v>
      </c>
      <c r="I612" s="24" t="s">
        <v>29</v>
      </c>
      <c r="J612" s="36">
        <v>45363</v>
      </c>
      <c r="K612" s="24" t="s">
        <v>22</v>
      </c>
    </row>
    <row r="613" spans="1:11" x14ac:dyDescent="0.2">
      <c r="A613" s="27" t="s">
        <v>1671</v>
      </c>
      <c r="B613" s="27" t="s">
        <v>1672</v>
      </c>
      <c r="C613" s="27" t="s">
        <v>1673</v>
      </c>
      <c r="D613" s="27" t="s">
        <v>17</v>
      </c>
      <c r="E613" s="27" t="s">
        <v>42</v>
      </c>
      <c r="F613" s="27" t="s">
        <v>43</v>
      </c>
      <c r="G613" s="27" t="s">
        <v>20</v>
      </c>
      <c r="H613" s="29">
        <v>252</v>
      </c>
      <c r="I613" s="27" t="s">
        <v>21</v>
      </c>
      <c r="J613" s="37">
        <v>45377</v>
      </c>
      <c r="K613" s="27" t="s">
        <v>22</v>
      </c>
    </row>
    <row r="614" spans="1:11" x14ac:dyDescent="0.2">
      <c r="A614" s="24" t="s">
        <v>1674</v>
      </c>
      <c r="B614" s="24" t="s">
        <v>1675</v>
      </c>
      <c r="C614" s="24" t="s">
        <v>526</v>
      </c>
      <c r="D614" s="24" t="s">
        <v>17</v>
      </c>
      <c r="E614" s="24" t="s">
        <v>48</v>
      </c>
      <c r="F614" s="24" t="s">
        <v>49</v>
      </c>
      <c r="G614" s="24" t="s">
        <v>28</v>
      </c>
      <c r="H614" s="26">
        <v>200</v>
      </c>
      <c r="I614" s="24" t="s">
        <v>29</v>
      </c>
      <c r="J614" s="36">
        <v>45370</v>
      </c>
      <c r="K614" s="24" t="s">
        <v>22</v>
      </c>
    </row>
    <row r="615" spans="1:11" x14ac:dyDescent="0.2">
      <c r="A615" s="27" t="s">
        <v>1676</v>
      </c>
      <c r="B615" s="27" t="s">
        <v>1677</v>
      </c>
      <c r="C615" s="27" t="s">
        <v>1678</v>
      </c>
      <c r="D615" s="27" t="s">
        <v>17</v>
      </c>
      <c r="E615" s="27" t="s">
        <v>18</v>
      </c>
      <c r="F615" s="27" t="s">
        <v>19</v>
      </c>
      <c r="G615" s="27" t="s">
        <v>20</v>
      </c>
      <c r="H615" s="29">
        <v>40</v>
      </c>
      <c r="I615" s="27" t="s">
        <v>21</v>
      </c>
      <c r="J615" s="37">
        <v>45369</v>
      </c>
      <c r="K615" s="27" t="s">
        <v>22</v>
      </c>
    </row>
    <row r="616" spans="1:11" x14ac:dyDescent="0.2">
      <c r="A616" s="24" t="s">
        <v>1679</v>
      </c>
      <c r="B616" s="24" t="s">
        <v>1680</v>
      </c>
      <c r="C616" s="24" t="s">
        <v>1681</v>
      </c>
      <c r="D616" s="24" t="s">
        <v>17</v>
      </c>
      <c r="E616" s="24" t="s">
        <v>48</v>
      </c>
      <c r="F616" s="24" t="s">
        <v>49</v>
      </c>
      <c r="G616" s="24" t="s">
        <v>28</v>
      </c>
      <c r="H616" s="26">
        <v>240</v>
      </c>
      <c r="I616" s="24" t="s">
        <v>29</v>
      </c>
      <c r="J616" s="36">
        <v>45359</v>
      </c>
      <c r="K616" s="24" t="s">
        <v>22</v>
      </c>
    </row>
    <row r="617" spans="1:11" x14ac:dyDescent="0.2">
      <c r="A617" s="27" t="s">
        <v>1682</v>
      </c>
      <c r="B617" s="27" t="s">
        <v>1683</v>
      </c>
      <c r="C617" s="27" t="s">
        <v>1684</v>
      </c>
      <c r="D617" s="27" t="s">
        <v>17</v>
      </c>
      <c r="E617" s="27" t="s">
        <v>18</v>
      </c>
      <c r="F617" s="27" t="s">
        <v>19</v>
      </c>
      <c r="G617" s="27" t="s">
        <v>20</v>
      </c>
      <c r="H617" s="29">
        <v>42</v>
      </c>
      <c r="I617" s="27" t="s">
        <v>21</v>
      </c>
      <c r="J617" s="37">
        <v>45355</v>
      </c>
      <c r="K617" s="27" t="s">
        <v>22</v>
      </c>
    </row>
    <row r="618" spans="1:11" x14ac:dyDescent="0.2">
      <c r="A618" s="24" t="s">
        <v>1685</v>
      </c>
      <c r="B618" s="24" t="s">
        <v>1686</v>
      </c>
      <c r="C618" s="24" t="s">
        <v>1687</v>
      </c>
      <c r="D618" s="24" t="s">
        <v>17</v>
      </c>
      <c r="E618" s="24" t="s">
        <v>42</v>
      </c>
      <c r="F618" s="24" t="s">
        <v>43</v>
      </c>
      <c r="G618" s="24" t="s">
        <v>20</v>
      </c>
      <c r="H618" s="26">
        <v>346</v>
      </c>
      <c r="I618" s="24" t="s">
        <v>21</v>
      </c>
      <c r="J618" s="36">
        <v>45369</v>
      </c>
      <c r="K618" s="24" t="s">
        <v>22</v>
      </c>
    </row>
    <row r="619" spans="1:11" x14ac:dyDescent="0.2">
      <c r="A619" s="27" t="s">
        <v>1688</v>
      </c>
      <c r="B619" s="27" t="s">
        <v>1689</v>
      </c>
      <c r="C619" s="27" t="s">
        <v>1690</v>
      </c>
      <c r="D619" s="27" t="s">
        <v>17</v>
      </c>
      <c r="E619" s="27" t="s">
        <v>18</v>
      </c>
      <c r="F619" s="27" t="s">
        <v>19</v>
      </c>
      <c r="G619" s="27" t="s">
        <v>28</v>
      </c>
      <c r="H619" s="29">
        <v>40</v>
      </c>
      <c r="I619" s="27" t="s">
        <v>29</v>
      </c>
      <c r="J619" s="37">
        <v>45379</v>
      </c>
      <c r="K619" s="27" t="s">
        <v>22</v>
      </c>
    </row>
    <row r="620" spans="1:11" x14ac:dyDescent="0.2">
      <c r="A620" s="24" t="s">
        <v>1691</v>
      </c>
      <c r="B620" s="24" t="s">
        <v>1692</v>
      </c>
      <c r="C620" s="24" t="s">
        <v>1693</v>
      </c>
      <c r="D620" s="24" t="s">
        <v>17</v>
      </c>
      <c r="E620" s="24" t="s">
        <v>26</v>
      </c>
      <c r="F620" s="24" t="s">
        <v>27</v>
      </c>
      <c r="G620" s="24" t="s">
        <v>28</v>
      </c>
      <c r="H620" s="26">
        <v>150</v>
      </c>
      <c r="I620" s="24" t="s">
        <v>29</v>
      </c>
      <c r="J620" s="36">
        <v>45356</v>
      </c>
      <c r="K620" s="24" t="s">
        <v>22</v>
      </c>
    </row>
    <row r="621" spans="1:11" x14ac:dyDescent="0.2">
      <c r="A621" s="27" t="s">
        <v>1694</v>
      </c>
      <c r="B621" s="27" t="s">
        <v>1695</v>
      </c>
      <c r="C621" s="27" t="s">
        <v>1696</v>
      </c>
      <c r="D621" s="27" t="s">
        <v>17</v>
      </c>
      <c r="E621" s="27" t="s">
        <v>48</v>
      </c>
      <c r="F621" s="27" t="s">
        <v>49</v>
      </c>
      <c r="G621" s="27" t="s">
        <v>38</v>
      </c>
      <c r="H621" s="29">
        <v>13</v>
      </c>
      <c r="I621" s="27" t="s">
        <v>29</v>
      </c>
      <c r="J621" s="37">
        <v>45382</v>
      </c>
      <c r="K621" s="27" t="s">
        <v>22</v>
      </c>
    </row>
    <row r="622" spans="1:11" x14ac:dyDescent="0.2">
      <c r="A622" s="24" t="s">
        <v>1697</v>
      </c>
      <c r="B622" s="24" t="s">
        <v>1698</v>
      </c>
      <c r="C622" s="24" t="s">
        <v>783</v>
      </c>
      <c r="D622" s="24" t="s">
        <v>17</v>
      </c>
      <c r="E622" s="24" t="s">
        <v>18</v>
      </c>
      <c r="F622" s="24" t="s">
        <v>19</v>
      </c>
      <c r="G622" s="24" t="s">
        <v>28</v>
      </c>
      <c r="H622" s="26">
        <v>244</v>
      </c>
      <c r="I622" s="24" t="s">
        <v>29</v>
      </c>
      <c r="J622" s="36">
        <v>45379</v>
      </c>
      <c r="K622" s="24" t="s">
        <v>22</v>
      </c>
    </row>
    <row r="623" spans="1:11" x14ac:dyDescent="0.2">
      <c r="A623" s="27" t="s">
        <v>1699</v>
      </c>
      <c r="B623" s="27" t="s">
        <v>1700</v>
      </c>
      <c r="C623" s="27" t="s">
        <v>106</v>
      </c>
      <c r="D623" s="27" t="s">
        <v>17</v>
      </c>
      <c r="E623" s="27" t="s">
        <v>48</v>
      </c>
      <c r="F623" s="27" t="s">
        <v>49</v>
      </c>
      <c r="G623" s="27" t="s">
        <v>20</v>
      </c>
      <c r="H623" s="29">
        <v>84</v>
      </c>
      <c r="I623" s="27" t="s">
        <v>21</v>
      </c>
      <c r="J623" s="37">
        <v>45378</v>
      </c>
      <c r="K623" s="27" t="s">
        <v>22</v>
      </c>
    </row>
    <row r="624" spans="1:11" x14ac:dyDescent="0.2">
      <c r="A624" s="24" t="s">
        <v>1701</v>
      </c>
      <c r="B624" s="24" t="s">
        <v>1702</v>
      </c>
      <c r="C624" s="24" t="s">
        <v>1053</v>
      </c>
      <c r="D624" s="24" t="s">
        <v>17</v>
      </c>
      <c r="E624" s="24" t="s">
        <v>18</v>
      </c>
      <c r="F624" s="24" t="s">
        <v>19</v>
      </c>
      <c r="G624" s="24" t="s">
        <v>20</v>
      </c>
      <c r="H624" s="26">
        <v>32</v>
      </c>
      <c r="I624" s="24" t="s">
        <v>21</v>
      </c>
      <c r="J624" s="36">
        <v>45369</v>
      </c>
      <c r="K624" s="24" t="s">
        <v>22</v>
      </c>
    </row>
    <row r="625" spans="1:11" x14ac:dyDescent="0.2">
      <c r="A625" s="27" t="s">
        <v>1703</v>
      </c>
      <c r="B625" s="27" t="s">
        <v>1704</v>
      </c>
      <c r="C625" s="27" t="s">
        <v>197</v>
      </c>
      <c r="D625" s="27" t="s">
        <v>17</v>
      </c>
      <c r="E625" s="27" t="s">
        <v>42</v>
      </c>
      <c r="F625" s="27" t="s">
        <v>43</v>
      </c>
      <c r="G625" s="27" t="s">
        <v>20</v>
      </c>
      <c r="H625" s="29">
        <v>95</v>
      </c>
      <c r="I625" s="27" t="s">
        <v>21</v>
      </c>
      <c r="J625" s="37">
        <v>45370</v>
      </c>
      <c r="K625" s="27" t="s">
        <v>22</v>
      </c>
    </row>
    <row r="626" spans="1:11" x14ac:dyDescent="0.2">
      <c r="A626" s="24" t="s">
        <v>1705</v>
      </c>
      <c r="B626" s="24" t="s">
        <v>1706</v>
      </c>
      <c r="C626" s="24" t="s">
        <v>1707</v>
      </c>
      <c r="D626" s="24" t="s">
        <v>17</v>
      </c>
      <c r="E626" s="24" t="s">
        <v>26</v>
      </c>
      <c r="F626" s="24" t="s">
        <v>27</v>
      </c>
      <c r="G626" s="24" t="s">
        <v>28</v>
      </c>
      <c r="H626" s="26">
        <v>100</v>
      </c>
      <c r="I626" s="24" t="s">
        <v>29</v>
      </c>
      <c r="J626" s="36">
        <v>45379</v>
      </c>
      <c r="K626" s="24" t="s">
        <v>22</v>
      </c>
    </row>
    <row r="627" spans="1:11" x14ac:dyDescent="0.2">
      <c r="A627" s="27" t="s">
        <v>1708</v>
      </c>
      <c r="B627" s="27" t="s">
        <v>1709</v>
      </c>
      <c r="C627" s="27" t="s">
        <v>1523</v>
      </c>
      <c r="D627" s="27" t="s">
        <v>17</v>
      </c>
      <c r="E627" s="27" t="s">
        <v>48</v>
      </c>
      <c r="F627" s="27" t="s">
        <v>49</v>
      </c>
      <c r="G627" s="27" t="s">
        <v>38</v>
      </c>
      <c r="H627" s="29">
        <v>100</v>
      </c>
      <c r="I627" s="27" t="s">
        <v>29</v>
      </c>
      <c r="J627" s="37">
        <v>45381</v>
      </c>
      <c r="K627" s="27" t="s">
        <v>22</v>
      </c>
    </row>
    <row r="628" spans="1:11" x14ac:dyDescent="0.2">
      <c r="A628" s="24" t="s">
        <v>1710</v>
      </c>
      <c r="B628" s="24" t="s">
        <v>1711</v>
      </c>
      <c r="C628" s="24" t="s">
        <v>85</v>
      </c>
      <c r="D628" s="24" t="s">
        <v>17</v>
      </c>
      <c r="E628" s="24" t="s">
        <v>42</v>
      </c>
      <c r="F628" s="24" t="s">
        <v>43</v>
      </c>
      <c r="G628" s="24" t="s">
        <v>20</v>
      </c>
      <c r="H628" s="26">
        <v>161</v>
      </c>
      <c r="I628" s="24" t="s">
        <v>21</v>
      </c>
      <c r="J628" s="36">
        <v>45380</v>
      </c>
      <c r="K628" s="24" t="s">
        <v>22</v>
      </c>
    </row>
    <row r="629" spans="1:11" x14ac:dyDescent="0.2">
      <c r="A629" s="27" t="s">
        <v>1712</v>
      </c>
      <c r="B629" s="27" t="s">
        <v>1713</v>
      </c>
      <c r="C629" s="27" t="s">
        <v>1714</v>
      </c>
      <c r="D629" s="27" t="s">
        <v>17</v>
      </c>
      <c r="E629" s="27" t="s">
        <v>48</v>
      </c>
      <c r="F629" s="27" t="s">
        <v>49</v>
      </c>
      <c r="G629" s="27" t="s">
        <v>20</v>
      </c>
      <c r="H629" s="29">
        <v>93</v>
      </c>
      <c r="I629" s="27" t="s">
        <v>21</v>
      </c>
      <c r="J629" s="37">
        <v>45379</v>
      </c>
      <c r="K629" s="27" t="s">
        <v>22</v>
      </c>
    </row>
    <row r="630" spans="1:11" x14ac:dyDescent="0.2">
      <c r="A630" s="24" t="s">
        <v>1715</v>
      </c>
      <c r="B630" s="24" t="s">
        <v>1716</v>
      </c>
      <c r="C630" s="24" t="s">
        <v>52</v>
      </c>
      <c r="D630" s="24" t="s">
        <v>17</v>
      </c>
      <c r="E630" s="24" t="s">
        <v>42</v>
      </c>
      <c r="F630" s="24" t="s">
        <v>43</v>
      </c>
      <c r="G630" s="24" t="s">
        <v>44</v>
      </c>
      <c r="H630" s="26">
        <v>840</v>
      </c>
      <c r="I630" s="24" t="s">
        <v>21</v>
      </c>
      <c r="J630" s="36">
        <v>45352</v>
      </c>
      <c r="K630" s="24" t="s">
        <v>22</v>
      </c>
    </row>
    <row r="631" spans="1:11" x14ac:dyDescent="0.2">
      <c r="A631" s="27" t="s">
        <v>1717</v>
      </c>
      <c r="B631" s="27" t="s">
        <v>1718</v>
      </c>
      <c r="C631" s="27" t="s">
        <v>1719</v>
      </c>
      <c r="D631" s="27" t="s">
        <v>17</v>
      </c>
      <c r="E631" s="27" t="s">
        <v>26</v>
      </c>
      <c r="F631" s="27" t="s">
        <v>27</v>
      </c>
      <c r="G631" s="27" t="s">
        <v>28</v>
      </c>
      <c r="H631" s="29">
        <v>30</v>
      </c>
      <c r="I631" s="27" t="s">
        <v>29</v>
      </c>
      <c r="J631" s="37">
        <v>45357</v>
      </c>
      <c r="K631" s="27" t="s">
        <v>22</v>
      </c>
    </row>
    <row r="632" spans="1:11" x14ac:dyDescent="0.2">
      <c r="A632" s="24" t="s">
        <v>1720</v>
      </c>
      <c r="B632" s="24" t="s">
        <v>1721</v>
      </c>
      <c r="C632" s="24" t="s">
        <v>526</v>
      </c>
      <c r="D632" s="24" t="s">
        <v>17</v>
      </c>
      <c r="E632" s="24" t="s">
        <v>18</v>
      </c>
      <c r="F632" s="24" t="s">
        <v>19</v>
      </c>
      <c r="G632" s="24" t="s">
        <v>20</v>
      </c>
      <c r="H632" s="26">
        <v>16</v>
      </c>
      <c r="I632" s="24" t="s">
        <v>21</v>
      </c>
      <c r="J632" s="36">
        <v>45356</v>
      </c>
      <c r="K632" s="24" t="s">
        <v>22</v>
      </c>
    </row>
    <row r="633" spans="1:11" x14ac:dyDescent="0.2">
      <c r="A633" s="27" t="s">
        <v>1722</v>
      </c>
      <c r="B633" s="27" t="s">
        <v>1723</v>
      </c>
      <c r="C633" s="27" t="s">
        <v>429</v>
      </c>
      <c r="D633" s="27" t="s">
        <v>17</v>
      </c>
      <c r="E633" s="27" t="s">
        <v>18</v>
      </c>
      <c r="F633" s="27" t="s">
        <v>19</v>
      </c>
      <c r="G633" s="27" t="s">
        <v>20</v>
      </c>
      <c r="H633" s="29">
        <v>30</v>
      </c>
      <c r="I633" s="27" t="s">
        <v>21</v>
      </c>
      <c r="J633" s="37">
        <v>45356</v>
      </c>
      <c r="K633" s="27" t="s">
        <v>22</v>
      </c>
    </row>
    <row r="634" spans="1:11" x14ac:dyDescent="0.2">
      <c r="A634" s="24" t="s">
        <v>1724</v>
      </c>
      <c r="B634" s="24" t="s">
        <v>1725</v>
      </c>
      <c r="C634" s="24" t="s">
        <v>1726</v>
      </c>
      <c r="D634" s="24" t="s">
        <v>17</v>
      </c>
      <c r="E634" s="24" t="s">
        <v>18</v>
      </c>
      <c r="F634" s="24" t="s">
        <v>19</v>
      </c>
      <c r="G634" s="24" t="s">
        <v>20</v>
      </c>
      <c r="H634" s="26">
        <v>16</v>
      </c>
      <c r="I634" s="24" t="s">
        <v>21</v>
      </c>
      <c r="J634" s="36">
        <v>45365</v>
      </c>
      <c r="K634" s="24" t="s">
        <v>22</v>
      </c>
    </row>
    <row r="635" spans="1:11" x14ac:dyDescent="0.2">
      <c r="A635" s="27" t="s">
        <v>1727</v>
      </c>
      <c r="B635" s="27" t="s">
        <v>1728</v>
      </c>
      <c r="C635" s="27" t="s">
        <v>1729</v>
      </c>
      <c r="D635" s="27" t="s">
        <v>17</v>
      </c>
      <c r="E635" s="27" t="s">
        <v>18</v>
      </c>
      <c r="F635" s="27" t="s">
        <v>19</v>
      </c>
      <c r="G635" s="27" t="s">
        <v>20</v>
      </c>
      <c r="H635" s="29">
        <v>8</v>
      </c>
      <c r="I635" s="27" t="s">
        <v>21</v>
      </c>
      <c r="J635" s="37">
        <v>45377</v>
      </c>
      <c r="K635" s="27" t="s">
        <v>22</v>
      </c>
    </row>
    <row r="636" spans="1:11" x14ac:dyDescent="0.2">
      <c r="A636" s="24" t="s">
        <v>1730</v>
      </c>
      <c r="B636" s="24" t="s">
        <v>1731</v>
      </c>
      <c r="C636" s="24" t="s">
        <v>1732</v>
      </c>
      <c r="D636" s="24" t="s">
        <v>17</v>
      </c>
      <c r="E636" s="24" t="s">
        <v>81</v>
      </c>
      <c r="F636" s="24" t="s">
        <v>82</v>
      </c>
      <c r="G636" s="24" t="s">
        <v>20</v>
      </c>
      <c r="H636" s="26">
        <v>235</v>
      </c>
      <c r="I636" s="24" t="s">
        <v>21</v>
      </c>
      <c r="J636" s="36">
        <v>45370</v>
      </c>
      <c r="K636" s="24" t="s">
        <v>22</v>
      </c>
    </row>
    <row r="637" spans="1:11" x14ac:dyDescent="0.2">
      <c r="A637" s="27" t="s">
        <v>1733</v>
      </c>
      <c r="B637" s="27" t="s">
        <v>1734</v>
      </c>
      <c r="C637" s="27" t="s">
        <v>331</v>
      </c>
      <c r="D637" s="27" t="s">
        <v>17</v>
      </c>
      <c r="E637" s="27" t="s">
        <v>18</v>
      </c>
      <c r="F637" s="27" t="s">
        <v>19</v>
      </c>
      <c r="G637" s="27" t="s">
        <v>20</v>
      </c>
      <c r="H637" s="29">
        <v>137</v>
      </c>
      <c r="I637" s="27" t="s">
        <v>21</v>
      </c>
      <c r="J637" s="37">
        <v>45365</v>
      </c>
      <c r="K637" s="27" t="s">
        <v>22</v>
      </c>
    </row>
    <row r="638" spans="1:11" x14ac:dyDescent="0.2">
      <c r="A638" s="24" t="s">
        <v>1735</v>
      </c>
      <c r="B638" s="24" t="s">
        <v>1736</v>
      </c>
      <c r="C638" s="24" t="s">
        <v>1737</v>
      </c>
      <c r="D638" s="24" t="s">
        <v>17</v>
      </c>
      <c r="E638" s="24" t="s">
        <v>18</v>
      </c>
      <c r="F638" s="24" t="s">
        <v>19</v>
      </c>
      <c r="G638" s="24" t="s">
        <v>20</v>
      </c>
      <c r="H638" s="26">
        <v>32</v>
      </c>
      <c r="I638" s="24" t="s">
        <v>21</v>
      </c>
      <c r="J638" s="36">
        <v>45370</v>
      </c>
      <c r="K638" s="24" t="s">
        <v>22</v>
      </c>
    </row>
    <row r="639" spans="1:11" x14ac:dyDescent="0.2">
      <c r="A639" s="27" t="s">
        <v>1738</v>
      </c>
      <c r="B639" s="27" t="s">
        <v>1739</v>
      </c>
      <c r="C639" s="27" t="s">
        <v>1740</v>
      </c>
      <c r="D639" s="27" t="s">
        <v>17</v>
      </c>
      <c r="E639" s="27" t="s">
        <v>18</v>
      </c>
      <c r="F639" s="27" t="s">
        <v>19</v>
      </c>
      <c r="G639" s="27" t="s">
        <v>20</v>
      </c>
      <c r="H639" s="29">
        <v>7</v>
      </c>
      <c r="I639" s="27" t="s">
        <v>21</v>
      </c>
      <c r="J639" s="37">
        <v>45352</v>
      </c>
      <c r="K639" s="27" t="s">
        <v>22</v>
      </c>
    </row>
    <row r="640" spans="1:11" x14ac:dyDescent="0.2">
      <c r="A640" s="24" t="s">
        <v>1741</v>
      </c>
      <c r="B640" s="24" t="s">
        <v>1742</v>
      </c>
      <c r="C640" s="24" t="s">
        <v>1212</v>
      </c>
      <c r="D640" s="24" t="s">
        <v>17</v>
      </c>
      <c r="E640" s="24" t="s">
        <v>18</v>
      </c>
      <c r="F640" s="24" t="s">
        <v>19</v>
      </c>
      <c r="G640" s="24" t="s">
        <v>20</v>
      </c>
      <c r="H640" s="26">
        <v>40</v>
      </c>
      <c r="I640" s="24" t="s">
        <v>21</v>
      </c>
      <c r="J640" s="36">
        <v>45356</v>
      </c>
      <c r="K640" s="24" t="s">
        <v>22</v>
      </c>
    </row>
    <row r="641" spans="1:11" x14ac:dyDescent="0.2">
      <c r="A641" s="27" t="s">
        <v>1743</v>
      </c>
      <c r="B641" s="27" t="s">
        <v>1744</v>
      </c>
      <c r="C641" s="27" t="s">
        <v>1745</v>
      </c>
      <c r="D641" s="27" t="s">
        <v>17</v>
      </c>
      <c r="E641" s="27" t="s">
        <v>18</v>
      </c>
      <c r="F641" s="27" t="s">
        <v>19</v>
      </c>
      <c r="G641" s="27" t="s">
        <v>28</v>
      </c>
      <c r="H641" s="29">
        <v>243</v>
      </c>
      <c r="I641" s="27" t="s">
        <v>29</v>
      </c>
      <c r="J641" s="37">
        <v>45376</v>
      </c>
      <c r="K641" s="27" t="s">
        <v>22</v>
      </c>
    </row>
    <row r="642" spans="1:11" x14ac:dyDescent="0.2">
      <c r="A642" s="24" t="s">
        <v>1746</v>
      </c>
      <c r="B642" s="24" t="s">
        <v>1747</v>
      </c>
      <c r="C642" s="24" t="s">
        <v>1748</v>
      </c>
      <c r="D642" s="24" t="s">
        <v>17</v>
      </c>
      <c r="E642" s="24" t="s">
        <v>26</v>
      </c>
      <c r="F642" s="24" t="s">
        <v>27</v>
      </c>
      <c r="G642" s="24" t="s">
        <v>44</v>
      </c>
      <c r="H642" s="26">
        <v>141</v>
      </c>
      <c r="I642" s="24" t="s">
        <v>21</v>
      </c>
      <c r="J642" s="36">
        <v>45378</v>
      </c>
      <c r="K642" s="24" t="s">
        <v>22</v>
      </c>
    </row>
    <row r="643" spans="1:11" x14ac:dyDescent="0.2">
      <c r="A643" s="27" t="s">
        <v>1749</v>
      </c>
      <c r="B643" s="27" t="s">
        <v>1750</v>
      </c>
      <c r="C643" s="27" t="s">
        <v>687</v>
      </c>
      <c r="D643" s="27" t="s">
        <v>17</v>
      </c>
      <c r="E643" s="27" t="s">
        <v>42</v>
      </c>
      <c r="F643" s="27" t="s">
        <v>43</v>
      </c>
      <c r="G643" s="27" t="s">
        <v>20</v>
      </c>
      <c r="H643" s="29">
        <v>189</v>
      </c>
      <c r="I643" s="27" t="s">
        <v>21</v>
      </c>
      <c r="J643" s="37">
        <v>45370</v>
      </c>
      <c r="K643" s="27" t="s">
        <v>22</v>
      </c>
    </row>
    <row r="644" spans="1:11" x14ac:dyDescent="0.2">
      <c r="A644" s="24" t="s">
        <v>1751</v>
      </c>
      <c r="B644" s="24" t="s">
        <v>1752</v>
      </c>
      <c r="C644" s="24" t="s">
        <v>1753</v>
      </c>
      <c r="D644" s="24" t="s">
        <v>17</v>
      </c>
      <c r="E644" s="24" t="s">
        <v>26</v>
      </c>
      <c r="F644" s="24" t="s">
        <v>27</v>
      </c>
      <c r="G644" s="24" t="s">
        <v>28</v>
      </c>
      <c r="H644" s="26">
        <v>180</v>
      </c>
      <c r="I644" s="24" t="s">
        <v>29</v>
      </c>
      <c r="J644" s="36">
        <v>45377</v>
      </c>
      <c r="K644" s="24" t="s">
        <v>22</v>
      </c>
    </row>
    <row r="645" spans="1:11" x14ac:dyDescent="0.2">
      <c r="A645" s="27" t="s">
        <v>1754</v>
      </c>
      <c r="B645" s="27" t="s">
        <v>1755</v>
      </c>
      <c r="C645" s="27" t="s">
        <v>1608</v>
      </c>
      <c r="D645" s="27" t="s">
        <v>17</v>
      </c>
      <c r="E645" s="27" t="s">
        <v>26</v>
      </c>
      <c r="F645" s="27" t="s">
        <v>27</v>
      </c>
      <c r="G645" s="27" t="s">
        <v>28</v>
      </c>
      <c r="H645" s="29">
        <v>48</v>
      </c>
      <c r="I645" s="27" t="s">
        <v>29</v>
      </c>
      <c r="J645" s="37">
        <v>45360</v>
      </c>
      <c r="K645" s="27" t="s">
        <v>22</v>
      </c>
    </row>
    <row r="646" spans="1:11" x14ac:dyDescent="0.2">
      <c r="A646" s="24" t="s">
        <v>1756</v>
      </c>
      <c r="B646" s="24" t="s">
        <v>1757</v>
      </c>
      <c r="C646" s="24" t="s">
        <v>1758</v>
      </c>
      <c r="D646" s="24" t="s">
        <v>17</v>
      </c>
      <c r="E646" s="24" t="s">
        <v>18</v>
      </c>
      <c r="F646" s="24" t="s">
        <v>19</v>
      </c>
      <c r="G646" s="24" t="s">
        <v>20</v>
      </c>
      <c r="H646" s="26">
        <v>44</v>
      </c>
      <c r="I646" s="24" t="s">
        <v>21</v>
      </c>
      <c r="J646" s="36">
        <v>45370</v>
      </c>
      <c r="K646" s="24" t="s">
        <v>22</v>
      </c>
    </row>
    <row r="647" spans="1:11" x14ac:dyDescent="0.2">
      <c r="A647" s="27" t="s">
        <v>1759</v>
      </c>
      <c r="B647" s="27" t="s">
        <v>1760</v>
      </c>
      <c r="C647" s="27" t="s">
        <v>1761</v>
      </c>
      <c r="D647" s="27" t="s">
        <v>17</v>
      </c>
      <c r="E647" s="27" t="s">
        <v>42</v>
      </c>
      <c r="F647" s="27" t="s">
        <v>43</v>
      </c>
      <c r="G647" s="27" t="s">
        <v>28</v>
      </c>
      <c r="H647" s="29">
        <v>322</v>
      </c>
      <c r="I647" s="27" t="s">
        <v>29</v>
      </c>
      <c r="J647" s="37">
        <v>45378</v>
      </c>
      <c r="K647" s="27" t="s">
        <v>22</v>
      </c>
    </row>
    <row r="648" spans="1:11" x14ac:dyDescent="0.2">
      <c r="A648" s="24" t="s">
        <v>1762</v>
      </c>
      <c r="B648" s="24" t="s">
        <v>1763</v>
      </c>
      <c r="C648" s="24" t="s">
        <v>437</v>
      </c>
      <c r="D648" s="24" t="s">
        <v>17</v>
      </c>
      <c r="E648" s="24" t="s">
        <v>18</v>
      </c>
      <c r="F648" s="24" t="s">
        <v>19</v>
      </c>
      <c r="G648" s="24" t="s">
        <v>44</v>
      </c>
      <c r="H648" s="26">
        <v>77</v>
      </c>
      <c r="I648" s="24" t="s">
        <v>21</v>
      </c>
      <c r="J648" s="36">
        <v>45358</v>
      </c>
      <c r="K648" s="24" t="s">
        <v>22</v>
      </c>
    </row>
    <row r="649" spans="1:11" x14ac:dyDescent="0.2">
      <c r="A649" s="27" t="s">
        <v>1764</v>
      </c>
      <c r="B649" s="27" t="s">
        <v>1765</v>
      </c>
      <c r="C649" s="27" t="s">
        <v>1766</v>
      </c>
      <c r="D649" s="27" t="s">
        <v>17</v>
      </c>
      <c r="E649" s="27" t="s">
        <v>18</v>
      </c>
      <c r="F649" s="27" t="s">
        <v>19</v>
      </c>
      <c r="G649" s="27" t="s">
        <v>20</v>
      </c>
      <c r="H649" s="29">
        <v>50</v>
      </c>
      <c r="I649" s="27" t="s">
        <v>21</v>
      </c>
      <c r="J649" s="37">
        <v>45364</v>
      </c>
      <c r="K649" s="27" t="s">
        <v>22</v>
      </c>
    </row>
    <row r="650" spans="1:11" x14ac:dyDescent="0.2">
      <c r="A650" s="24" t="s">
        <v>1767</v>
      </c>
      <c r="B650" s="24" t="s">
        <v>1768</v>
      </c>
      <c r="C650" s="24" t="s">
        <v>1769</v>
      </c>
      <c r="D650" s="24" t="s">
        <v>17</v>
      </c>
      <c r="E650" s="24" t="s">
        <v>163</v>
      </c>
      <c r="F650" s="24" t="s">
        <v>164</v>
      </c>
      <c r="G650" s="24" t="s">
        <v>227</v>
      </c>
      <c r="H650" s="26">
        <v>10</v>
      </c>
      <c r="I650" s="24" t="s">
        <v>29</v>
      </c>
      <c r="J650" s="36">
        <v>45370</v>
      </c>
      <c r="K650" s="24" t="s">
        <v>22</v>
      </c>
    </row>
    <row r="651" spans="1:11" x14ac:dyDescent="0.2">
      <c r="A651" s="27" t="s">
        <v>1770</v>
      </c>
      <c r="B651" s="27" t="s">
        <v>1771</v>
      </c>
      <c r="C651" s="27" t="s">
        <v>1772</v>
      </c>
      <c r="D651" s="27" t="s">
        <v>17</v>
      </c>
      <c r="E651" s="27" t="s">
        <v>18</v>
      </c>
      <c r="F651" s="27" t="s">
        <v>19</v>
      </c>
      <c r="G651" s="27" t="s">
        <v>59</v>
      </c>
      <c r="H651" s="29">
        <v>37</v>
      </c>
      <c r="I651" s="27" t="s">
        <v>21</v>
      </c>
      <c r="J651" s="37">
        <v>45355</v>
      </c>
      <c r="K651" s="27" t="s">
        <v>22</v>
      </c>
    </row>
    <row r="652" spans="1:11" x14ac:dyDescent="0.2">
      <c r="A652" s="24" t="s">
        <v>1773</v>
      </c>
      <c r="B652" s="24" t="s">
        <v>1774</v>
      </c>
      <c r="C652" s="24" t="s">
        <v>1775</v>
      </c>
      <c r="D652" s="24" t="s">
        <v>17</v>
      </c>
      <c r="E652" s="24" t="s">
        <v>18</v>
      </c>
      <c r="F652" s="24" t="s">
        <v>19</v>
      </c>
      <c r="G652" s="24" t="s">
        <v>28</v>
      </c>
      <c r="H652" s="26">
        <v>24</v>
      </c>
      <c r="I652" s="24" t="s">
        <v>29</v>
      </c>
      <c r="J652" s="36">
        <v>45366</v>
      </c>
      <c r="K652" s="24" t="s">
        <v>22</v>
      </c>
    </row>
    <row r="653" spans="1:11" x14ac:dyDescent="0.2">
      <c r="A653" s="27" t="s">
        <v>1776</v>
      </c>
      <c r="B653" s="27" t="s">
        <v>1777</v>
      </c>
      <c r="C653" s="27" t="s">
        <v>1778</v>
      </c>
      <c r="D653" s="27" t="s">
        <v>17</v>
      </c>
      <c r="E653" s="27" t="s">
        <v>18</v>
      </c>
      <c r="F653" s="27" t="s">
        <v>19</v>
      </c>
      <c r="G653" s="27" t="s">
        <v>28</v>
      </c>
      <c r="H653" s="29">
        <v>100</v>
      </c>
      <c r="I653" s="27" t="s">
        <v>29</v>
      </c>
      <c r="J653" s="37">
        <v>45376</v>
      </c>
      <c r="K653" s="27" t="s">
        <v>22</v>
      </c>
    </row>
    <row r="654" spans="1:11" x14ac:dyDescent="0.2">
      <c r="A654" s="24" t="s">
        <v>1779</v>
      </c>
      <c r="B654" s="24" t="s">
        <v>1780</v>
      </c>
      <c r="C654" s="24" t="s">
        <v>1781</v>
      </c>
      <c r="D654" s="24" t="s">
        <v>17</v>
      </c>
      <c r="E654" s="24" t="s">
        <v>18</v>
      </c>
      <c r="F654" s="24" t="s">
        <v>19</v>
      </c>
      <c r="G654" s="24" t="s">
        <v>20</v>
      </c>
      <c r="H654" s="26">
        <v>72</v>
      </c>
      <c r="I654" s="24" t="s">
        <v>21</v>
      </c>
      <c r="J654" s="36">
        <v>45365</v>
      </c>
      <c r="K654" s="24" t="s">
        <v>22</v>
      </c>
    </row>
    <row r="655" spans="1:11" x14ac:dyDescent="0.2">
      <c r="A655" s="27" t="s">
        <v>1782</v>
      </c>
      <c r="B655" s="27" t="s">
        <v>1783</v>
      </c>
      <c r="C655" s="27" t="s">
        <v>68</v>
      </c>
      <c r="D655" s="27" t="s">
        <v>17</v>
      </c>
      <c r="E655" s="27" t="s">
        <v>18</v>
      </c>
      <c r="F655" s="27" t="s">
        <v>19</v>
      </c>
      <c r="G655" s="27" t="s">
        <v>44</v>
      </c>
      <c r="H655" s="29">
        <v>98</v>
      </c>
      <c r="I655" s="27" t="s">
        <v>21</v>
      </c>
      <c r="J655" s="37">
        <v>45352</v>
      </c>
      <c r="K655" s="27" t="s">
        <v>22</v>
      </c>
    </row>
    <row r="656" spans="1:11" x14ac:dyDescent="0.2">
      <c r="A656" s="24" t="s">
        <v>1784</v>
      </c>
      <c r="B656" s="24" t="s">
        <v>1785</v>
      </c>
      <c r="C656" s="24" t="s">
        <v>68</v>
      </c>
      <c r="D656" s="24" t="s">
        <v>17</v>
      </c>
      <c r="E656" s="24" t="s">
        <v>26</v>
      </c>
      <c r="F656" s="24" t="s">
        <v>27</v>
      </c>
      <c r="G656" s="24" t="s">
        <v>38</v>
      </c>
      <c r="H656" s="26">
        <v>54</v>
      </c>
      <c r="I656" s="24" t="s">
        <v>29</v>
      </c>
      <c r="J656" s="36">
        <v>45366</v>
      </c>
      <c r="K656" s="24" t="s">
        <v>22</v>
      </c>
    </row>
    <row r="657" spans="1:11" x14ac:dyDescent="0.2">
      <c r="A657" s="27" t="s">
        <v>1786</v>
      </c>
      <c r="B657" s="27" t="s">
        <v>1787</v>
      </c>
      <c r="C657" s="27" t="s">
        <v>1788</v>
      </c>
      <c r="D657" s="27" t="s">
        <v>17</v>
      </c>
      <c r="E657" s="27" t="s">
        <v>42</v>
      </c>
      <c r="F657" s="27" t="s">
        <v>43</v>
      </c>
      <c r="G657" s="27" t="s">
        <v>227</v>
      </c>
      <c r="H657" s="29">
        <v>160</v>
      </c>
      <c r="I657" s="27" t="s">
        <v>29</v>
      </c>
      <c r="J657" s="37">
        <v>45362</v>
      </c>
      <c r="K657" s="27" t="s">
        <v>22</v>
      </c>
    </row>
    <row r="658" spans="1:11" x14ac:dyDescent="0.2">
      <c r="A658" s="24" t="s">
        <v>1789</v>
      </c>
      <c r="B658" s="24" t="s">
        <v>1790</v>
      </c>
      <c r="C658" s="24" t="s">
        <v>134</v>
      </c>
      <c r="D658" s="24" t="s">
        <v>17</v>
      </c>
      <c r="E658" s="24" t="s">
        <v>18</v>
      </c>
      <c r="F658" s="24" t="s">
        <v>19</v>
      </c>
      <c r="G658" s="24" t="s">
        <v>20</v>
      </c>
      <c r="H658" s="26">
        <v>64</v>
      </c>
      <c r="I658" s="24" t="s">
        <v>21</v>
      </c>
      <c r="J658" s="36">
        <v>45357</v>
      </c>
      <c r="K658" s="24" t="s">
        <v>22</v>
      </c>
    </row>
    <row r="659" spans="1:11" x14ac:dyDescent="0.2">
      <c r="A659" s="27" t="s">
        <v>1791</v>
      </c>
      <c r="B659" s="27" t="s">
        <v>1792</v>
      </c>
      <c r="C659" s="27" t="s">
        <v>1793</v>
      </c>
      <c r="D659" s="27" t="s">
        <v>17</v>
      </c>
      <c r="E659" s="27" t="s">
        <v>18</v>
      </c>
      <c r="F659" s="27" t="s">
        <v>19</v>
      </c>
      <c r="G659" s="27" t="s">
        <v>217</v>
      </c>
      <c r="H659" s="29">
        <v>24</v>
      </c>
      <c r="I659" s="27" t="s">
        <v>29</v>
      </c>
      <c r="J659" s="37">
        <v>45352</v>
      </c>
      <c r="K659" s="27" t="s">
        <v>22</v>
      </c>
    </row>
    <row r="660" spans="1:11" x14ac:dyDescent="0.2">
      <c r="A660" s="24" t="s">
        <v>1794</v>
      </c>
      <c r="B660" s="24" t="s">
        <v>1795</v>
      </c>
      <c r="C660" s="24" t="s">
        <v>1796</v>
      </c>
      <c r="D660" s="24" t="s">
        <v>17</v>
      </c>
      <c r="E660" s="24" t="s">
        <v>33</v>
      </c>
      <c r="F660" s="24" t="s">
        <v>34</v>
      </c>
      <c r="G660" s="24" t="s">
        <v>217</v>
      </c>
      <c r="H660" s="26">
        <v>35</v>
      </c>
      <c r="I660" s="24" t="s">
        <v>29</v>
      </c>
      <c r="J660" s="36">
        <v>45381</v>
      </c>
      <c r="K660" s="24" t="s">
        <v>22</v>
      </c>
    </row>
    <row r="661" spans="1:11" x14ac:dyDescent="0.2">
      <c r="A661" s="27" t="s">
        <v>1797</v>
      </c>
      <c r="B661" s="27" t="s">
        <v>1798</v>
      </c>
      <c r="C661" s="27" t="s">
        <v>1799</v>
      </c>
      <c r="D661" s="27" t="s">
        <v>17</v>
      </c>
      <c r="E661" s="27" t="s">
        <v>18</v>
      </c>
      <c r="F661" s="27" t="s">
        <v>19</v>
      </c>
      <c r="G661" s="27" t="s">
        <v>20</v>
      </c>
      <c r="H661" s="29">
        <v>114</v>
      </c>
      <c r="I661" s="27" t="s">
        <v>21</v>
      </c>
      <c r="J661" s="37">
        <v>45379</v>
      </c>
      <c r="K661" s="27" t="s">
        <v>22</v>
      </c>
    </row>
    <row r="662" spans="1:11" x14ac:dyDescent="0.2">
      <c r="A662" s="24" t="s">
        <v>1800</v>
      </c>
      <c r="B662" s="24" t="s">
        <v>1801</v>
      </c>
      <c r="C662" s="24" t="s">
        <v>325</v>
      </c>
      <c r="D662" s="24" t="s">
        <v>17</v>
      </c>
      <c r="E662" s="24" t="s">
        <v>18</v>
      </c>
      <c r="F662" s="24" t="s">
        <v>19</v>
      </c>
      <c r="G662" s="24" t="s">
        <v>20</v>
      </c>
      <c r="H662" s="26">
        <v>21</v>
      </c>
      <c r="I662" s="24" t="s">
        <v>21</v>
      </c>
      <c r="J662" s="36">
        <v>45380</v>
      </c>
      <c r="K662" s="24" t="s">
        <v>22</v>
      </c>
    </row>
    <row r="663" spans="1:11" x14ac:dyDescent="0.2">
      <c r="A663" s="27" t="s">
        <v>1802</v>
      </c>
      <c r="B663" s="27" t="s">
        <v>1803</v>
      </c>
      <c r="C663" s="27" t="s">
        <v>1804</v>
      </c>
      <c r="D663" s="27" t="s">
        <v>17</v>
      </c>
      <c r="E663" s="27" t="s">
        <v>18</v>
      </c>
      <c r="F663" s="27" t="s">
        <v>19</v>
      </c>
      <c r="G663" s="27" t="s">
        <v>28</v>
      </c>
      <c r="H663" s="29">
        <v>18</v>
      </c>
      <c r="I663" s="27" t="s">
        <v>29</v>
      </c>
      <c r="J663" s="37">
        <v>45366</v>
      </c>
      <c r="K663" s="27" t="s">
        <v>22</v>
      </c>
    </row>
    <row r="664" spans="1:11" x14ac:dyDescent="0.2">
      <c r="A664" s="24" t="s">
        <v>1805</v>
      </c>
      <c r="B664" s="24" t="s">
        <v>1806</v>
      </c>
      <c r="C664" s="24" t="s">
        <v>1807</v>
      </c>
      <c r="D664" s="24" t="s">
        <v>17</v>
      </c>
      <c r="E664" s="24" t="s">
        <v>18</v>
      </c>
      <c r="F664" s="24" t="s">
        <v>19</v>
      </c>
      <c r="G664" s="24" t="s">
        <v>28</v>
      </c>
      <c r="H664" s="26">
        <v>24</v>
      </c>
      <c r="I664" s="24" t="s">
        <v>29</v>
      </c>
      <c r="J664" s="36">
        <v>45357</v>
      </c>
      <c r="K664" s="24" t="s">
        <v>22</v>
      </c>
    </row>
    <row r="665" spans="1:11" x14ac:dyDescent="0.2">
      <c r="A665" s="27" t="s">
        <v>1808</v>
      </c>
      <c r="B665" s="27" t="s">
        <v>1809</v>
      </c>
      <c r="C665" s="27" t="s">
        <v>251</v>
      </c>
      <c r="D665" s="27" t="s">
        <v>17</v>
      </c>
      <c r="E665" s="27" t="s">
        <v>18</v>
      </c>
      <c r="F665" s="27" t="s">
        <v>19</v>
      </c>
      <c r="G665" s="27" t="s">
        <v>20</v>
      </c>
      <c r="H665" s="29">
        <v>65</v>
      </c>
      <c r="I665" s="27" t="s">
        <v>21</v>
      </c>
      <c r="J665" s="37">
        <v>45378</v>
      </c>
      <c r="K665" s="27" t="s">
        <v>22</v>
      </c>
    </row>
    <row r="666" spans="1:11" x14ac:dyDescent="0.2">
      <c r="A666" s="24" t="s">
        <v>1810</v>
      </c>
      <c r="B666" s="24" t="s">
        <v>1811</v>
      </c>
      <c r="C666" s="24" t="s">
        <v>1812</v>
      </c>
      <c r="D666" s="24" t="s">
        <v>17</v>
      </c>
      <c r="E666" s="24" t="s">
        <v>163</v>
      </c>
      <c r="F666" s="24" t="s">
        <v>164</v>
      </c>
      <c r="G666" s="24" t="s">
        <v>44</v>
      </c>
      <c r="H666" s="26">
        <v>18</v>
      </c>
      <c r="I666" s="24" t="s">
        <v>29</v>
      </c>
      <c r="J666" s="36">
        <v>45359</v>
      </c>
      <c r="K666" s="24" t="s">
        <v>22</v>
      </c>
    </row>
    <row r="667" spans="1:11" x14ac:dyDescent="0.2">
      <c r="A667" s="27" t="s">
        <v>1813</v>
      </c>
      <c r="B667" s="27" t="s">
        <v>1814</v>
      </c>
      <c r="C667" s="27" t="s">
        <v>1815</v>
      </c>
      <c r="D667" s="27" t="s">
        <v>17</v>
      </c>
      <c r="E667" s="27" t="s">
        <v>42</v>
      </c>
      <c r="F667" s="27" t="s">
        <v>43</v>
      </c>
      <c r="G667" s="27" t="s">
        <v>28</v>
      </c>
      <c r="H667" s="29">
        <v>56</v>
      </c>
      <c r="I667" s="27" t="s">
        <v>29</v>
      </c>
      <c r="J667" s="37">
        <v>45355</v>
      </c>
      <c r="K667" s="27" t="s">
        <v>22</v>
      </c>
    </row>
    <row r="668" spans="1:11" x14ac:dyDescent="0.2">
      <c r="A668" s="24" t="s">
        <v>1816</v>
      </c>
      <c r="B668" s="24" t="s">
        <v>1817</v>
      </c>
      <c r="C668" s="24" t="s">
        <v>1818</v>
      </c>
      <c r="D668" s="24" t="s">
        <v>17</v>
      </c>
      <c r="E668" s="24" t="s">
        <v>26</v>
      </c>
      <c r="F668" s="24" t="s">
        <v>27</v>
      </c>
      <c r="G668" s="24" t="s">
        <v>44</v>
      </c>
      <c r="H668" s="26">
        <v>10</v>
      </c>
      <c r="I668" s="24" t="s">
        <v>29</v>
      </c>
      <c r="J668" s="36">
        <v>45352</v>
      </c>
      <c r="K668" s="24" t="s">
        <v>22</v>
      </c>
    </row>
    <row r="669" spans="1:11" x14ac:dyDescent="0.2">
      <c r="A669" s="27" t="s">
        <v>1819</v>
      </c>
      <c r="B669" s="27" t="s">
        <v>1820</v>
      </c>
      <c r="C669" s="27" t="s">
        <v>1093</v>
      </c>
      <c r="D669" s="27" t="s">
        <v>17</v>
      </c>
      <c r="E669" s="27" t="s">
        <v>42</v>
      </c>
      <c r="F669" s="27" t="s">
        <v>43</v>
      </c>
      <c r="G669" s="27" t="s">
        <v>20</v>
      </c>
      <c r="H669" s="29">
        <v>180</v>
      </c>
      <c r="I669" s="27" t="s">
        <v>21</v>
      </c>
      <c r="J669" s="37">
        <v>45357</v>
      </c>
      <c r="K669" s="27" t="s">
        <v>22</v>
      </c>
    </row>
    <row r="670" spans="1:11" x14ac:dyDescent="0.2">
      <c r="A670" s="24" t="s">
        <v>1821</v>
      </c>
      <c r="B670" s="24" t="s">
        <v>1822</v>
      </c>
      <c r="C670" s="24" t="s">
        <v>301</v>
      </c>
      <c r="D670" s="24" t="s">
        <v>17</v>
      </c>
      <c r="E670" s="24" t="s">
        <v>42</v>
      </c>
      <c r="F670" s="24" t="s">
        <v>43</v>
      </c>
      <c r="G670" s="24" t="s">
        <v>44</v>
      </c>
      <c r="H670" s="26">
        <v>731</v>
      </c>
      <c r="I670" s="24" t="s">
        <v>21</v>
      </c>
      <c r="J670" s="36">
        <v>45360</v>
      </c>
      <c r="K670" s="24" t="s">
        <v>22</v>
      </c>
    </row>
    <row r="671" spans="1:11" x14ac:dyDescent="0.2">
      <c r="A671" s="27" t="s">
        <v>1823</v>
      </c>
      <c r="B671" s="27" t="s">
        <v>1824</v>
      </c>
      <c r="C671" s="27" t="s">
        <v>1158</v>
      </c>
      <c r="D671" s="27" t="s">
        <v>17</v>
      </c>
      <c r="E671" s="27" t="s">
        <v>42</v>
      </c>
      <c r="F671" s="27" t="s">
        <v>43</v>
      </c>
      <c r="G671" s="27" t="s">
        <v>59</v>
      </c>
      <c r="H671" s="29">
        <v>105</v>
      </c>
      <c r="I671" s="27" t="s">
        <v>21</v>
      </c>
      <c r="J671" s="37">
        <v>45379</v>
      </c>
      <c r="K671" s="27" t="s">
        <v>22</v>
      </c>
    </row>
    <row r="672" spans="1:11" x14ac:dyDescent="0.2">
      <c r="A672" s="24" t="s">
        <v>1825</v>
      </c>
      <c r="B672" s="24" t="s">
        <v>1826</v>
      </c>
      <c r="C672" s="24" t="s">
        <v>55</v>
      </c>
      <c r="D672" s="24" t="s">
        <v>17</v>
      </c>
      <c r="E672" s="24" t="s">
        <v>18</v>
      </c>
      <c r="F672" s="24" t="s">
        <v>19</v>
      </c>
      <c r="G672" s="24" t="s">
        <v>20</v>
      </c>
      <c r="H672" s="26">
        <v>245</v>
      </c>
      <c r="I672" s="24" t="s">
        <v>21</v>
      </c>
      <c r="J672" s="36">
        <v>45352</v>
      </c>
      <c r="K672" s="24" t="s">
        <v>22</v>
      </c>
    </row>
    <row r="673" spans="1:11" x14ac:dyDescent="0.2">
      <c r="A673" s="27" t="s">
        <v>1827</v>
      </c>
      <c r="B673" s="27" t="s">
        <v>1828</v>
      </c>
      <c r="C673" s="27" t="s">
        <v>749</v>
      </c>
      <c r="D673" s="27" t="s">
        <v>17</v>
      </c>
      <c r="E673" s="27" t="s">
        <v>26</v>
      </c>
      <c r="F673" s="27" t="s">
        <v>27</v>
      </c>
      <c r="G673" s="27" t="s">
        <v>28</v>
      </c>
      <c r="H673" s="29">
        <v>78</v>
      </c>
      <c r="I673" s="27" t="s">
        <v>29</v>
      </c>
      <c r="J673" s="37">
        <v>45355</v>
      </c>
      <c r="K673" s="27" t="s">
        <v>22</v>
      </c>
    </row>
    <row r="674" spans="1:11" x14ac:dyDescent="0.2">
      <c r="A674" s="24" t="s">
        <v>1829</v>
      </c>
      <c r="B674" s="24" t="s">
        <v>1830</v>
      </c>
      <c r="C674" s="24" t="s">
        <v>251</v>
      </c>
      <c r="D674" s="24" t="s">
        <v>17</v>
      </c>
      <c r="E674" s="24" t="s">
        <v>48</v>
      </c>
      <c r="F674" s="24" t="s">
        <v>49</v>
      </c>
      <c r="G674" s="24" t="s">
        <v>28</v>
      </c>
      <c r="H674" s="26">
        <v>502</v>
      </c>
      <c r="I674" s="24" t="s">
        <v>29</v>
      </c>
      <c r="J674" s="36">
        <v>45358</v>
      </c>
      <c r="K674" s="24" t="s">
        <v>22</v>
      </c>
    </row>
    <row r="675" spans="1:11" x14ac:dyDescent="0.2">
      <c r="A675" s="27" t="s">
        <v>1831</v>
      </c>
      <c r="B675" s="27" t="s">
        <v>1832</v>
      </c>
      <c r="C675" s="27" t="s">
        <v>1833</v>
      </c>
      <c r="D675" s="27" t="s">
        <v>17</v>
      </c>
      <c r="E675" s="27" t="s">
        <v>18</v>
      </c>
      <c r="F675" s="27" t="s">
        <v>19</v>
      </c>
      <c r="G675" s="27" t="s">
        <v>20</v>
      </c>
      <c r="H675" s="29">
        <v>28</v>
      </c>
      <c r="I675" s="27" t="s">
        <v>21</v>
      </c>
      <c r="J675" s="37">
        <v>45357</v>
      </c>
      <c r="K675" s="27" t="s">
        <v>22</v>
      </c>
    </row>
    <row r="676" spans="1:11" x14ac:dyDescent="0.2">
      <c r="A676" s="24" t="s">
        <v>1834</v>
      </c>
      <c r="B676" s="24" t="s">
        <v>1835</v>
      </c>
      <c r="C676" s="24" t="s">
        <v>1836</v>
      </c>
      <c r="D676" s="24" t="s">
        <v>17</v>
      </c>
      <c r="E676" s="24" t="s">
        <v>48</v>
      </c>
      <c r="F676" s="24" t="s">
        <v>49</v>
      </c>
      <c r="G676" s="24" t="s">
        <v>20</v>
      </c>
      <c r="H676" s="26">
        <v>54</v>
      </c>
      <c r="I676" s="24" t="s">
        <v>21</v>
      </c>
      <c r="J676" s="36">
        <v>45352</v>
      </c>
      <c r="K676" s="24" t="s">
        <v>22</v>
      </c>
    </row>
    <row r="677" spans="1:11" x14ac:dyDescent="0.2">
      <c r="A677" s="27" t="s">
        <v>1837</v>
      </c>
      <c r="B677" s="27" t="s">
        <v>1838</v>
      </c>
      <c r="C677" s="27" t="s">
        <v>1839</v>
      </c>
      <c r="D677" s="27" t="s">
        <v>17</v>
      </c>
      <c r="E677" s="27" t="s">
        <v>48</v>
      </c>
      <c r="F677" s="27" t="s">
        <v>49</v>
      </c>
      <c r="G677" s="27" t="s">
        <v>44</v>
      </c>
      <c r="H677" s="29">
        <v>43</v>
      </c>
      <c r="I677" s="27" t="s">
        <v>21</v>
      </c>
      <c r="J677" s="37">
        <v>45373</v>
      </c>
      <c r="K677" s="27" t="s">
        <v>22</v>
      </c>
    </row>
    <row r="678" spans="1:11" x14ac:dyDescent="0.2">
      <c r="A678" s="24" t="s">
        <v>1840</v>
      </c>
      <c r="B678" s="24" t="s">
        <v>1841</v>
      </c>
      <c r="C678" s="24" t="s">
        <v>1842</v>
      </c>
      <c r="D678" s="24" t="s">
        <v>17</v>
      </c>
      <c r="E678" s="24" t="s">
        <v>18</v>
      </c>
      <c r="F678" s="24" t="s">
        <v>19</v>
      </c>
      <c r="G678" s="24" t="s">
        <v>116</v>
      </c>
      <c r="H678" s="26">
        <v>0</v>
      </c>
      <c r="I678" s="24" t="s">
        <v>21</v>
      </c>
      <c r="J678" s="36">
        <v>45365</v>
      </c>
      <c r="K678" s="24" t="s">
        <v>22</v>
      </c>
    </row>
    <row r="679" spans="1:11" x14ac:dyDescent="0.2">
      <c r="A679" s="27" t="s">
        <v>1843</v>
      </c>
      <c r="B679" s="27" t="s">
        <v>1844</v>
      </c>
      <c r="C679" s="27" t="s">
        <v>1845</v>
      </c>
      <c r="D679" s="27" t="s">
        <v>17</v>
      </c>
      <c r="E679" s="27" t="s">
        <v>18</v>
      </c>
      <c r="F679" s="27" t="s">
        <v>19</v>
      </c>
      <c r="G679" s="27" t="s">
        <v>44</v>
      </c>
      <c r="H679" s="29">
        <v>17</v>
      </c>
      <c r="I679" s="27" t="s">
        <v>21</v>
      </c>
      <c r="J679" s="37">
        <v>45355</v>
      </c>
      <c r="K679" s="27" t="s">
        <v>22</v>
      </c>
    </row>
    <row r="680" spans="1:11" x14ac:dyDescent="0.2">
      <c r="A680" s="24" t="s">
        <v>1846</v>
      </c>
      <c r="B680" s="24" t="s">
        <v>1847</v>
      </c>
      <c r="C680" s="24" t="s">
        <v>518</v>
      </c>
      <c r="D680" s="24" t="s">
        <v>17</v>
      </c>
      <c r="E680" s="24" t="s">
        <v>18</v>
      </c>
      <c r="F680" s="24" t="s">
        <v>19</v>
      </c>
      <c r="G680" s="24" t="s">
        <v>28</v>
      </c>
      <c r="H680" s="26">
        <v>132</v>
      </c>
      <c r="I680" s="24" t="s">
        <v>29</v>
      </c>
      <c r="J680" s="36">
        <v>45374</v>
      </c>
      <c r="K680" s="24" t="s">
        <v>22</v>
      </c>
    </row>
    <row r="681" spans="1:11" x14ac:dyDescent="0.2">
      <c r="A681" s="27" t="s">
        <v>1848</v>
      </c>
      <c r="B681" s="27" t="s">
        <v>1849</v>
      </c>
      <c r="C681" s="27" t="s">
        <v>1850</v>
      </c>
      <c r="D681" s="27" t="s">
        <v>17</v>
      </c>
      <c r="E681" s="27" t="s">
        <v>18</v>
      </c>
      <c r="F681" s="27" t="s">
        <v>19</v>
      </c>
      <c r="G681" s="27" t="s">
        <v>28</v>
      </c>
      <c r="H681" s="29">
        <v>48</v>
      </c>
      <c r="I681" s="27" t="s">
        <v>29</v>
      </c>
      <c r="J681" s="37">
        <v>45380</v>
      </c>
      <c r="K681" s="27" t="s">
        <v>22</v>
      </c>
    </row>
    <row r="682" spans="1:11" x14ac:dyDescent="0.2">
      <c r="A682" s="24" t="s">
        <v>1851</v>
      </c>
      <c r="B682" s="24" t="s">
        <v>1852</v>
      </c>
      <c r="C682" s="24" t="s">
        <v>1853</v>
      </c>
      <c r="D682" s="24" t="s">
        <v>17</v>
      </c>
      <c r="E682" s="24" t="s">
        <v>33</v>
      </c>
      <c r="F682" s="24" t="s">
        <v>34</v>
      </c>
      <c r="G682" s="24" t="s">
        <v>20</v>
      </c>
      <c r="H682" s="26">
        <v>187</v>
      </c>
      <c r="I682" s="24" t="s">
        <v>21</v>
      </c>
      <c r="J682" s="36">
        <v>45366</v>
      </c>
      <c r="K682" s="24" t="s">
        <v>22</v>
      </c>
    </row>
    <row r="683" spans="1:11" x14ac:dyDescent="0.2">
      <c r="A683" s="27" t="s">
        <v>1854</v>
      </c>
      <c r="B683" s="27" t="s">
        <v>1855</v>
      </c>
      <c r="C683" s="27" t="s">
        <v>363</v>
      </c>
      <c r="D683" s="27" t="s">
        <v>17</v>
      </c>
      <c r="E683" s="27" t="s">
        <v>18</v>
      </c>
      <c r="F683" s="27" t="s">
        <v>19</v>
      </c>
      <c r="G683" s="27" t="s">
        <v>28</v>
      </c>
      <c r="H683" s="29">
        <v>102</v>
      </c>
      <c r="I683" s="27" t="s">
        <v>29</v>
      </c>
      <c r="J683" s="37">
        <v>45363</v>
      </c>
      <c r="K683" s="27" t="s">
        <v>22</v>
      </c>
    </row>
    <row r="684" spans="1:11" x14ac:dyDescent="0.2">
      <c r="A684" s="24" t="s">
        <v>1856</v>
      </c>
      <c r="B684" s="24" t="s">
        <v>1857</v>
      </c>
      <c r="C684" s="24" t="s">
        <v>494</v>
      </c>
      <c r="D684" s="24" t="s">
        <v>17</v>
      </c>
      <c r="E684" s="24" t="s">
        <v>42</v>
      </c>
      <c r="F684" s="24" t="s">
        <v>43</v>
      </c>
      <c r="G684" s="24" t="s">
        <v>28</v>
      </c>
      <c r="H684" s="26">
        <v>522</v>
      </c>
      <c r="I684" s="24" t="s">
        <v>29</v>
      </c>
      <c r="J684" s="36">
        <v>45379</v>
      </c>
      <c r="K684" s="24" t="s">
        <v>22</v>
      </c>
    </row>
    <row r="685" spans="1:11" x14ac:dyDescent="0.2">
      <c r="A685" s="27" t="s">
        <v>1858</v>
      </c>
      <c r="B685" s="27" t="s">
        <v>1859</v>
      </c>
      <c r="C685" s="27" t="s">
        <v>1860</v>
      </c>
      <c r="D685" s="27" t="s">
        <v>17</v>
      </c>
      <c r="E685" s="27" t="s">
        <v>81</v>
      </c>
      <c r="F685" s="27" t="s">
        <v>82</v>
      </c>
      <c r="G685" s="27" t="s">
        <v>28</v>
      </c>
      <c r="H685" s="29">
        <v>300</v>
      </c>
      <c r="I685" s="27" t="s">
        <v>29</v>
      </c>
      <c r="J685" s="37">
        <v>45371</v>
      </c>
      <c r="K685" s="27" t="s">
        <v>22</v>
      </c>
    </row>
    <row r="686" spans="1:11" x14ac:dyDescent="0.2">
      <c r="A686" s="24" t="s">
        <v>1861</v>
      </c>
      <c r="B686" s="24" t="s">
        <v>1862</v>
      </c>
      <c r="C686" s="24" t="s">
        <v>1863</v>
      </c>
      <c r="D686" s="24" t="s">
        <v>17</v>
      </c>
      <c r="E686" s="24" t="s">
        <v>18</v>
      </c>
      <c r="F686" s="24" t="s">
        <v>19</v>
      </c>
      <c r="G686" s="24" t="s">
        <v>20</v>
      </c>
      <c r="H686" s="26">
        <v>24</v>
      </c>
      <c r="I686" s="24" t="s">
        <v>21</v>
      </c>
      <c r="J686" s="36">
        <v>45379</v>
      </c>
      <c r="K686" s="24" t="s">
        <v>22</v>
      </c>
    </row>
    <row r="687" spans="1:11" x14ac:dyDescent="0.2">
      <c r="A687" s="27" t="s">
        <v>1864</v>
      </c>
      <c r="B687" s="27" t="s">
        <v>1865</v>
      </c>
      <c r="C687" s="27" t="s">
        <v>1866</v>
      </c>
      <c r="D687" s="27" t="s">
        <v>17</v>
      </c>
      <c r="E687" s="27" t="s">
        <v>18</v>
      </c>
      <c r="F687" s="27" t="s">
        <v>19</v>
      </c>
      <c r="G687" s="27" t="s">
        <v>20</v>
      </c>
      <c r="H687" s="29">
        <v>12</v>
      </c>
      <c r="I687" s="27" t="s">
        <v>21</v>
      </c>
      <c r="J687" s="37">
        <v>45379</v>
      </c>
      <c r="K687" s="27" t="s">
        <v>22</v>
      </c>
    </row>
    <row r="688" spans="1:11" x14ac:dyDescent="0.2">
      <c r="A688" s="24" t="s">
        <v>1867</v>
      </c>
      <c r="B688" s="24" t="s">
        <v>1868</v>
      </c>
      <c r="C688" s="24" t="s">
        <v>97</v>
      </c>
      <c r="D688" s="24" t="s">
        <v>17</v>
      </c>
      <c r="E688" s="24" t="s">
        <v>26</v>
      </c>
      <c r="F688" s="24" t="s">
        <v>27</v>
      </c>
      <c r="G688" s="24" t="s">
        <v>28</v>
      </c>
      <c r="H688" s="26">
        <v>60</v>
      </c>
      <c r="I688" s="24" t="s">
        <v>29</v>
      </c>
      <c r="J688" s="36">
        <v>45363</v>
      </c>
      <c r="K688" s="24" t="s">
        <v>22</v>
      </c>
    </row>
    <row r="689" spans="1:11" x14ac:dyDescent="0.2">
      <c r="A689" s="27" t="s">
        <v>1869</v>
      </c>
      <c r="B689" s="27" t="s">
        <v>1870</v>
      </c>
      <c r="C689" s="27" t="s">
        <v>1871</v>
      </c>
      <c r="D689" s="27" t="s">
        <v>17</v>
      </c>
      <c r="E689" s="27" t="s">
        <v>48</v>
      </c>
      <c r="F689" s="27" t="s">
        <v>49</v>
      </c>
      <c r="G689" s="27" t="s">
        <v>38</v>
      </c>
      <c r="H689" s="29">
        <v>60</v>
      </c>
      <c r="I689" s="27" t="s">
        <v>29</v>
      </c>
      <c r="J689" s="37">
        <v>45352</v>
      </c>
      <c r="K689" s="27" t="s">
        <v>22</v>
      </c>
    </row>
    <row r="690" spans="1:11" x14ac:dyDescent="0.2">
      <c r="A690" s="24" t="s">
        <v>1872</v>
      </c>
      <c r="B690" s="24" t="s">
        <v>1873</v>
      </c>
      <c r="C690" s="24" t="s">
        <v>52</v>
      </c>
      <c r="D690" s="24" t="s">
        <v>17</v>
      </c>
      <c r="E690" s="24" t="s">
        <v>42</v>
      </c>
      <c r="F690" s="24" t="s">
        <v>43</v>
      </c>
      <c r="G690" s="24" t="s">
        <v>44</v>
      </c>
      <c r="H690" s="26">
        <v>1480</v>
      </c>
      <c r="I690" s="24" t="s">
        <v>21</v>
      </c>
      <c r="J690" s="36">
        <v>45371</v>
      </c>
      <c r="K690" s="24" t="s">
        <v>22</v>
      </c>
    </row>
    <row r="691" spans="1:11" x14ac:dyDescent="0.2">
      <c r="A691" s="27" t="s">
        <v>1874</v>
      </c>
      <c r="B691" s="27" t="s">
        <v>1875</v>
      </c>
      <c r="C691" s="27" t="s">
        <v>1876</v>
      </c>
      <c r="D691" s="27" t="s">
        <v>17</v>
      </c>
      <c r="E691" s="27" t="s">
        <v>18</v>
      </c>
      <c r="F691" s="27" t="s">
        <v>19</v>
      </c>
      <c r="G691" s="27" t="s">
        <v>20</v>
      </c>
      <c r="H691" s="29">
        <v>141</v>
      </c>
      <c r="I691" s="27" t="s">
        <v>21</v>
      </c>
      <c r="J691" s="37">
        <v>45358</v>
      </c>
      <c r="K691" s="27" t="s">
        <v>22</v>
      </c>
    </row>
    <row r="692" spans="1:11" x14ac:dyDescent="0.2">
      <c r="A692" s="24" t="s">
        <v>1877</v>
      </c>
      <c r="B692" s="24" t="s">
        <v>1878</v>
      </c>
      <c r="C692" s="24" t="s">
        <v>921</v>
      </c>
      <c r="D692" s="24" t="s">
        <v>17</v>
      </c>
      <c r="E692" s="24" t="s">
        <v>48</v>
      </c>
      <c r="F692" s="24" t="s">
        <v>49</v>
      </c>
      <c r="G692" s="24" t="s">
        <v>28</v>
      </c>
      <c r="H692" s="26">
        <v>80</v>
      </c>
      <c r="I692" s="24" t="s">
        <v>29</v>
      </c>
      <c r="J692" s="36">
        <v>45370</v>
      </c>
      <c r="K692" s="24" t="s">
        <v>22</v>
      </c>
    </row>
    <row r="693" spans="1:11" x14ac:dyDescent="0.2">
      <c r="A693" s="27" t="s">
        <v>1879</v>
      </c>
      <c r="B693" s="27" t="s">
        <v>1880</v>
      </c>
      <c r="C693" s="27" t="s">
        <v>1737</v>
      </c>
      <c r="D693" s="27" t="s">
        <v>17</v>
      </c>
      <c r="E693" s="27" t="s">
        <v>26</v>
      </c>
      <c r="F693" s="27" t="s">
        <v>27</v>
      </c>
      <c r="G693" s="27" t="s">
        <v>28</v>
      </c>
      <c r="H693" s="29">
        <v>48</v>
      </c>
      <c r="I693" s="27" t="s">
        <v>29</v>
      </c>
      <c r="J693" s="37">
        <v>45378</v>
      </c>
      <c r="K693" s="27" t="s">
        <v>22</v>
      </c>
    </row>
    <row r="694" spans="1:11" x14ac:dyDescent="0.2">
      <c r="A694" s="24" t="s">
        <v>1881</v>
      </c>
      <c r="B694" s="24" t="s">
        <v>1882</v>
      </c>
      <c r="C694" s="24" t="s">
        <v>1883</v>
      </c>
      <c r="D694" s="24" t="s">
        <v>17</v>
      </c>
      <c r="E694" s="24" t="s">
        <v>18</v>
      </c>
      <c r="F694" s="24" t="s">
        <v>19</v>
      </c>
      <c r="G694" s="24" t="s">
        <v>20</v>
      </c>
      <c r="H694" s="26">
        <v>65</v>
      </c>
      <c r="I694" s="24" t="s">
        <v>21</v>
      </c>
      <c r="J694" s="36">
        <v>45370</v>
      </c>
      <c r="K694" s="24" t="s">
        <v>22</v>
      </c>
    </row>
    <row r="695" spans="1:11" x14ac:dyDescent="0.2">
      <c r="A695" s="27" t="s">
        <v>1884</v>
      </c>
      <c r="B695" s="27" t="s">
        <v>1885</v>
      </c>
      <c r="C695" s="27" t="s">
        <v>1886</v>
      </c>
      <c r="D695" s="27" t="s">
        <v>17</v>
      </c>
      <c r="E695" s="27" t="s">
        <v>18</v>
      </c>
      <c r="F695" s="27" t="s">
        <v>19</v>
      </c>
      <c r="G695" s="27" t="s">
        <v>44</v>
      </c>
      <c r="H695" s="29">
        <v>48</v>
      </c>
      <c r="I695" s="27" t="s">
        <v>29</v>
      </c>
      <c r="J695" s="37">
        <v>45378</v>
      </c>
      <c r="K695" s="27" t="s">
        <v>22</v>
      </c>
    </row>
    <row r="696" spans="1:11" x14ac:dyDescent="0.2">
      <c r="A696" s="24" t="s">
        <v>1887</v>
      </c>
      <c r="B696" s="24" t="s">
        <v>1888</v>
      </c>
      <c r="C696" s="24" t="s">
        <v>494</v>
      </c>
      <c r="D696" s="24" t="s">
        <v>17</v>
      </c>
      <c r="E696" s="24" t="s">
        <v>48</v>
      </c>
      <c r="F696" s="24" t="s">
        <v>49</v>
      </c>
      <c r="G696" s="24" t="s">
        <v>28</v>
      </c>
      <c r="H696" s="26">
        <v>90</v>
      </c>
      <c r="I696" s="24" t="s">
        <v>29</v>
      </c>
      <c r="J696" s="36">
        <v>45371</v>
      </c>
      <c r="K696" s="24" t="s">
        <v>22</v>
      </c>
    </row>
    <row r="697" spans="1:11" x14ac:dyDescent="0.2">
      <c r="A697" s="27" t="s">
        <v>1889</v>
      </c>
      <c r="B697" s="27" t="s">
        <v>1890</v>
      </c>
      <c r="C697" s="27" t="s">
        <v>1047</v>
      </c>
      <c r="D697" s="27" t="s">
        <v>17</v>
      </c>
      <c r="E697" s="27" t="s">
        <v>18</v>
      </c>
      <c r="F697" s="27" t="s">
        <v>19</v>
      </c>
      <c r="G697" s="27" t="s">
        <v>20</v>
      </c>
      <c r="H697" s="29">
        <v>24</v>
      </c>
      <c r="I697" s="27" t="s">
        <v>21</v>
      </c>
      <c r="J697" s="37">
        <v>45369</v>
      </c>
      <c r="K697" s="27" t="s">
        <v>22</v>
      </c>
    </row>
    <row r="698" spans="1:11" x14ac:dyDescent="0.2">
      <c r="A698" s="24" t="s">
        <v>1891</v>
      </c>
      <c r="B698" s="24" t="s">
        <v>1892</v>
      </c>
      <c r="C698" s="24" t="s">
        <v>185</v>
      </c>
      <c r="D698" s="24" t="s">
        <v>17</v>
      </c>
      <c r="E698" s="24" t="s">
        <v>18</v>
      </c>
      <c r="F698" s="24" t="s">
        <v>19</v>
      </c>
      <c r="G698" s="24" t="s">
        <v>38</v>
      </c>
      <c r="H698" s="26">
        <v>80</v>
      </c>
      <c r="I698" s="24" t="s">
        <v>29</v>
      </c>
      <c r="J698" s="36">
        <v>45352</v>
      </c>
      <c r="K698" s="24" t="s">
        <v>22</v>
      </c>
    </row>
    <row r="699" spans="1:11" x14ac:dyDescent="0.2">
      <c r="A699" s="27" t="s">
        <v>1893</v>
      </c>
      <c r="B699" s="27" t="s">
        <v>1894</v>
      </c>
      <c r="C699" s="27" t="s">
        <v>1895</v>
      </c>
      <c r="D699" s="27" t="s">
        <v>17</v>
      </c>
      <c r="E699" s="27" t="s">
        <v>18</v>
      </c>
      <c r="F699" s="27" t="s">
        <v>19</v>
      </c>
      <c r="G699" s="27" t="s">
        <v>20</v>
      </c>
      <c r="H699" s="29">
        <v>300</v>
      </c>
      <c r="I699" s="27" t="s">
        <v>21</v>
      </c>
      <c r="J699" s="37">
        <v>45381</v>
      </c>
      <c r="K699" s="27" t="s">
        <v>22</v>
      </c>
    </row>
    <row r="700" spans="1:11" x14ac:dyDescent="0.2">
      <c r="A700" s="24" t="s">
        <v>1896</v>
      </c>
      <c r="B700" s="24" t="s">
        <v>1897</v>
      </c>
      <c r="C700" s="24" t="s">
        <v>1898</v>
      </c>
      <c r="D700" s="24" t="s">
        <v>17</v>
      </c>
      <c r="E700" s="24" t="s">
        <v>48</v>
      </c>
      <c r="F700" s="24" t="s">
        <v>49</v>
      </c>
      <c r="G700" s="24" t="s">
        <v>217</v>
      </c>
      <c r="H700" s="26">
        <v>1200</v>
      </c>
      <c r="I700" s="24" t="s">
        <v>29</v>
      </c>
      <c r="J700" s="36">
        <v>45371</v>
      </c>
      <c r="K700" s="24" t="s">
        <v>22</v>
      </c>
    </row>
    <row r="701" spans="1:11" x14ac:dyDescent="0.2">
      <c r="A701" s="27" t="s">
        <v>1899</v>
      </c>
      <c r="B701" s="27" t="s">
        <v>1900</v>
      </c>
      <c r="C701" s="27" t="s">
        <v>1901</v>
      </c>
      <c r="D701" s="27" t="s">
        <v>17</v>
      </c>
      <c r="E701" s="27" t="s">
        <v>42</v>
      </c>
      <c r="F701" s="27" t="s">
        <v>43</v>
      </c>
      <c r="G701" s="27" t="s">
        <v>20</v>
      </c>
      <c r="H701" s="29">
        <v>40</v>
      </c>
      <c r="I701" s="27" t="s">
        <v>21</v>
      </c>
      <c r="J701" s="37">
        <v>45366</v>
      </c>
      <c r="K701" s="27" t="s">
        <v>22</v>
      </c>
    </row>
    <row r="702" spans="1:11" x14ac:dyDescent="0.2">
      <c r="A702" s="24" t="s">
        <v>1902</v>
      </c>
      <c r="B702" s="24" t="s">
        <v>1903</v>
      </c>
      <c r="C702" s="24" t="s">
        <v>1904</v>
      </c>
      <c r="D702" s="24" t="s">
        <v>17</v>
      </c>
      <c r="E702" s="24" t="s">
        <v>18</v>
      </c>
      <c r="F702" s="24" t="s">
        <v>19</v>
      </c>
      <c r="G702" s="24" t="s">
        <v>28</v>
      </c>
      <c r="H702" s="26">
        <v>139</v>
      </c>
      <c r="I702" s="24" t="s">
        <v>29</v>
      </c>
      <c r="J702" s="36">
        <v>45376</v>
      </c>
      <c r="K702" s="24" t="s">
        <v>22</v>
      </c>
    </row>
    <row r="703" spans="1:11" x14ac:dyDescent="0.2">
      <c r="A703" s="27" t="s">
        <v>1905</v>
      </c>
      <c r="B703" s="27" t="s">
        <v>1906</v>
      </c>
      <c r="C703" s="27" t="s">
        <v>1907</v>
      </c>
      <c r="D703" s="27" t="s">
        <v>17</v>
      </c>
      <c r="E703" s="27" t="s">
        <v>42</v>
      </c>
      <c r="F703" s="27" t="s">
        <v>43</v>
      </c>
      <c r="G703" s="27" t="s">
        <v>38</v>
      </c>
      <c r="H703" s="29">
        <v>400</v>
      </c>
      <c r="I703" s="27" t="s">
        <v>29</v>
      </c>
      <c r="J703" s="37">
        <v>45352</v>
      </c>
      <c r="K703" s="27" t="s">
        <v>22</v>
      </c>
    </row>
    <row r="704" spans="1:11" x14ac:dyDescent="0.2">
      <c r="A704" s="24" t="s">
        <v>1908</v>
      </c>
      <c r="B704" s="24" t="s">
        <v>1909</v>
      </c>
      <c r="C704" s="24" t="s">
        <v>146</v>
      </c>
      <c r="D704" s="24" t="s">
        <v>17</v>
      </c>
      <c r="E704" s="24" t="s">
        <v>42</v>
      </c>
      <c r="F704" s="24" t="s">
        <v>43</v>
      </c>
      <c r="G704" s="24" t="s">
        <v>20</v>
      </c>
      <c r="H704" s="26">
        <v>400</v>
      </c>
      <c r="I704" s="24" t="s">
        <v>21</v>
      </c>
      <c r="J704" s="36">
        <v>45373</v>
      </c>
      <c r="K704" s="24" t="s">
        <v>22</v>
      </c>
    </row>
    <row r="705" spans="1:11" x14ac:dyDescent="0.2">
      <c r="A705" s="27" t="s">
        <v>1910</v>
      </c>
      <c r="B705" s="27" t="s">
        <v>1911</v>
      </c>
      <c r="C705" s="27" t="s">
        <v>1912</v>
      </c>
      <c r="D705" s="27" t="s">
        <v>17</v>
      </c>
      <c r="E705" s="27" t="s">
        <v>18</v>
      </c>
      <c r="F705" s="27" t="s">
        <v>19</v>
      </c>
      <c r="G705" s="27" t="s">
        <v>44</v>
      </c>
      <c r="H705" s="29">
        <v>100</v>
      </c>
      <c r="I705" s="27" t="s">
        <v>29</v>
      </c>
      <c r="J705" s="37">
        <v>45378</v>
      </c>
      <c r="K705" s="27" t="s">
        <v>22</v>
      </c>
    </row>
    <row r="706" spans="1:11" x14ac:dyDescent="0.2">
      <c r="A706" s="24" t="s">
        <v>1913</v>
      </c>
      <c r="B706" s="24" t="s">
        <v>1914</v>
      </c>
      <c r="C706" s="24" t="s">
        <v>194</v>
      </c>
      <c r="D706" s="24" t="s">
        <v>17</v>
      </c>
      <c r="E706" s="24" t="s">
        <v>42</v>
      </c>
      <c r="F706" s="24" t="s">
        <v>43</v>
      </c>
      <c r="G706" s="24" t="s">
        <v>44</v>
      </c>
      <c r="H706" s="26">
        <v>497</v>
      </c>
      <c r="I706" s="24" t="s">
        <v>21</v>
      </c>
      <c r="J706" s="36">
        <v>45370</v>
      </c>
      <c r="K706" s="24" t="s">
        <v>22</v>
      </c>
    </row>
    <row r="707" spans="1:11" x14ac:dyDescent="0.2">
      <c r="A707" s="27" t="s">
        <v>1915</v>
      </c>
      <c r="B707" s="27" t="s">
        <v>1916</v>
      </c>
      <c r="C707" s="27" t="s">
        <v>97</v>
      </c>
      <c r="D707" s="27" t="s">
        <v>17</v>
      </c>
      <c r="E707" s="27" t="s">
        <v>81</v>
      </c>
      <c r="F707" s="27" t="s">
        <v>82</v>
      </c>
      <c r="G707" s="27" t="s">
        <v>20</v>
      </c>
      <c r="H707" s="29">
        <v>633</v>
      </c>
      <c r="I707" s="27" t="s">
        <v>21</v>
      </c>
      <c r="J707" s="37">
        <v>45366</v>
      </c>
      <c r="K707" s="27" t="s">
        <v>22</v>
      </c>
    </row>
    <row r="708" spans="1:11" x14ac:dyDescent="0.2">
      <c r="A708" s="24" t="s">
        <v>1917</v>
      </c>
      <c r="B708" s="24" t="s">
        <v>282</v>
      </c>
      <c r="C708" s="24" t="s">
        <v>1918</v>
      </c>
      <c r="D708" s="24" t="s">
        <v>17</v>
      </c>
      <c r="E708" s="24" t="s">
        <v>18</v>
      </c>
      <c r="F708" s="24" t="s">
        <v>19</v>
      </c>
      <c r="G708" s="24" t="s">
        <v>38</v>
      </c>
      <c r="H708" s="26">
        <v>48</v>
      </c>
      <c r="I708" s="24" t="s">
        <v>29</v>
      </c>
      <c r="J708" s="36">
        <v>45352</v>
      </c>
      <c r="K708" s="24" t="s">
        <v>22</v>
      </c>
    </row>
    <row r="709" spans="1:11" x14ac:dyDescent="0.2">
      <c r="A709" s="27" t="s">
        <v>1919</v>
      </c>
      <c r="B709" s="27" t="s">
        <v>1920</v>
      </c>
      <c r="C709" s="27" t="s">
        <v>1921</v>
      </c>
      <c r="D709" s="27" t="s">
        <v>17</v>
      </c>
      <c r="E709" s="27" t="s">
        <v>48</v>
      </c>
      <c r="F709" s="27" t="s">
        <v>49</v>
      </c>
      <c r="G709" s="27" t="s">
        <v>44</v>
      </c>
      <c r="H709" s="29">
        <v>59</v>
      </c>
      <c r="I709" s="27" t="s">
        <v>21</v>
      </c>
      <c r="J709" s="37">
        <v>45364</v>
      </c>
      <c r="K709" s="27" t="s">
        <v>22</v>
      </c>
    </row>
    <row r="710" spans="1:11" x14ac:dyDescent="0.2">
      <c r="A710" s="24" t="s">
        <v>1922</v>
      </c>
      <c r="B710" s="24" t="s">
        <v>1923</v>
      </c>
      <c r="C710" s="24" t="s">
        <v>223</v>
      </c>
      <c r="D710" s="24" t="s">
        <v>17</v>
      </c>
      <c r="E710" s="24" t="s">
        <v>48</v>
      </c>
      <c r="F710" s="24" t="s">
        <v>49</v>
      </c>
      <c r="G710" s="24" t="s">
        <v>28</v>
      </c>
      <c r="H710" s="26">
        <v>138</v>
      </c>
      <c r="I710" s="24" t="s">
        <v>29</v>
      </c>
      <c r="J710" s="36">
        <v>45366</v>
      </c>
      <c r="K710" s="24" t="s">
        <v>22</v>
      </c>
    </row>
    <row r="711" spans="1:11" x14ac:dyDescent="0.2">
      <c r="A711" s="27" t="s">
        <v>1924</v>
      </c>
      <c r="B711" s="27" t="s">
        <v>1925</v>
      </c>
      <c r="C711" s="27" t="s">
        <v>1926</v>
      </c>
      <c r="D711" s="27" t="s">
        <v>17</v>
      </c>
      <c r="E711" s="27" t="s">
        <v>48</v>
      </c>
      <c r="F711" s="27" t="s">
        <v>49</v>
      </c>
      <c r="G711" s="27" t="s">
        <v>28</v>
      </c>
      <c r="H711" s="29">
        <v>456</v>
      </c>
      <c r="I711" s="27" t="s">
        <v>29</v>
      </c>
      <c r="J711" s="37">
        <v>45376</v>
      </c>
      <c r="K711" s="27" t="s">
        <v>22</v>
      </c>
    </row>
    <row r="712" spans="1:11" x14ac:dyDescent="0.2">
      <c r="A712" s="24" t="s">
        <v>1927</v>
      </c>
      <c r="B712" s="24" t="s">
        <v>1928</v>
      </c>
      <c r="C712" s="24" t="s">
        <v>25</v>
      </c>
      <c r="D712" s="24" t="s">
        <v>17</v>
      </c>
      <c r="E712" s="24" t="s">
        <v>48</v>
      </c>
      <c r="F712" s="24" t="s">
        <v>49</v>
      </c>
      <c r="G712" s="24" t="s">
        <v>28</v>
      </c>
      <c r="H712" s="26">
        <v>30</v>
      </c>
      <c r="I712" s="24" t="s">
        <v>29</v>
      </c>
      <c r="J712" s="36">
        <v>45363</v>
      </c>
      <c r="K712" s="24" t="s">
        <v>22</v>
      </c>
    </row>
    <row r="713" spans="1:11" x14ac:dyDescent="0.2">
      <c r="A713" s="27" t="s">
        <v>1929</v>
      </c>
      <c r="B713" s="27" t="s">
        <v>1930</v>
      </c>
      <c r="C713" s="27" t="s">
        <v>1931</v>
      </c>
      <c r="D713" s="27" t="s">
        <v>17</v>
      </c>
      <c r="E713" s="27" t="s">
        <v>18</v>
      </c>
      <c r="F713" s="27" t="s">
        <v>19</v>
      </c>
      <c r="G713" s="27" t="s">
        <v>28</v>
      </c>
      <c r="H713" s="29">
        <v>258</v>
      </c>
      <c r="I713" s="27" t="s">
        <v>29</v>
      </c>
      <c r="J713" s="37">
        <v>45362</v>
      </c>
      <c r="K713" s="27" t="s">
        <v>22</v>
      </c>
    </row>
    <row r="714" spans="1:11" x14ac:dyDescent="0.2">
      <c r="A714" s="24" t="s">
        <v>1932</v>
      </c>
      <c r="B714" s="24" t="s">
        <v>1933</v>
      </c>
      <c r="C714" s="24" t="s">
        <v>208</v>
      </c>
      <c r="D714" s="24" t="s">
        <v>17</v>
      </c>
      <c r="E714" s="24" t="s">
        <v>81</v>
      </c>
      <c r="F714" s="24" t="s">
        <v>82</v>
      </c>
      <c r="G714" s="24" t="s">
        <v>28</v>
      </c>
      <c r="H714" s="26">
        <v>20</v>
      </c>
      <c r="I714" s="24" t="s">
        <v>29</v>
      </c>
      <c r="J714" s="36">
        <v>45352</v>
      </c>
      <c r="K714" s="24" t="s">
        <v>22</v>
      </c>
    </row>
    <row r="715" spans="1:11" x14ac:dyDescent="0.2">
      <c r="A715" s="27" t="s">
        <v>1934</v>
      </c>
      <c r="B715" s="27" t="s">
        <v>1935</v>
      </c>
      <c r="C715" s="27" t="s">
        <v>1523</v>
      </c>
      <c r="D715" s="27" t="s">
        <v>17</v>
      </c>
      <c r="E715" s="27" t="s">
        <v>18</v>
      </c>
      <c r="F715" s="27" t="s">
        <v>19</v>
      </c>
      <c r="G715" s="27" t="s">
        <v>38</v>
      </c>
      <c r="H715" s="29">
        <v>51</v>
      </c>
      <c r="I715" s="27" t="s">
        <v>29</v>
      </c>
      <c r="J715" s="37">
        <v>45363</v>
      </c>
      <c r="K715" s="27" t="s">
        <v>22</v>
      </c>
    </row>
    <row r="716" spans="1:11" x14ac:dyDescent="0.2">
      <c r="A716" s="24" t="s">
        <v>1936</v>
      </c>
      <c r="B716" s="24" t="s">
        <v>1937</v>
      </c>
      <c r="C716" s="24" t="s">
        <v>1938</v>
      </c>
      <c r="D716" s="24" t="s">
        <v>17</v>
      </c>
      <c r="E716" s="24" t="s">
        <v>18</v>
      </c>
      <c r="F716" s="24" t="s">
        <v>19</v>
      </c>
      <c r="G716" s="24" t="s">
        <v>28</v>
      </c>
      <c r="H716" s="26">
        <v>108</v>
      </c>
      <c r="I716" s="24" t="s">
        <v>29</v>
      </c>
      <c r="J716" s="36">
        <v>45372</v>
      </c>
      <c r="K716" s="24" t="s">
        <v>22</v>
      </c>
    </row>
    <row r="717" spans="1:11" x14ac:dyDescent="0.2">
      <c r="A717" s="27" t="s">
        <v>1939</v>
      </c>
      <c r="B717" s="27" t="s">
        <v>1940</v>
      </c>
      <c r="C717" s="27" t="s">
        <v>52</v>
      </c>
      <c r="D717" s="27" t="s">
        <v>17</v>
      </c>
      <c r="E717" s="27" t="s">
        <v>42</v>
      </c>
      <c r="F717" s="27" t="s">
        <v>43</v>
      </c>
      <c r="G717" s="27" t="s">
        <v>20</v>
      </c>
      <c r="H717" s="29">
        <v>1000</v>
      </c>
      <c r="I717" s="27" t="s">
        <v>21</v>
      </c>
      <c r="J717" s="37">
        <v>45371</v>
      </c>
      <c r="K717" s="27" t="s">
        <v>22</v>
      </c>
    </row>
    <row r="718" spans="1:11" x14ac:dyDescent="0.2">
      <c r="A718" s="24" t="s">
        <v>1941</v>
      </c>
      <c r="B718" s="24" t="s">
        <v>1942</v>
      </c>
      <c r="C718" s="24" t="s">
        <v>71</v>
      </c>
      <c r="D718" s="24" t="s">
        <v>17</v>
      </c>
      <c r="E718" s="24" t="s">
        <v>48</v>
      </c>
      <c r="F718" s="24" t="s">
        <v>49</v>
      </c>
      <c r="G718" s="24" t="s">
        <v>28</v>
      </c>
      <c r="H718" s="26">
        <v>120</v>
      </c>
      <c r="I718" s="24" t="s">
        <v>29</v>
      </c>
      <c r="J718" s="36">
        <v>45370</v>
      </c>
      <c r="K718" s="24" t="s">
        <v>22</v>
      </c>
    </row>
    <row r="719" spans="1:11" x14ac:dyDescent="0.2">
      <c r="A719" s="27" t="s">
        <v>1943</v>
      </c>
      <c r="B719" s="27" t="s">
        <v>1944</v>
      </c>
      <c r="C719" s="27" t="s">
        <v>1945</v>
      </c>
      <c r="D719" s="27" t="s">
        <v>17</v>
      </c>
      <c r="E719" s="27" t="s">
        <v>42</v>
      </c>
      <c r="F719" s="27" t="s">
        <v>43</v>
      </c>
      <c r="G719" s="27" t="s">
        <v>38</v>
      </c>
      <c r="H719" s="29">
        <v>376</v>
      </c>
      <c r="I719" s="27" t="s">
        <v>29</v>
      </c>
      <c r="J719" s="37">
        <v>45352</v>
      </c>
      <c r="K719" s="27" t="s">
        <v>22</v>
      </c>
    </row>
    <row r="720" spans="1:11" x14ac:dyDescent="0.2">
      <c r="A720" s="24" t="s">
        <v>1946</v>
      </c>
      <c r="B720" s="24" t="s">
        <v>1947</v>
      </c>
      <c r="C720" s="24" t="s">
        <v>1948</v>
      </c>
      <c r="D720" s="24" t="s">
        <v>17</v>
      </c>
      <c r="E720" s="24" t="s">
        <v>18</v>
      </c>
      <c r="F720" s="24" t="s">
        <v>19</v>
      </c>
      <c r="G720" s="24" t="s">
        <v>28</v>
      </c>
      <c r="H720" s="26">
        <v>54</v>
      </c>
      <c r="I720" s="24" t="s">
        <v>29</v>
      </c>
      <c r="J720" s="36">
        <v>45378</v>
      </c>
      <c r="K720" s="24" t="s">
        <v>22</v>
      </c>
    </row>
    <row r="721" spans="1:11" x14ac:dyDescent="0.2">
      <c r="A721" s="27" t="s">
        <v>1949</v>
      </c>
      <c r="B721" s="27" t="s">
        <v>1950</v>
      </c>
      <c r="C721" s="27" t="s">
        <v>687</v>
      </c>
      <c r="D721" s="27" t="s">
        <v>17</v>
      </c>
      <c r="E721" s="27" t="s">
        <v>18</v>
      </c>
      <c r="F721" s="27" t="s">
        <v>19</v>
      </c>
      <c r="G721" s="27" t="s">
        <v>20</v>
      </c>
      <c r="H721" s="29">
        <v>56</v>
      </c>
      <c r="I721" s="27" t="s">
        <v>21</v>
      </c>
      <c r="J721" s="37">
        <v>45379</v>
      </c>
      <c r="K721" s="27" t="s">
        <v>22</v>
      </c>
    </row>
    <row r="722" spans="1:11" x14ac:dyDescent="0.2">
      <c r="A722" s="24" t="s">
        <v>1951</v>
      </c>
      <c r="B722" s="24" t="s">
        <v>1952</v>
      </c>
      <c r="C722" s="24" t="s">
        <v>1953</v>
      </c>
      <c r="D722" s="24" t="s">
        <v>17</v>
      </c>
      <c r="E722" s="24" t="s">
        <v>33</v>
      </c>
      <c r="F722" s="24" t="s">
        <v>34</v>
      </c>
      <c r="G722" s="24" t="s">
        <v>44</v>
      </c>
      <c r="H722" s="26">
        <v>85</v>
      </c>
      <c r="I722" s="24" t="s">
        <v>21</v>
      </c>
      <c r="J722" s="36">
        <v>45365</v>
      </c>
      <c r="K722" s="24" t="s">
        <v>22</v>
      </c>
    </row>
    <row r="723" spans="1:11" x14ac:dyDescent="0.2">
      <c r="A723" s="27" t="s">
        <v>1954</v>
      </c>
      <c r="B723" s="27" t="s">
        <v>1955</v>
      </c>
      <c r="C723" s="27" t="s">
        <v>1766</v>
      </c>
      <c r="D723" s="27" t="s">
        <v>17</v>
      </c>
      <c r="E723" s="27" t="s">
        <v>48</v>
      </c>
      <c r="F723" s="27" t="s">
        <v>49</v>
      </c>
      <c r="G723" s="27" t="s">
        <v>20</v>
      </c>
      <c r="H723" s="29">
        <v>30</v>
      </c>
      <c r="I723" s="27" t="s">
        <v>21</v>
      </c>
      <c r="J723" s="37">
        <v>45365</v>
      </c>
      <c r="K723" s="27" t="s">
        <v>22</v>
      </c>
    </row>
    <row r="724" spans="1:11" x14ac:dyDescent="0.2">
      <c r="A724" s="24" t="s">
        <v>1956</v>
      </c>
      <c r="B724" s="24" t="s">
        <v>1957</v>
      </c>
      <c r="C724" s="24" t="s">
        <v>1958</v>
      </c>
      <c r="D724" s="24" t="s">
        <v>17</v>
      </c>
      <c r="E724" s="24" t="s">
        <v>18</v>
      </c>
      <c r="F724" s="24" t="s">
        <v>19</v>
      </c>
      <c r="G724" s="24" t="s">
        <v>20</v>
      </c>
      <c r="H724" s="26">
        <v>8</v>
      </c>
      <c r="I724" s="24" t="s">
        <v>21</v>
      </c>
      <c r="J724" s="36">
        <v>45355</v>
      </c>
      <c r="K724" s="24" t="s">
        <v>22</v>
      </c>
    </row>
    <row r="725" spans="1:11" x14ac:dyDescent="0.2">
      <c r="A725" s="27" t="s">
        <v>1959</v>
      </c>
      <c r="B725" s="27" t="s">
        <v>1960</v>
      </c>
      <c r="C725" s="27" t="s">
        <v>1523</v>
      </c>
      <c r="D725" s="27" t="s">
        <v>17</v>
      </c>
      <c r="E725" s="27" t="s">
        <v>48</v>
      </c>
      <c r="F725" s="27" t="s">
        <v>49</v>
      </c>
      <c r="G725" s="27" t="s">
        <v>217</v>
      </c>
      <c r="H725" s="29">
        <v>300</v>
      </c>
      <c r="I725" s="27" t="s">
        <v>29</v>
      </c>
      <c r="J725" s="37">
        <v>45381</v>
      </c>
      <c r="K725" s="27" t="s">
        <v>22</v>
      </c>
    </row>
    <row r="726" spans="1:11" x14ac:dyDescent="0.2">
      <c r="A726" s="24" t="s">
        <v>1961</v>
      </c>
      <c r="B726" s="24" t="s">
        <v>1962</v>
      </c>
      <c r="C726" s="24" t="s">
        <v>115</v>
      </c>
      <c r="D726" s="24" t="s">
        <v>17</v>
      </c>
      <c r="E726" s="24" t="s">
        <v>33</v>
      </c>
      <c r="F726" s="24" t="s">
        <v>34</v>
      </c>
      <c r="G726" s="24" t="s">
        <v>44</v>
      </c>
      <c r="H726" s="26">
        <v>6</v>
      </c>
      <c r="I726" s="24" t="s">
        <v>21</v>
      </c>
      <c r="J726" s="36">
        <v>45356</v>
      </c>
      <c r="K726" s="24" t="s">
        <v>22</v>
      </c>
    </row>
    <row r="727" spans="1:11" x14ac:dyDescent="0.2">
      <c r="A727" s="27" t="s">
        <v>1963</v>
      </c>
      <c r="B727" s="27" t="s">
        <v>1964</v>
      </c>
      <c r="C727" s="27" t="s">
        <v>85</v>
      </c>
      <c r="D727" s="27" t="s">
        <v>17</v>
      </c>
      <c r="E727" s="27" t="s">
        <v>18</v>
      </c>
      <c r="F727" s="27" t="s">
        <v>19</v>
      </c>
      <c r="G727" s="27" t="s">
        <v>28</v>
      </c>
      <c r="H727" s="29">
        <v>140</v>
      </c>
      <c r="I727" s="27" t="s">
        <v>29</v>
      </c>
      <c r="J727" s="37">
        <v>45359</v>
      </c>
      <c r="K727" s="27" t="s">
        <v>22</v>
      </c>
    </row>
    <row r="728" spans="1:11" x14ac:dyDescent="0.2">
      <c r="A728" s="24" t="s">
        <v>1965</v>
      </c>
      <c r="B728" s="24" t="s">
        <v>1966</v>
      </c>
      <c r="C728" s="24" t="s">
        <v>1967</v>
      </c>
      <c r="D728" s="24" t="s">
        <v>17</v>
      </c>
      <c r="E728" s="24" t="s">
        <v>18</v>
      </c>
      <c r="F728" s="24" t="s">
        <v>19</v>
      </c>
      <c r="G728" s="24" t="s">
        <v>20</v>
      </c>
      <c r="H728" s="26">
        <v>24</v>
      </c>
      <c r="I728" s="24" t="s">
        <v>21</v>
      </c>
      <c r="J728" s="36">
        <v>45378</v>
      </c>
      <c r="K728" s="24" t="s">
        <v>22</v>
      </c>
    </row>
    <row r="729" spans="1:11" x14ac:dyDescent="0.2">
      <c r="A729" s="27" t="s">
        <v>1968</v>
      </c>
      <c r="B729" s="27" t="s">
        <v>1969</v>
      </c>
      <c r="C729" s="27" t="s">
        <v>1502</v>
      </c>
      <c r="D729" s="27" t="s">
        <v>17</v>
      </c>
      <c r="E729" s="27" t="s">
        <v>18</v>
      </c>
      <c r="F729" s="27" t="s">
        <v>19</v>
      </c>
      <c r="G729" s="27" t="s">
        <v>116</v>
      </c>
      <c r="H729" s="29">
        <v>0</v>
      </c>
      <c r="I729" s="27" t="s">
        <v>21</v>
      </c>
      <c r="J729" s="37">
        <v>45363</v>
      </c>
      <c r="K729" s="27" t="s">
        <v>22</v>
      </c>
    </row>
    <row r="730" spans="1:11" x14ac:dyDescent="0.2">
      <c r="A730" s="24" t="s">
        <v>1970</v>
      </c>
      <c r="B730" s="24" t="s">
        <v>1971</v>
      </c>
      <c r="C730" s="24" t="s">
        <v>1972</v>
      </c>
      <c r="D730" s="24" t="s">
        <v>17</v>
      </c>
      <c r="E730" s="24" t="s">
        <v>26</v>
      </c>
      <c r="F730" s="24" t="s">
        <v>27</v>
      </c>
      <c r="G730" s="24" t="s">
        <v>59</v>
      </c>
      <c r="H730" s="26">
        <v>27</v>
      </c>
      <c r="I730" s="24" t="s">
        <v>21</v>
      </c>
      <c r="J730" s="36">
        <v>45369</v>
      </c>
      <c r="K730" s="24" t="s">
        <v>22</v>
      </c>
    </row>
    <row r="731" spans="1:11" x14ac:dyDescent="0.2">
      <c r="A731" s="27" t="s">
        <v>1973</v>
      </c>
      <c r="B731" s="27" t="s">
        <v>1974</v>
      </c>
      <c r="C731" s="27" t="s">
        <v>1975</v>
      </c>
      <c r="D731" s="27" t="s">
        <v>17</v>
      </c>
      <c r="E731" s="27" t="s">
        <v>48</v>
      </c>
      <c r="F731" s="27" t="s">
        <v>49</v>
      </c>
      <c r="G731" s="27" t="s">
        <v>38</v>
      </c>
      <c r="H731" s="29">
        <v>250</v>
      </c>
      <c r="I731" s="27" t="s">
        <v>29</v>
      </c>
      <c r="J731" s="37">
        <v>45359</v>
      </c>
      <c r="K731" s="27" t="s">
        <v>22</v>
      </c>
    </row>
    <row r="732" spans="1:11" x14ac:dyDescent="0.2">
      <c r="A732" s="24" t="s">
        <v>1976</v>
      </c>
      <c r="B732" s="24" t="s">
        <v>1977</v>
      </c>
      <c r="C732" s="24" t="s">
        <v>88</v>
      </c>
      <c r="D732" s="24" t="s">
        <v>17</v>
      </c>
      <c r="E732" s="24" t="s">
        <v>48</v>
      </c>
      <c r="F732" s="24" t="s">
        <v>49</v>
      </c>
      <c r="G732" s="24" t="s">
        <v>44</v>
      </c>
      <c r="H732" s="26">
        <v>90</v>
      </c>
      <c r="I732" s="24" t="s">
        <v>29</v>
      </c>
      <c r="J732" s="36">
        <v>45369</v>
      </c>
      <c r="K732" s="24" t="s">
        <v>22</v>
      </c>
    </row>
    <row r="733" spans="1:11" x14ac:dyDescent="0.2">
      <c r="A733" s="27" t="s">
        <v>1978</v>
      </c>
      <c r="B733" s="27" t="s">
        <v>1979</v>
      </c>
      <c r="C733" s="27" t="s">
        <v>1980</v>
      </c>
      <c r="D733" s="27" t="s">
        <v>17</v>
      </c>
      <c r="E733" s="27" t="s">
        <v>42</v>
      </c>
      <c r="F733" s="27" t="s">
        <v>43</v>
      </c>
      <c r="G733" s="27" t="s">
        <v>44</v>
      </c>
      <c r="H733" s="29">
        <v>200</v>
      </c>
      <c r="I733" s="27" t="s">
        <v>29</v>
      </c>
      <c r="J733" s="37">
        <v>45372</v>
      </c>
      <c r="K733" s="27" t="s">
        <v>22</v>
      </c>
    </row>
    <row r="734" spans="1:11" x14ac:dyDescent="0.2">
      <c r="A734" s="24" t="s">
        <v>1981</v>
      </c>
      <c r="B734" s="24" t="s">
        <v>1982</v>
      </c>
      <c r="C734" s="24" t="s">
        <v>1983</v>
      </c>
      <c r="D734" s="24" t="s">
        <v>17</v>
      </c>
      <c r="E734" s="24" t="s">
        <v>18</v>
      </c>
      <c r="F734" s="24" t="s">
        <v>19</v>
      </c>
      <c r="G734" s="24" t="s">
        <v>59</v>
      </c>
      <c r="H734" s="26">
        <v>16</v>
      </c>
      <c r="I734" s="24" t="s">
        <v>21</v>
      </c>
      <c r="J734" s="36">
        <v>45357</v>
      </c>
      <c r="K734" s="24" t="s">
        <v>22</v>
      </c>
    </row>
    <row r="735" spans="1:11" x14ac:dyDescent="0.2">
      <c r="A735" s="27" t="s">
        <v>1984</v>
      </c>
      <c r="B735" s="27" t="s">
        <v>1985</v>
      </c>
      <c r="C735" s="27" t="s">
        <v>1158</v>
      </c>
      <c r="D735" s="27" t="s">
        <v>17</v>
      </c>
      <c r="E735" s="27" t="s">
        <v>42</v>
      </c>
      <c r="F735" s="27" t="s">
        <v>43</v>
      </c>
      <c r="G735" s="27" t="s">
        <v>59</v>
      </c>
      <c r="H735" s="29">
        <v>102</v>
      </c>
      <c r="I735" s="27" t="s">
        <v>21</v>
      </c>
      <c r="J735" s="37">
        <v>45378</v>
      </c>
      <c r="K735" s="27" t="s">
        <v>22</v>
      </c>
    </row>
    <row r="736" spans="1:11" x14ac:dyDescent="0.2">
      <c r="A736" s="24" t="s">
        <v>1986</v>
      </c>
      <c r="B736" s="24" t="s">
        <v>1987</v>
      </c>
      <c r="C736" s="24" t="s">
        <v>1850</v>
      </c>
      <c r="D736" s="24" t="s">
        <v>17</v>
      </c>
      <c r="E736" s="24" t="s">
        <v>42</v>
      </c>
      <c r="F736" s="24" t="s">
        <v>43</v>
      </c>
      <c r="G736" s="24" t="s">
        <v>44</v>
      </c>
      <c r="H736" s="26">
        <v>392</v>
      </c>
      <c r="I736" s="24" t="s">
        <v>29</v>
      </c>
      <c r="J736" s="36">
        <v>45372</v>
      </c>
      <c r="K736" s="24" t="s">
        <v>22</v>
      </c>
    </row>
    <row r="737" spans="1:11" x14ac:dyDescent="0.2">
      <c r="A737" s="27" t="s">
        <v>1988</v>
      </c>
      <c r="B737" s="27" t="s">
        <v>1989</v>
      </c>
      <c r="C737" s="27" t="s">
        <v>687</v>
      </c>
      <c r="D737" s="27" t="s">
        <v>17</v>
      </c>
      <c r="E737" s="27" t="s">
        <v>48</v>
      </c>
      <c r="F737" s="27" t="s">
        <v>49</v>
      </c>
      <c r="G737" s="27" t="s">
        <v>44</v>
      </c>
      <c r="H737" s="29">
        <v>12</v>
      </c>
      <c r="I737" s="27" t="s">
        <v>29</v>
      </c>
      <c r="J737" s="37">
        <v>45376</v>
      </c>
      <c r="K737" s="27" t="s">
        <v>22</v>
      </c>
    </row>
    <row r="738" spans="1:11" x14ac:dyDescent="0.2">
      <c r="A738" s="24" t="s">
        <v>1990</v>
      </c>
      <c r="B738" s="24" t="s">
        <v>1991</v>
      </c>
      <c r="C738" s="24" t="s">
        <v>1719</v>
      </c>
      <c r="D738" s="24" t="s">
        <v>17</v>
      </c>
      <c r="E738" s="24" t="s">
        <v>18</v>
      </c>
      <c r="F738" s="24" t="s">
        <v>19</v>
      </c>
      <c r="G738" s="24" t="s">
        <v>20</v>
      </c>
      <c r="H738" s="26">
        <v>34</v>
      </c>
      <c r="I738" s="24" t="s">
        <v>21</v>
      </c>
      <c r="J738" s="36">
        <v>45355</v>
      </c>
      <c r="K738" s="24" t="s">
        <v>22</v>
      </c>
    </row>
    <row r="739" spans="1:11" x14ac:dyDescent="0.2">
      <c r="A739" s="27" t="s">
        <v>1992</v>
      </c>
      <c r="B739" s="27" t="s">
        <v>1993</v>
      </c>
      <c r="C739" s="27" t="s">
        <v>1994</v>
      </c>
      <c r="D739" s="27" t="s">
        <v>17</v>
      </c>
      <c r="E739" s="27" t="s">
        <v>18</v>
      </c>
      <c r="F739" s="27" t="s">
        <v>19</v>
      </c>
      <c r="G739" s="27" t="s">
        <v>28</v>
      </c>
      <c r="H739" s="29">
        <v>250</v>
      </c>
      <c r="I739" s="27" t="s">
        <v>29</v>
      </c>
      <c r="J739" s="37">
        <v>45357</v>
      </c>
      <c r="K739" s="27" t="s">
        <v>22</v>
      </c>
    </row>
    <row r="740" spans="1:11" x14ac:dyDescent="0.2">
      <c r="A740" s="24" t="s">
        <v>1995</v>
      </c>
      <c r="B740" s="24" t="s">
        <v>1996</v>
      </c>
      <c r="C740" s="24" t="s">
        <v>1014</v>
      </c>
      <c r="D740" s="24" t="s">
        <v>17</v>
      </c>
      <c r="E740" s="24" t="s">
        <v>18</v>
      </c>
      <c r="F740" s="24" t="s">
        <v>19</v>
      </c>
      <c r="G740" s="24" t="s">
        <v>38</v>
      </c>
      <c r="H740" s="26">
        <v>32</v>
      </c>
      <c r="I740" s="24" t="s">
        <v>29</v>
      </c>
      <c r="J740" s="36">
        <v>45356</v>
      </c>
      <c r="K740" s="24" t="s">
        <v>22</v>
      </c>
    </row>
    <row r="741" spans="1:11" x14ac:dyDescent="0.2">
      <c r="A741" s="27" t="s">
        <v>1997</v>
      </c>
      <c r="B741" s="27" t="s">
        <v>1998</v>
      </c>
      <c r="C741" s="27" t="s">
        <v>1110</v>
      </c>
      <c r="D741" s="27" t="s">
        <v>17</v>
      </c>
      <c r="E741" s="27" t="s">
        <v>42</v>
      </c>
      <c r="F741" s="27" t="s">
        <v>43</v>
      </c>
      <c r="G741" s="27" t="s">
        <v>44</v>
      </c>
      <c r="H741" s="29">
        <v>280</v>
      </c>
      <c r="I741" s="27" t="s">
        <v>21</v>
      </c>
      <c r="J741" s="37">
        <v>45357</v>
      </c>
      <c r="K741" s="27" t="s">
        <v>22</v>
      </c>
    </row>
    <row r="742" spans="1:11" x14ac:dyDescent="0.2">
      <c r="A742" s="24" t="s">
        <v>1999</v>
      </c>
      <c r="B742" s="24" t="s">
        <v>2000</v>
      </c>
      <c r="C742" s="24" t="s">
        <v>2001</v>
      </c>
      <c r="D742" s="24" t="s">
        <v>17</v>
      </c>
      <c r="E742" s="24" t="s">
        <v>42</v>
      </c>
      <c r="F742" s="24" t="s">
        <v>43</v>
      </c>
      <c r="G742" s="24" t="s">
        <v>116</v>
      </c>
      <c r="H742" s="26">
        <v>0</v>
      </c>
      <c r="I742" s="24" t="s">
        <v>21</v>
      </c>
      <c r="J742" s="36">
        <v>45352</v>
      </c>
      <c r="K742" s="24" t="s">
        <v>22</v>
      </c>
    </row>
    <row r="743" spans="1:11" x14ac:dyDescent="0.2">
      <c r="A743" s="27" t="s">
        <v>2002</v>
      </c>
      <c r="B743" s="27" t="s">
        <v>2003</v>
      </c>
      <c r="C743" s="27" t="s">
        <v>2004</v>
      </c>
      <c r="D743" s="27" t="s">
        <v>17</v>
      </c>
      <c r="E743" s="27" t="s">
        <v>42</v>
      </c>
      <c r="F743" s="27" t="s">
        <v>43</v>
      </c>
      <c r="G743" s="27" t="s">
        <v>28</v>
      </c>
      <c r="H743" s="29">
        <v>270</v>
      </c>
      <c r="I743" s="27" t="s">
        <v>29</v>
      </c>
      <c r="J743" s="37">
        <v>45369</v>
      </c>
      <c r="K743" s="27" t="s">
        <v>22</v>
      </c>
    </row>
    <row r="744" spans="1:11" x14ac:dyDescent="0.2">
      <c r="A744" s="24" t="s">
        <v>2005</v>
      </c>
      <c r="B744" s="24" t="s">
        <v>2006</v>
      </c>
      <c r="C744" s="24" t="s">
        <v>2007</v>
      </c>
      <c r="D744" s="24" t="s">
        <v>17</v>
      </c>
      <c r="E744" s="24" t="s">
        <v>48</v>
      </c>
      <c r="F744" s="24" t="s">
        <v>49</v>
      </c>
      <c r="G744" s="24" t="s">
        <v>44</v>
      </c>
      <c r="H744" s="26">
        <v>194</v>
      </c>
      <c r="I744" s="24" t="s">
        <v>21</v>
      </c>
      <c r="J744" s="36">
        <v>45376</v>
      </c>
      <c r="K744" s="24" t="s">
        <v>22</v>
      </c>
    </row>
    <row r="745" spans="1:11" x14ac:dyDescent="0.2">
      <c r="A745" s="27" t="s">
        <v>2008</v>
      </c>
      <c r="B745" s="27" t="s">
        <v>2009</v>
      </c>
      <c r="C745" s="27" t="s">
        <v>2010</v>
      </c>
      <c r="D745" s="27" t="s">
        <v>17</v>
      </c>
      <c r="E745" s="27" t="s">
        <v>18</v>
      </c>
      <c r="F745" s="27" t="s">
        <v>19</v>
      </c>
      <c r="G745" s="27" t="s">
        <v>20</v>
      </c>
      <c r="H745" s="29">
        <v>18</v>
      </c>
      <c r="I745" s="27" t="s">
        <v>21</v>
      </c>
      <c r="J745" s="37">
        <v>45369</v>
      </c>
      <c r="K745" s="27" t="s">
        <v>22</v>
      </c>
    </row>
    <row r="746" spans="1:11" x14ac:dyDescent="0.2">
      <c r="A746" s="24" t="s">
        <v>2011</v>
      </c>
      <c r="B746" s="24" t="s">
        <v>2012</v>
      </c>
      <c r="C746" s="24" t="s">
        <v>1053</v>
      </c>
      <c r="D746" s="24" t="s">
        <v>17</v>
      </c>
      <c r="E746" s="24" t="s">
        <v>18</v>
      </c>
      <c r="F746" s="24" t="s">
        <v>19</v>
      </c>
      <c r="G746" s="24" t="s">
        <v>20</v>
      </c>
      <c r="H746" s="26">
        <v>26</v>
      </c>
      <c r="I746" s="24" t="s">
        <v>21</v>
      </c>
      <c r="J746" s="36">
        <v>45372</v>
      </c>
      <c r="K746" s="24" t="s">
        <v>22</v>
      </c>
    </row>
    <row r="747" spans="1:11" x14ac:dyDescent="0.2">
      <c r="A747" s="27" t="s">
        <v>2013</v>
      </c>
      <c r="B747" s="27" t="s">
        <v>2014</v>
      </c>
      <c r="C747" s="27" t="s">
        <v>2015</v>
      </c>
      <c r="D747" s="27" t="s">
        <v>17</v>
      </c>
      <c r="E747" s="27" t="s">
        <v>42</v>
      </c>
      <c r="F747" s="27" t="s">
        <v>43</v>
      </c>
      <c r="G747" s="27" t="s">
        <v>20</v>
      </c>
      <c r="H747" s="29">
        <v>273</v>
      </c>
      <c r="I747" s="27" t="s">
        <v>21</v>
      </c>
      <c r="J747" s="37">
        <v>45379</v>
      </c>
      <c r="K747" s="27" t="s">
        <v>22</v>
      </c>
    </row>
    <row r="748" spans="1:11" x14ac:dyDescent="0.2">
      <c r="A748" s="24" t="s">
        <v>2016</v>
      </c>
      <c r="B748" s="24" t="s">
        <v>2017</v>
      </c>
      <c r="C748" s="24" t="s">
        <v>2018</v>
      </c>
      <c r="D748" s="24" t="s">
        <v>17</v>
      </c>
      <c r="E748" s="24" t="s">
        <v>48</v>
      </c>
      <c r="F748" s="24" t="s">
        <v>49</v>
      </c>
      <c r="G748" s="24" t="s">
        <v>28</v>
      </c>
      <c r="H748" s="26">
        <v>96</v>
      </c>
      <c r="I748" s="24" t="s">
        <v>29</v>
      </c>
      <c r="J748" s="36">
        <v>45372</v>
      </c>
      <c r="K748" s="24" t="s">
        <v>22</v>
      </c>
    </row>
    <row r="749" spans="1:11" x14ac:dyDescent="0.2">
      <c r="A749" s="27" t="s">
        <v>2019</v>
      </c>
      <c r="B749" s="27" t="s">
        <v>2020</v>
      </c>
      <c r="C749" s="27" t="s">
        <v>2021</v>
      </c>
      <c r="D749" s="27" t="s">
        <v>17</v>
      </c>
      <c r="E749" s="27" t="s">
        <v>48</v>
      </c>
      <c r="F749" s="27" t="s">
        <v>49</v>
      </c>
      <c r="G749" s="27" t="s">
        <v>28</v>
      </c>
      <c r="H749" s="29">
        <v>60</v>
      </c>
      <c r="I749" s="27" t="s">
        <v>29</v>
      </c>
      <c r="J749" s="37">
        <v>45355</v>
      </c>
      <c r="K749" s="27" t="s">
        <v>22</v>
      </c>
    </row>
    <row r="750" spans="1:11" x14ac:dyDescent="0.2">
      <c r="A750" s="24" t="s">
        <v>2022</v>
      </c>
      <c r="B750" s="24" t="s">
        <v>2023</v>
      </c>
      <c r="C750" s="24" t="s">
        <v>1236</v>
      </c>
      <c r="D750" s="24" t="s">
        <v>17</v>
      </c>
      <c r="E750" s="24" t="s">
        <v>42</v>
      </c>
      <c r="F750" s="24" t="s">
        <v>43</v>
      </c>
      <c r="G750" s="24" t="s">
        <v>44</v>
      </c>
      <c r="H750" s="26">
        <v>465</v>
      </c>
      <c r="I750" s="24" t="s">
        <v>21</v>
      </c>
      <c r="J750" s="36">
        <v>45366</v>
      </c>
      <c r="K750" s="24" t="s">
        <v>22</v>
      </c>
    </row>
    <row r="751" spans="1:11" x14ac:dyDescent="0.2">
      <c r="A751" s="27" t="s">
        <v>2024</v>
      </c>
      <c r="B751" s="27" t="s">
        <v>2025</v>
      </c>
      <c r="C751" s="27" t="s">
        <v>242</v>
      </c>
      <c r="D751" s="27" t="s">
        <v>17</v>
      </c>
      <c r="E751" s="27" t="s">
        <v>48</v>
      </c>
      <c r="F751" s="27" t="s">
        <v>49</v>
      </c>
      <c r="G751" s="27" t="s">
        <v>38</v>
      </c>
      <c r="H751" s="29">
        <v>157</v>
      </c>
      <c r="I751" s="27" t="s">
        <v>21</v>
      </c>
      <c r="J751" s="37">
        <v>45381</v>
      </c>
      <c r="K751" s="27" t="s">
        <v>22</v>
      </c>
    </row>
    <row r="752" spans="1:11" x14ac:dyDescent="0.2">
      <c r="A752" s="24" t="s">
        <v>2026</v>
      </c>
      <c r="B752" s="24" t="s">
        <v>2027</v>
      </c>
      <c r="C752" s="24" t="s">
        <v>1425</v>
      </c>
      <c r="D752" s="24" t="s">
        <v>17</v>
      </c>
      <c r="E752" s="24" t="s">
        <v>18</v>
      </c>
      <c r="F752" s="24" t="s">
        <v>19</v>
      </c>
      <c r="G752" s="24" t="s">
        <v>28</v>
      </c>
      <c r="H752" s="26">
        <v>122</v>
      </c>
      <c r="I752" s="24" t="s">
        <v>29</v>
      </c>
      <c r="J752" s="36">
        <v>45378</v>
      </c>
      <c r="K752" s="24" t="s">
        <v>22</v>
      </c>
    </row>
    <row r="753" spans="1:11" x14ac:dyDescent="0.2">
      <c r="A753" s="27" t="s">
        <v>2028</v>
      </c>
      <c r="B753" s="27" t="s">
        <v>2029</v>
      </c>
      <c r="C753" s="27" t="s">
        <v>2030</v>
      </c>
      <c r="D753" s="27" t="s">
        <v>17</v>
      </c>
      <c r="E753" s="27" t="s">
        <v>26</v>
      </c>
      <c r="F753" s="27" t="s">
        <v>27</v>
      </c>
      <c r="G753" s="27" t="s">
        <v>28</v>
      </c>
      <c r="H753" s="29">
        <v>10</v>
      </c>
      <c r="I753" s="27" t="s">
        <v>29</v>
      </c>
      <c r="J753" s="37">
        <v>45352</v>
      </c>
      <c r="K753" s="27" t="s">
        <v>22</v>
      </c>
    </row>
    <row r="754" spans="1:11" x14ac:dyDescent="0.2">
      <c r="A754" s="24" t="s">
        <v>2031</v>
      </c>
      <c r="B754" s="24" t="s">
        <v>2032</v>
      </c>
      <c r="C754" s="24" t="s">
        <v>97</v>
      </c>
      <c r="D754" s="24" t="s">
        <v>17</v>
      </c>
      <c r="E754" s="24" t="s">
        <v>42</v>
      </c>
      <c r="F754" s="24" t="s">
        <v>43</v>
      </c>
      <c r="G754" s="24" t="s">
        <v>44</v>
      </c>
      <c r="H754" s="26">
        <v>2554</v>
      </c>
      <c r="I754" s="24" t="s">
        <v>21</v>
      </c>
      <c r="J754" s="36">
        <v>45380</v>
      </c>
      <c r="K754" s="24" t="s">
        <v>22</v>
      </c>
    </row>
    <row r="755" spans="1:11" x14ac:dyDescent="0.2">
      <c r="A755" s="27" t="s">
        <v>2033</v>
      </c>
      <c r="B755" s="27" t="s">
        <v>2034</v>
      </c>
      <c r="C755" s="27" t="s">
        <v>2035</v>
      </c>
      <c r="D755" s="27" t="s">
        <v>17</v>
      </c>
      <c r="E755" s="27" t="s">
        <v>26</v>
      </c>
      <c r="F755" s="27" t="s">
        <v>27</v>
      </c>
      <c r="G755" s="27" t="s">
        <v>20</v>
      </c>
      <c r="H755" s="29">
        <v>28</v>
      </c>
      <c r="I755" s="27" t="s">
        <v>21</v>
      </c>
      <c r="J755" s="37">
        <v>45358</v>
      </c>
      <c r="K755" s="27" t="s">
        <v>22</v>
      </c>
    </row>
    <row r="756" spans="1:11" x14ac:dyDescent="0.2">
      <c r="A756" s="24" t="s">
        <v>2036</v>
      </c>
      <c r="B756" s="24" t="s">
        <v>2037</v>
      </c>
      <c r="C756" s="24" t="s">
        <v>500</v>
      </c>
      <c r="D756" s="24" t="s">
        <v>17</v>
      </c>
      <c r="E756" s="24" t="s">
        <v>18</v>
      </c>
      <c r="F756" s="24" t="s">
        <v>19</v>
      </c>
      <c r="G756" s="24" t="s">
        <v>20</v>
      </c>
      <c r="H756" s="26">
        <v>44</v>
      </c>
      <c r="I756" s="24" t="s">
        <v>21</v>
      </c>
      <c r="J756" s="36">
        <v>45357</v>
      </c>
      <c r="K756" s="24" t="s">
        <v>22</v>
      </c>
    </row>
    <row r="757" spans="1:11" x14ac:dyDescent="0.2">
      <c r="A757" s="27" t="s">
        <v>2038</v>
      </c>
      <c r="B757" s="27" t="s">
        <v>2039</v>
      </c>
      <c r="C757" s="27" t="s">
        <v>2040</v>
      </c>
      <c r="D757" s="27" t="s">
        <v>17</v>
      </c>
      <c r="E757" s="27" t="s">
        <v>18</v>
      </c>
      <c r="F757" s="27" t="s">
        <v>19</v>
      </c>
      <c r="G757" s="27" t="s">
        <v>28</v>
      </c>
      <c r="H757" s="29">
        <v>270</v>
      </c>
      <c r="I757" s="27" t="s">
        <v>29</v>
      </c>
      <c r="J757" s="37">
        <v>45359</v>
      </c>
      <c r="K757" s="27" t="s">
        <v>22</v>
      </c>
    </row>
    <row r="758" spans="1:11" x14ac:dyDescent="0.2">
      <c r="A758" s="24" t="s">
        <v>2041</v>
      </c>
      <c r="B758" s="24" t="s">
        <v>2042</v>
      </c>
      <c r="C758" s="24" t="s">
        <v>277</v>
      </c>
      <c r="D758" s="24" t="s">
        <v>17</v>
      </c>
      <c r="E758" s="24" t="s">
        <v>48</v>
      </c>
      <c r="F758" s="24" t="s">
        <v>49</v>
      </c>
      <c r="G758" s="24" t="s">
        <v>116</v>
      </c>
      <c r="H758" s="26">
        <v>0</v>
      </c>
      <c r="I758" s="24" t="s">
        <v>21</v>
      </c>
      <c r="J758" s="36">
        <v>45380</v>
      </c>
      <c r="K758" s="24" t="s">
        <v>22</v>
      </c>
    </row>
    <row r="759" spans="1:11" x14ac:dyDescent="0.2">
      <c r="A759" s="27" t="s">
        <v>2043</v>
      </c>
      <c r="B759" s="27" t="s">
        <v>2044</v>
      </c>
      <c r="C759" s="27" t="s">
        <v>2045</v>
      </c>
      <c r="D759" s="27" t="s">
        <v>17</v>
      </c>
      <c r="E759" s="27" t="s">
        <v>18</v>
      </c>
      <c r="F759" s="27" t="s">
        <v>19</v>
      </c>
      <c r="G759" s="27" t="s">
        <v>20</v>
      </c>
      <c r="H759" s="29">
        <v>106</v>
      </c>
      <c r="I759" s="27" t="s">
        <v>21</v>
      </c>
      <c r="J759" s="37">
        <v>45379</v>
      </c>
      <c r="K759" s="27" t="s">
        <v>22</v>
      </c>
    </row>
    <row r="760" spans="1:11" x14ac:dyDescent="0.2">
      <c r="A760" s="24" t="s">
        <v>2046</v>
      </c>
      <c r="B760" s="24" t="s">
        <v>2047</v>
      </c>
      <c r="C760" s="24" t="s">
        <v>2048</v>
      </c>
      <c r="D760" s="24" t="s">
        <v>17</v>
      </c>
      <c r="E760" s="24" t="s">
        <v>48</v>
      </c>
      <c r="F760" s="24" t="s">
        <v>49</v>
      </c>
      <c r="G760" s="24" t="s">
        <v>28</v>
      </c>
      <c r="H760" s="26">
        <v>220</v>
      </c>
      <c r="I760" s="24" t="s">
        <v>29</v>
      </c>
      <c r="J760" s="36">
        <v>45376</v>
      </c>
      <c r="K760" s="24" t="s">
        <v>22</v>
      </c>
    </row>
    <row r="761" spans="1:11" x14ac:dyDescent="0.2">
      <c r="A761" s="27" t="s">
        <v>2049</v>
      </c>
      <c r="B761" s="27" t="s">
        <v>2050</v>
      </c>
      <c r="C761" s="27" t="s">
        <v>882</v>
      </c>
      <c r="D761" s="27" t="s">
        <v>17</v>
      </c>
      <c r="E761" s="27" t="s">
        <v>18</v>
      </c>
      <c r="F761" s="27" t="s">
        <v>19</v>
      </c>
      <c r="G761" s="27" t="s">
        <v>28</v>
      </c>
      <c r="H761" s="29">
        <v>156</v>
      </c>
      <c r="I761" s="27" t="s">
        <v>29</v>
      </c>
      <c r="J761" s="37">
        <v>45378</v>
      </c>
      <c r="K761" s="27" t="s">
        <v>22</v>
      </c>
    </row>
    <row r="762" spans="1:11" x14ac:dyDescent="0.2">
      <c r="A762" s="24" t="s">
        <v>2051</v>
      </c>
      <c r="B762" s="24" t="s">
        <v>2052</v>
      </c>
      <c r="C762" s="24" t="s">
        <v>251</v>
      </c>
      <c r="D762" s="24" t="s">
        <v>17</v>
      </c>
      <c r="E762" s="24" t="s">
        <v>42</v>
      </c>
      <c r="F762" s="24" t="s">
        <v>43</v>
      </c>
      <c r="G762" s="24" t="s">
        <v>20</v>
      </c>
      <c r="H762" s="26">
        <v>1720</v>
      </c>
      <c r="I762" s="24" t="s">
        <v>21</v>
      </c>
      <c r="J762" s="36">
        <v>45358</v>
      </c>
      <c r="K762" s="24" t="s">
        <v>22</v>
      </c>
    </row>
    <row r="763" spans="1:11" x14ac:dyDescent="0.2">
      <c r="A763" s="27" t="s">
        <v>2053</v>
      </c>
      <c r="B763" s="27" t="s">
        <v>2054</v>
      </c>
      <c r="C763" s="27" t="s">
        <v>2055</v>
      </c>
      <c r="D763" s="27" t="s">
        <v>17</v>
      </c>
      <c r="E763" s="27" t="s">
        <v>42</v>
      </c>
      <c r="F763" s="27" t="s">
        <v>43</v>
      </c>
      <c r="G763" s="27" t="s">
        <v>28</v>
      </c>
      <c r="H763" s="29">
        <v>1350</v>
      </c>
      <c r="I763" s="27" t="s">
        <v>29</v>
      </c>
      <c r="J763" s="37">
        <v>45364</v>
      </c>
      <c r="K763" s="27" t="s">
        <v>22</v>
      </c>
    </row>
    <row r="764" spans="1:11" x14ac:dyDescent="0.2">
      <c r="A764" s="24" t="s">
        <v>2056</v>
      </c>
      <c r="B764" s="24" t="s">
        <v>2057</v>
      </c>
      <c r="C764" s="24" t="s">
        <v>115</v>
      </c>
      <c r="D764" s="24" t="s">
        <v>17</v>
      </c>
      <c r="E764" s="24" t="s">
        <v>42</v>
      </c>
      <c r="F764" s="24" t="s">
        <v>43</v>
      </c>
      <c r="G764" s="24" t="s">
        <v>20</v>
      </c>
      <c r="H764" s="26">
        <v>480</v>
      </c>
      <c r="I764" s="24" t="s">
        <v>21</v>
      </c>
      <c r="J764" s="36">
        <v>45380</v>
      </c>
      <c r="K764" s="24" t="s">
        <v>22</v>
      </c>
    </row>
    <row r="765" spans="1:11" x14ac:dyDescent="0.2">
      <c r="A765" s="27" t="s">
        <v>2058</v>
      </c>
      <c r="B765" s="27" t="s">
        <v>2059</v>
      </c>
      <c r="C765" s="27" t="s">
        <v>2060</v>
      </c>
      <c r="D765" s="27" t="s">
        <v>17</v>
      </c>
      <c r="E765" s="27" t="s">
        <v>18</v>
      </c>
      <c r="F765" s="27" t="s">
        <v>19</v>
      </c>
      <c r="G765" s="27" t="s">
        <v>20</v>
      </c>
      <c r="H765" s="29">
        <v>24</v>
      </c>
      <c r="I765" s="27" t="s">
        <v>21</v>
      </c>
      <c r="J765" s="37">
        <v>45358</v>
      </c>
      <c r="K765" s="27" t="s">
        <v>22</v>
      </c>
    </row>
    <row r="766" spans="1:11" x14ac:dyDescent="0.2">
      <c r="A766" s="24" t="s">
        <v>2061</v>
      </c>
      <c r="B766" s="24" t="s">
        <v>2062</v>
      </c>
      <c r="C766" s="24" t="s">
        <v>2063</v>
      </c>
      <c r="D766" s="24" t="s">
        <v>17</v>
      </c>
      <c r="E766" s="24" t="s">
        <v>18</v>
      </c>
      <c r="F766" s="24" t="s">
        <v>19</v>
      </c>
      <c r="G766" s="24" t="s">
        <v>20</v>
      </c>
      <c r="H766" s="26">
        <v>21</v>
      </c>
      <c r="I766" s="24" t="s">
        <v>21</v>
      </c>
      <c r="J766" s="36">
        <v>45355</v>
      </c>
      <c r="K766" s="24" t="s">
        <v>22</v>
      </c>
    </row>
    <row r="767" spans="1:11" x14ac:dyDescent="0.2">
      <c r="A767" s="27" t="s">
        <v>2064</v>
      </c>
      <c r="B767" s="27" t="s">
        <v>2065</v>
      </c>
      <c r="C767" s="27" t="s">
        <v>185</v>
      </c>
      <c r="D767" s="27" t="s">
        <v>17</v>
      </c>
      <c r="E767" s="27" t="s">
        <v>48</v>
      </c>
      <c r="F767" s="27" t="s">
        <v>49</v>
      </c>
      <c r="G767" s="27" t="s">
        <v>217</v>
      </c>
      <c r="H767" s="29">
        <v>276</v>
      </c>
      <c r="I767" s="27" t="s">
        <v>29</v>
      </c>
      <c r="J767" s="37">
        <v>45352</v>
      </c>
      <c r="K767" s="27" t="s">
        <v>22</v>
      </c>
    </row>
    <row r="768" spans="1:11" x14ac:dyDescent="0.2">
      <c r="A768" s="24" t="s">
        <v>2066</v>
      </c>
      <c r="B768" s="24" t="s">
        <v>2067</v>
      </c>
      <c r="C768" s="24" t="s">
        <v>115</v>
      </c>
      <c r="D768" s="24" t="s">
        <v>17</v>
      </c>
      <c r="E768" s="24" t="s">
        <v>18</v>
      </c>
      <c r="F768" s="24" t="s">
        <v>19</v>
      </c>
      <c r="G768" s="24" t="s">
        <v>20</v>
      </c>
      <c r="H768" s="26">
        <v>20</v>
      </c>
      <c r="I768" s="24" t="s">
        <v>21</v>
      </c>
      <c r="J768" s="36">
        <v>45380</v>
      </c>
      <c r="K768" s="24" t="s">
        <v>22</v>
      </c>
    </row>
    <row r="769" spans="1:11" x14ac:dyDescent="0.2">
      <c r="A769" s="27" t="s">
        <v>2068</v>
      </c>
      <c r="B769" s="27" t="s">
        <v>2069</v>
      </c>
      <c r="C769" s="27" t="s">
        <v>1346</v>
      </c>
      <c r="D769" s="27" t="s">
        <v>17</v>
      </c>
      <c r="E769" s="27" t="s">
        <v>18</v>
      </c>
      <c r="F769" s="27" t="s">
        <v>19</v>
      </c>
      <c r="G769" s="27" t="s">
        <v>20</v>
      </c>
      <c r="H769" s="29">
        <v>36</v>
      </c>
      <c r="I769" s="27" t="s">
        <v>21</v>
      </c>
      <c r="J769" s="37">
        <v>45373</v>
      </c>
      <c r="K769" s="27" t="s">
        <v>22</v>
      </c>
    </row>
    <row r="770" spans="1:11" x14ac:dyDescent="0.2">
      <c r="A770" s="24" t="s">
        <v>2070</v>
      </c>
      <c r="B770" s="24" t="s">
        <v>2071</v>
      </c>
      <c r="C770" s="24" t="s">
        <v>429</v>
      </c>
      <c r="D770" s="24" t="s">
        <v>17</v>
      </c>
      <c r="E770" s="24" t="s">
        <v>42</v>
      </c>
      <c r="F770" s="24" t="s">
        <v>43</v>
      </c>
      <c r="G770" s="24" t="s">
        <v>44</v>
      </c>
      <c r="H770" s="26">
        <v>506</v>
      </c>
      <c r="I770" s="24" t="s">
        <v>21</v>
      </c>
      <c r="J770" s="36">
        <v>45366</v>
      </c>
      <c r="K770" s="24" t="s">
        <v>22</v>
      </c>
    </row>
    <row r="771" spans="1:11" x14ac:dyDescent="0.2">
      <c r="A771" s="27" t="s">
        <v>2072</v>
      </c>
      <c r="B771" s="27" t="s">
        <v>2073</v>
      </c>
      <c r="C771" s="27" t="s">
        <v>2074</v>
      </c>
      <c r="D771" s="27" t="s">
        <v>17</v>
      </c>
      <c r="E771" s="27" t="s">
        <v>42</v>
      </c>
      <c r="F771" s="27" t="s">
        <v>43</v>
      </c>
      <c r="G771" s="27" t="s">
        <v>116</v>
      </c>
      <c r="H771" s="29">
        <v>0</v>
      </c>
      <c r="I771" s="27" t="s">
        <v>21</v>
      </c>
      <c r="J771" s="37">
        <v>45364</v>
      </c>
      <c r="K771" s="27" t="s">
        <v>22</v>
      </c>
    </row>
    <row r="772" spans="1:11" x14ac:dyDescent="0.2">
      <c r="A772" s="24" t="s">
        <v>2075</v>
      </c>
      <c r="B772" s="24" t="s">
        <v>2076</v>
      </c>
      <c r="C772" s="24" t="s">
        <v>2077</v>
      </c>
      <c r="D772" s="24" t="s">
        <v>17</v>
      </c>
      <c r="E772" s="24" t="s">
        <v>48</v>
      </c>
      <c r="F772" s="24" t="s">
        <v>49</v>
      </c>
      <c r="G772" s="24" t="s">
        <v>20</v>
      </c>
      <c r="H772" s="26">
        <v>40</v>
      </c>
      <c r="I772" s="24" t="s">
        <v>21</v>
      </c>
      <c r="J772" s="36">
        <v>45376</v>
      </c>
      <c r="K772" s="24" t="s">
        <v>22</v>
      </c>
    </row>
    <row r="773" spans="1:11" x14ac:dyDescent="0.2">
      <c r="A773" s="27" t="s">
        <v>2078</v>
      </c>
      <c r="B773" s="27" t="s">
        <v>2079</v>
      </c>
      <c r="C773" s="27" t="s">
        <v>2080</v>
      </c>
      <c r="D773" s="27" t="s">
        <v>17</v>
      </c>
      <c r="E773" s="27" t="s">
        <v>26</v>
      </c>
      <c r="F773" s="27" t="s">
        <v>27</v>
      </c>
      <c r="G773" s="27" t="s">
        <v>217</v>
      </c>
      <c r="H773" s="29">
        <v>39</v>
      </c>
      <c r="I773" s="27" t="s">
        <v>29</v>
      </c>
      <c r="J773" s="37">
        <v>45352</v>
      </c>
      <c r="K773" s="27" t="s">
        <v>22</v>
      </c>
    </row>
    <row r="774" spans="1:11" x14ac:dyDescent="0.2">
      <c r="A774" s="24" t="s">
        <v>2081</v>
      </c>
      <c r="B774" s="24" t="s">
        <v>2082</v>
      </c>
      <c r="C774" s="24" t="s">
        <v>2083</v>
      </c>
      <c r="D774" s="24" t="s">
        <v>17</v>
      </c>
      <c r="E774" s="24" t="s">
        <v>48</v>
      </c>
      <c r="F774" s="24" t="s">
        <v>49</v>
      </c>
      <c r="G774" s="24" t="s">
        <v>20</v>
      </c>
      <c r="H774" s="26">
        <v>63</v>
      </c>
      <c r="I774" s="24" t="s">
        <v>21</v>
      </c>
      <c r="J774" s="36">
        <v>45356</v>
      </c>
      <c r="K774" s="24" t="s">
        <v>22</v>
      </c>
    </row>
    <row r="775" spans="1:11" x14ac:dyDescent="0.2">
      <c r="A775" s="27" t="s">
        <v>2084</v>
      </c>
      <c r="B775" s="27" t="s">
        <v>2085</v>
      </c>
      <c r="C775" s="27" t="s">
        <v>526</v>
      </c>
      <c r="D775" s="27" t="s">
        <v>17</v>
      </c>
      <c r="E775" s="27" t="s">
        <v>42</v>
      </c>
      <c r="F775" s="27" t="s">
        <v>43</v>
      </c>
      <c r="G775" s="27" t="s">
        <v>28</v>
      </c>
      <c r="H775" s="29">
        <v>90</v>
      </c>
      <c r="I775" s="27" t="s">
        <v>29</v>
      </c>
      <c r="J775" s="37">
        <v>45364</v>
      </c>
      <c r="K775" s="27" t="s">
        <v>22</v>
      </c>
    </row>
    <row r="776" spans="1:11" x14ac:dyDescent="0.2">
      <c r="A776" s="24" t="s">
        <v>2086</v>
      </c>
      <c r="B776" s="24" t="s">
        <v>2087</v>
      </c>
      <c r="C776" s="24" t="s">
        <v>55</v>
      </c>
      <c r="D776" s="24" t="s">
        <v>17</v>
      </c>
      <c r="E776" s="24" t="s">
        <v>18</v>
      </c>
      <c r="F776" s="24" t="s">
        <v>19</v>
      </c>
      <c r="G776" s="24" t="s">
        <v>20</v>
      </c>
      <c r="H776" s="26">
        <v>28</v>
      </c>
      <c r="I776" s="24" t="s">
        <v>21</v>
      </c>
      <c r="J776" s="36">
        <v>45379</v>
      </c>
      <c r="K776" s="24" t="s">
        <v>22</v>
      </c>
    </row>
    <row r="777" spans="1:11" x14ac:dyDescent="0.2">
      <c r="A777" s="27" t="s">
        <v>2088</v>
      </c>
      <c r="B777" s="27" t="s">
        <v>2089</v>
      </c>
      <c r="C777" s="27" t="s">
        <v>115</v>
      </c>
      <c r="D777" s="27" t="s">
        <v>17</v>
      </c>
      <c r="E777" s="27" t="s">
        <v>48</v>
      </c>
      <c r="F777" s="27" t="s">
        <v>49</v>
      </c>
      <c r="G777" s="27" t="s">
        <v>28</v>
      </c>
      <c r="H777" s="29">
        <v>207</v>
      </c>
      <c r="I777" s="27" t="s">
        <v>29</v>
      </c>
      <c r="J777" s="37">
        <v>45380</v>
      </c>
      <c r="K777" s="27" t="s">
        <v>22</v>
      </c>
    </row>
    <row r="778" spans="1:11" x14ac:dyDescent="0.2">
      <c r="A778" s="24" t="s">
        <v>2090</v>
      </c>
      <c r="B778" s="24" t="s">
        <v>2091</v>
      </c>
      <c r="C778" s="24" t="s">
        <v>2092</v>
      </c>
      <c r="D778" s="24" t="s">
        <v>17</v>
      </c>
      <c r="E778" s="24" t="s">
        <v>42</v>
      </c>
      <c r="F778" s="24" t="s">
        <v>43</v>
      </c>
      <c r="G778" s="24" t="s">
        <v>44</v>
      </c>
      <c r="H778" s="26">
        <v>140</v>
      </c>
      <c r="I778" s="24" t="s">
        <v>29</v>
      </c>
      <c r="J778" s="36">
        <v>45368</v>
      </c>
      <c r="K778" s="24" t="s">
        <v>22</v>
      </c>
    </row>
    <row r="779" spans="1:11" x14ac:dyDescent="0.2">
      <c r="A779" s="27" t="s">
        <v>2093</v>
      </c>
      <c r="B779" s="27" t="s">
        <v>2094</v>
      </c>
      <c r="C779" s="27" t="s">
        <v>2095</v>
      </c>
      <c r="D779" s="27" t="s">
        <v>17</v>
      </c>
      <c r="E779" s="27" t="s">
        <v>18</v>
      </c>
      <c r="F779" s="27" t="s">
        <v>19</v>
      </c>
      <c r="G779" s="27" t="s">
        <v>28</v>
      </c>
      <c r="H779" s="29">
        <v>15</v>
      </c>
      <c r="I779" s="27" t="s">
        <v>29</v>
      </c>
      <c r="J779" s="37">
        <v>45377</v>
      </c>
      <c r="K779" s="27" t="s">
        <v>22</v>
      </c>
    </row>
    <row r="780" spans="1:11" x14ac:dyDescent="0.2">
      <c r="A780" s="24" t="s">
        <v>2096</v>
      </c>
      <c r="B780" s="24" t="s">
        <v>2097</v>
      </c>
      <c r="C780" s="24" t="s">
        <v>2098</v>
      </c>
      <c r="D780" s="24" t="s">
        <v>17</v>
      </c>
      <c r="E780" s="24" t="s">
        <v>48</v>
      </c>
      <c r="F780" s="24" t="s">
        <v>49</v>
      </c>
      <c r="G780" s="24" t="s">
        <v>20</v>
      </c>
      <c r="H780" s="26">
        <v>33</v>
      </c>
      <c r="I780" s="24" t="s">
        <v>21</v>
      </c>
      <c r="J780" s="36">
        <v>45352</v>
      </c>
      <c r="K780" s="24" t="s">
        <v>22</v>
      </c>
    </row>
    <row r="781" spans="1:11" x14ac:dyDescent="0.2">
      <c r="A781" s="27" t="s">
        <v>2099</v>
      </c>
      <c r="B781" s="27" t="s">
        <v>2100</v>
      </c>
      <c r="C781" s="27" t="s">
        <v>1212</v>
      </c>
      <c r="D781" s="27" t="s">
        <v>17</v>
      </c>
      <c r="E781" s="27" t="s">
        <v>18</v>
      </c>
      <c r="F781" s="27" t="s">
        <v>19</v>
      </c>
      <c r="G781" s="27" t="s">
        <v>20</v>
      </c>
      <c r="H781" s="29">
        <v>47</v>
      </c>
      <c r="I781" s="27" t="s">
        <v>21</v>
      </c>
      <c r="J781" s="37">
        <v>45353</v>
      </c>
      <c r="K781" s="27" t="s">
        <v>22</v>
      </c>
    </row>
    <row r="782" spans="1:11" x14ac:dyDescent="0.2">
      <c r="A782" s="24" t="s">
        <v>2101</v>
      </c>
      <c r="B782" s="24" t="s">
        <v>2102</v>
      </c>
      <c r="C782" s="24" t="s">
        <v>2103</v>
      </c>
      <c r="D782" s="24" t="s">
        <v>17</v>
      </c>
      <c r="E782" s="24" t="s">
        <v>33</v>
      </c>
      <c r="F782" s="24" t="s">
        <v>34</v>
      </c>
      <c r="G782" s="24" t="s">
        <v>116</v>
      </c>
      <c r="H782" s="26">
        <v>0</v>
      </c>
      <c r="I782" s="24" t="s">
        <v>21</v>
      </c>
      <c r="J782" s="36">
        <v>45352</v>
      </c>
      <c r="K782" s="24" t="s">
        <v>22</v>
      </c>
    </row>
    <row r="783" spans="1:11" x14ac:dyDescent="0.2">
      <c r="A783" s="27" t="s">
        <v>2104</v>
      </c>
      <c r="B783" s="27" t="s">
        <v>2105</v>
      </c>
      <c r="C783" s="27" t="s">
        <v>2106</v>
      </c>
      <c r="D783" s="27" t="s">
        <v>17</v>
      </c>
      <c r="E783" s="27" t="s">
        <v>18</v>
      </c>
      <c r="F783" s="27" t="s">
        <v>19</v>
      </c>
      <c r="G783" s="27" t="s">
        <v>20</v>
      </c>
      <c r="H783" s="29">
        <v>72</v>
      </c>
      <c r="I783" s="27" t="s">
        <v>21</v>
      </c>
      <c r="J783" s="37">
        <v>45356</v>
      </c>
      <c r="K783" s="27" t="s">
        <v>22</v>
      </c>
    </row>
    <row r="784" spans="1:11" x14ac:dyDescent="0.2">
      <c r="A784" s="24" t="s">
        <v>2107</v>
      </c>
      <c r="B784" s="24" t="s">
        <v>2108</v>
      </c>
      <c r="C784" s="24" t="s">
        <v>2109</v>
      </c>
      <c r="D784" s="24" t="s">
        <v>17</v>
      </c>
      <c r="E784" s="24" t="s">
        <v>26</v>
      </c>
      <c r="F784" s="24" t="s">
        <v>27</v>
      </c>
      <c r="G784" s="24" t="s">
        <v>217</v>
      </c>
      <c r="H784" s="26">
        <v>88</v>
      </c>
      <c r="I784" s="24" t="s">
        <v>29</v>
      </c>
      <c r="J784" s="36">
        <v>45352</v>
      </c>
      <c r="K784" s="24" t="s">
        <v>22</v>
      </c>
    </row>
    <row r="785" spans="1:11" x14ac:dyDescent="0.2">
      <c r="A785" s="27" t="s">
        <v>2110</v>
      </c>
      <c r="B785" s="27" t="s">
        <v>2111</v>
      </c>
      <c r="C785" s="27" t="s">
        <v>242</v>
      </c>
      <c r="D785" s="27" t="s">
        <v>17</v>
      </c>
      <c r="E785" s="27" t="s">
        <v>48</v>
      </c>
      <c r="F785" s="27" t="s">
        <v>49</v>
      </c>
      <c r="G785" s="27" t="s">
        <v>28</v>
      </c>
      <c r="H785" s="29">
        <v>180</v>
      </c>
      <c r="I785" s="27" t="s">
        <v>29</v>
      </c>
      <c r="J785" s="37">
        <v>45373</v>
      </c>
      <c r="K785" s="27" t="s">
        <v>22</v>
      </c>
    </row>
    <row r="786" spans="1:11" x14ac:dyDescent="0.2">
      <c r="A786" s="24" t="s">
        <v>2112</v>
      </c>
      <c r="B786" s="24" t="s">
        <v>2113</v>
      </c>
      <c r="C786" s="24" t="s">
        <v>526</v>
      </c>
      <c r="D786" s="24" t="s">
        <v>17</v>
      </c>
      <c r="E786" s="24" t="s">
        <v>42</v>
      </c>
      <c r="F786" s="24" t="s">
        <v>43</v>
      </c>
      <c r="G786" s="24" t="s">
        <v>44</v>
      </c>
      <c r="H786" s="26">
        <v>17300</v>
      </c>
      <c r="I786" s="24" t="s">
        <v>29</v>
      </c>
      <c r="J786" s="36">
        <v>45356</v>
      </c>
      <c r="K786" s="24" t="s">
        <v>22</v>
      </c>
    </row>
    <row r="787" spans="1:11" x14ac:dyDescent="0.2">
      <c r="A787" s="27" t="s">
        <v>2114</v>
      </c>
      <c r="B787" s="27" t="s">
        <v>2115</v>
      </c>
      <c r="C787" s="27" t="s">
        <v>2116</v>
      </c>
      <c r="D787" s="27" t="s">
        <v>17</v>
      </c>
      <c r="E787" s="27" t="s">
        <v>33</v>
      </c>
      <c r="F787" s="27" t="s">
        <v>34</v>
      </c>
      <c r="G787" s="27" t="s">
        <v>217</v>
      </c>
      <c r="H787" s="29">
        <v>401</v>
      </c>
      <c r="I787" s="27" t="s">
        <v>29</v>
      </c>
      <c r="J787" s="37">
        <v>45352</v>
      </c>
      <c r="K787" s="27" t="s">
        <v>22</v>
      </c>
    </row>
    <row r="788" spans="1:11" x14ac:dyDescent="0.2">
      <c r="A788" s="24" t="s">
        <v>2117</v>
      </c>
      <c r="B788" s="24" t="s">
        <v>2118</v>
      </c>
      <c r="C788" s="24" t="s">
        <v>618</v>
      </c>
      <c r="D788" s="24" t="s">
        <v>17</v>
      </c>
      <c r="E788" s="24" t="s">
        <v>26</v>
      </c>
      <c r="F788" s="24" t="s">
        <v>27</v>
      </c>
      <c r="G788" s="24" t="s">
        <v>217</v>
      </c>
      <c r="H788" s="26">
        <v>402</v>
      </c>
      <c r="I788" s="24" t="s">
        <v>29</v>
      </c>
      <c r="J788" s="36">
        <v>45352</v>
      </c>
      <c r="K788" s="24" t="s">
        <v>22</v>
      </c>
    </row>
    <row r="789" spans="1:11" x14ac:dyDescent="0.2">
      <c r="A789" s="27" t="s">
        <v>2119</v>
      </c>
      <c r="B789" s="27" t="s">
        <v>2120</v>
      </c>
      <c r="C789" s="27" t="s">
        <v>146</v>
      </c>
      <c r="D789" s="27" t="s">
        <v>17</v>
      </c>
      <c r="E789" s="27" t="s">
        <v>42</v>
      </c>
      <c r="F789" s="27" t="s">
        <v>43</v>
      </c>
      <c r="G789" s="27" t="s">
        <v>28</v>
      </c>
      <c r="H789" s="29">
        <v>864</v>
      </c>
      <c r="I789" s="27" t="s">
        <v>29</v>
      </c>
      <c r="J789" s="37">
        <v>45372</v>
      </c>
      <c r="K789" s="27" t="s">
        <v>22</v>
      </c>
    </row>
    <row r="790" spans="1:11" x14ac:dyDescent="0.2">
      <c r="A790" s="24" t="s">
        <v>2121</v>
      </c>
      <c r="B790" s="24" t="s">
        <v>2122</v>
      </c>
      <c r="C790" s="24" t="s">
        <v>2123</v>
      </c>
      <c r="D790" s="24" t="s">
        <v>17</v>
      </c>
      <c r="E790" s="24" t="s">
        <v>33</v>
      </c>
      <c r="F790" s="24" t="s">
        <v>34</v>
      </c>
      <c r="G790" s="24" t="s">
        <v>44</v>
      </c>
      <c r="H790" s="26">
        <v>450</v>
      </c>
      <c r="I790" s="24" t="s">
        <v>29</v>
      </c>
      <c r="J790" s="36">
        <v>45379</v>
      </c>
      <c r="K790" s="24" t="s">
        <v>22</v>
      </c>
    </row>
    <row r="791" spans="1:11" x14ac:dyDescent="0.2">
      <c r="A791" s="27" t="s">
        <v>2124</v>
      </c>
      <c r="B791" s="27" t="s">
        <v>2125</v>
      </c>
      <c r="C791" s="27" t="s">
        <v>2126</v>
      </c>
      <c r="D791" s="27" t="s">
        <v>17</v>
      </c>
      <c r="E791" s="27" t="s">
        <v>48</v>
      </c>
      <c r="F791" s="27" t="s">
        <v>49</v>
      </c>
      <c r="G791" s="27" t="s">
        <v>59</v>
      </c>
      <c r="H791" s="29">
        <v>45</v>
      </c>
      <c r="I791" s="27" t="s">
        <v>21</v>
      </c>
      <c r="J791" s="37">
        <v>45371</v>
      </c>
      <c r="K791" s="27" t="s">
        <v>22</v>
      </c>
    </row>
    <row r="792" spans="1:11" x14ac:dyDescent="0.2">
      <c r="A792" s="24" t="s">
        <v>2127</v>
      </c>
      <c r="B792" s="24" t="s">
        <v>2128</v>
      </c>
      <c r="C792" s="24" t="s">
        <v>2129</v>
      </c>
      <c r="D792" s="24" t="s">
        <v>17</v>
      </c>
      <c r="E792" s="24" t="s">
        <v>33</v>
      </c>
      <c r="F792" s="24" t="s">
        <v>34</v>
      </c>
      <c r="G792" s="24" t="s">
        <v>28</v>
      </c>
      <c r="H792" s="26">
        <v>390</v>
      </c>
      <c r="I792" s="24" t="s">
        <v>29</v>
      </c>
      <c r="J792" s="36">
        <v>45365</v>
      </c>
      <c r="K792" s="24" t="s">
        <v>22</v>
      </c>
    </row>
    <row r="793" spans="1:11" x14ac:dyDescent="0.2">
      <c r="A793" s="27" t="s">
        <v>2130</v>
      </c>
      <c r="B793" s="27" t="s">
        <v>2131</v>
      </c>
      <c r="C793" s="27" t="s">
        <v>97</v>
      </c>
      <c r="D793" s="27" t="s">
        <v>17</v>
      </c>
      <c r="E793" s="27" t="s">
        <v>18</v>
      </c>
      <c r="F793" s="27" t="s">
        <v>19</v>
      </c>
      <c r="G793" s="27" t="s">
        <v>28</v>
      </c>
      <c r="H793" s="29">
        <v>108</v>
      </c>
      <c r="I793" s="27" t="s">
        <v>29</v>
      </c>
      <c r="J793" s="37">
        <v>45373</v>
      </c>
      <c r="K793" s="27" t="s">
        <v>22</v>
      </c>
    </row>
    <row r="794" spans="1:11" x14ac:dyDescent="0.2">
      <c r="A794" s="24" t="s">
        <v>2132</v>
      </c>
      <c r="B794" s="24" t="s">
        <v>2133</v>
      </c>
      <c r="C794" s="24" t="s">
        <v>354</v>
      </c>
      <c r="D794" s="24" t="s">
        <v>17</v>
      </c>
      <c r="E794" s="24" t="s">
        <v>18</v>
      </c>
      <c r="F794" s="24" t="s">
        <v>19</v>
      </c>
      <c r="G794" s="24" t="s">
        <v>20</v>
      </c>
      <c r="H794" s="26">
        <v>34</v>
      </c>
      <c r="I794" s="24" t="s">
        <v>21</v>
      </c>
      <c r="J794" s="36">
        <v>45364</v>
      </c>
      <c r="K794" s="24" t="s">
        <v>22</v>
      </c>
    </row>
    <row r="795" spans="1:11" x14ac:dyDescent="0.2">
      <c r="A795" s="27" t="s">
        <v>2134</v>
      </c>
      <c r="B795" s="27" t="s">
        <v>2135</v>
      </c>
      <c r="C795" s="27" t="s">
        <v>1050</v>
      </c>
      <c r="D795" s="27" t="s">
        <v>17</v>
      </c>
      <c r="E795" s="27" t="s">
        <v>42</v>
      </c>
      <c r="F795" s="27" t="s">
        <v>43</v>
      </c>
      <c r="G795" s="27" t="s">
        <v>28</v>
      </c>
      <c r="H795" s="29">
        <v>442</v>
      </c>
      <c r="I795" s="27" t="s">
        <v>29</v>
      </c>
      <c r="J795" s="37">
        <v>45364</v>
      </c>
      <c r="K795" s="27" t="s">
        <v>22</v>
      </c>
    </row>
    <row r="796" spans="1:11" x14ac:dyDescent="0.2">
      <c r="A796" s="24" t="s">
        <v>2136</v>
      </c>
      <c r="B796" s="24" t="s">
        <v>2137</v>
      </c>
      <c r="C796" s="24" t="s">
        <v>2138</v>
      </c>
      <c r="D796" s="24" t="s">
        <v>17</v>
      </c>
      <c r="E796" s="24" t="s">
        <v>26</v>
      </c>
      <c r="F796" s="24" t="s">
        <v>27</v>
      </c>
      <c r="G796" s="24" t="s">
        <v>257</v>
      </c>
      <c r="H796" s="26">
        <v>5</v>
      </c>
      <c r="I796" s="24" t="s">
        <v>29</v>
      </c>
      <c r="J796" s="36">
        <v>45380</v>
      </c>
      <c r="K796" s="24" t="s">
        <v>22</v>
      </c>
    </row>
    <row r="797" spans="1:11" x14ac:dyDescent="0.2">
      <c r="A797" s="27" t="s">
        <v>2139</v>
      </c>
      <c r="B797" s="27" t="s">
        <v>2140</v>
      </c>
      <c r="C797" s="27" t="s">
        <v>2048</v>
      </c>
      <c r="D797" s="27" t="s">
        <v>17</v>
      </c>
      <c r="E797" s="27" t="s">
        <v>18</v>
      </c>
      <c r="F797" s="27" t="s">
        <v>19</v>
      </c>
      <c r="G797" s="27" t="s">
        <v>28</v>
      </c>
      <c r="H797" s="29">
        <v>80</v>
      </c>
      <c r="I797" s="27" t="s">
        <v>29</v>
      </c>
      <c r="J797" s="37">
        <v>45365</v>
      </c>
      <c r="K797" s="27" t="s">
        <v>22</v>
      </c>
    </row>
    <row r="798" spans="1:11" x14ac:dyDescent="0.2">
      <c r="A798" s="24" t="s">
        <v>2141</v>
      </c>
      <c r="B798" s="24" t="s">
        <v>2142</v>
      </c>
      <c r="C798" s="24" t="s">
        <v>687</v>
      </c>
      <c r="D798" s="24" t="s">
        <v>17</v>
      </c>
      <c r="E798" s="24" t="s">
        <v>48</v>
      </c>
      <c r="F798" s="24" t="s">
        <v>49</v>
      </c>
      <c r="G798" s="24" t="s">
        <v>20</v>
      </c>
      <c r="H798" s="26">
        <v>299</v>
      </c>
      <c r="I798" s="24" t="s">
        <v>21</v>
      </c>
      <c r="J798" s="36">
        <v>45369</v>
      </c>
      <c r="K798" s="24" t="s">
        <v>22</v>
      </c>
    </row>
    <row r="799" spans="1:11" x14ac:dyDescent="0.2">
      <c r="A799" s="27" t="s">
        <v>2143</v>
      </c>
      <c r="B799" s="27" t="s">
        <v>2144</v>
      </c>
      <c r="C799" s="27" t="s">
        <v>2145</v>
      </c>
      <c r="D799" s="27" t="s">
        <v>17</v>
      </c>
      <c r="E799" s="27" t="s">
        <v>48</v>
      </c>
      <c r="F799" s="27" t="s">
        <v>49</v>
      </c>
      <c r="G799" s="27" t="s">
        <v>28</v>
      </c>
      <c r="H799" s="29">
        <v>40</v>
      </c>
      <c r="I799" s="27" t="s">
        <v>29</v>
      </c>
      <c r="J799" s="37">
        <v>45355</v>
      </c>
      <c r="K799" s="27" t="s">
        <v>22</v>
      </c>
    </row>
    <row r="800" spans="1:11" x14ac:dyDescent="0.2">
      <c r="A800" s="24" t="s">
        <v>2146</v>
      </c>
      <c r="B800" s="24" t="s">
        <v>2147</v>
      </c>
      <c r="C800" s="24" t="s">
        <v>2148</v>
      </c>
      <c r="D800" s="24" t="s">
        <v>17</v>
      </c>
      <c r="E800" s="24" t="s">
        <v>48</v>
      </c>
      <c r="F800" s="24" t="s">
        <v>49</v>
      </c>
      <c r="G800" s="24" t="s">
        <v>20</v>
      </c>
      <c r="H800" s="26">
        <v>171</v>
      </c>
      <c r="I800" s="24" t="s">
        <v>21</v>
      </c>
      <c r="J800" s="36">
        <v>45370</v>
      </c>
      <c r="K800" s="24" t="s">
        <v>22</v>
      </c>
    </row>
    <row r="801" spans="1:11" x14ac:dyDescent="0.2">
      <c r="A801" s="27" t="s">
        <v>2149</v>
      </c>
      <c r="B801" s="27" t="s">
        <v>2150</v>
      </c>
      <c r="C801" s="27" t="s">
        <v>2151</v>
      </c>
      <c r="D801" s="27" t="s">
        <v>17</v>
      </c>
      <c r="E801" s="27" t="s">
        <v>48</v>
      </c>
      <c r="F801" s="27" t="s">
        <v>49</v>
      </c>
      <c r="G801" s="27" t="s">
        <v>28</v>
      </c>
      <c r="H801" s="29">
        <v>300</v>
      </c>
      <c r="I801" s="27" t="s">
        <v>29</v>
      </c>
      <c r="J801" s="37">
        <v>45369</v>
      </c>
      <c r="K801" s="27" t="s">
        <v>22</v>
      </c>
    </row>
    <row r="802" spans="1:11" x14ac:dyDescent="0.2">
      <c r="A802" s="24" t="s">
        <v>2152</v>
      </c>
      <c r="B802" s="24" t="s">
        <v>2153</v>
      </c>
      <c r="C802" s="24" t="s">
        <v>2154</v>
      </c>
      <c r="D802" s="24" t="s">
        <v>17</v>
      </c>
      <c r="E802" s="24" t="s">
        <v>18</v>
      </c>
      <c r="F802" s="24" t="s">
        <v>19</v>
      </c>
      <c r="G802" s="24" t="s">
        <v>28</v>
      </c>
      <c r="H802" s="26">
        <v>30</v>
      </c>
      <c r="I802" s="24" t="s">
        <v>29</v>
      </c>
      <c r="J802" s="36">
        <v>45364</v>
      </c>
      <c r="K802" s="24" t="s">
        <v>22</v>
      </c>
    </row>
    <row r="803" spans="1:11" x14ac:dyDescent="0.2">
      <c r="A803" s="27" t="s">
        <v>2155</v>
      </c>
      <c r="B803" s="27" t="s">
        <v>2156</v>
      </c>
      <c r="C803" s="27" t="s">
        <v>429</v>
      </c>
      <c r="D803" s="27" t="s">
        <v>17</v>
      </c>
      <c r="E803" s="27" t="s">
        <v>26</v>
      </c>
      <c r="F803" s="27" t="s">
        <v>27</v>
      </c>
      <c r="G803" s="27" t="s">
        <v>20</v>
      </c>
      <c r="H803" s="29">
        <v>180</v>
      </c>
      <c r="I803" s="27" t="s">
        <v>21</v>
      </c>
      <c r="J803" s="37">
        <v>45363</v>
      </c>
      <c r="K803" s="27" t="s">
        <v>22</v>
      </c>
    </row>
    <row r="804" spans="1:11" x14ac:dyDescent="0.2">
      <c r="A804" s="24" t="s">
        <v>2157</v>
      </c>
      <c r="B804" s="24" t="s">
        <v>2158</v>
      </c>
      <c r="C804" s="24" t="s">
        <v>2159</v>
      </c>
      <c r="D804" s="24" t="s">
        <v>17</v>
      </c>
      <c r="E804" s="24" t="s">
        <v>48</v>
      </c>
      <c r="F804" s="24" t="s">
        <v>49</v>
      </c>
      <c r="G804" s="24" t="s">
        <v>28</v>
      </c>
      <c r="H804" s="26">
        <v>282</v>
      </c>
      <c r="I804" s="24" t="s">
        <v>29</v>
      </c>
      <c r="J804" s="36">
        <v>45379</v>
      </c>
      <c r="K804" s="24" t="s">
        <v>22</v>
      </c>
    </row>
    <row r="805" spans="1:11" x14ac:dyDescent="0.2">
      <c r="A805" s="27" t="s">
        <v>2160</v>
      </c>
      <c r="B805" s="27" t="s">
        <v>2161</v>
      </c>
      <c r="C805" s="27" t="s">
        <v>2162</v>
      </c>
      <c r="D805" s="27" t="s">
        <v>17</v>
      </c>
      <c r="E805" s="27" t="s">
        <v>18</v>
      </c>
      <c r="F805" s="27" t="s">
        <v>19</v>
      </c>
      <c r="G805" s="27" t="s">
        <v>28</v>
      </c>
      <c r="H805" s="29">
        <v>24</v>
      </c>
      <c r="I805" s="27" t="s">
        <v>29</v>
      </c>
      <c r="J805" s="37">
        <v>45356</v>
      </c>
      <c r="K805" s="27" t="s">
        <v>22</v>
      </c>
    </row>
    <row r="806" spans="1:11" x14ac:dyDescent="0.2">
      <c r="A806" s="24" t="s">
        <v>2163</v>
      </c>
      <c r="B806" s="24" t="s">
        <v>2164</v>
      </c>
      <c r="C806" s="24" t="s">
        <v>2165</v>
      </c>
      <c r="D806" s="24" t="s">
        <v>17</v>
      </c>
      <c r="E806" s="24" t="s">
        <v>18</v>
      </c>
      <c r="F806" s="24" t="s">
        <v>19</v>
      </c>
      <c r="G806" s="24" t="s">
        <v>217</v>
      </c>
      <c r="H806" s="26">
        <v>48</v>
      </c>
      <c r="I806" s="24" t="s">
        <v>29</v>
      </c>
      <c r="J806" s="36">
        <v>45352</v>
      </c>
      <c r="K806" s="24" t="s">
        <v>22</v>
      </c>
    </row>
    <row r="807" spans="1:11" x14ac:dyDescent="0.2">
      <c r="A807" s="27" t="s">
        <v>2166</v>
      </c>
      <c r="B807" s="27" t="s">
        <v>2167</v>
      </c>
      <c r="C807" s="27" t="s">
        <v>2168</v>
      </c>
      <c r="D807" s="27" t="s">
        <v>17</v>
      </c>
      <c r="E807" s="27" t="s">
        <v>18</v>
      </c>
      <c r="F807" s="27" t="s">
        <v>19</v>
      </c>
      <c r="G807" s="27" t="s">
        <v>116</v>
      </c>
      <c r="H807" s="29">
        <v>0</v>
      </c>
      <c r="I807" s="27" t="s">
        <v>21</v>
      </c>
      <c r="J807" s="37">
        <v>45352</v>
      </c>
      <c r="K807" s="27" t="s">
        <v>22</v>
      </c>
    </row>
    <row r="808" spans="1:11" x14ac:dyDescent="0.2">
      <c r="A808" s="24" t="s">
        <v>2169</v>
      </c>
      <c r="B808" s="24" t="s">
        <v>2170</v>
      </c>
      <c r="C808" s="24" t="s">
        <v>106</v>
      </c>
      <c r="D808" s="24" t="s">
        <v>17</v>
      </c>
      <c r="E808" s="24" t="s">
        <v>18</v>
      </c>
      <c r="F808" s="24" t="s">
        <v>19</v>
      </c>
      <c r="G808" s="24" t="s">
        <v>20</v>
      </c>
      <c r="H808" s="26">
        <v>110</v>
      </c>
      <c r="I808" s="24" t="s">
        <v>21</v>
      </c>
      <c r="J808" s="36">
        <v>45364</v>
      </c>
      <c r="K808" s="24" t="s">
        <v>22</v>
      </c>
    </row>
    <row r="809" spans="1:11" x14ac:dyDescent="0.2">
      <c r="A809" s="27" t="s">
        <v>2171</v>
      </c>
      <c r="B809" s="27" t="s">
        <v>2172</v>
      </c>
      <c r="C809" s="27" t="s">
        <v>423</v>
      </c>
      <c r="D809" s="27" t="s">
        <v>17</v>
      </c>
      <c r="E809" s="27" t="s">
        <v>18</v>
      </c>
      <c r="F809" s="27" t="s">
        <v>19</v>
      </c>
      <c r="G809" s="27" t="s">
        <v>20</v>
      </c>
      <c r="H809" s="29">
        <v>51</v>
      </c>
      <c r="I809" s="27" t="s">
        <v>21</v>
      </c>
      <c r="J809" s="37">
        <v>45373</v>
      </c>
      <c r="K809" s="27" t="s">
        <v>22</v>
      </c>
    </row>
    <row r="810" spans="1:11" x14ac:dyDescent="0.2">
      <c r="A810" s="24" t="s">
        <v>2173</v>
      </c>
      <c r="B810" s="24" t="s">
        <v>2174</v>
      </c>
      <c r="C810" s="24" t="s">
        <v>1365</v>
      </c>
      <c r="D810" s="24" t="s">
        <v>17</v>
      </c>
      <c r="E810" s="24" t="s">
        <v>48</v>
      </c>
      <c r="F810" s="24" t="s">
        <v>49</v>
      </c>
      <c r="G810" s="24" t="s">
        <v>28</v>
      </c>
      <c r="H810" s="26">
        <v>20</v>
      </c>
      <c r="I810" s="24" t="s">
        <v>29</v>
      </c>
      <c r="J810" s="36">
        <v>45352</v>
      </c>
      <c r="K810" s="24" t="s">
        <v>22</v>
      </c>
    </row>
    <row r="811" spans="1:11" x14ac:dyDescent="0.2">
      <c r="A811" s="27" t="s">
        <v>2175</v>
      </c>
      <c r="B811" s="27" t="s">
        <v>2176</v>
      </c>
      <c r="C811" s="27" t="s">
        <v>1678</v>
      </c>
      <c r="D811" s="27" t="s">
        <v>17</v>
      </c>
      <c r="E811" s="27" t="s">
        <v>18</v>
      </c>
      <c r="F811" s="27" t="s">
        <v>19</v>
      </c>
      <c r="G811" s="27" t="s">
        <v>20</v>
      </c>
      <c r="H811" s="29">
        <v>41</v>
      </c>
      <c r="I811" s="27" t="s">
        <v>21</v>
      </c>
      <c r="J811" s="37">
        <v>45370</v>
      </c>
      <c r="K811" s="27" t="s">
        <v>22</v>
      </c>
    </row>
    <row r="812" spans="1:11" x14ac:dyDescent="0.2">
      <c r="A812" s="24" t="s">
        <v>2177</v>
      </c>
      <c r="B812" s="24" t="s">
        <v>2178</v>
      </c>
      <c r="C812" s="24" t="s">
        <v>2179</v>
      </c>
      <c r="D812" s="24" t="s">
        <v>17</v>
      </c>
      <c r="E812" s="24" t="s">
        <v>42</v>
      </c>
      <c r="F812" s="24" t="s">
        <v>43</v>
      </c>
      <c r="G812" s="24" t="s">
        <v>28</v>
      </c>
      <c r="H812" s="26">
        <v>240</v>
      </c>
      <c r="I812" s="24" t="s">
        <v>29</v>
      </c>
      <c r="J812" s="36">
        <v>45378</v>
      </c>
      <c r="K812" s="24" t="s">
        <v>22</v>
      </c>
    </row>
    <row r="813" spans="1:11" x14ac:dyDescent="0.2">
      <c r="A813" s="27" t="s">
        <v>2180</v>
      </c>
      <c r="B813" s="27" t="s">
        <v>2181</v>
      </c>
      <c r="C813" s="27" t="s">
        <v>2182</v>
      </c>
      <c r="D813" s="27" t="s">
        <v>17</v>
      </c>
      <c r="E813" s="27" t="s">
        <v>48</v>
      </c>
      <c r="F813" s="27" t="s">
        <v>49</v>
      </c>
      <c r="G813" s="27" t="s">
        <v>44</v>
      </c>
      <c r="H813" s="29">
        <v>71</v>
      </c>
      <c r="I813" s="27" t="s">
        <v>21</v>
      </c>
      <c r="J813" s="37">
        <v>45366</v>
      </c>
      <c r="K813" s="27" t="s">
        <v>22</v>
      </c>
    </row>
    <row r="814" spans="1:11" x14ac:dyDescent="0.2">
      <c r="A814" s="24" t="s">
        <v>2183</v>
      </c>
      <c r="B814" s="24" t="s">
        <v>2184</v>
      </c>
      <c r="C814" s="24" t="s">
        <v>2185</v>
      </c>
      <c r="D814" s="24" t="s">
        <v>17</v>
      </c>
      <c r="E814" s="24" t="s">
        <v>42</v>
      </c>
      <c r="F814" s="24" t="s">
        <v>43</v>
      </c>
      <c r="G814" s="24" t="s">
        <v>20</v>
      </c>
      <c r="H814" s="26">
        <v>86</v>
      </c>
      <c r="I814" s="24" t="s">
        <v>21</v>
      </c>
      <c r="J814" s="36">
        <v>45371</v>
      </c>
      <c r="K814" s="24" t="s">
        <v>22</v>
      </c>
    </row>
    <row r="815" spans="1:11" x14ac:dyDescent="0.2">
      <c r="A815" s="27" t="s">
        <v>2186</v>
      </c>
      <c r="B815" s="27" t="s">
        <v>2187</v>
      </c>
      <c r="C815" s="27" t="s">
        <v>1678</v>
      </c>
      <c r="D815" s="27" t="s">
        <v>17</v>
      </c>
      <c r="E815" s="27" t="s">
        <v>26</v>
      </c>
      <c r="F815" s="27" t="s">
        <v>27</v>
      </c>
      <c r="G815" s="27" t="s">
        <v>28</v>
      </c>
      <c r="H815" s="29">
        <v>144</v>
      </c>
      <c r="I815" s="27" t="s">
        <v>29</v>
      </c>
      <c r="J815" s="37">
        <v>45376</v>
      </c>
      <c r="K815" s="27" t="s">
        <v>22</v>
      </c>
    </row>
    <row r="816" spans="1:11" x14ac:dyDescent="0.2">
      <c r="A816" s="24" t="s">
        <v>2188</v>
      </c>
      <c r="B816" s="24" t="s">
        <v>2189</v>
      </c>
      <c r="C816" s="24" t="s">
        <v>2190</v>
      </c>
      <c r="D816" s="24" t="s">
        <v>17</v>
      </c>
      <c r="E816" s="24" t="s">
        <v>48</v>
      </c>
      <c r="F816" s="24" t="s">
        <v>49</v>
      </c>
      <c r="G816" s="24" t="s">
        <v>28</v>
      </c>
      <c r="H816" s="26">
        <v>50</v>
      </c>
      <c r="I816" s="24" t="s">
        <v>29</v>
      </c>
      <c r="J816" s="36">
        <v>45376</v>
      </c>
      <c r="K816" s="24" t="s">
        <v>22</v>
      </c>
    </row>
    <row r="817" spans="1:11" x14ac:dyDescent="0.2">
      <c r="A817" s="27" t="s">
        <v>2191</v>
      </c>
      <c r="B817" s="27" t="s">
        <v>2192</v>
      </c>
      <c r="C817" s="27" t="s">
        <v>208</v>
      </c>
      <c r="D817" s="27" t="s">
        <v>17</v>
      </c>
      <c r="E817" s="27" t="s">
        <v>18</v>
      </c>
      <c r="F817" s="27" t="s">
        <v>19</v>
      </c>
      <c r="G817" s="27" t="s">
        <v>20</v>
      </c>
      <c r="H817" s="29">
        <v>28</v>
      </c>
      <c r="I817" s="27" t="s">
        <v>21</v>
      </c>
      <c r="J817" s="37">
        <v>45376</v>
      </c>
      <c r="K817" s="27" t="s">
        <v>22</v>
      </c>
    </row>
    <row r="818" spans="1:11" x14ac:dyDescent="0.2">
      <c r="A818" s="24" t="s">
        <v>2193</v>
      </c>
      <c r="B818" s="24" t="s">
        <v>2194</v>
      </c>
      <c r="C818" s="24" t="s">
        <v>325</v>
      </c>
      <c r="D818" s="24" t="s">
        <v>17</v>
      </c>
      <c r="E818" s="24" t="s">
        <v>18</v>
      </c>
      <c r="F818" s="24" t="s">
        <v>19</v>
      </c>
      <c r="G818" s="24" t="s">
        <v>20</v>
      </c>
      <c r="H818" s="26">
        <v>21</v>
      </c>
      <c r="I818" s="24" t="s">
        <v>21</v>
      </c>
      <c r="J818" s="36">
        <v>45357</v>
      </c>
      <c r="K818" s="24" t="s">
        <v>22</v>
      </c>
    </row>
    <row r="819" spans="1:11" x14ac:dyDescent="0.2">
      <c r="A819" s="27" t="s">
        <v>2195</v>
      </c>
      <c r="B819" s="27" t="s">
        <v>2196</v>
      </c>
      <c r="C819" s="27" t="s">
        <v>2197</v>
      </c>
      <c r="D819" s="27" t="s">
        <v>17</v>
      </c>
      <c r="E819" s="27" t="s">
        <v>42</v>
      </c>
      <c r="F819" s="27" t="s">
        <v>43</v>
      </c>
      <c r="G819" s="27" t="s">
        <v>20</v>
      </c>
      <c r="H819" s="29">
        <v>288</v>
      </c>
      <c r="I819" s="27" t="s">
        <v>21</v>
      </c>
      <c r="J819" s="37">
        <v>45378</v>
      </c>
      <c r="K819" s="27" t="s">
        <v>22</v>
      </c>
    </row>
    <row r="820" spans="1:11" x14ac:dyDescent="0.2">
      <c r="A820" s="24" t="s">
        <v>2198</v>
      </c>
      <c r="B820" s="24" t="s">
        <v>2199</v>
      </c>
      <c r="C820" s="24" t="s">
        <v>2200</v>
      </c>
      <c r="D820" s="24" t="s">
        <v>17</v>
      </c>
      <c r="E820" s="24" t="s">
        <v>18</v>
      </c>
      <c r="F820" s="24" t="s">
        <v>19</v>
      </c>
      <c r="G820" s="24" t="s">
        <v>20</v>
      </c>
      <c r="H820" s="26">
        <v>69</v>
      </c>
      <c r="I820" s="24" t="s">
        <v>21</v>
      </c>
      <c r="J820" s="36">
        <v>45370</v>
      </c>
      <c r="K820" s="24" t="s">
        <v>22</v>
      </c>
    </row>
    <row r="821" spans="1:11" x14ac:dyDescent="0.2">
      <c r="A821" s="27" t="s">
        <v>2201</v>
      </c>
      <c r="B821" s="27" t="s">
        <v>2202</v>
      </c>
      <c r="C821" s="27" t="s">
        <v>437</v>
      </c>
      <c r="D821" s="27" t="s">
        <v>17</v>
      </c>
      <c r="E821" s="27" t="s">
        <v>81</v>
      </c>
      <c r="F821" s="27" t="s">
        <v>82</v>
      </c>
      <c r="G821" s="27" t="s">
        <v>44</v>
      </c>
      <c r="H821" s="29">
        <v>262</v>
      </c>
      <c r="I821" s="27" t="s">
        <v>21</v>
      </c>
      <c r="J821" s="37">
        <v>45369</v>
      </c>
      <c r="K821" s="27" t="s">
        <v>22</v>
      </c>
    </row>
    <row r="822" spans="1:11" x14ac:dyDescent="0.2">
      <c r="A822" s="24" t="s">
        <v>2203</v>
      </c>
      <c r="B822" s="24" t="s">
        <v>2204</v>
      </c>
      <c r="C822" s="24" t="s">
        <v>2205</v>
      </c>
      <c r="D822" s="24" t="s">
        <v>17</v>
      </c>
      <c r="E822" s="24" t="s">
        <v>48</v>
      </c>
      <c r="F822" s="24" t="s">
        <v>49</v>
      </c>
      <c r="G822" s="24" t="s">
        <v>20</v>
      </c>
      <c r="H822" s="26">
        <v>16</v>
      </c>
      <c r="I822" s="24" t="s">
        <v>21</v>
      </c>
      <c r="J822" s="36">
        <v>45363</v>
      </c>
      <c r="K822" s="24" t="s">
        <v>22</v>
      </c>
    </row>
    <row r="823" spans="1:11" x14ac:dyDescent="0.2">
      <c r="A823" s="27" t="s">
        <v>2206</v>
      </c>
      <c r="B823" s="27" t="s">
        <v>2207</v>
      </c>
      <c r="C823" s="27" t="s">
        <v>331</v>
      </c>
      <c r="D823" s="27" t="s">
        <v>17</v>
      </c>
      <c r="E823" s="27" t="s">
        <v>18</v>
      </c>
      <c r="F823" s="27" t="s">
        <v>19</v>
      </c>
      <c r="G823" s="27" t="s">
        <v>20</v>
      </c>
      <c r="H823" s="29">
        <v>24</v>
      </c>
      <c r="I823" s="27" t="s">
        <v>21</v>
      </c>
      <c r="J823" s="37">
        <v>45377</v>
      </c>
      <c r="K823" s="27" t="s">
        <v>22</v>
      </c>
    </row>
    <row r="824" spans="1:11" x14ac:dyDescent="0.2">
      <c r="A824" s="24" t="s">
        <v>2208</v>
      </c>
      <c r="B824" s="24" t="s">
        <v>2209</v>
      </c>
      <c r="C824" s="24" t="s">
        <v>2210</v>
      </c>
      <c r="D824" s="24" t="s">
        <v>17</v>
      </c>
      <c r="E824" s="24" t="s">
        <v>18</v>
      </c>
      <c r="F824" s="24" t="s">
        <v>19</v>
      </c>
      <c r="G824" s="24" t="s">
        <v>28</v>
      </c>
      <c r="H824" s="26">
        <v>60</v>
      </c>
      <c r="I824" s="24" t="s">
        <v>29</v>
      </c>
      <c r="J824" s="36">
        <v>45362</v>
      </c>
      <c r="K824" s="24" t="s">
        <v>22</v>
      </c>
    </row>
    <row r="825" spans="1:11" x14ac:dyDescent="0.2">
      <c r="A825" s="27" t="s">
        <v>2211</v>
      </c>
      <c r="B825" s="27" t="s">
        <v>2212</v>
      </c>
      <c r="C825" s="27" t="s">
        <v>2213</v>
      </c>
      <c r="D825" s="27" t="s">
        <v>17</v>
      </c>
      <c r="E825" s="27" t="s">
        <v>18</v>
      </c>
      <c r="F825" s="27" t="s">
        <v>19</v>
      </c>
      <c r="G825" s="27" t="s">
        <v>28</v>
      </c>
      <c r="H825" s="29">
        <v>73</v>
      </c>
      <c r="I825" s="27" t="s">
        <v>29</v>
      </c>
      <c r="J825" s="37">
        <v>45370</v>
      </c>
      <c r="K825" s="27" t="s">
        <v>22</v>
      </c>
    </row>
    <row r="826" spans="1:11" x14ac:dyDescent="0.2">
      <c r="A826" s="24" t="s">
        <v>2214</v>
      </c>
      <c r="B826" s="24" t="s">
        <v>2215</v>
      </c>
      <c r="C826" s="24" t="s">
        <v>912</v>
      </c>
      <c r="D826" s="24" t="s">
        <v>17</v>
      </c>
      <c r="E826" s="24" t="s">
        <v>18</v>
      </c>
      <c r="F826" s="24" t="s">
        <v>19</v>
      </c>
      <c r="G826" s="24" t="s">
        <v>28</v>
      </c>
      <c r="H826" s="26">
        <v>48</v>
      </c>
      <c r="I826" s="24" t="s">
        <v>29</v>
      </c>
      <c r="J826" s="36">
        <v>45380</v>
      </c>
      <c r="K826" s="24" t="s">
        <v>22</v>
      </c>
    </row>
    <row r="827" spans="1:11" x14ac:dyDescent="0.2">
      <c r="A827" s="27" t="s">
        <v>2216</v>
      </c>
      <c r="B827" s="27" t="s">
        <v>2217</v>
      </c>
      <c r="C827" s="27" t="s">
        <v>1359</v>
      </c>
      <c r="D827" s="27" t="s">
        <v>17</v>
      </c>
      <c r="E827" s="27" t="s">
        <v>42</v>
      </c>
      <c r="F827" s="27" t="s">
        <v>43</v>
      </c>
      <c r="G827" s="27" t="s">
        <v>28</v>
      </c>
      <c r="H827" s="29">
        <v>220</v>
      </c>
      <c r="I827" s="27" t="s">
        <v>29</v>
      </c>
      <c r="J827" s="37">
        <v>45377</v>
      </c>
      <c r="K827" s="27" t="s">
        <v>22</v>
      </c>
    </row>
    <row r="828" spans="1:11" x14ac:dyDescent="0.2">
      <c r="A828" s="24" t="s">
        <v>2218</v>
      </c>
      <c r="B828" s="24" t="s">
        <v>2219</v>
      </c>
      <c r="C828" s="24" t="s">
        <v>298</v>
      </c>
      <c r="D828" s="24" t="s">
        <v>17</v>
      </c>
      <c r="E828" s="24" t="s">
        <v>48</v>
      </c>
      <c r="F828" s="24" t="s">
        <v>49</v>
      </c>
      <c r="G828" s="24" t="s">
        <v>44</v>
      </c>
      <c r="H828" s="26">
        <v>228</v>
      </c>
      <c r="I828" s="24" t="s">
        <v>29</v>
      </c>
      <c r="J828" s="36">
        <v>45378</v>
      </c>
      <c r="K828" s="24" t="s">
        <v>22</v>
      </c>
    </row>
    <row r="829" spans="1:11" x14ac:dyDescent="0.2">
      <c r="A829" s="27" t="s">
        <v>2220</v>
      </c>
      <c r="B829" s="27" t="s">
        <v>2221</v>
      </c>
      <c r="C829" s="27" t="s">
        <v>2222</v>
      </c>
      <c r="D829" s="27" t="s">
        <v>17</v>
      </c>
      <c r="E829" s="27" t="s">
        <v>48</v>
      </c>
      <c r="F829" s="27" t="s">
        <v>49</v>
      </c>
      <c r="G829" s="27" t="s">
        <v>44</v>
      </c>
      <c r="H829" s="29">
        <v>25</v>
      </c>
      <c r="I829" s="27" t="s">
        <v>21</v>
      </c>
      <c r="J829" s="37">
        <v>45369</v>
      </c>
      <c r="K829" s="27" t="s">
        <v>22</v>
      </c>
    </row>
    <row r="830" spans="1:11" x14ac:dyDescent="0.2">
      <c r="A830" s="24" t="s">
        <v>2223</v>
      </c>
      <c r="B830" s="24" t="s">
        <v>2224</v>
      </c>
      <c r="C830" s="24" t="s">
        <v>2225</v>
      </c>
      <c r="D830" s="24" t="s">
        <v>17</v>
      </c>
      <c r="E830" s="24" t="s">
        <v>26</v>
      </c>
      <c r="F830" s="24" t="s">
        <v>27</v>
      </c>
      <c r="G830" s="24" t="s">
        <v>38</v>
      </c>
      <c r="H830" s="26">
        <v>30</v>
      </c>
      <c r="I830" s="24" t="s">
        <v>29</v>
      </c>
      <c r="J830" s="36">
        <v>45352</v>
      </c>
      <c r="K830" s="24" t="s">
        <v>22</v>
      </c>
    </row>
    <row r="831" spans="1:11" x14ac:dyDescent="0.2">
      <c r="A831" s="27" t="s">
        <v>2226</v>
      </c>
      <c r="B831" s="27" t="s">
        <v>2227</v>
      </c>
      <c r="C831" s="27" t="s">
        <v>2228</v>
      </c>
      <c r="D831" s="27" t="s">
        <v>17</v>
      </c>
      <c r="E831" s="27" t="s">
        <v>26</v>
      </c>
      <c r="F831" s="27" t="s">
        <v>27</v>
      </c>
      <c r="G831" s="27" t="s">
        <v>28</v>
      </c>
      <c r="H831" s="29">
        <v>298</v>
      </c>
      <c r="I831" s="27" t="s">
        <v>29</v>
      </c>
      <c r="J831" s="37">
        <v>45373</v>
      </c>
      <c r="K831" s="27" t="s">
        <v>22</v>
      </c>
    </row>
    <row r="832" spans="1:11" x14ac:dyDescent="0.2">
      <c r="A832" s="24" t="s">
        <v>2229</v>
      </c>
      <c r="B832" s="24" t="s">
        <v>2230</v>
      </c>
      <c r="C832" s="24" t="s">
        <v>1726</v>
      </c>
      <c r="D832" s="24" t="s">
        <v>17</v>
      </c>
      <c r="E832" s="24" t="s">
        <v>18</v>
      </c>
      <c r="F832" s="24" t="s">
        <v>19</v>
      </c>
      <c r="G832" s="24" t="s">
        <v>20</v>
      </c>
      <c r="H832" s="26">
        <v>48</v>
      </c>
      <c r="I832" s="24" t="s">
        <v>21</v>
      </c>
      <c r="J832" s="36">
        <v>45363</v>
      </c>
      <c r="K832" s="24" t="s">
        <v>22</v>
      </c>
    </row>
    <row r="833" spans="1:11" x14ac:dyDescent="0.2">
      <c r="A833" s="27" t="s">
        <v>2231</v>
      </c>
      <c r="B833" s="27" t="s">
        <v>2232</v>
      </c>
      <c r="C833" s="27" t="s">
        <v>1260</v>
      </c>
      <c r="D833" s="27" t="s">
        <v>17</v>
      </c>
      <c r="E833" s="27" t="s">
        <v>18</v>
      </c>
      <c r="F833" s="27" t="s">
        <v>19</v>
      </c>
      <c r="G833" s="27" t="s">
        <v>20</v>
      </c>
      <c r="H833" s="29">
        <v>26</v>
      </c>
      <c r="I833" s="27" t="s">
        <v>21</v>
      </c>
      <c r="J833" s="37">
        <v>45357</v>
      </c>
      <c r="K833" s="27" t="s">
        <v>22</v>
      </c>
    </row>
    <row r="834" spans="1:11" x14ac:dyDescent="0.2">
      <c r="A834" s="24" t="s">
        <v>2233</v>
      </c>
      <c r="B834" s="24" t="s">
        <v>2234</v>
      </c>
      <c r="C834" s="24" t="s">
        <v>2235</v>
      </c>
      <c r="D834" s="24" t="s">
        <v>17</v>
      </c>
      <c r="E834" s="24" t="s">
        <v>26</v>
      </c>
      <c r="F834" s="24" t="s">
        <v>27</v>
      </c>
      <c r="G834" s="24" t="s">
        <v>28</v>
      </c>
      <c r="H834" s="26">
        <v>184</v>
      </c>
      <c r="I834" s="24" t="s">
        <v>29</v>
      </c>
      <c r="J834" s="36">
        <v>45355</v>
      </c>
      <c r="K834" s="24" t="s">
        <v>22</v>
      </c>
    </row>
    <row r="835" spans="1:11" x14ac:dyDescent="0.2">
      <c r="A835" s="27" t="s">
        <v>2236</v>
      </c>
      <c r="B835" s="27" t="s">
        <v>2237</v>
      </c>
      <c r="C835" s="27" t="s">
        <v>2238</v>
      </c>
      <c r="D835" s="27" t="s">
        <v>17</v>
      </c>
      <c r="E835" s="27" t="s">
        <v>48</v>
      </c>
      <c r="F835" s="27" t="s">
        <v>49</v>
      </c>
      <c r="G835" s="27" t="s">
        <v>20</v>
      </c>
      <c r="H835" s="29">
        <v>25</v>
      </c>
      <c r="I835" s="27" t="s">
        <v>21</v>
      </c>
      <c r="J835" s="37">
        <v>45369</v>
      </c>
      <c r="K835" s="27" t="s">
        <v>22</v>
      </c>
    </row>
    <row r="836" spans="1:11" x14ac:dyDescent="0.2">
      <c r="A836" s="24" t="s">
        <v>2239</v>
      </c>
      <c r="B836" s="24" t="s">
        <v>2240</v>
      </c>
      <c r="C836" s="24" t="s">
        <v>2241</v>
      </c>
      <c r="D836" s="24" t="s">
        <v>17</v>
      </c>
      <c r="E836" s="24" t="s">
        <v>18</v>
      </c>
      <c r="F836" s="24" t="s">
        <v>19</v>
      </c>
      <c r="G836" s="24" t="s">
        <v>28</v>
      </c>
      <c r="H836" s="26">
        <v>72</v>
      </c>
      <c r="I836" s="24" t="s">
        <v>29</v>
      </c>
      <c r="J836" s="36">
        <v>45362</v>
      </c>
      <c r="K836" s="24" t="s">
        <v>22</v>
      </c>
    </row>
    <row r="837" spans="1:11" x14ac:dyDescent="0.2">
      <c r="A837" s="27" t="s">
        <v>2242</v>
      </c>
      <c r="B837" s="27" t="s">
        <v>2243</v>
      </c>
      <c r="C837" s="27" t="s">
        <v>242</v>
      </c>
      <c r="D837" s="27" t="s">
        <v>17</v>
      </c>
      <c r="E837" s="27" t="s">
        <v>48</v>
      </c>
      <c r="F837" s="27" t="s">
        <v>49</v>
      </c>
      <c r="G837" s="27" t="s">
        <v>38</v>
      </c>
      <c r="H837" s="29">
        <v>250</v>
      </c>
      <c r="I837" s="27" t="s">
        <v>29</v>
      </c>
      <c r="J837" s="37">
        <v>45370</v>
      </c>
      <c r="K837" s="27" t="s">
        <v>22</v>
      </c>
    </row>
    <row r="838" spans="1:11" x14ac:dyDescent="0.2">
      <c r="A838" s="24" t="s">
        <v>2244</v>
      </c>
      <c r="B838" s="24" t="s">
        <v>2245</v>
      </c>
      <c r="C838" s="24" t="s">
        <v>2246</v>
      </c>
      <c r="D838" s="24" t="s">
        <v>17</v>
      </c>
      <c r="E838" s="24" t="s">
        <v>18</v>
      </c>
      <c r="F838" s="24" t="s">
        <v>19</v>
      </c>
      <c r="G838" s="24" t="s">
        <v>38</v>
      </c>
      <c r="H838" s="26">
        <v>210</v>
      </c>
      <c r="I838" s="24" t="s">
        <v>29</v>
      </c>
      <c r="J838" s="36">
        <v>45357</v>
      </c>
      <c r="K838" s="24" t="s">
        <v>22</v>
      </c>
    </row>
    <row r="839" spans="1:11" x14ac:dyDescent="0.2">
      <c r="A839" s="27" t="s">
        <v>2247</v>
      </c>
      <c r="B839" s="27" t="s">
        <v>2248</v>
      </c>
      <c r="C839" s="27" t="s">
        <v>708</v>
      </c>
      <c r="D839" s="27" t="s">
        <v>17</v>
      </c>
      <c r="E839" s="27" t="s">
        <v>48</v>
      </c>
      <c r="F839" s="27" t="s">
        <v>49</v>
      </c>
      <c r="G839" s="27" t="s">
        <v>44</v>
      </c>
      <c r="H839" s="29">
        <v>1005</v>
      </c>
      <c r="I839" s="27" t="s">
        <v>21</v>
      </c>
      <c r="J839" s="37">
        <v>45364</v>
      </c>
      <c r="K839" s="27" t="s">
        <v>22</v>
      </c>
    </row>
    <row r="840" spans="1:11" x14ac:dyDescent="0.2">
      <c r="A840" s="24" t="s">
        <v>2249</v>
      </c>
      <c r="B840" s="24" t="s">
        <v>2250</v>
      </c>
      <c r="C840" s="24" t="s">
        <v>1666</v>
      </c>
      <c r="D840" s="24" t="s">
        <v>17</v>
      </c>
      <c r="E840" s="24" t="s">
        <v>18</v>
      </c>
      <c r="F840" s="24" t="s">
        <v>19</v>
      </c>
      <c r="G840" s="24" t="s">
        <v>20</v>
      </c>
      <c r="H840" s="26">
        <v>40</v>
      </c>
      <c r="I840" s="24" t="s">
        <v>21</v>
      </c>
      <c r="J840" s="36">
        <v>45371</v>
      </c>
      <c r="K840" s="24" t="s">
        <v>22</v>
      </c>
    </row>
    <row r="841" spans="1:11" x14ac:dyDescent="0.2">
      <c r="A841" s="27" t="s">
        <v>2251</v>
      </c>
      <c r="B841" s="27" t="s">
        <v>2252</v>
      </c>
      <c r="C841" s="27" t="s">
        <v>621</v>
      </c>
      <c r="D841" s="27" t="s">
        <v>17</v>
      </c>
      <c r="E841" s="27" t="s">
        <v>18</v>
      </c>
      <c r="F841" s="27" t="s">
        <v>19</v>
      </c>
      <c r="G841" s="27" t="s">
        <v>38</v>
      </c>
      <c r="H841" s="29">
        <v>24</v>
      </c>
      <c r="I841" s="27" t="s">
        <v>29</v>
      </c>
      <c r="J841" s="37">
        <v>45370</v>
      </c>
      <c r="K841" s="27" t="s">
        <v>22</v>
      </c>
    </row>
    <row r="842" spans="1:11" x14ac:dyDescent="0.2">
      <c r="A842" s="24" t="s">
        <v>2253</v>
      </c>
      <c r="B842" s="24" t="s">
        <v>2254</v>
      </c>
      <c r="C842" s="24" t="s">
        <v>1435</v>
      </c>
      <c r="D842" s="24" t="s">
        <v>17</v>
      </c>
      <c r="E842" s="24" t="s">
        <v>18</v>
      </c>
      <c r="F842" s="24" t="s">
        <v>19</v>
      </c>
      <c r="G842" s="24" t="s">
        <v>28</v>
      </c>
      <c r="H842" s="26">
        <v>18</v>
      </c>
      <c r="I842" s="24" t="s">
        <v>29</v>
      </c>
      <c r="J842" s="36">
        <v>45362</v>
      </c>
      <c r="K842" s="24" t="s">
        <v>22</v>
      </c>
    </row>
    <row r="843" spans="1:11" x14ac:dyDescent="0.2">
      <c r="A843" s="27" t="s">
        <v>2255</v>
      </c>
      <c r="B843" s="27" t="s">
        <v>2256</v>
      </c>
      <c r="C843" s="27" t="s">
        <v>2257</v>
      </c>
      <c r="D843" s="27" t="s">
        <v>17</v>
      </c>
      <c r="E843" s="27" t="s">
        <v>48</v>
      </c>
      <c r="F843" s="27" t="s">
        <v>49</v>
      </c>
      <c r="G843" s="27" t="s">
        <v>44</v>
      </c>
      <c r="H843" s="29">
        <v>156</v>
      </c>
      <c r="I843" s="27" t="s">
        <v>21</v>
      </c>
      <c r="J843" s="37">
        <v>45377</v>
      </c>
      <c r="K843" s="27" t="s">
        <v>22</v>
      </c>
    </row>
    <row r="844" spans="1:11" x14ac:dyDescent="0.2">
      <c r="A844" s="24" t="s">
        <v>2258</v>
      </c>
      <c r="B844" s="24" t="s">
        <v>2259</v>
      </c>
      <c r="C844" s="24" t="s">
        <v>191</v>
      </c>
      <c r="D844" s="24" t="s">
        <v>17</v>
      </c>
      <c r="E844" s="24" t="s">
        <v>42</v>
      </c>
      <c r="F844" s="24" t="s">
        <v>43</v>
      </c>
      <c r="G844" s="24" t="s">
        <v>44</v>
      </c>
      <c r="H844" s="26">
        <v>555</v>
      </c>
      <c r="I844" s="24" t="s">
        <v>21</v>
      </c>
      <c r="J844" s="36">
        <v>45363</v>
      </c>
      <c r="K844" s="24" t="s">
        <v>22</v>
      </c>
    </row>
    <row r="845" spans="1:11" x14ac:dyDescent="0.2">
      <c r="A845" s="27" t="s">
        <v>2260</v>
      </c>
      <c r="B845" s="27" t="s">
        <v>2261</v>
      </c>
      <c r="C845" s="27" t="s">
        <v>1907</v>
      </c>
      <c r="D845" s="27" t="s">
        <v>17</v>
      </c>
      <c r="E845" s="27" t="s">
        <v>42</v>
      </c>
      <c r="F845" s="27" t="s">
        <v>43</v>
      </c>
      <c r="G845" s="27" t="s">
        <v>38</v>
      </c>
      <c r="H845" s="29">
        <v>286</v>
      </c>
      <c r="I845" s="27" t="s">
        <v>29</v>
      </c>
      <c r="J845" s="37">
        <v>45352</v>
      </c>
      <c r="K845" s="27" t="s">
        <v>22</v>
      </c>
    </row>
    <row r="846" spans="1:11" x14ac:dyDescent="0.2">
      <c r="A846" s="24" t="s">
        <v>2262</v>
      </c>
      <c r="B846" s="24" t="s">
        <v>2263</v>
      </c>
      <c r="C846" s="24" t="s">
        <v>2264</v>
      </c>
      <c r="D846" s="24" t="s">
        <v>17</v>
      </c>
      <c r="E846" s="24" t="s">
        <v>48</v>
      </c>
      <c r="F846" s="24" t="s">
        <v>49</v>
      </c>
      <c r="G846" s="24" t="s">
        <v>44</v>
      </c>
      <c r="H846" s="26">
        <v>210</v>
      </c>
      <c r="I846" s="24" t="s">
        <v>29</v>
      </c>
      <c r="J846" s="36">
        <v>45352</v>
      </c>
      <c r="K846" s="24" t="s">
        <v>22</v>
      </c>
    </row>
    <row r="847" spans="1:11" x14ac:dyDescent="0.2">
      <c r="A847" s="27" t="s">
        <v>2265</v>
      </c>
      <c r="B847" s="27" t="s">
        <v>2266</v>
      </c>
      <c r="C847" s="27" t="s">
        <v>134</v>
      </c>
      <c r="D847" s="27" t="s">
        <v>17</v>
      </c>
      <c r="E847" s="27" t="s">
        <v>48</v>
      </c>
      <c r="F847" s="27" t="s">
        <v>49</v>
      </c>
      <c r="G847" s="27" t="s">
        <v>44</v>
      </c>
      <c r="H847" s="29">
        <v>310</v>
      </c>
      <c r="I847" s="27" t="s">
        <v>29</v>
      </c>
      <c r="J847" s="37">
        <v>45371</v>
      </c>
      <c r="K847" s="27" t="s">
        <v>22</v>
      </c>
    </row>
    <row r="848" spans="1:11" x14ac:dyDescent="0.2">
      <c r="A848" s="24" t="s">
        <v>2267</v>
      </c>
      <c r="B848" s="24" t="s">
        <v>2268</v>
      </c>
      <c r="C848" s="24" t="s">
        <v>2269</v>
      </c>
      <c r="D848" s="24" t="s">
        <v>17</v>
      </c>
      <c r="E848" s="24" t="s">
        <v>81</v>
      </c>
      <c r="F848" s="24" t="s">
        <v>82</v>
      </c>
      <c r="G848" s="24" t="s">
        <v>20</v>
      </c>
      <c r="H848" s="26">
        <v>408</v>
      </c>
      <c r="I848" s="24" t="s">
        <v>21</v>
      </c>
      <c r="J848" s="36">
        <v>45353</v>
      </c>
      <c r="K848" s="24" t="s">
        <v>22</v>
      </c>
    </row>
    <row r="849" spans="1:11" x14ac:dyDescent="0.2">
      <c r="A849" s="27" t="s">
        <v>2270</v>
      </c>
      <c r="B849" s="27" t="s">
        <v>2271</v>
      </c>
      <c r="C849" s="27" t="s">
        <v>2272</v>
      </c>
      <c r="D849" s="27" t="s">
        <v>17</v>
      </c>
      <c r="E849" s="27" t="s">
        <v>42</v>
      </c>
      <c r="F849" s="27" t="s">
        <v>43</v>
      </c>
      <c r="G849" s="27" t="s">
        <v>20</v>
      </c>
      <c r="H849" s="29">
        <v>318</v>
      </c>
      <c r="I849" s="27" t="s">
        <v>21</v>
      </c>
      <c r="J849" s="37">
        <v>45362</v>
      </c>
      <c r="K849" s="27" t="s">
        <v>22</v>
      </c>
    </row>
    <row r="850" spans="1:11" x14ac:dyDescent="0.2">
      <c r="A850" s="24" t="s">
        <v>2273</v>
      </c>
      <c r="B850" s="24" t="s">
        <v>2274</v>
      </c>
      <c r="C850" s="24" t="s">
        <v>687</v>
      </c>
      <c r="D850" s="24" t="s">
        <v>17</v>
      </c>
      <c r="E850" s="24" t="s">
        <v>48</v>
      </c>
      <c r="F850" s="24" t="s">
        <v>49</v>
      </c>
      <c r="G850" s="24" t="s">
        <v>20</v>
      </c>
      <c r="H850" s="26">
        <v>355</v>
      </c>
      <c r="I850" s="24" t="s">
        <v>21</v>
      </c>
      <c r="J850" s="36">
        <v>45369</v>
      </c>
      <c r="K850" s="24" t="s">
        <v>22</v>
      </c>
    </row>
    <row r="851" spans="1:11" x14ac:dyDescent="0.2">
      <c r="A851" s="27" t="s">
        <v>2275</v>
      </c>
      <c r="B851" s="27" t="s">
        <v>2276</v>
      </c>
      <c r="C851" s="27" t="s">
        <v>1608</v>
      </c>
      <c r="D851" s="27" t="s">
        <v>17</v>
      </c>
      <c r="E851" s="27" t="s">
        <v>26</v>
      </c>
      <c r="F851" s="27" t="s">
        <v>27</v>
      </c>
      <c r="G851" s="27" t="s">
        <v>28</v>
      </c>
      <c r="H851" s="29">
        <v>50</v>
      </c>
      <c r="I851" s="27" t="s">
        <v>29</v>
      </c>
      <c r="J851" s="37">
        <v>45352</v>
      </c>
      <c r="K851" s="27" t="s">
        <v>22</v>
      </c>
    </row>
    <row r="852" spans="1:11" x14ac:dyDescent="0.2">
      <c r="A852" s="24" t="s">
        <v>2277</v>
      </c>
      <c r="B852" s="24" t="s">
        <v>2278</v>
      </c>
      <c r="C852" s="24" t="s">
        <v>2279</v>
      </c>
      <c r="D852" s="24" t="s">
        <v>17</v>
      </c>
      <c r="E852" s="24" t="s">
        <v>81</v>
      </c>
      <c r="F852" s="24" t="s">
        <v>82</v>
      </c>
      <c r="G852" s="24" t="s">
        <v>38</v>
      </c>
      <c r="H852" s="26">
        <v>252</v>
      </c>
      <c r="I852" s="24" t="s">
        <v>29</v>
      </c>
      <c r="J852" s="36">
        <v>45382</v>
      </c>
      <c r="K852" s="24" t="s">
        <v>22</v>
      </c>
    </row>
    <row r="853" spans="1:11" x14ac:dyDescent="0.2">
      <c r="A853" s="27" t="s">
        <v>2280</v>
      </c>
      <c r="B853" s="27" t="s">
        <v>2281</v>
      </c>
      <c r="C853" s="27" t="s">
        <v>2282</v>
      </c>
      <c r="D853" s="27" t="s">
        <v>17</v>
      </c>
      <c r="E853" s="27" t="s">
        <v>42</v>
      </c>
      <c r="F853" s="27" t="s">
        <v>43</v>
      </c>
      <c r="G853" s="27" t="s">
        <v>28</v>
      </c>
      <c r="H853" s="29">
        <v>472</v>
      </c>
      <c r="I853" s="27" t="s">
        <v>29</v>
      </c>
      <c r="J853" s="37">
        <v>45366</v>
      </c>
      <c r="K853" s="27" t="s">
        <v>22</v>
      </c>
    </row>
    <row r="854" spans="1:11" x14ac:dyDescent="0.2">
      <c r="A854" s="24" t="s">
        <v>2283</v>
      </c>
      <c r="B854" s="24" t="s">
        <v>2284</v>
      </c>
      <c r="C854" s="24" t="s">
        <v>301</v>
      </c>
      <c r="D854" s="24" t="s">
        <v>17</v>
      </c>
      <c r="E854" s="24" t="s">
        <v>42</v>
      </c>
      <c r="F854" s="24" t="s">
        <v>43</v>
      </c>
      <c r="G854" s="24" t="s">
        <v>28</v>
      </c>
      <c r="H854" s="26">
        <v>120</v>
      </c>
      <c r="I854" s="24" t="s">
        <v>29</v>
      </c>
      <c r="J854" s="36">
        <v>45364</v>
      </c>
      <c r="K854" s="24" t="s">
        <v>22</v>
      </c>
    </row>
    <row r="855" spans="1:11" x14ac:dyDescent="0.2">
      <c r="A855" s="27" t="s">
        <v>2285</v>
      </c>
      <c r="B855" s="27" t="s">
        <v>2286</v>
      </c>
      <c r="C855" s="27" t="s">
        <v>2287</v>
      </c>
      <c r="D855" s="27" t="s">
        <v>17</v>
      </c>
      <c r="E855" s="27" t="s">
        <v>48</v>
      </c>
      <c r="F855" s="27" t="s">
        <v>49</v>
      </c>
      <c r="G855" s="27" t="s">
        <v>20</v>
      </c>
      <c r="H855" s="29">
        <v>73</v>
      </c>
      <c r="I855" s="27" t="s">
        <v>21</v>
      </c>
      <c r="J855" s="37">
        <v>45371</v>
      </c>
      <c r="K855" s="27" t="s">
        <v>22</v>
      </c>
    </row>
    <row r="856" spans="1:11" x14ac:dyDescent="0.2">
      <c r="A856" s="24" t="s">
        <v>2288</v>
      </c>
      <c r="B856" s="24" t="s">
        <v>2289</v>
      </c>
      <c r="C856" s="24" t="s">
        <v>2290</v>
      </c>
      <c r="D856" s="24" t="s">
        <v>17</v>
      </c>
      <c r="E856" s="24" t="s">
        <v>26</v>
      </c>
      <c r="F856" s="24" t="s">
        <v>27</v>
      </c>
      <c r="G856" s="24" t="s">
        <v>44</v>
      </c>
      <c r="H856" s="26">
        <v>466</v>
      </c>
      <c r="I856" s="24" t="s">
        <v>29</v>
      </c>
      <c r="J856" s="36">
        <v>45365</v>
      </c>
      <c r="K856" s="24" t="s">
        <v>22</v>
      </c>
    </row>
    <row r="857" spans="1:11" x14ac:dyDescent="0.2">
      <c r="A857" s="27" t="s">
        <v>2291</v>
      </c>
      <c r="B857" s="27" t="s">
        <v>2292</v>
      </c>
      <c r="C857" s="27" t="s">
        <v>859</v>
      </c>
      <c r="D857" s="27" t="s">
        <v>17</v>
      </c>
      <c r="E857" s="27" t="s">
        <v>42</v>
      </c>
      <c r="F857" s="27" t="s">
        <v>43</v>
      </c>
      <c r="G857" s="27" t="s">
        <v>28</v>
      </c>
      <c r="H857" s="29">
        <v>400</v>
      </c>
      <c r="I857" s="27" t="s">
        <v>29</v>
      </c>
      <c r="J857" s="37">
        <v>45352</v>
      </c>
      <c r="K857" s="27" t="s">
        <v>22</v>
      </c>
    </row>
    <row r="858" spans="1:11" x14ac:dyDescent="0.2">
      <c r="A858" s="24" t="s">
        <v>2293</v>
      </c>
      <c r="B858" s="24" t="s">
        <v>2294</v>
      </c>
      <c r="C858" s="24" t="s">
        <v>1110</v>
      </c>
      <c r="D858" s="24" t="s">
        <v>17</v>
      </c>
      <c r="E858" s="24" t="s">
        <v>42</v>
      </c>
      <c r="F858" s="24" t="s">
        <v>43</v>
      </c>
      <c r="G858" s="24" t="s">
        <v>20</v>
      </c>
      <c r="H858" s="26">
        <v>56</v>
      </c>
      <c r="I858" s="24" t="s">
        <v>21</v>
      </c>
      <c r="J858" s="36">
        <v>45372</v>
      </c>
      <c r="K858" s="24" t="s">
        <v>22</v>
      </c>
    </row>
    <row r="859" spans="1:11" x14ac:dyDescent="0.2">
      <c r="A859" s="27" t="s">
        <v>2295</v>
      </c>
      <c r="B859" s="27" t="s">
        <v>2296</v>
      </c>
      <c r="C859" s="27" t="s">
        <v>2045</v>
      </c>
      <c r="D859" s="27" t="s">
        <v>17</v>
      </c>
      <c r="E859" s="27" t="s">
        <v>18</v>
      </c>
      <c r="F859" s="27" t="s">
        <v>19</v>
      </c>
      <c r="G859" s="27" t="s">
        <v>20</v>
      </c>
      <c r="H859" s="29">
        <v>153</v>
      </c>
      <c r="I859" s="27" t="s">
        <v>21</v>
      </c>
      <c r="J859" s="37">
        <v>45371</v>
      </c>
      <c r="K859" s="27" t="s">
        <v>22</v>
      </c>
    </row>
    <row r="860" spans="1:11" x14ac:dyDescent="0.2">
      <c r="A860" s="24" t="s">
        <v>2297</v>
      </c>
      <c r="B860" s="24" t="s">
        <v>2298</v>
      </c>
      <c r="C860" s="24" t="s">
        <v>2299</v>
      </c>
      <c r="D860" s="24" t="s">
        <v>17</v>
      </c>
      <c r="E860" s="24" t="s">
        <v>48</v>
      </c>
      <c r="F860" s="24" t="s">
        <v>49</v>
      </c>
      <c r="G860" s="24" t="s">
        <v>20</v>
      </c>
      <c r="H860" s="26">
        <v>41</v>
      </c>
      <c r="I860" s="24" t="s">
        <v>21</v>
      </c>
      <c r="J860" s="36">
        <v>45356</v>
      </c>
      <c r="K860" s="24" t="s">
        <v>22</v>
      </c>
    </row>
    <row r="861" spans="1:11" x14ac:dyDescent="0.2">
      <c r="A861" s="27" t="s">
        <v>2300</v>
      </c>
      <c r="B861" s="27" t="s">
        <v>2301</v>
      </c>
      <c r="C861" s="27" t="s">
        <v>382</v>
      </c>
      <c r="D861" s="27" t="s">
        <v>17</v>
      </c>
      <c r="E861" s="27" t="s">
        <v>18</v>
      </c>
      <c r="F861" s="27" t="s">
        <v>19</v>
      </c>
      <c r="G861" s="27" t="s">
        <v>28</v>
      </c>
      <c r="H861" s="29">
        <v>120</v>
      </c>
      <c r="I861" s="27" t="s">
        <v>29</v>
      </c>
      <c r="J861" s="37">
        <v>45379</v>
      </c>
      <c r="K861" s="27" t="s">
        <v>22</v>
      </c>
    </row>
    <row r="862" spans="1:11" x14ac:dyDescent="0.2">
      <c r="A862" s="24" t="s">
        <v>2302</v>
      </c>
      <c r="B862" s="24" t="s">
        <v>2303</v>
      </c>
      <c r="C862" s="24" t="s">
        <v>2304</v>
      </c>
      <c r="D862" s="24" t="s">
        <v>17</v>
      </c>
      <c r="E862" s="24" t="s">
        <v>42</v>
      </c>
      <c r="F862" s="24" t="s">
        <v>43</v>
      </c>
      <c r="G862" s="24" t="s">
        <v>44</v>
      </c>
      <c r="H862" s="26">
        <v>488</v>
      </c>
      <c r="I862" s="24" t="s">
        <v>21</v>
      </c>
      <c r="J862" s="36">
        <v>45370</v>
      </c>
      <c r="K862" s="24" t="s">
        <v>22</v>
      </c>
    </row>
    <row r="863" spans="1:11" x14ac:dyDescent="0.2">
      <c r="A863" s="27" t="s">
        <v>2305</v>
      </c>
      <c r="B863" s="27" t="s">
        <v>2306</v>
      </c>
      <c r="C863" s="27" t="s">
        <v>251</v>
      </c>
      <c r="D863" s="27" t="s">
        <v>17</v>
      </c>
      <c r="E863" s="27" t="s">
        <v>42</v>
      </c>
      <c r="F863" s="27" t="s">
        <v>43</v>
      </c>
      <c r="G863" s="27" t="s">
        <v>20</v>
      </c>
      <c r="H863" s="29">
        <v>71</v>
      </c>
      <c r="I863" s="27" t="s">
        <v>21</v>
      </c>
      <c r="J863" s="37">
        <v>45372</v>
      </c>
      <c r="K863" s="27" t="s">
        <v>22</v>
      </c>
    </row>
    <row r="864" spans="1:11" x14ac:dyDescent="0.2">
      <c r="A864" s="24" t="s">
        <v>2307</v>
      </c>
      <c r="B864" s="24" t="s">
        <v>2308</v>
      </c>
      <c r="C864" s="24" t="s">
        <v>2309</v>
      </c>
      <c r="D864" s="24" t="s">
        <v>17</v>
      </c>
      <c r="E864" s="24" t="s">
        <v>18</v>
      </c>
      <c r="F864" s="24" t="s">
        <v>19</v>
      </c>
      <c r="G864" s="24" t="s">
        <v>227</v>
      </c>
      <c r="H864" s="26">
        <v>36</v>
      </c>
      <c r="I864" s="24" t="s">
        <v>29</v>
      </c>
      <c r="J864" s="36">
        <v>45370</v>
      </c>
      <c r="K864" s="24" t="s">
        <v>22</v>
      </c>
    </row>
    <row r="865" spans="1:11" x14ac:dyDescent="0.2">
      <c r="A865" s="27" t="s">
        <v>2310</v>
      </c>
      <c r="B865" s="27" t="s">
        <v>2311</v>
      </c>
      <c r="C865" s="27" t="s">
        <v>1931</v>
      </c>
      <c r="D865" s="27" t="s">
        <v>17</v>
      </c>
      <c r="E865" s="27" t="s">
        <v>18</v>
      </c>
      <c r="F865" s="27" t="s">
        <v>19</v>
      </c>
      <c r="G865" s="27" t="s">
        <v>116</v>
      </c>
      <c r="H865" s="29">
        <v>0</v>
      </c>
      <c r="I865" s="27" t="s">
        <v>21</v>
      </c>
      <c r="J865" s="37">
        <v>45352</v>
      </c>
      <c r="K865" s="27" t="s">
        <v>22</v>
      </c>
    </row>
    <row r="866" spans="1:11" x14ac:dyDescent="0.2">
      <c r="A866" s="24" t="s">
        <v>2312</v>
      </c>
      <c r="B866" s="24" t="s">
        <v>2313</v>
      </c>
      <c r="C866" s="24" t="s">
        <v>298</v>
      </c>
      <c r="D866" s="24" t="s">
        <v>17</v>
      </c>
      <c r="E866" s="24" t="s">
        <v>42</v>
      </c>
      <c r="F866" s="24" t="s">
        <v>43</v>
      </c>
      <c r="G866" s="24" t="s">
        <v>44</v>
      </c>
      <c r="H866" s="26">
        <v>577</v>
      </c>
      <c r="I866" s="24" t="s">
        <v>21</v>
      </c>
      <c r="J866" s="36">
        <v>45376</v>
      </c>
      <c r="K866" s="24" t="s">
        <v>22</v>
      </c>
    </row>
    <row r="867" spans="1:11" x14ac:dyDescent="0.2">
      <c r="A867" s="27" t="s">
        <v>2314</v>
      </c>
      <c r="B867" s="27" t="s">
        <v>2315</v>
      </c>
      <c r="C867" s="27" t="s">
        <v>25</v>
      </c>
      <c r="D867" s="27" t="s">
        <v>17</v>
      </c>
      <c r="E867" s="27" t="s">
        <v>18</v>
      </c>
      <c r="F867" s="27" t="s">
        <v>19</v>
      </c>
      <c r="G867" s="27" t="s">
        <v>20</v>
      </c>
      <c r="H867" s="29">
        <v>16</v>
      </c>
      <c r="I867" s="27" t="s">
        <v>21</v>
      </c>
      <c r="J867" s="37">
        <v>45355</v>
      </c>
      <c r="K867" s="27" t="s">
        <v>22</v>
      </c>
    </row>
    <row r="868" spans="1:11" x14ac:dyDescent="0.2">
      <c r="A868" s="24" t="s">
        <v>2316</v>
      </c>
      <c r="B868" s="24" t="s">
        <v>2317</v>
      </c>
      <c r="C868" s="24" t="s">
        <v>2318</v>
      </c>
      <c r="D868" s="24" t="s">
        <v>17</v>
      </c>
      <c r="E868" s="24" t="s">
        <v>163</v>
      </c>
      <c r="F868" s="24" t="s">
        <v>164</v>
      </c>
      <c r="G868" s="24" t="s">
        <v>217</v>
      </c>
      <c r="H868" s="26">
        <v>72</v>
      </c>
      <c r="I868" s="24" t="s">
        <v>29</v>
      </c>
      <c r="J868" s="36">
        <v>45366</v>
      </c>
      <c r="K868" s="24" t="s">
        <v>22</v>
      </c>
    </row>
    <row r="869" spans="1:11" x14ac:dyDescent="0.2">
      <c r="A869" s="27" t="s">
        <v>2319</v>
      </c>
      <c r="B869" s="27" t="s">
        <v>2320</v>
      </c>
      <c r="C869" s="27" t="s">
        <v>2321</v>
      </c>
      <c r="D869" s="27" t="s">
        <v>17</v>
      </c>
      <c r="E869" s="27" t="s">
        <v>42</v>
      </c>
      <c r="F869" s="27" t="s">
        <v>43</v>
      </c>
      <c r="G869" s="27" t="s">
        <v>20</v>
      </c>
      <c r="H869" s="29">
        <v>45</v>
      </c>
      <c r="I869" s="27" t="s">
        <v>21</v>
      </c>
      <c r="J869" s="37">
        <v>45379</v>
      </c>
      <c r="K869" s="27" t="s">
        <v>22</v>
      </c>
    </row>
    <row r="870" spans="1:11" x14ac:dyDescent="0.2">
      <c r="A870" s="24" t="s">
        <v>2322</v>
      </c>
      <c r="B870" s="24" t="s">
        <v>2323</v>
      </c>
      <c r="C870" s="24" t="s">
        <v>2324</v>
      </c>
      <c r="D870" s="24" t="s">
        <v>17</v>
      </c>
      <c r="E870" s="24" t="s">
        <v>18</v>
      </c>
      <c r="F870" s="24" t="s">
        <v>19</v>
      </c>
      <c r="G870" s="24" t="s">
        <v>20</v>
      </c>
      <c r="H870" s="26">
        <v>150</v>
      </c>
      <c r="I870" s="24" t="s">
        <v>21</v>
      </c>
      <c r="J870" s="36">
        <v>45376</v>
      </c>
      <c r="K870" s="24" t="s">
        <v>22</v>
      </c>
    </row>
    <row r="871" spans="1:11" x14ac:dyDescent="0.2">
      <c r="A871" s="27" t="s">
        <v>2325</v>
      </c>
      <c r="B871" s="27" t="s">
        <v>2326</v>
      </c>
      <c r="C871" s="27" t="s">
        <v>55</v>
      </c>
      <c r="D871" s="27" t="s">
        <v>17</v>
      </c>
      <c r="E871" s="27" t="s">
        <v>26</v>
      </c>
      <c r="F871" s="27" t="s">
        <v>27</v>
      </c>
      <c r="G871" s="27" t="s">
        <v>44</v>
      </c>
      <c r="H871" s="29">
        <v>230</v>
      </c>
      <c r="I871" s="27" t="s">
        <v>29</v>
      </c>
      <c r="J871" s="37">
        <v>45379</v>
      </c>
      <c r="K871" s="27" t="s">
        <v>22</v>
      </c>
    </row>
    <row r="872" spans="1:11" x14ac:dyDescent="0.2">
      <c r="A872" s="24" t="s">
        <v>2327</v>
      </c>
      <c r="B872" s="24" t="s">
        <v>2328</v>
      </c>
      <c r="C872" s="24" t="s">
        <v>55</v>
      </c>
      <c r="D872" s="24" t="s">
        <v>17</v>
      </c>
      <c r="E872" s="24" t="s">
        <v>18</v>
      </c>
      <c r="F872" s="24" t="s">
        <v>19</v>
      </c>
      <c r="G872" s="24" t="s">
        <v>20</v>
      </c>
      <c r="H872" s="26">
        <v>18</v>
      </c>
      <c r="I872" s="24" t="s">
        <v>21</v>
      </c>
      <c r="J872" s="36">
        <v>45370</v>
      </c>
      <c r="K872" s="24" t="s">
        <v>22</v>
      </c>
    </row>
    <row r="873" spans="1:11" x14ac:dyDescent="0.2">
      <c r="A873" s="27" t="s">
        <v>2329</v>
      </c>
      <c r="B873" s="27" t="s">
        <v>2330</v>
      </c>
      <c r="C873" s="27" t="s">
        <v>2331</v>
      </c>
      <c r="D873" s="27" t="s">
        <v>17</v>
      </c>
      <c r="E873" s="27" t="s">
        <v>26</v>
      </c>
      <c r="F873" s="27" t="s">
        <v>27</v>
      </c>
      <c r="G873" s="27" t="s">
        <v>59</v>
      </c>
      <c r="H873" s="29">
        <v>1</v>
      </c>
      <c r="I873" s="27" t="s">
        <v>21</v>
      </c>
      <c r="J873" s="37">
        <v>45378</v>
      </c>
      <c r="K873" s="27" t="s">
        <v>22</v>
      </c>
    </row>
    <row r="874" spans="1:11" x14ac:dyDescent="0.2">
      <c r="A874" s="24" t="s">
        <v>2332</v>
      </c>
      <c r="B874" s="24" t="s">
        <v>2333</v>
      </c>
      <c r="C874" s="24" t="s">
        <v>115</v>
      </c>
      <c r="D874" s="24" t="s">
        <v>17</v>
      </c>
      <c r="E874" s="24" t="s">
        <v>42</v>
      </c>
      <c r="F874" s="24" t="s">
        <v>43</v>
      </c>
      <c r="G874" s="24" t="s">
        <v>44</v>
      </c>
      <c r="H874" s="26">
        <v>18</v>
      </c>
      <c r="I874" s="24" t="s">
        <v>21</v>
      </c>
      <c r="J874" s="36">
        <v>45370</v>
      </c>
      <c r="K874" s="24" t="s">
        <v>22</v>
      </c>
    </row>
    <row r="875" spans="1:11" x14ac:dyDescent="0.2">
      <c r="A875" s="27" t="s">
        <v>2334</v>
      </c>
      <c r="B875" s="27" t="s">
        <v>2335</v>
      </c>
      <c r="C875" s="27" t="s">
        <v>2116</v>
      </c>
      <c r="D875" s="27" t="s">
        <v>17</v>
      </c>
      <c r="E875" s="27" t="s">
        <v>48</v>
      </c>
      <c r="F875" s="27" t="s">
        <v>49</v>
      </c>
      <c r="G875" s="27" t="s">
        <v>44</v>
      </c>
      <c r="H875" s="29">
        <v>56</v>
      </c>
      <c r="I875" s="27" t="s">
        <v>21</v>
      </c>
      <c r="J875" s="37">
        <v>45371</v>
      </c>
      <c r="K875" s="27" t="s">
        <v>22</v>
      </c>
    </row>
    <row r="876" spans="1:11" x14ac:dyDescent="0.2">
      <c r="A876" s="24" t="s">
        <v>2336</v>
      </c>
      <c r="B876" s="24" t="s">
        <v>2337</v>
      </c>
      <c r="C876" s="24" t="s">
        <v>1199</v>
      </c>
      <c r="D876" s="24" t="s">
        <v>17</v>
      </c>
      <c r="E876" s="24" t="s">
        <v>48</v>
      </c>
      <c r="F876" s="24" t="s">
        <v>49</v>
      </c>
      <c r="G876" s="24" t="s">
        <v>44</v>
      </c>
      <c r="H876" s="26">
        <v>153</v>
      </c>
      <c r="I876" s="24" t="s">
        <v>21</v>
      </c>
      <c r="J876" s="36">
        <v>45362</v>
      </c>
      <c r="K876" s="24" t="s">
        <v>22</v>
      </c>
    </row>
    <row r="877" spans="1:11" x14ac:dyDescent="0.2">
      <c r="A877" s="27" t="s">
        <v>2338</v>
      </c>
      <c r="B877" s="27" t="s">
        <v>2339</v>
      </c>
      <c r="C877" s="27" t="s">
        <v>2123</v>
      </c>
      <c r="D877" s="27" t="s">
        <v>17</v>
      </c>
      <c r="E877" s="27" t="s">
        <v>18</v>
      </c>
      <c r="F877" s="27" t="s">
        <v>19</v>
      </c>
      <c r="G877" s="27" t="s">
        <v>20</v>
      </c>
      <c r="H877" s="29">
        <v>24</v>
      </c>
      <c r="I877" s="27" t="s">
        <v>21</v>
      </c>
      <c r="J877" s="37">
        <v>45378</v>
      </c>
      <c r="K877" s="27" t="s">
        <v>22</v>
      </c>
    </row>
    <row r="878" spans="1:11" x14ac:dyDescent="0.2">
      <c r="A878" s="24" t="s">
        <v>2340</v>
      </c>
      <c r="B878" s="24" t="s">
        <v>2341</v>
      </c>
      <c r="C878" s="24" t="s">
        <v>2342</v>
      </c>
      <c r="D878" s="24" t="s">
        <v>17</v>
      </c>
      <c r="E878" s="24" t="s">
        <v>26</v>
      </c>
      <c r="F878" s="24" t="s">
        <v>27</v>
      </c>
      <c r="G878" s="24" t="s">
        <v>59</v>
      </c>
      <c r="H878" s="26">
        <v>5</v>
      </c>
      <c r="I878" s="24" t="s">
        <v>21</v>
      </c>
      <c r="J878" s="36">
        <v>45358</v>
      </c>
      <c r="K878" s="24" t="s">
        <v>22</v>
      </c>
    </row>
    <row r="879" spans="1:11" x14ac:dyDescent="0.2">
      <c r="A879" s="27" t="s">
        <v>2343</v>
      </c>
      <c r="B879" s="27" t="s">
        <v>2344</v>
      </c>
      <c r="C879" s="27" t="s">
        <v>115</v>
      </c>
      <c r="D879" s="27" t="s">
        <v>17</v>
      </c>
      <c r="E879" s="27" t="s">
        <v>42</v>
      </c>
      <c r="F879" s="27" t="s">
        <v>43</v>
      </c>
      <c r="G879" s="27" t="s">
        <v>28</v>
      </c>
      <c r="H879" s="29">
        <v>50</v>
      </c>
      <c r="I879" s="27" t="s">
        <v>29</v>
      </c>
      <c r="J879" s="37">
        <v>45352</v>
      </c>
      <c r="K879" s="27" t="s">
        <v>22</v>
      </c>
    </row>
    <row r="880" spans="1:11" x14ac:dyDescent="0.2">
      <c r="A880" s="24" t="s">
        <v>2345</v>
      </c>
      <c r="B880" s="24" t="s">
        <v>2346</v>
      </c>
      <c r="C880" s="24" t="s">
        <v>106</v>
      </c>
      <c r="D880" s="24" t="s">
        <v>17</v>
      </c>
      <c r="E880" s="24" t="s">
        <v>18</v>
      </c>
      <c r="F880" s="24" t="s">
        <v>19</v>
      </c>
      <c r="G880" s="24" t="s">
        <v>20</v>
      </c>
      <c r="H880" s="26">
        <v>75</v>
      </c>
      <c r="I880" s="24" t="s">
        <v>21</v>
      </c>
      <c r="J880" s="36">
        <v>45362</v>
      </c>
      <c r="K880" s="24" t="s">
        <v>22</v>
      </c>
    </row>
    <row r="881" spans="1:11" x14ac:dyDescent="0.2">
      <c r="A881" s="27" t="s">
        <v>2347</v>
      </c>
      <c r="B881" s="27" t="s">
        <v>2348</v>
      </c>
      <c r="C881" s="27" t="s">
        <v>2349</v>
      </c>
      <c r="D881" s="27" t="s">
        <v>17</v>
      </c>
      <c r="E881" s="27" t="s">
        <v>18</v>
      </c>
      <c r="F881" s="27" t="s">
        <v>19</v>
      </c>
      <c r="G881" s="27" t="s">
        <v>20</v>
      </c>
      <c r="H881" s="29">
        <v>12</v>
      </c>
      <c r="I881" s="27" t="s">
        <v>21</v>
      </c>
      <c r="J881" s="37">
        <v>45375</v>
      </c>
      <c r="K881" s="27" t="s">
        <v>22</v>
      </c>
    </row>
    <row r="882" spans="1:11" x14ac:dyDescent="0.2">
      <c r="A882" s="24" t="s">
        <v>2350</v>
      </c>
      <c r="B882" s="24" t="s">
        <v>2351</v>
      </c>
      <c r="C882" s="24" t="s">
        <v>2352</v>
      </c>
      <c r="D882" s="24" t="s">
        <v>17</v>
      </c>
      <c r="E882" s="24" t="s">
        <v>81</v>
      </c>
      <c r="F882" s="24" t="s">
        <v>82</v>
      </c>
      <c r="G882" s="24" t="s">
        <v>20</v>
      </c>
      <c r="H882" s="26">
        <v>161</v>
      </c>
      <c r="I882" s="24" t="s">
        <v>21</v>
      </c>
      <c r="J882" s="36">
        <v>45376</v>
      </c>
      <c r="K882" s="24" t="s">
        <v>22</v>
      </c>
    </row>
    <row r="883" spans="1:11" x14ac:dyDescent="0.2">
      <c r="A883" s="27" t="s">
        <v>2353</v>
      </c>
      <c r="B883" s="27" t="s">
        <v>2354</v>
      </c>
      <c r="C883" s="27" t="s">
        <v>2355</v>
      </c>
      <c r="D883" s="27" t="s">
        <v>17</v>
      </c>
      <c r="E883" s="27" t="s">
        <v>18</v>
      </c>
      <c r="F883" s="27" t="s">
        <v>19</v>
      </c>
      <c r="G883" s="27" t="s">
        <v>20</v>
      </c>
      <c r="H883" s="29">
        <v>24</v>
      </c>
      <c r="I883" s="27" t="s">
        <v>21</v>
      </c>
      <c r="J883" s="37">
        <v>45379</v>
      </c>
      <c r="K883" s="27" t="s">
        <v>22</v>
      </c>
    </row>
    <row r="884" spans="1:11" x14ac:dyDescent="0.2">
      <c r="A884" s="24" t="s">
        <v>2356</v>
      </c>
      <c r="B884" s="24" t="s">
        <v>2357</v>
      </c>
      <c r="C884" s="24" t="s">
        <v>354</v>
      </c>
      <c r="D884" s="24" t="s">
        <v>17</v>
      </c>
      <c r="E884" s="24" t="s">
        <v>18</v>
      </c>
      <c r="F884" s="24" t="s">
        <v>19</v>
      </c>
      <c r="G884" s="24" t="s">
        <v>20</v>
      </c>
      <c r="H884" s="26">
        <v>10</v>
      </c>
      <c r="I884" s="24" t="s">
        <v>21</v>
      </c>
      <c r="J884" s="36">
        <v>45377</v>
      </c>
      <c r="K884" s="24" t="s">
        <v>22</v>
      </c>
    </row>
    <row r="885" spans="1:11" x14ac:dyDescent="0.2">
      <c r="A885" s="27" t="s">
        <v>2358</v>
      </c>
      <c r="B885" s="27" t="s">
        <v>2359</v>
      </c>
      <c r="C885" s="27" t="s">
        <v>1260</v>
      </c>
      <c r="D885" s="27" t="s">
        <v>17</v>
      </c>
      <c r="E885" s="27" t="s">
        <v>18</v>
      </c>
      <c r="F885" s="27" t="s">
        <v>19</v>
      </c>
      <c r="G885" s="27" t="s">
        <v>28</v>
      </c>
      <c r="H885" s="29">
        <v>268</v>
      </c>
      <c r="I885" s="27" t="s">
        <v>29</v>
      </c>
      <c r="J885" s="37">
        <v>45372</v>
      </c>
      <c r="K885" s="27" t="s">
        <v>22</v>
      </c>
    </row>
    <row r="886" spans="1:11" x14ac:dyDescent="0.2">
      <c r="A886" s="24" t="s">
        <v>2360</v>
      </c>
      <c r="B886" s="24" t="s">
        <v>2361</v>
      </c>
      <c r="C886" s="24" t="s">
        <v>55</v>
      </c>
      <c r="D886" s="24" t="s">
        <v>17</v>
      </c>
      <c r="E886" s="24" t="s">
        <v>18</v>
      </c>
      <c r="F886" s="24" t="s">
        <v>19</v>
      </c>
      <c r="G886" s="24" t="s">
        <v>20</v>
      </c>
      <c r="H886" s="26">
        <v>40</v>
      </c>
      <c r="I886" s="24" t="s">
        <v>21</v>
      </c>
      <c r="J886" s="36">
        <v>45369</v>
      </c>
      <c r="K886" s="24" t="s">
        <v>22</v>
      </c>
    </row>
    <row r="887" spans="1:11" x14ac:dyDescent="0.2">
      <c r="A887" s="27" t="s">
        <v>2362</v>
      </c>
      <c r="B887" s="27" t="s">
        <v>2363</v>
      </c>
      <c r="C887" s="27" t="s">
        <v>2364</v>
      </c>
      <c r="D887" s="27" t="s">
        <v>17</v>
      </c>
      <c r="E887" s="27" t="s">
        <v>26</v>
      </c>
      <c r="F887" s="27" t="s">
        <v>27</v>
      </c>
      <c r="G887" s="27" t="s">
        <v>44</v>
      </c>
      <c r="H887" s="29">
        <v>100</v>
      </c>
      <c r="I887" s="27" t="s">
        <v>29</v>
      </c>
      <c r="J887" s="37">
        <v>45357</v>
      </c>
      <c r="K887" s="27" t="s">
        <v>22</v>
      </c>
    </row>
    <row r="888" spans="1:11" x14ac:dyDescent="0.2">
      <c r="A888" s="24" t="s">
        <v>2365</v>
      </c>
      <c r="B888" s="24" t="s">
        <v>2366</v>
      </c>
      <c r="C888" s="24" t="s">
        <v>2367</v>
      </c>
      <c r="D888" s="24" t="s">
        <v>17</v>
      </c>
      <c r="E888" s="24" t="s">
        <v>18</v>
      </c>
      <c r="F888" s="24" t="s">
        <v>19</v>
      </c>
      <c r="G888" s="24" t="s">
        <v>44</v>
      </c>
      <c r="H888" s="26">
        <v>12</v>
      </c>
      <c r="I888" s="24" t="s">
        <v>21</v>
      </c>
      <c r="J888" s="36">
        <v>45376</v>
      </c>
      <c r="K888" s="24" t="s">
        <v>22</v>
      </c>
    </row>
    <row r="889" spans="1:11" x14ac:dyDescent="0.2">
      <c r="A889" s="27" t="s">
        <v>2368</v>
      </c>
      <c r="B889" s="27" t="s">
        <v>2369</v>
      </c>
      <c r="C889" s="27" t="s">
        <v>401</v>
      </c>
      <c r="D889" s="27" t="s">
        <v>17</v>
      </c>
      <c r="E889" s="27" t="s">
        <v>18</v>
      </c>
      <c r="F889" s="27" t="s">
        <v>19</v>
      </c>
      <c r="G889" s="27" t="s">
        <v>20</v>
      </c>
      <c r="H889" s="29">
        <v>24</v>
      </c>
      <c r="I889" s="27" t="s">
        <v>21</v>
      </c>
      <c r="J889" s="37">
        <v>45378</v>
      </c>
      <c r="K889" s="27" t="s">
        <v>22</v>
      </c>
    </row>
    <row r="890" spans="1:11" x14ac:dyDescent="0.2">
      <c r="A890" s="24" t="s">
        <v>2370</v>
      </c>
      <c r="B890" s="24" t="s">
        <v>2371</v>
      </c>
      <c r="C890" s="24" t="s">
        <v>185</v>
      </c>
      <c r="D890" s="24" t="s">
        <v>17</v>
      </c>
      <c r="E890" s="24" t="s">
        <v>18</v>
      </c>
      <c r="F890" s="24" t="s">
        <v>19</v>
      </c>
      <c r="G890" s="24" t="s">
        <v>28</v>
      </c>
      <c r="H890" s="26">
        <v>84</v>
      </c>
      <c r="I890" s="24" t="s">
        <v>29</v>
      </c>
      <c r="J890" s="36">
        <v>45365</v>
      </c>
      <c r="K890" s="24" t="s">
        <v>22</v>
      </c>
    </row>
    <row r="891" spans="1:11" x14ac:dyDescent="0.2">
      <c r="A891" s="27" t="s">
        <v>2372</v>
      </c>
      <c r="B891" s="27" t="s">
        <v>2373</v>
      </c>
      <c r="C891" s="27" t="s">
        <v>526</v>
      </c>
      <c r="D891" s="27" t="s">
        <v>17</v>
      </c>
      <c r="E891" s="27" t="s">
        <v>18</v>
      </c>
      <c r="F891" s="27" t="s">
        <v>19</v>
      </c>
      <c r="G891" s="27" t="s">
        <v>20</v>
      </c>
      <c r="H891" s="29">
        <v>85</v>
      </c>
      <c r="I891" s="27" t="s">
        <v>21</v>
      </c>
      <c r="J891" s="37">
        <v>45371</v>
      </c>
      <c r="K891" s="27" t="s">
        <v>22</v>
      </c>
    </row>
    <row r="892" spans="1:11" x14ac:dyDescent="0.2">
      <c r="A892" s="24" t="s">
        <v>2374</v>
      </c>
      <c r="B892" s="24" t="s">
        <v>2375</v>
      </c>
      <c r="C892" s="24" t="s">
        <v>363</v>
      </c>
      <c r="D892" s="24" t="s">
        <v>17</v>
      </c>
      <c r="E892" s="24" t="s">
        <v>42</v>
      </c>
      <c r="F892" s="24" t="s">
        <v>43</v>
      </c>
      <c r="G892" s="24" t="s">
        <v>28</v>
      </c>
      <c r="H892" s="26">
        <v>686</v>
      </c>
      <c r="I892" s="24" t="s">
        <v>29</v>
      </c>
      <c r="J892" s="36">
        <v>45354</v>
      </c>
      <c r="K892" s="24" t="s">
        <v>22</v>
      </c>
    </row>
    <row r="893" spans="1:11" x14ac:dyDescent="0.2">
      <c r="A893" s="27" t="s">
        <v>2376</v>
      </c>
      <c r="B893" s="27" t="s">
        <v>2377</v>
      </c>
      <c r="C893" s="27" t="s">
        <v>2378</v>
      </c>
      <c r="D893" s="27" t="s">
        <v>17</v>
      </c>
      <c r="E893" s="27" t="s">
        <v>42</v>
      </c>
      <c r="F893" s="27" t="s">
        <v>43</v>
      </c>
      <c r="G893" s="27" t="s">
        <v>44</v>
      </c>
      <c r="H893" s="29">
        <v>238</v>
      </c>
      <c r="I893" s="27" t="s">
        <v>21</v>
      </c>
      <c r="J893" s="37">
        <v>45379</v>
      </c>
      <c r="K893" s="27" t="s">
        <v>22</v>
      </c>
    </row>
    <row r="894" spans="1:11" x14ac:dyDescent="0.2">
      <c r="A894" s="24" t="s">
        <v>2379</v>
      </c>
      <c r="B894" s="24" t="s">
        <v>2380</v>
      </c>
      <c r="C894" s="24" t="s">
        <v>475</v>
      </c>
      <c r="D894" s="24" t="s">
        <v>17</v>
      </c>
      <c r="E894" s="24" t="s">
        <v>18</v>
      </c>
      <c r="F894" s="24" t="s">
        <v>19</v>
      </c>
      <c r="G894" s="24" t="s">
        <v>20</v>
      </c>
      <c r="H894" s="26">
        <v>48</v>
      </c>
      <c r="I894" s="24" t="s">
        <v>21</v>
      </c>
      <c r="J894" s="36">
        <v>45363</v>
      </c>
      <c r="K894" s="24" t="s">
        <v>22</v>
      </c>
    </row>
    <row r="895" spans="1:11" x14ac:dyDescent="0.2">
      <c r="A895" s="27" t="s">
        <v>2381</v>
      </c>
      <c r="B895" s="27" t="s">
        <v>2382</v>
      </c>
      <c r="C895" s="27" t="s">
        <v>2383</v>
      </c>
      <c r="D895" s="27" t="s">
        <v>17</v>
      </c>
      <c r="E895" s="27" t="s">
        <v>48</v>
      </c>
      <c r="F895" s="27" t="s">
        <v>49</v>
      </c>
      <c r="G895" s="27" t="s">
        <v>28</v>
      </c>
      <c r="H895" s="29">
        <v>100</v>
      </c>
      <c r="I895" s="27" t="s">
        <v>29</v>
      </c>
      <c r="J895" s="37">
        <v>45356</v>
      </c>
      <c r="K895" s="27" t="s">
        <v>22</v>
      </c>
    </row>
    <row r="896" spans="1:11" x14ac:dyDescent="0.2">
      <c r="A896" s="24" t="s">
        <v>2384</v>
      </c>
      <c r="B896" s="24" t="s">
        <v>2385</v>
      </c>
      <c r="C896" s="24" t="s">
        <v>2386</v>
      </c>
      <c r="D896" s="24" t="s">
        <v>17</v>
      </c>
      <c r="E896" s="24" t="s">
        <v>18</v>
      </c>
      <c r="F896" s="24" t="s">
        <v>19</v>
      </c>
      <c r="G896" s="24" t="s">
        <v>59</v>
      </c>
      <c r="H896" s="26">
        <v>19</v>
      </c>
      <c r="I896" s="24" t="s">
        <v>21</v>
      </c>
      <c r="J896" s="36">
        <v>45379</v>
      </c>
      <c r="K896" s="24" t="s">
        <v>22</v>
      </c>
    </row>
    <row r="897" spans="1:11" x14ac:dyDescent="0.2">
      <c r="A897" s="27" t="s">
        <v>2387</v>
      </c>
      <c r="B897" s="27" t="s">
        <v>2388</v>
      </c>
      <c r="C897" s="27" t="s">
        <v>1975</v>
      </c>
      <c r="D897" s="27" t="s">
        <v>17</v>
      </c>
      <c r="E897" s="27" t="s">
        <v>26</v>
      </c>
      <c r="F897" s="27" t="s">
        <v>27</v>
      </c>
      <c r="G897" s="27" t="s">
        <v>28</v>
      </c>
      <c r="H897" s="29">
        <v>243</v>
      </c>
      <c r="I897" s="27" t="s">
        <v>29</v>
      </c>
      <c r="J897" s="37">
        <v>45358</v>
      </c>
      <c r="K897" s="27" t="s">
        <v>22</v>
      </c>
    </row>
    <row r="898" spans="1:11" x14ac:dyDescent="0.2">
      <c r="A898" s="24" t="s">
        <v>2389</v>
      </c>
      <c r="B898" s="24" t="s">
        <v>2390</v>
      </c>
      <c r="C898" s="24" t="s">
        <v>213</v>
      </c>
      <c r="D898" s="24" t="s">
        <v>17</v>
      </c>
      <c r="E898" s="24" t="s">
        <v>42</v>
      </c>
      <c r="F898" s="24" t="s">
        <v>43</v>
      </c>
      <c r="G898" s="24" t="s">
        <v>20</v>
      </c>
      <c r="H898" s="26">
        <v>648</v>
      </c>
      <c r="I898" s="24" t="s">
        <v>21</v>
      </c>
      <c r="J898" s="36">
        <v>45363</v>
      </c>
      <c r="K898" s="24" t="s">
        <v>22</v>
      </c>
    </row>
    <row r="899" spans="1:11" x14ac:dyDescent="0.2">
      <c r="A899" s="27" t="s">
        <v>2391</v>
      </c>
      <c r="B899" s="27" t="s">
        <v>2392</v>
      </c>
      <c r="C899" s="27" t="s">
        <v>1044</v>
      </c>
      <c r="D899" s="27" t="s">
        <v>17</v>
      </c>
      <c r="E899" s="27" t="s">
        <v>42</v>
      </c>
      <c r="F899" s="27" t="s">
        <v>43</v>
      </c>
      <c r="G899" s="27" t="s">
        <v>20</v>
      </c>
      <c r="H899" s="29">
        <v>215</v>
      </c>
      <c r="I899" s="27" t="s">
        <v>21</v>
      </c>
      <c r="J899" s="37">
        <v>45359</v>
      </c>
      <c r="K899" s="27" t="s">
        <v>22</v>
      </c>
    </row>
    <row r="900" spans="1:11" x14ac:dyDescent="0.2">
      <c r="A900" s="24" t="s">
        <v>2393</v>
      </c>
      <c r="B900" s="24" t="s">
        <v>2394</v>
      </c>
      <c r="C900" s="24" t="s">
        <v>526</v>
      </c>
      <c r="D900" s="24" t="s">
        <v>17</v>
      </c>
      <c r="E900" s="24" t="s">
        <v>42</v>
      </c>
      <c r="F900" s="24" t="s">
        <v>43</v>
      </c>
      <c r="G900" s="24" t="s">
        <v>44</v>
      </c>
      <c r="H900" s="26">
        <v>320</v>
      </c>
      <c r="I900" s="24" t="s">
        <v>29</v>
      </c>
      <c r="J900" s="36">
        <v>45366</v>
      </c>
      <c r="K900" s="24" t="s">
        <v>22</v>
      </c>
    </row>
    <row r="901" spans="1:11" x14ac:dyDescent="0.2">
      <c r="A901" s="27" t="s">
        <v>2395</v>
      </c>
      <c r="B901" s="27" t="s">
        <v>2396</v>
      </c>
      <c r="C901" s="27" t="s">
        <v>2397</v>
      </c>
      <c r="D901" s="27" t="s">
        <v>17</v>
      </c>
      <c r="E901" s="27" t="s">
        <v>18</v>
      </c>
      <c r="F901" s="27" t="s">
        <v>19</v>
      </c>
      <c r="G901" s="27" t="s">
        <v>20</v>
      </c>
      <c r="H901" s="29">
        <v>24</v>
      </c>
      <c r="I901" s="27" t="s">
        <v>21</v>
      </c>
      <c r="J901" s="37">
        <v>45373</v>
      </c>
      <c r="K901" s="27" t="s">
        <v>22</v>
      </c>
    </row>
    <row r="902" spans="1:11" x14ac:dyDescent="0.2">
      <c r="A902" s="24" t="s">
        <v>2398</v>
      </c>
      <c r="B902" s="24" t="s">
        <v>2399</v>
      </c>
      <c r="C902" s="24" t="s">
        <v>97</v>
      </c>
      <c r="D902" s="24" t="s">
        <v>17</v>
      </c>
      <c r="E902" s="24" t="s">
        <v>42</v>
      </c>
      <c r="F902" s="24" t="s">
        <v>43</v>
      </c>
      <c r="G902" s="24" t="s">
        <v>20</v>
      </c>
      <c r="H902" s="26">
        <v>218</v>
      </c>
      <c r="I902" s="24" t="s">
        <v>21</v>
      </c>
      <c r="J902" s="36">
        <v>45352</v>
      </c>
      <c r="K902" s="24" t="s">
        <v>22</v>
      </c>
    </row>
    <row r="903" spans="1:11" x14ac:dyDescent="0.2">
      <c r="A903" s="27" t="s">
        <v>2400</v>
      </c>
      <c r="B903" s="27" t="s">
        <v>2401</v>
      </c>
      <c r="C903" s="27" t="s">
        <v>2402</v>
      </c>
      <c r="D903" s="27" t="s">
        <v>17</v>
      </c>
      <c r="E903" s="27" t="s">
        <v>48</v>
      </c>
      <c r="F903" s="27" t="s">
        <v>49</v>
      </c>
      <c r="G903" s="27" t="s">
        <v>217</v>
      </c>
      <c r="H903" s="29">
        <v>20</v>
      </c>
      <c r="I903" s="27" t="s">
        <v>29</v>
      </c>
      <c r="J903" s="37">
        <v>45352</v>
      </c>
      <c r="K903" s="27" t="s">
        <v>22</v>
      </c>
    </row>
    <row r="904" spans="1:11" x14ac:dyDescent="0.2">
      <c r="A904" s="24" t="s">
        <v>2403</v>
      </c>
      <c r="B904" s="24" t="s">
        <v>2404</v>
      </c>
      <c r="C904" s="24" t="s">
        <v>2405</v>
      </c>
      <c r="D904" s="24" t="s">
        <v>17</v>
      </c>
      <c r="E904" s="24" t="s">
        <v>163</v>
      </c>
      <c r="F904" s="24" t="s">
        <v>164</v>
      </c>
      <c r="G904" s="24" t="s">
        <v>44</v>
      </c>
      <c r="H904" s="26">
        <v>24</v>
      </c>
      <c r="I904" s="24" t="s">
        <v>21</v>
      </c>
      <c r="J904" s="36">
        <v>45363</v>
      </c>
      <c r="K904" s="24" t="s">
        <v>22</v>
      </c>
    </row>
    <row r="905" spans="1:11" x14ac:dyDescent="0.2">
      <c r="A905" s="27" t="s">
        <v>2406</v>
      </c>
      <c r="B905" s="27" t="s">
        <v>2407</v>
      </c>
      <c r="C905" s="27" t="s">
        <v>382</v>
      </c>
      <c r="D905" s="27" t="s">
        <v>17</v>
      </c>
      <c r="E905" s="27" t="s">
        <v>48</v>
      </c>
      <c r="F905" s="27" t="s">
        <v>49</v>
      </c>
      <c r="G905" s="27" t="s">
        <v>28</v>
      </c>
      <c r="H905" s="29">
        <v>230</v>
      </c>
      <c r="I905" s="27" t="s">
        <v>29</v>
      </c>
      <c r="J905" s="37">
        <v>45372</v>
      </c>
      <c r="K905" s="27" t="s">
        <v>22</v>
      </c>
    </row>
    <row r="906" spans="1:11" x14ac:dyDescent="0.2">
      <c r="A906" s="24" t="s">
        <v>2408</v>
      </c>
      <c r="B906" s="24" t="s">
        <v>2409</v>
      </c>
      <c r="C906" s="24" t="s">
        <v>41</v>
      </c>
      <c r="D906" s="24" t="s">
        <v>17</v>
      </c>
      <c r="E906" s="24" t="s">
        <v>42</v>
      </c>
      <c r="F906" s="24" t="s">
        <v>43</v>
      </c>
      <c r="G906" s="24" t="s">
        <v>28</v>
      </c>
      <c r="H906" s="26">
        <v>510</v>
      </c>
      <c r="I906" s="24" t="s">
        <v>29</v>
      </c>
      <c r="J906" s="36">
        <v>45380</v>
      </c>
      <c r="K906" s="24" t="s">
        <v>22</v>
      </c>
    </row>
    <row r="907" spans="1:11" x14ac:dyDescent="0.2">
      <c r="A907" s="27" t="s">
        <v>2410</v>
      </c>
      <c r="B907" s="27" t="s">
        <v>2411</v>
      </c>
      <c r="C907" s="27" t="s">
        <v>494</v>
      </c>
      <c r="D907" s="27" t="s">
        <v>17</v>
      </c>
      <c r="E907" s="27" t="s">
        <v>18</v>
      </c>
      <c r="F907" s="27" t="s">
        <v>19</v>
      </c>
      <c r="G907" s="27" t="s">
        <v>20</v>
      </c>
      <c r="H907" s="29">
        <v>6</v>
      </c>
      <c r="I907" s="27" t="s">
        <v>21</v>
      </c>
      <c r="J907" s="37">
        <v>45369</v>
      </c>
      <c r="K907" s="27" t="s">
        <v>22</v>
      </c>
    </row>
    <row r="908" spans="1:11" x14ac:dyDescent="0.2">
      <c r="A908" s="24" t="s">
        <v>2412</v>
      </c>
      <c r="B908" s="24" t="s">
        <v>2413</v>
      </c>
      <c r="C908" s="24" t="s">
        <v>2414</v>
      </c>
      <c r="D908" s="24" t="s">
        <v>17</v>
      </c>
      <c r="E908" s="24" t="s">
        <v>48</v>
      </c>
      <c r="F908" s="24" t="s">
        <v>49</v>
      </c>
      <c r="G908" s="24" t="s">
        <v>44</v>
      </c>
      <c r="H908" s="26">
        <v>20</v>
      </c>
      <c r="I908" s="24" t="s">
        <v>29</v>
      </c>
      <c r="J908" s="36">
        <v>45366</v>
      </c>
      <c r="K908" s="24" t="s">
        <v>22</v>
      </c>
    </row>
    <row r="909" spans="1:11" x14ac:dyDescent="0.2">
      <c r="A909" s="27" t="s">
        <v>2415</v>
      </c>
      <c r="B909" s="27" t="s">
        <v>2416</v>
      </c>
      <c r="C909" s="27" t="s">
        <v>526</v>
      </c>
      <c r="D909" s="27" t="s">
        <v>17</v>
      </c>
      <c r="E909" s="27" t="s">
        <v>18</v>
      </c>
      <c r="F909" s="27" t="s">
        <v>19</v>
      </c>
      <c r="G909" s="27" t="s">
        <v>20</v>
      </c>
      <c r="H909" s="29">
        <v>24</v>
      </c>
      <c r="I909" s="27" t="s">
        <v>21</v>
      </c>
      <c r="J909" s="37">
        <v>45379</v>
      </c>
      <c r="K909" s="27" t="s">
        <v>22</v>
      </c>
    </row>
    <row r="910" spans="1:11" x14ac:dyDescent="0.2">
      <c r="A910" s="24" t="s">
        <v>2417</v>
      </c>
      <c r="B910" s="24" t="s">
        <v>2418</v>
      </c>
      <c r="C910" s="24" t="s">
        <v>2419</v>
      </c>
      <c r="D910" s="24" t="s">
        <v>17</v>
      </c>
      <c r="E910" s="24" t="s">
        <v>42</v>
      </c>
      <c r="F910" s="24" t="s">
        <v>43</v>
      </c>
      <c r="G910" s="24" t="s">
        <v>44</v>
      </c>
      <c r="H910" s="26">
        <v>173</v>
      </c>
      <c r="I910" s="24" t="s">
        <v>21</v>
      </c>
      <c r="J910" s="36">
        <v>45366</v>
      </c>
      <c r="K910" s="24" t="s">
        <v>22</v>
      </c>
    </row>
    <row r="911" spans="1:11" x14ac:dyDescent="0.2">
      <c r="A911" s="27" t="s">
        <v>2420</v>
      </c>
      <c r="B911" s="27" t="s">
        <v>2421</v>
      </c>
      <c r="C911" s="27" t="s">
        <v>382</v>
      </c>
      <c r="D911" s="27" t="s">
        <v>17</v>
      </c>
      <c r="E911" s="27" t="s">
        <v>42</v>
      </c>
      <c r="F911" s="27" t="s">
        <v>43</v>
      </c>
      <c r="G911" s="27" t="s">
        <v>116</v>
      </c>
      <c r="H911" s="29">
        <v>0</v>
      </c>
      <c r="I911" s="27" t="s">
        <v>21</v>
      </c>
      <c r="J911" s="37">
        <v>45380</v>
      </c>
      <c r="K911" s="27" t="s">
        <v>22</v>
      </c>
    </row>
    <row r="912" spans="1:11" x14ac:dyDescent="0.2">
      <c r="A912" s="24" t="s">
        <v>2422</v>
      </c>
      <c r="B912" s="24" t="s">
        <v>2423</v>
      </c>
      <c r="C912" s="24" t="s">
        <v>85</v>
      </c>
      <c r="D912" s="24" t="s">
        <v>17</v>
      </c>
      <c r="E912" s="24" t="s">
        <v>42</v>
      </c>
      <c r="F912" s="24" t="s">
        <v>43</v>
      </c>
      <c r="G912" s="24" t="s">
        <v>28</v>
      </c>
      <c r="H912" s="26">
        <v>1300</v>
      </c>
      <c r="I912" s="24" t="s">
        <v>29</v>
      </c>
      <c r="J912" s="36">
        <v>45376</v>
      </c>
      <c r="K912" s="24" t="s">
        <v>22</v>
      </c>
    </row>
    <row r="913" spans="1:11" x14ac:dyDescent="0.2">
      <c r="A913" s="27" t="s">
        <v>2424</v>
      </c>
      <c r="B913" s="27" t="s">
        <v>2425</v>
      </c>
      <c r="C913" s="27" t="s">
        <v>2426</v>
      </c>
      <c r="D913" s="27" t="s">
        <v>17</v>
      </c>
      <c r="E913" s="27" t="s">
        <v>48</v>
      </c>
      <c r="F913" s="27" t="s">
        <v>49</v>
      </c>
      <c r="G913" s="27" t="s">
        <v>20</v>
      </c>
      <c r="H913" s="29">
        <v>92</v>
      </c>
      <c r="I913" s="27" t="s">
        <v>21</v>
      </c>
      <c r="J913" s="37">
        <v>45379</v>
      </c>
      <c r="K913" s="27" t="s">
        <v>22</v>
      </c>
    </row>
    <row r="914" spans="1:11" x14ac:dyDescent="0.2">
      <c r="A914" s="24" t="s">
        <v>2427</v>
      </c>
      <c r="B914" s="24" t="s">
        <v>2428</v>
      </c>
      <c r="C914" s="24" t="s">
        <v>2429</v>
      </c>
      <c r="D914" s="24" t="s">
        <v>17</v>
      </c>
      <c r="E914" s="24" t="s">
        <v>48</v>
      </c>
      <c r="F914" s="24" t="s">
        <v>49</v>
      </c>
      <c r="G914" s="24" t="s">
        <v>20</v>
      </c>
      <c r="H914" s="26">
        <v>73</v>
      </c>
      <c r="I914" s="24" t="s">
        <v>21</v>
      </c>
      <c r="J914" s="36">
        <v>45359</v>
      </c>
      <c r="K914" s="24" t="s">
        <v>22</v>
      </c>
    </row>
    <row r="915" spans="1:11" x14ac:dyDescent="0.2">
      <c r="A915" s="27" t="s">
        <v>2430</v>
      </c>
      <c r="B915" s="27" t="s">
        <v>2431</v>
      </c>
      <c r="C915" s="27" t="s">
        <v>260</v>
      </c>
      <c r="D915" s="27" t="s">
        <v>17</v>
      </c>
      <c r="E915" s="27" t="s">
        <v>42</v>
      </c>
      <c r="F915" s="27" t="s">
        <v>43</v>
      </c>
      <c r="G915" s="27" t="s">
        <v>20</v>
      </c>
      <c r="H915" s="29">
        <v>840</v>
      </c>
      <c r="I915" s="27" t="s">
        <v>21</v>
      </c>
      <c r="J915" s="37">
        <v>45370</v>
      </c>
      <c r="K915" s="27" t="s">
        <v>22</v>
      </c>
    </row>
    <row r="916" spans="1:11" x14ac:dyDescent="0.2">
      <c r="A916" s="24" t="s">
        <v>2432</v>
      </c>
      <c r="B916" s="24" t="s">
        <v>2433</v>
      </c>
      <c r="C916" s="24" t="s">
        <v>106</v>
      </c>
      <c r="D916" s="24" t="s">
        <v>17</v>
      </c>
      <c r="E916" s="24" t="s">
        <v>18</v>
      </c>
      <c r="F916" s="24" t="s">
        <v>19</v>
      </c>
      <c r="G916" s="24" t="s">
        <v>20</v>
      </c>
      <c r="H916" s="26">
        <v>46</v>
      </c>
      <c r="I916" s="24" t="s">
        <v>21</v>
      </c>
      <c r="J916" s="36">
        <v>45357</v>
      </c>
      <c r="K916" s="24" t="s">
        <v>22</v>
      </c>
    </row>
    <row r="917" spans="1:11" x14ac:dyDescent="0.2">
      <c r="A917" s="27" t="s">
        <v>2434</v>
      </c>
      <c r="B917" s="27" t="s">
        <v>2435</v>
      </c>
      <c r="C917" s="27" t="s">
        <v>1502</v>
      </c>
      <c r="D917" s="27" t="s">
        <v>17</v>
      </c>
      <c r="E917" s="27" t="s">
        <v>42</v>
      </c>
      <c r="F917" s="27" t="s">
        <v>43</v>
      </c>
      <c r="G917" s="27" t="s">
        <v>20</v>
      </c>
      <c r="H917" s="29">
        <v>301</v>
      </c>
      <c r="I917" s="27" t="s">
        <v>21</v>
      </c>
      <c r="J917" s="37">
        <v>45380</v>
      </c>
      <c r="K917" s="27" t="s">
        <v>22</v>
      </c>
    </row>
    <row r="918" spans="1:11" x14ac:dyDescent="0.2">
      <c r="A918" s="24" t="s">
        <v>2436</v>
      </c>
      <c r="B918" s="24" t="s">
        <v>2437</v>
      </c>
      <c r="C918" s="24" t="s">
        <v>518</v>
      </c>
      <c r="D918" s="24" t="s">
        <v>17</v>
      </c>
      <c r="E918" s="24" t="s">
        <v>48</v>
      </c>
      <c r="F918" s="24" t="s">
        <v>49</v>
      </c>
      <c r="G918" s="24" t="s">
        <v>44</v>
      </c>
      <c r="H918" s="26">
        <v>240</v>
      </c>
      <c r="I918" s="24" t="s">
        <v>21</v>
      </c>
      <c r="J918" s="36">
        <v>45375</v>
      </c>
      <c r="K918" s="24" t="s">
        <v>22</v>
      </c>
    </row>
    <row r="919" spans="1:11" x14ac:dyDescent="0.2">
      <c r="A919" s="27" t="s">
        <v>2438</v>
      </c>
      <c r="B919" s="27" t="s">
        <v>2439</v>
      </c>
      <c r="C919" s="27" t="s">
        <v>1470</v>
      </c>
      <c r="D919" s="27" t="s">
        <v>17</v>
      </c>
      <c r="E919" s="27" t="s">
        <v>18</v>
      </c>
      <c r="F919" s="27" t="s">
        <v>19</v>
      </c>
      <c r="G919" s="27" t="s">
        <v>38</v>
      </c>
      <c r="H919" s="29">
        <v>48</v>
      </c>
      <c r="I919" s="27" t="s">
        <v>29</v>
      </c>
      <c r="J919" s="37">
        <v>45352</v>
      </c>
      <c r="K919" s="27" t="s">
        <v>22</v>
      </c>
    </row>
    <row r="920" spans="1:11" x14ac:dyDescent="0.2">
      <c r="A920" s="24" t="s">
        <v>2440</v>
      </c>
      <c r="B920" s="24" t="s">
        <v>2441</v>
      </c>
      <c r="C920" s="24" t="s">
        <v>456</v>
      </c>
      <c r="D920" s="24" t="s">
        <v>17</v>
      </c>
      <c r="E920" s="24" t="s">
        <v>42</v>
      </c>
      <c r="F920" s="24" t="s">
        <v>43</v>
      </c>
      <c r="G920" s="24" t="s">
        <v>28</v>
      </c>
      <c r="H920" s="26">
        <v>70</v>
      </c>
      <c r="I920" s="24" t="s">
        <v>29</v>
      </c>
      <c r="J920" s="36">
        <v>45381</v>
      </c>
      <c r="K920" s="24" t="s">
        <v>22</v>
      </c>
    </row>
    <row r="921" spans="1:11" x14ac:dyDescent="0.2">
      <c r="A921" s="27" t="s">
        <v>2442</v>
      </c>
      <c r="B921" s="27" t="s">
        <v>2443</v>
      </c>
      <c r="C921" s="27" t="s">
        <v>97</v>
      </c>
      <c r="D921" s="27" t="s">
        <v>17</v>
      </c>
      <c r="E921" s="27" t="s">
        <v>42</v>
      </c>
      <c r="F921" s="27" t="s">
        <v>43</v>
      </c>
      <c r="G921" s="27" t="s">
        <v>28</v>
      </c>
      <c r="H921" s="29">
        <v>100</v>
      </c>
      <c r="I921" s="27" t="s">
        <v>29</v>
      </c>
      <c r="J921" s="37">
        <v>45365</v>
      </c>
      <c r="K921" s="27" t="s">
        <v>22</v>
      </c>
    </row>
    <row r="922" spans="1:11" x14ac:dyDescent="0.2">
      <c r="A922" s="24" t="s">
        <v>2444</v>
      </c>
      <c r="B922" s="24" t="s">
        <v>2445</v>
      </c>
      <c r="C922" s="24" t="s">
        <v>2352</v>
      </c>
      <c r="D922" s="24" t="s">
        <v>17</v>
      </c>
      <c r="E922" s="24" t="s">
        <v>81</v>
      </c>
      <c r="F922" s="24" t="s">
        <v>82</v>
      </c>
      <c r="G922" s="24" t="s">
        <v>28</v>
      </c>
      <c r="H922" s="26">
        <v>286</v>
      </c>
      <c r="I922" s="24" t="s">
        <v>29</v>
      </c>
      <c r="J922" s="36">
        <v>45370</v>
      </c>
      <c r="K922" s="24" t="s">
        <v>22</v>
      </c>
    </row>
    <row r="923" spans="1:11" x14ac:dyDescent="0.2">
      <c r="A923" s="27" t="s">
        <v>2446</v>
      </c>
      <c r="B923" s="27" t="s">
        <v>2447</v>
      </c>
      <c r="C923" s="27" t="s">
        <v>2448</v>
      </c>
      <c r="D923" s="27" t="s">
        <v>17</v>
      </c>
      <c r="E923" s="27" t="s">
        <v>18</v>
      </c>
      <c r="F923" s="27" t="s">
        <v>19</v>
      </c>
      <c r="G923" s="27" t="s">
        <v>44</v>
      </c>
      <c r="H923" s="29">
        <v>28</v>
      </c>
      <c r="I923" s="27" t="s">
        <v>21</v>
      </c>
      <c r="J923" s="37">
        <v>45372</v>
      </c>
      <c r="K923" s="27" t="s">
        <v>22</v>
      </c>
    </row>
    <row r="924" spans="1:11" x14ac:dyDescent="0.2">
      <c r="A924" s="24" t="s">
        <v>2449</v>
      </c>
      <c r="B924" s="24" t="s">
        <v>2450</v>
      </c>
      <c r="C924" s="24" t="s">
        <v>2451</v>
      </c>
      <c r="D924" s="24" t="s">
        <v>17</v>
      </c>
      <c r="E924" s="24" t="s">
        <v>48</v>
      </c>
      <c r="F924" s="24" t="s">
        <v>49</v>
      </c>
      <c r="G924" s="24" t="s">
        <v>20</v>
      </c>
      <c r="H924" s="26">
        <v>69</v>
      </c>
      <c r="I924" s="24" t="s">
        <v>21</v>
      </c>
      <c r="J924" s="36">
        <v>45376</v>
      </c>
      <c r="K924" s="24" t="s">
        <v>22</v>
      </c>
    </row>
    <row r="925" spans="1:11" x14ac:dyDescent="0.2">
      <c r="A925" s="27" t="s">
        <v>2452</v>
      </c>
      <c r="B925" s="27" t="s">
        <v>2453</v>
      </c>
      <c r="C925" s="27" t="s">
        <v>2454</v>
      </c>
      <c r="D925" s="27" t="s">
        <v>17</v>
      </c>
      <c r="E925" s="27" t="s">
        <v>26</v>
      </c>
      <c r="F925" s="27" t="s">
        <v>27</v>
      </c>
      <c r="G925" s="27" t="s">
        <v>28</v>
      </c>
      <c r="H925" s="29">
        <v>40</v>
      </c>
      <c r="I925" s="27" t="s">
        <v>29</v>
      </c>
      <c r="J925" s="37">
        <v>45365</v>
      </c>
      <c r="K925" s="27" t="s">
        <v>22</v>
      </c>
    </row>
    <row r="926" spans="1:11" x14ac:dyDescent="0.2">
      <c r="A926" s="24" t="s">
        <v>2455</v>
      </c>
      <c r="B926" s="24" t="s">
        <v>2456</v>
      </c>
      <c r="C926" s="24" t="s">
        <v>85</v>
      </c>
      <c r="D926" s="24" t="s">
        <v>17</v>
      </c>
      <c r="E926" s="24" t="s">
        <v>48</v>
      </c>
      <c r="F926" s="24" t="s">
        <v>49</v>
      </c>
      <c r="G926" s="24" t="s">
        <v>44</v>
      </c>
      <c r="H926" s="26">
        <v>156</v>
      </c>
      <c r="I926" s="24" t="s">
        <v>21</v>
      </c>
      <c r="J926" s="36">
        <v>45374</v>
      </c>
      <c r="K926" s="24" t="s">
        <v>22</v>
      </c>
    </row>
    <row r="927" spans="1:11" x14ac:dyDescent="0.2">
      <c r="A927" s="27" t="s">
        <v>2457</v>
      </c>
      <c r="B927" s="27" t="s">
        <v>2458</v>
      </c>
      <c r="C927" s="27" t="s">
        <v>871</v>
      </c>
      <c r="D927" s="27" t="s">
        <v>17</v>
      </c>
      <c r="E927" s="27" t="s">
        <v>42</v>
      </c>
      <c r="F927" s="27" t="s">
        <v>43</v>
      </c>
      <c r="G927" s="27" t="s">
        <v>20</v>
      </c>
      <c r="H927" s="29">
        <v>1514</v>
      </c>
      <c r="I927" s="27" t="s">
        <v>21</v>
      </c>
      <c r="J927" s="37">
        <v>45378</v>
      </c>
      <c r="K927" s="27" t="s">
        <v>22</v>
      </c>
    </row>
    <row r="928" spans="1:11" x14ac:dyDescent="0.2">
      <c r="A928" s="24" t="s">
        <v>2459</v>
      </c>
      <c r="B928" s="24" t="s">
        <v>2460</v>
      </c>
      <c r="C928" s="24" t="s">
        <v>2461</v>
      </c>
      <c r="D928" s="24" t="s">
        <v>17</v>
      </c>
      <c r="E928" s="24" t="s">
        <v>26</v>
      </c>
      <c r="F928" s="24" t="s">
        <v>27</v>
      </c>
      <c r="G928" s="24" t="s">
        <v>28</v>
      </c>
      <c r="H928" s="26">
        <v>51</v>
      </c>
      <c r="I928" s="24" t="s">
        <v>29</v>
      </c>
      <c r="J928" s="36">
        <v>45371</v>
      </c>
      <c r="K928" s="24" t="s">
        <v>22</v>
      </c>
    </row>
    <row r="929" spans="1:11" x14ac:dyDescent="0.2">
      <c r="A929" s="27" t="s">
        <v>2462</v>
      </c>
      <c r="B929" s="27" t="s">
        <v>2463</v>
      </c>
      <c r="C929" s="27" t="s">
        <v>354</v>
      </c>
      <c r="D929" s="27" t="s">
        <v>17</v>
      </c>
      <c r="E929" s="27" t="s">
        <v>18</v>
      </c>
      <c r="F929" s="27" t="s">
        <v>19</v>
      </c>
      <c r="G929" s="27" t="s">
        <v>20</v>
      </c>
      <c r="H929" s="29">
        <v>48</v>
      </c>
      <c r="I929" s="27" t="s">
        <v>21</v>
      </c>
      <c r="J929" s="37">
        <v>45379</v>
      </c>
      <c r="K929" s="27" t="s">
        <v>22</v>
      </c>
    </row>
    <row r="930" spans="1:11" x14ac:dyDescent="0.2">
      <c r="A930" s="24" t="s">
        <v>2464</v>
      </c>
      <c r="B930" s="24" t="s">
        <v>2465</v>
      </c>
      <c r="C930" s="24" t="s">
        <v>2466</v>
      </c>
      <c r="D930" s="24" t="s">
        <v>17</v>
      </c>
      <c r="E930" s="24" t="s">
        <v>42</v>
      </c>
      <c r="F930" s="24" t="s">
        <v>43</v>
      </c>
      <c r="G930" s="24" t="s">
        <v>44</v>
      </c>
      <c r="H930" s="26">
        <v>401</v>
      </c>
      <c r="I930" s="24" t="s">
        <v>21</v>
      </c>
      <c r="J930" s="36">
        <v>45366</v>
      </c>
      <c r="K930" s="24" t="s">
        <v>22</v>
      </c>
    </row>
    <row r="931" spans="1:11" x14ac:dyDescent="0.2">
      <c r="A931" s="27" t="s">
        <v>2467</v>
      </c>
      <c r="B931" s="27" t="s">
        <v>2468</v>
      </c>
      <c r="C931" s="27" t="s">
        <v>2469</v>
      </c>
      <c r="D931" s="27" t="s">
        <v>17</v>
      </c>
      <c r="E931" s="27" t="s">
        <v>48</v>
      </c>
      <c r="F931" s="27" t="s">
        <v>49</v>
      </c>
      <c r="G931" s="27" t="s">
        <v>227</v>
      </c>
      <c r="H931" s="29">
        <v>94</v>
      </c>
      <c r="I931" s="27" t="s">
        <v>29</v>
      </c>
      <c r="J931" s="37">
        <v>45352</v>
      </c>
      <c r="K931" s="27" t="s">
        <v>22</v>
      </c>
    </row>
    <row r="932" spans="1:11" x14ac:dyDescent="0.2">
      <c r="A932" s="24" t="s">
        <v>2470</v>
      </c>
      <c r="B932" s="24" t="s">
        <v>2471</v>
      </c>
      <c r="C932" s="24" t="s">
        <v>2472</v>
      </c>
      <c r="D932" s="24" t="s">
        <v>17</v>
      </c>
      <c r="E932" s="24" t="s">
        <v>18</v>
      </c>
      <c r="F932" s="24" t="s">
        <v>19</v>
      </c>
      <c r="G932" s="24" t="s">
        <v>38</v>
      </c>
      <c r="H932" s="26">
        <v>54</v>
      </c>
      <c r="I932" s="24" t="s">
        <v>29</v>
      </c>
      <c r="J932" s="36">
        <v>45365</v>
      </c>
      <c r="K932" s="24" t="s">
        <v>22</v>
      </c>
    </row>
    <row r="933" spans="1:11" x14ac:dyDescent="0.2">
      <c r="A933" s="27" t="s">
        <v>2473</v>
      </c>
      <c r="B933" s="27" t="s">
        <v>2474</v>
      </c>
      <c r="C933" s="27" t="s">
        <v>2475</v>
      </c>
      <c r="D933" s="27" t="s">
        <v>17</v>
      </c>
      <c r="E933" s="27" t="s">
        <v>42</v>
      </c>
      <c r="F933" s="27" t="s">
        <v>43</v>
      </c>
      <c r="G933" s="27" t="s">
        <v>20</v>
      </c>
      <c r="H933" s="29">
        <v>180</v>
      </c>
      <c r="I933" s="27" t="s">
        <v>21</v>
      </c>
      <c r="J933" s="37">
        <v>45356</v>
      </c>
      <c r="K933" s="27" t="s">
        <v>22</v>
      </c>
    </row>
    <row r="934" spans="1:11" x14ac:dyDescent="0.2">
      <c r="A934" s="24" t="s">
        <v>2476</v>
      </c>
      <c r="B934" s="24" t="s">
        <v>2477</v>
      </c>
      <c r="C934" s="24" t="s">
        <v>882</v>
      </c>
      <c r="D934" s="24" t="s">
        <v>17</v>
      </c>
      <c r="E934" s="24" t="s">
        <v>18</v>
      </c>
      <c r="F934" s="24" t="s">
        <v>19</v>
      </c>
      <c r="G934" s="24" t="s">
        <v>20</v>
      </c>
      <c r="H934" s="26">
        <v>112</v>
      </c>
      <c r="I934" s="24" t="s">
        <v>21</v>
      </c>
      <c r="J934" s="36">
        <v>45379</v>
      </c>
      <c r="K934" s="24" t="s">
        <v>22</v>
      </c>
    </row>
    <row r="935" spans="1:11" x14ac:dyDescent="0.2">
      <c r="A935" s="27" t="s">
        <v>2478</v>
      </c>
      <c r="B935" s="27" t="s">
        <v>2479</v>
      </c>
      <c r="C935" s="27" t="s">
        <v>687</v>
      </c>
      <c r="D935" s="27" t="s">
        <v>17</v>
      </c>
      <c r="E935" s="27" t="s">
        <v>42</v>
      </c>
      <c r="F935" s="27" t="s">
        <v>43</v>
      </c>
      <c r="G935" s="27" t="s">
        <v>20</v>
      </c>
      <c r="H935" s="29">
        <v>274</v>
      </c>
      <c r="I935" s="27" t="s">
        <v>21</v>
      </c>
      <c r="J935" s="37">
        <v>45377</v>
      </c>
      <c r="K935" s="27" t="s">
        <v>22</v>
      </c>
    </row>
    <row r="936" spans="1:11" x14ac:dyDescent="0.2">
      <c r="A936" s="24" t="s">
        <v>2480</v>
      </c>
      <c r="B936" s="24" t="s">
        <v>2481</v>
      </c>
      <c r="C936" s="24" t="s">
        <v>325</v>
      </c>
      <c r="D936" s="24" t="s">
        <v>17</v>
      </c>
      <c r="E936" s="24" t="s">
        <v>18</v>
      </c>
      <c r="F936" s="24" t="s">
        <v>19</v>
      </c>
      <c r="G936" s="24" t="s">
        <v>20</v>
      </c>
      <c r="H936" s="26">
        <v>15</v>
      </c>
      <c r="I936" s="24" t="s">
        <v>21</v>
      </c>
      <c r="J936" s="36">
        <v>45376</v>
      </c>
      <c r="K936" s="24" t="s">
        <v>22</v>
      </c>
    </row>
    <row r="937" spans="1:11" x14ac:dyDescent="0.2">
      <c r="A937" s="27" t="s">
        <v>2482</v>
      </c>
      <c r="B937" s="27" t="s">
        <v>2483</v>
      </c>
      <c r="C937" s="27" t="s">
        <v>2484</v>
      </c>
      <c r="D937" s="27" t="s">
        <v>17</v>
      </c>
      <c r="E937" s="27" t="s">
        <v>18</v>
      </c>
      <c r="F937" s="27" t="s">
        <v>19</v>
      </c>
      <c r="G937" s="27" t="s">
        <v>20</v>
      </c>
      <c r="H937" s="29">
        <v>64</v>
      </c>
      <c r="I937" s="27" t="s">
        <v>21</v>
      </c>
      <c r="J937" s="37">
        <v>45376</v>
      </c>
      <c r="K937" s="27" t="s">
        <v>22</v>
      </c>
    </row>
    <row r="938" spans="1:11" x14ac:dyDescent="0.2">
      <c r="A938" s="24" t="s">
        <v>2485</v>
      </c>
      <c r="B938" s="24" t="s">
        <v>2486</v>
      </c>
      <c r="C938" s="24" t="s">
        <v>388</v>
      </c>
      <c r="D938" s="24" t="s">
        <v>17</v>
      </c>
      <c r="E938" s="24" t="s">
        <v>42</v>
      </c>
      <c r="F938" s="24" t="s">
        <v>43</v>
      </c>
      <c r="G938" s="24" t="s">
        <v>20</v>
      </c>
      <c r="H938" s="26">
        <v>90</v>
      </c>
      <c r="I938" s="24" t="s">
        <v>21</v>
      </c>
      <c r="J938" s="36">
        <v>45357</v>
      </c>
      <c r="K938" s="24" t="s">
        <v>22</v>
      </c>
    </row>
    <row r="939" spans="1:11" x14ac:dyDescent="0.2">
      <c r="A939" s="27" t="s">
        <v>2487</v>
      </c>
      <c r="B939" s="27" t="s">
        <v>2488</v>
      </c>
      <c r="C939" s="27" t="s">
        <v>68</v>
      </c>
      <c r="D939" s="27" t="s">
        <v>17</v>
      </c>
      <c r="E939" s="27" t="s">
        <v>42</v>
      </c>
      <c r="F939" s="27" t="s">
        <v>43</v>
      </c>
      <c r="G939" s="27" t="s">
        <v>20</v>
      </c>
      <c r="H939" s="29">
        <v>214</v>
      </c>
      <c r="I939" s="27" t="s">
        <v>21</v>
      </c>
      <c r="J939" s="37">
        <v>45363</v>
      </c>
      <c r="K939" s="27" t="s">
        <v>22</v>
      </c>
    </row>
    <row r="940" spans="1:11" x14ac:dyDescent="0.2">
      <c r="A940" s="24" t="s">
        <v>2489</v>
      </c>
      <c r="B940" s="24" t="s">
        <v>2490</v>
      </c>
      <c r="C940" s="24" t="s">
        <v>2491</v>
      </c>
      <c r="D940" s="24" t="s">
        <v>17</v>
      </c>
      <c r="E940" s="24" t="s">
        <v>42</v>
      </c>
      <c r="F940" s="24" t="s">
        <v>43</v>
      </c>
      <c r="G940" s="24" t="s">
        <v>28</v>
      </c>
      <c r="H940" s="26">
        <v>820</v>
      </c>
      <c r="I940" s="24" t="s">
        <v>29</v>
      </c>
      <c r="J940" s="36">
        <v>45379</v>
      </c>
      <c r="K940" s="24" t="s">
        <v>22</v>
      </c>
    </row>
    <row r="941" spans="1:11" x14ac:dyDescent="0.2">
      <c r="A941" s="27" t="s">
        <v>2492</v>
      </c>
      <c r="B941" s="27" t="s">
        <v>2493</v>
      </c>
      <c r="C941" s="27" t="s">
        <v>2494</v>
      </c>
      <c r="D941" s="27" t="s">
        <v>17</v>
      </c>
      <c r="E941" s="27" t="s">
        <v>26</v>
      </c>
      <c r="F941" s="27" t="s">
        <v>27</v>
      </c>
      <c r="G941" s="27" t="s">
        <v>28</v>
      </c>
      <c r="H941" s="29">
        <v>24</v>
      </c>
      <c r="I941" s="27" t="s">
        <v>29</v>
      </c>
      <c r="J941" s="37">
        <v>45358</v>
      </c>
      <c r="K941" s="27" t="s">
        <v>22</v>
      </c>
    </row>
    <row r="942" spans="1:11" x14ac:dyDescent="0.2">
      <c r="A942" s="24" t="s">
        <v>2495</v>
      </c>
      <c r="B942" s="24" t="s">
        <v>2496</v>
      </c>
      <c r="C942" s="24" t="s">
        <v>613</v>
      </c>
      <c r="D942" s="24" t="s">
        <v>17</v>
      </c>
      <c r="E942" s="24" t="s">
        <v>18</v>
      </c>
      <c r="F942" s="24" t="s">
        <v>19</v>
      </c>
      <c r="G942" s="24" t="s">
        <v>59</v>
      </c>
      <c r="H942" s="26">
        <v>13</v>
      </c>
      <c r="I942" s="24" t="s">
        <v>21</v>
      </c>
      <c r="J942" s="36">
        <v>45370</v>
      </c>
      <c r="K942" s="24" t="s">
        <v>22</v>
      </c>
    </row>
    <row r="943" spans="1:11" x14ac:dyDescent="0.2">
      <c r="A943" s="27" t="s">
        <v>2497</v>
      </c>
      <c r="B943" s="27" t="s">
        <v>2498</v>
      </c>
      <c r="C943" s="27" t="s">
        <v>146</v>
      </c>
      <c r="D943" s="27" t="s">
        <v>17</v>
      </c>
      <c r="E943" s="27" t="s">
        <v>81</v>
      </c>
      <c r="F943" s="27" t="s">
        <v>82</v>
      </c>
      <c r="G943" s="27" t="s">
        <v>44</v>
      </c>
      <c r="H943" s="29">
        <v>336</v>
      </c>
      <c r="I943" s="27" t="s">
        <v>29</v>
      </c>
      <c r="J943" s="37">
        <v>45371</v>
      </c>
      <c r="K943" s="27" t="s">
        <v>22</v>
      </c>
    </row>
    <row r="944" spans="1:11" x14ac:dyDescent="0.2">
      <c r="A944" s="24" t="s">
        <v>2499</v>
      </c>
      <c r="B944" s="24" t="s">
        <v>2500</v>
      </c>
      <c r="C944" s="24" t="s">
        <v>2501</v>
      </c>
      <c r="D944" s="24" t="s">
        <v>17</v>
      </c>
      <c r="E944" s="24" t="s">
        <v>26</v>
      </c>
      <c r="F944" s="24" t="s">
        <v>27</v>
      </c>
      <c r="G944" s="24" t="s">
        <v>44</v>
      </c>
      <c r="H944" s="26">
        <v>12</v>
      </c>
      <c r="I944" s="24" t="s">
        <v>21</v>
      </c>
      <c r="J944" s="36">
        <v>45372</v>
      </c>
      <c r="K944" s="24" t="s">
        <v>22</v>
      </c>
    </row>
    <row r="945" spans="1:11" x14ac:dyDescent="0.2">
      <c r="A945" s="27" t="s">
        <v>2502</v>
      </c>
      <c r="B945" s="27" t="s">
        <v>2503</v>
      </c>
      <c r="C945" s="27" t="s">
        <v>2504</v>
      </c>
      <c r="D945" s="27" t="s">
        <v>17</v>
      </c>
      <c r="E945" s="27" t="s">
        <v>18</v>
      </c>
      <c r="F945" s="27" t="s">
        <v>19</v>
      </c>
      <c r="G945" s="27" t="s">
        <v>20</v>
      </c>
      <c r="H945" s="29">
        <v>60</v>
      </c>
      <c r="I945" s="27" t="s">
        <v>21</v>
      </c>
      <c r="J945" s="37">
        <v>45372</v>
      </c>
      <c r="K945" s="27" t="s">
        <v>22</v>
      </c>
    </row>
    <row r="946" spans="1:11" x14ac:dyDescent="0.2">
      <c r="A946" s="24" t="s">
        <v>2505</v>
      </c>
      <c r="B946" s="24" t="s">
        <v>2506</v>
      </c>
      <c r="C946" s="24" t="s">
        <v>2507</v>
      </c>
      <c r="D946" s="24" t="s">
        <v>17</v>
      </c>
      <c r="E946" s="24" t="s">
        <v>26</v>
      </c>
      <c r="F946" s="24" t="s">
        <v>27</v>
      </c>
      <c r="G946" s="24" t="s">
        <v>28</v>
      </c>
      <c r="H946" s="26">
        <v>132</v>
      </c>
      <c r="I946" s="24" t="s">
        <v>29</v>
      </c>
      <c r="J946" s="36">
        <v>45378</v>
      </c>
      <c r="K946" s="24" t="s">
        <v>22</v>
      </c>
    </row>
    <row r="947" spans="1:11" x14ac:dyDescent="0.2">
      <c r="A947" s="27" t="s">
        <v>2508</v>
      </c>
      <c r="B947" s="27" t="s">
        <v>2509</v>
      </c>
      <c r="C947" s="27" t="s">
        <v>409</v>
      </c>
      <c r="D947" s="27" t="s">
        <v>17</v>
      </c>
      <c r="E947" s="27" t="s">
        <v>42</v>
      </c>
      <c r="F947" s="27" t="s">
        <v>43</v>
      </c>
      <c r="G947" s="27" t="s">
        <v>20</v>
      </c>
      <c r="H947" s="29">
        <v>249</v>
      </c>
      <c r="I947" s="27" t="s">
        <v>21</v>
      </c>
      <c r="J947" s="37">
        <v>45376</v>
      </c>
      <c r="K947" s="27" t="s">
        <v>22</v>
      </c>
    </row>
    <row r="948" spans="1:11" x14ac:dyDescent="0.2">
      <c r="A948" s="24" t="s">
        <v>2510</v>
      </c>
      <c r="B948" s="24" t="s">
        <v>2511</v>
      </c>
      <c r="C948" s="24" t="s">
        <v>2512</v>
      </c>
      <c r="D948" s="24" t="s">
        <v>17</v>
      </c>
      <c r="E948" s="24" t="s">
        <v>48</v>
      </c>
      <c r="F948" s="24" t="s">
        <v>49</v>
      </c>
      <c r="G948" s="24" t="s">
        <v>20</v>
      </c>
      <c r="H948" s="26">
        <v>109</v>
      </c>
      <c r="I948" s="24" t="s">
        <v>21</v>
      </c>
      <c r="J948" s="36">
        <v>45378</v>
      </c>
      <c r="K948" s="24" t="s">
        <v>22</v>
      </c>
    </row>
    <row r="949" spans="1:11" x14ac:dyDescent="0.2">
      <c r="A949" s="27" t="s">
        <v>2513</v>
      </c>
      <c r="B949" s="27" t="s">
        <v>2514</v>
      </c>
      <c r="C949" s="27" t="s">
        <v>2515</v>
      </c>
      <c r="D949" s="27" t="s">
        <v>17</v>
      </c>
      <c r="E949" s="27" t="s">
        <v>42</v>
      </c>
      <c r="F949" s="27" t="s">
        <v>43</v>
      </c>
      <c r="G949" s="27" t="s">
        <v>44</v>
      </c>
      <c r="H949" s="29">
        <v>490</v>
      </c>
      <c r="I949" s="27" t="s">
        <v>29</v>
      </c>
      <c r="J949" s="37">
        <v>45370</v>
      </c>
      <c r="K949" s="27" t="s">
        <v>22</v>
      </c>
    </row>
    <row r="950" spans="1:11" x14ac:dyDescent="0.2">
      <c r="A950" s="24" t="s">
        <v>2516</v>
      </c>
      <c r="B950" s="24" t="s">
        <v>2517</v>
      </c>
      <c r="C950" s="24" t="s">
        <v>2518</v>
      </c>
      <c r="D950" s="24" t="s">
        <v>17</v>
      </c>
      <c r="E950" s="24" t="s">
        <v>42</v>
      </c>
      <c r="F950" s="24" t="s">
        <v>43</v>
      </c>
      <c r="G950" s="24" t="s">
        <v>59</v>
      </c>
      <c r="H950" s="26">
        <v>4</v>
      </c>
      <c r="I950" s="24" t="s">
        <v>21</v>
      </c>
      <c r="J950" s="36">
        <v>45379</v>
      </c>
      <c r="K950" s="24" t="s">
        <v>22</v>
      </c>
    </row>
    <row r="951" spans="1:11" x14ac:dyDescent="0.2">
      <c r="A951" s="27" t="s">
        <v>2519</v>
      </c>
      <c r="B951" s="27" t="s">
        <v>2520</v>
      </c>
      <c r="C951" s="27" t="s">
        <v>1307</v>
      </c>
      <c r="D951" s="27" t="s">
        <v>17</v>
      </c>
      <c r="E951" s="27" t="s">
        <v>48</v>
      </c>
      <c r="F951" s="27" t="s">
        <v>49</v>
      </c>
      <c r="G951" s="27" t="s">
        <v>20</v>
      </c>
      <c r="H951" s="29">
        <v>181</v>
      </c>
      <c r="I951" s="27" t="s">
        <v>21</v>
      </c>
      <c r="J951" s="37">
        <v>45353</v>
      </c>
      <c r="K951" s="27" t="s">
        <v>22</v>
      </c>
    </row>
    <row r="952" spans="1:11" x14ac:dyDescent="0.2">
      <c r="A952" s="24" t="s">
        <v>2521</v>
      </c>
      <c r="B952" s="24" t="s">
        <v>2522</v>
      </c>
      <c r="C952" s="24" t="s">
        <v>494</v>
      </c>
      <c r="D952" s="24" t="s">
        <v>17</v>
      </c>
      <c r="E952" s="24" t="s">
        <v>26</v>
      </c>
      <c r="F952" s="24" t="s">
        <v>27</v>
      </c>
      <c r="G952" s="24" t="s">
        <v>28</v>
      </c>
      <c r="H952" s="26">
        <v>138</v>
      </c>
      <c r="I952" s="24" t="s">
        <v>29</v>
      </c>
      <c r="J952" s="36">
        <v>45399</v>
      </c>
      <c r="K952" s="24" t="s">
        <v>22</v>
      </c>
    </row>
    <row r="953" spans="1:11" x14ac:dyDescent="0.2">
      <c r="A953" s="27" t="s">
        <v>2523</v>
      </c>
      <c r="B953" s="27" t="s">
        <v>2524</v>
      </c>
      <c r="C953" s="27" t="s">
        <v>450</v>
      </c>
      <c r="D953" s="27" t="s">
        <v>17</v>
      </c>
      <c r="E953" s="27" t="s">
        <v>18</v>
      </c>
      <c r="F953" s="27" t="s">
        <v>19</v>
      </c>
      <c r="G953" s="27" t="s">
        <v>28</v>
      </c>
      <c r="H953" s="29">
        <v>30</v>
      </c>
      <c r="I953" s="27" t="s">
        <v>29</v>
      </c>
      <c r="J953" s="37">
        <v>45393</v>
      </c>
      <c r="K953" s="27" t="s">
        <v>22</v>
      </c>
    </row>
    <row r="954" spans="1:11" x14ac:dyDescent="0.2">
      <c r="A954" s="24" t="s">
        <v>2525</v>
      </c>
      <c r="B954" s="24" t="s">
        <v>2526</v>
      </c>
      <c r="C954" s="24" t="s">
        <v>2527</v>
      </c>
      <c r="D954" s="24" t="s">
        <v>17</v>
      </c>
      <c r="E954" s="24" t="s">
        <v>48</v>
      </c>
      <c r="F954" s="24" t="s">
        <v>49</v>
      </c>
      <c r="G954" s="24" t="s">
        <v>44</v>
      </c>
      <c r="H954" s="26">
        <v>48</v>
      </c>
      <c r="I954" s="24" t="s">
        <v>21</v>
      </c>
      <c r="J954" s="36">
        <v>45404</v>
      </c>
      <c r="K954" s="24" t="s">
        <v>22</v>
      </c>
    </row>
    <row r="955" spans="1:11" x14ac:dyDescent="0.2">
      <c r="A955" s="27" t="s">
        <v>2528</v>
      </c>
      <c r="B955" s="27" t="s">
        <v>2529</v>
      </c>
      <c r="C955" s="27" t="s">
        <v>1307</v>
      </c>
      <c r="D955" s="27" t="s">
        <v>17</v>
      </c>
      <c r="E955" s="27" t="s">
        <v>18</v>
      </c>
      <c r="F955" s="27" t="s">
        <v>19</v>
      </c>
      <c r="G955" s="27" t="s">
        <v>217</v>
      </c>
      <c r="H955" s="29">
        <v>28</v>
      </c>
      <c r="I955" s="27" t="s">
        <v>29</v>
      </c>
      <c r="J955" s="37">
        <v>45383</v>
      </c>
      <c r="K955" s="27" t="s">
        <v>22</v>
      </c>
    </row>
    <row r="956" spans="1:11" x14ac:dyDescent="0.2">
      <c r="A956" s="24" t="s">
        <v>2530</v>
      </c>
      <c r="B956" s="24" t="s">
        <v>2531</v>
      </c>
      <c r="C956" s="24" t="s">
        <v>2532</v>
      </c>
      <c r="D956" s="24" t="s">
        <v>17</v>
      </c>
      <c r="E956" s="24" t="s">
        <v>18</v>
      </c>
      <c r="F956" s="24" t="s">
        <v>19</v>
      </c>
      <c r="G956" s="24" t="s">
        <v>44</v>
      </c>
      <c r="H956" s="26">
        <v>6</v>
      </c>
      <c r="I956" s="24" t="s">
        <v>29</v>
      </c>
      <c r="J956" s="36">
        <v>45400</v>
      </c>
      <c r="K956" s="24" t="s">
        <v>22</v>
      </c>
    </row>
    <row r="957" spans="1:11" x14ac:dyDescent="0.2">
      <c r="A957" s="27" t="s">
        <v>2533</v>
      </c>
      <c r="B957" s="27" t="s">
        <v>2534</v>
      </c>
      <c r="C957" s="27" t="s">
        <v>2535</v>
      </c>
      <c r="D957" s="27" t="s">
        <v>17</v>
      </c>
      <c r="E957" s="27" t="s">
        <v>42</v>
      </c>
      <c r="F957" s="27" t="s">
        <v>43</v>
      </c>
      <c r="G957" s="27" t="s">
        <v>227</v>
      </c>
      <c r="H957" s="29">
        <v>100</v>
      </c>
      <c r="I957" s="27" t="s">
        <v>29</v>
      </c>
      <c r="J957" s="37">
        <v>45412</v>
      </c>
      <c r="K957" s="27" t="s">
        <v>22</v>
      </c>
    </row>
    <row r="958" spans="1:11" x14ac:dyDescent="0.2">
      <c r="A958" s="24" t="s">
        <v>2536</v>
      </c>
      <c r="B958" s="24" t="s">
        <v>2537</v>
      </c>
      <c r="C958" s="24" t="s">
        <v>322</v>
      </c>
      <c r="D958" s="24" t="s">
        <v>17</v>
      </c>
      <c r="E958" s="24" t="s">
        <v>42</v>
      </c>
      <c r="F958" s="24" t="s">
        <v>43</v>
      </c>
      <c r="G958" s="24" t="s">
        <v>28</v>
      </c>
      <c r="H958" s="26">
        <v>700</v>
      </c>
      <c r="I958" s="24" t="s">
        <v>29</v>
      </c>
      <c r="J958" s="36">
        <v>45383</v>
      </c>
      <c r="K958" s="24" t="s">
        <v>22</v>
      </c>
    </row>
    <row r="959" spans="1:11" x14ac:dyDescent="0.2">
      <c r="A959" s="27" t="s">
        <v>2538</v>
      </c>
      <c r="B959" s="27" t="s">
        <v>2539</v>
      </c>
      <c r="C959" s="27" t="s">
        <v>2540</v>
      </c>
      <c r="D959" s="27" t="s">
        <v>17</v>
      </c>
      <c r="E959" s="27" t="s">
        <v>48</v>
      </c>
      <c r="F959" s="27" t="s">
        <v>49</v>
      </c>
      <c r="G959" s="27" t="s">
        <v>116</v>
      </c>
      <c r="H959" s="29">
        <v>0</v>
      </c>
      <c r="I959" s="27" t="s">
        <v>21</v>
      </c>
      <c r="J959" s="37">
        <v>45400</v>
      </c>
      <c r="K959" s="27" t="s">
        <v>22</v>
      </c>
    </row>
    <row r="960" spans="1:11" x14ac:dyDescent="0.2">
      <c r="A960" s="24" t="s">
        <v>2541</v>
      </c>
      <c r="B960" s="24" t="s">
        <v>2542</v>
      </c>
      <c r="C960" s="24" t="s">
        <v>827</v>
      </c>
      <c r="D960" s="24" t="s">
        <v>17</v>
      </c>
      <c r="E960" s="24" t="s">
        <v>42</v>
      </c>
      <c r="F960" s="24" t="s">
        <v>43</v>
      </c>
      <c r="G960" s="24" t="s">
        <v>28</v>
      </c>
      <c r="H960" s="26">
        <v>420</v>
      </c>
      <c r="I960" s="24" t="s">
        <v>29</v>
      </c>
      <c r="J960" s="36">
        <v>45412</v>
      </c>
      <c r="K960" s="24" t="s">
        <v>22</v>
      </c>
    </row>
    <row r="961" spans="1:11" x14ac:dyDescent="0.2">
      <c r="A961" s="27" t="s">
        <v>2543</v>
      </c>
      <c r="B961" s="27" t="s">
        <v>2544</v>
      </c>
      <c r="C961" s="27" t="s">
        <v>146</v>
      </c>
      <c r="D961" s="27" t="s">
        <v>17</v>
      </c>
      <c r="E961" s="27" t="s">
        <v>81</v>
      </c>
      <c r="F961" s="27" t="s">
        <v>82</v>
      </c>
      <c r="G961" s="27" t="s">
        <v>44</v>
      </c>
      <c r="H961" s="29">
        <v>1357</v>
      </c>
      <c r="I961" s="27" t="s">
        <v>21</v>
      </c>
      <c r="J961" s="37">
        <v>45398</v>
      </c>
      <c r="K961" s="27" t="s">
        <v>22</v>
      </c>
    </row>
    <row r="962" spans="1:11" x14ac:dyDescent="0.2">
      <c r="A962" s="24" t="s">
        <v>2545</v>
      </c>
      <c r="B962" s="24" t="s">
        <v>2546</v>
      </c>
      <c r="C962" s="24" t="s">
        <v>2547</v>
      </c>
      <c r="D962" s="24" t="s">
        <v>17</v>
      </c>
      <c r="E962" s="24" t="s">
        <v>48</v>
      </c>
      <c r="F962" s="24" t="s">
        <v>49</v>
      </c>
      <c r="G962" s="24" t="s">
        <v>44</v>
      </c>
      <c r="H962" s="26">
        <v>135</v>
      </c>
      <c r="I962" s="24" t="s">
        <v>29</v>
      </c>
      <c r="J962" s="36">
        <v>45392</v>
      </c>
      <c r="K962" s="24" t="s">
        <v>22</v>
      </c>
    </row>
    <row r="963" spans="1:11" x14ac:dyDescent="0.2">
      <c r="A963" s="27" t="s">
        <v>2548</v>
      </c>
      <c r="B963" s="27" t="s">
        <v>2549</v>
      </c>
      <c r="C963" s="27" t="s">
        <v>2550</v>
      </c>
      <c r="D963" s="27" t="s">
        <v>17</v>
      </c>
      <c r="E963" s="27" t="s">
        <v>18</v>
      </c>
      <c r="F963" s="27" t="s">
        <v>19</v>
      </c>
      <c r="G963" s="27" t="s">
        <v>20</v>
      </c>
      <c r="H963" s="29">
        <v>28</v>
      </c>
      <c r="I963" s="27" t="s">
        <v>21</v>
      </c>
      <c r="J963" s="37">
        <v>45397</v>
      </c>
      <c r="K963" s="27" t="s">
        <v>22</v>
      </c>
    </row>
    <row r="964" spans="1:11" x14ac:dyDescent="0.2">
      <c r="A964" s="24" t="s">
        <v>2551</v>
      </c>
      <c r="B964" s="24" t="s">
        <v>2552</v>
      </c>
      <c r="C964" s="24" t="s">
        <v>277</v>
      </c>
      <c r="D964" s="24" t="s">
        <v>17</v>
      </c>
      <c r="E964" s="24" t="s">
        <v>18</v>
      </c>
      <c r="F964" s="24" t="s">
        <v>19</v>
      </c>
      <c r="G964" s="24" t="s">
        <v>20</v>
      </c>
      <c r="H964" s="26">
        <v>8</v>
      </c>
      <c r="I964" s="24" t="s">
        <v>21</v>
      </c>
      <c r="J964" s="36">
        <v>45390</v>
      </c>
      <c r="K964" s="24" t="s">
        <v>22</v>
      </c>
    </row>
    <row r="965" spans="1:11" x14ac:dyDescent="0.2">
      <c r="A965" s="27" t="s">
        <v>2553</v>
      </c>
      <c r="B965" s="27" t="s">
        <v>2554</v>
      </c>
      <c r="C965" s="27" t="s">
        <v>85</v>
      </c>
      <c r="D965" s="27" t="s">
        <v>17</v>
      </c>
      <c r="E965" s="27" t="s">
        <v>26</v>
      </c>
      <c r="F965" s="27" t="s">
        <v>27</v>
      </c>
      <c r="G965" s="27" t="s">
        <v>28</v>
      </c>
      <c r="H965" s="29">
        <v>76</v>
      </c>
      <c r="I965" s="27" t="s">
        <v>29</v>
      </c>
      <c r="J965" s="37">
        <v>45383</v>
      </c>
      <c r="K965" s="27" t="s">
        <v>22</v>
      </c>
    </row>
    <row r="966" spans="1:11" x14ac:dyDescent="0.2">
      <c r="A966" s="24" t="s">
        <v>2555</v>
      </c>
      <c r="B966" s="24" t="s">
        <v>2556</v>
      </c>
      <c r="C966" s="24" t="s">
        <v>2557</v>
      </c>
      <c r="D966" s="24" t="s">
        <v>17</v>
      </c>
      <c r="E966" s="24" t="s">
        <v>163</v>
      </c>
      <c r="F966" s="24" t="s">
        <v>164</v>
      </c>
      <c r="G966" s="24" t="s">
        <v>59</v>
      </c>
      <c r="H966" s="26">
        <v>67</v>
      </c>
      <c r="I966" s="24" t="s">
        <v>21</v>
      </c>
      <c r="J966" s="36">
        <v>45391</v>
      </c>
      <c r="K966" s="24" t="s">
        <v>22</v>
      </c>
    </row>
    <row r="967" spans="1:11" x14ac:dyDescent="0.2">
      <c r="A967" s="27" t="s">
        <v>2558</v>
      </c>
      <c r="B967" s="27" t="s">
        <v>2559</v>
      </c>
      <c r="C967" s="27" t="s">
        <v>115</v>
      </c>
      <c r="D967" s="27" t="s">
        <v>17</v>
      </c>
      <c r="E967" s="27" t="s">
        <v>18</v>
      </c>
      <c r="F967" s="27" t="s">
        <v>19</v>
      </c>
      <c r="G967" s="27" t="s">
        <v>20</v>
      </c>
      <c r="H967" s="29">
        <v>120</v>
      </c>
      <c r="I967" s="27" t="s">
        <v>21</v>
      </c>
      <c r="J967" s="37">
        <v>45411</v>
      </c>
      <c r="K967" s="27" t="s">
        <v>22</v>
      </c>
    </row>
    <row r="968" spans="1:11" x14ac:dyDescent="0.2">
      <c r="A968" s="24" t="s">
        <v>2560</v>
      </c>
      <c r="B968" s="24" t="s">
        <v>2561</v>
      </c>
      <c r="C968" s="24" t="s">
        <v>2562</v>
      </c>
      <c r="D968" s="24" t="s">
        <v>17</v>
      </c>
      <c r="E968" s="24" t="s">
        <v>81</v>
      </c>
      <c r="F968" s="24" t="s">
        <v>82</v>
      </c>
      <c r="G968" s="24" t="s">
        <v>217</v>
      </c>
      <c r="H968" s="26">
        <v>150</v>
      </c>
      <c r="I968" s="24" t="s">
        <v>29</v>
      </c>
      <c r="J968" s="36">
        <v>45412</v>
      </c>
      <c r="K968" s="24" t="s">
        <v>22</v>
      </c>
    </row>
    <row r="969" spans="1:11" x14ac:dyDescent="0.2">
      <c r="A969" s="27" t="s">
        <v>2563</v>
      </c>
      <c r="B969" s="27" t="s">
        <v>2564</v>
      </c>
      <c r="C969" s="27" t="s">
        <v>97</v>
      </c>
      <c r="D969" s="27" t="s">
        <v>17</v>
      </c>
      <c r="E969" s="27" t="s">
        <v>48</v>
      </c>
      <c r="F969" s="27" t="s">
        <v>49</v>
      </c>
      <c r="G969" s="27" t="s">
        <v>44</v>
      </c>
      <c r="H969" s="29">
        <v>76</v>
      </c>
      <c r="I969" s="27" t="s">
        <v>21</v>
      </c>
      <c r="J969" s="37">
        <v>45403</v>
      </c>
      <c r="K969" s="27" t="s">
        <v>22</v>
      </c>
    </row>
    <row r="970" spans="1:11" x14ac:dyDescent="0.2">
      <c r="A970" s="24" t="s">
        <v>2565</v>
      </c>
      <c r="B970" s="24" t="s">
        <v>2566</v>
      </c>
      <c r="C970" s="24" t="s">
        <v>55</v>
      </c>
      <c r="D970" s="24" t="s">
        <v>17</v>
      </c>
      <c r="E970" s="24" t="s">
        <v>33</v>
      </c>
      <c r="F970" s="24" t="s">
        <v>34</v>
      </c>
      <c r="G970" s="24" t="s">
        <v>44</v>
      </c>
      <c r="H970" s="26">
        <v>46</v>
      </c>
      <c r="I970" s="24" t="s">
        <v>29</v>
      </c>
      <c r="J970" s="36">
        <v>45400</v>
      </c>
      <c r="K970" s="24" t="s">
        <v>22</v>
      </c>
    </row>
    <row r="971" spans="1:11" x14ac:dyDescent="0.2">
      <c r="A971" s="27" t="s">
        <v>2567</v>
      </c>
      <c r="B971" s="27" t="s">
        <v>2568</v>
      </c>
      <c r="C971" s="27" t="s">
        <v>2569</v>
      </c>
      <c r="D971" s="27" t="s">
        <v>17</v>
      </c>
      <c r="E971" s="27" t="s">
        <v>42</v>
      </c>
      <c r="F971" s="27" t="s">
        <v>43</v>
      </c>
      <c r="G971" s="27" t="s">
        <v>20</v>
      </c>
      <c r="H971" s="29">
        <v>421</v>
      </c>
      <c r="I971" s="27" t="s">
        <v>21</v>
      </c>
      <c r="J971" s="37">
        <v>45411</v>
      </c>
      <c r="K971" s="27" t="s">
        <v>22</v>
      </c>
    </row>
    <row r="972" spans="1:11" x14ac:dyDescent="0.2">
      <c r="A972" s="24" t="s">
        <v>2570</v>
      </c>
      <c r="B972" s="24" t="s">
        <v>2571</v>
      </c>
      <c r="C972" s="24" t="s">
        <v>1283</v>
      </c>
      <c r="D972" s="24" t="s">
        <v>17</v>
      </c>
      <c r="E972" s="24" t="s">
        <v>42</v>
      </c>
      <c r="F972" s="24" t="s">
        <v>43</v>
      </c>
      <c r="G972" s="24" t="s">
        <v>28</v>
      </c>
      <c r="H972" s="26">
        <v>36</v>
      </c>
      <c r="I972" s="24" t="s">
        <v>29</v>
      </c>
      <c r="J972" s="36">
        <v>45408</v>
      </c>
      <c r="K972" s="24" t="s">
        <v>22</v>
      </c>
    </row>
    <row r="973" spans="1:11" x14ac:dyDescent="0.2">
      <c r="A973" s="27" t="s">
        <v>2572</v>
      </c>
      <c r="B973" s="27" t="s">
        <v>2573</v>
      </c>
      <c r="C973" s="27" t="s">
        <v>2574</v>
      </c>
      <c r="D973" s="27" t="s">
        <v>17</v>
      </c>
      <c r="E973" s="27" t="s">
        <v>48</v>
      </c>
      <c r="F973" s="27" t="s">
        <v>49</v>
      </c>
      <c r="G973" s="27" t="s">
        <v>20</v>
      </c>
      <c r="H973" s="29">
        <v>24</v>
      </c>
      <c r="I973" s="27" t="s">
        <v>21</v>
      </c>
      <c r="J973" s="37">
        <v>45390</v>
      </c>
      <c r="K973" s="27" t="s">
        <v>22</v>
      </c>
    </row>
    <row r="974" spans="1:11" x14ac:dyDescent="0.2">
      <c r="A974" s="24" t="s">
        <v>2575</v>
      </c>
      <c r="B974" s="24" t="s">
        <v>2576</v>
      </c>
      <c r="C974" s="24" t="s">
        <v>194</v>
      </c>
      <c r="D974" s="24" t="s">
        <v>17</v>
      </c>
      <c r="E974" s="24" t="s">
        <v>26</v>
      </c>
      <c r="F974" s="24" t="s">
        <v>27</v>
      </c>
      <c r="G974" s="24" t="s">
        <v>28</v>
      </c>
      <c r="H974" s="26">
        <v>98</v>
      </c>
      <c r="I974" s="24" t="s">
        <v>29</v>
      </c>
      <c r="J974" s="36">
        <v>45406</v>
      </c>
      <c r="K974" s="24" t="s">
        <v>22</v>
      </c>
    </row>
    <row r="975" spans="1:11" x14ac:dyDescent="0.2">
      <c r="A975" s="27" t="s">
        <v>2577</v>
      </c>
      <c r="B975" s="27" t="s">
        <v>2578</v>
      </c>
      <c r="C975" s="27" t="s">
        <v>266</v>
      </c>
      <c r="D975" s="27" t="s">
        <v>17</v>
      </c>
      <c r="E975" s="27" t="s">
        <v>42</v>
      </c>
      <c r="F975" s="27" t="s">
        <v>43</v>
      </c>
      <c r="G975" s="27" t="s">
        <v>44</v>
      </c>
      <c r="H975" s="29">
        <v>174</v>
      </c>
      <c r="I975" s="27" t="s">
        <v>21</v>
      </c>
      <c r="J975" s="37">
        <v>45383</v>
      </c>
      <c r="K975" s="27" t="s">
        <v>22</v>
      </c>
    </row>
    <row r="976" spans="1:11" x14ac:dyDescent="0.2">
      <c r="A976" s="24" t="s">
        <v>2579</v>
      </c>
      <c r="B976" s="24" t="s">
        <v>2580</v>
      </c>
      <c r="C976" s="24" t="s">
        <v>1110</v>
      </c>
      <c r="D976" s="24" t="s">
        <v>17</v>
      </c>
      <c r="E976" s="24" t="s">
        <v>81</v>
      </c>
      <c r="F976" s="24" t="s">
        <v>82</v>
      </c>
      <c r="G976" s="24" t="s">
        <v>28</v>
      </c>
      <c r="H976" s="26">
        <v>320</v>
      </c>
      <c r="I976" s="24" t="s">
        <v>29</v>
      </c>
      <c r="J976" s="36">
        <v>45384</v>
      </c>
      <c r="K976" s="24" t="s">
        <v>22</v>
      </c>
    </row>
    <row r="977" spans="1:11" x14ac:dyDescent="0.2">
      <c r="A977" s="27" t="s">
        <v>2581</v>
      </c>
      <c r="B977" s="27" t="s">
        <v>2582</v>
      </c>
      <c r="C977" s="27" t="s">
        <v>2583</v>
      </c>
      <c r="D977" s="27" t="s">
        <v>17</v>
      </c>
      <c r="E977" s="27" t="s">
        <v>81</v>
      </c>
      <c r="F977" s="27" t="s">
        <v>82</v>
      </c>
      <c r="G977" s="27" t="s">
        <v>217</v>
      </c>
      <c r="H977" s="29">
        <v>196</v>
      </c>
      <c r="I977" s="27" t="s">
        <v>29</v>
      </c>
      <c r="J977" s="37">
        <v>45383</v>
      </c>
      <c r="K977" s="27" t="s">
        <v>22</v>
      </c>
    </row>
    <row r="978" spans="1:11" x14ac:dyDescent="0.2">
      <c r="A978" s="24" t="s">
        <v>2584</v>
      </c>
      <c r="B978" s="24" t="s">
        <v>2585</v>
      </c>
      <c r="C978" s="24" t="s">
        <v>2586</v>
      </c>
      <c r="D978" s="24" t="s">
        <v>17</v>
      </c>
      <c r="E978" s="24" t="s">
        <v>81</v>
      </c>
      <c r="F978" s="24" t="s">
        <v>82</v>
      </c>
      <c r="G978" s="24" t="s">
        <v>20</v>
      </c>
      <c r="H978" s="26">
        <v>196</v>
      </c>
      <c r="I978" s="24" t="s">
        <v>21</v>
      </c>
      <c r="J978" s="36">
        <v>45407</v>
      </c>
      <c r="K978" s="24" t="s">
        <v>22</v>
      </c>
    </row>
    <row r="979" spans="1:11" x14ac:dyDescent="0.2">
      <c r="A979" s="27" t="s">
        <v>2587</v>
      </c>
      <c r="B979" s="27" t="s">
        <v>2588</v>
      </c>
      <c r="C979" s="27" t="s">
        <v>251</v>
      </c>
      <c r="D979" s="27" t="s">
        <v>17</v>
      </c>
      <c r="E979" s="27" t="s">
        <v>42</v>
      </c>
      <c r="F979" s="27" t="s">
        <v>43</v>
      </c>
      <c r="G979" s="27" t="s">
        <v>20</v>
      </c>
      <c r="H979" s="29">
        <v>718</v>
      </c>
      <c r="I979" s="27" t="s">
        <v>21</v>
      </c>
      <c r="J979" s="37">
        <v>45390</v>
      </c>
      <c r="K979" s="27" t="s">
        <v>22</v>
      </c>
    </row>
    <row r="980" spans="1:11" x14ac:dyDescent="0.2">
      <c r="A980" s="24" t="s">
        <v>2589</v>
      </c>
      <c r="B980" s="24" t="s">
        <v>2590</v>
      </c>
      <c r="C980" s="24" t="s">
        <v>2591</v>
      </c>
      <c r="D980" s="24" t="s">
        <v>17</v>
      </c>
      <c r="E980" s="24" t="s">
        <v>26</v>
      </c>
      <c r="F980" s="24" t="s">
        <v>27</v>
      </c>
      <c r="G980" s="24" t="s">
        <v>44</v>
      </c>
      <c r="H980" s="26">
        <v>30</v>
      </c>
      <c r="I980" s="24" t="s">
        <v>21</v>
      </c>
      <c r="J980" s="36">
        <v>45408</v>
      </c>
      <c r="K980" s="24" t="s">
        <v>22</v>
      </c>
    </row>
    <row r="981" spans="1:11" x14ac:dyDescent="0.2">
      <c r="A981" s="27" t="s">
        <v>2592</v>
      </c>
      <c r="B981" s="27" t="s">
        <v>2593</v>
      </c>
      <c r="C981" s="27" t="s">
        <v>97</v>
      </c>
      <c r="D981" s="27" t="s">
        <v>17</v>
      </c>
      <c r="E981" s="27" t="s">
        <v>42</v>
      </c>
      <c r="F981" s="27" t="s">
        <v>43</v>
      </c>
      <c r="G981" s="27" t="s">
        <v>28</v>
      </c>
      <c r="H981" s="29">
        <v>675</v>
      </c>
      <c r="I981" s="27" t="s">
        <v>29</v>
      </c>
      <c r="J981" s="37">
        <v>45393</v>
      </c>
      <c r="K981" s="27" t="s">
        <v>22</v>
      </c>
    </row>
    <row r="982" spans="1:11" x14ac:dyDescent="0.2">
      <c r="A982" s="24" t="s">
        <v>2594</v>
      </c>
      <c r="B982" s="24" t="s">
        <v>2595</v>
      </c>
      <c r="C982" s="24" t="s">
        <v>97</v>
      </c>
      <c r="D982" s="24" t="s">
        <v>17</v>
      </c>
      <c r="E982" s="24" t="s">
        <v>18</v>
      </c>
      <c r="F982" s="24" t="s">
        <v>19</v>
      </c>
      <c r="G982" s="24" t="s">
        <v>20</v>
      </c>
      <c r="H982" s="26">
        <v>14</v>
      </c>
      <c r="I982" s="24" t="s">
        <v>21</v>
      </c>
      <c r="J982" s="36">
        <v>45398</v>
      </c>
      <c r="K982" s="24" t="s">
        <v>22</v>
      </c>
    </row>
    <row r="983" spans="1:11" x14ac:dyDescent="0.2">
      <c r="A983" s="27" t="s">
        <v>2596</v>
      </c>
      <c r="B983" s="27" t="s">
        <v>2597</v>
      </c>
      <c r="C983" s="27" t="s">
        <v>55</v>
      </c>
      <c r="D983" s="27" t="s">
        <v>17</v>
      </c>
      <c r="E983" s="27" t="s">
        <v>42</v>
      </c>
      <c r="F983" s="27" t="s">
        <v>43</v>
      </c>
      <c r="G983" s="27" t="s">
        <v>28</v>
      </c>
      <c r="H983" s="29">
        <v>1200</v>
      </c>
      <c r="I983" s="27" t="s">
        <v>29</v>
      </c>
      <c r="J983" s="37">
        <v>45396</v>
      </c>
      <c r="K983" s="27" t="s">
        <v>22</v>
      </c>
    </row>
    <row r="984" spans="1:11" x14ac:dyDescent="0.2">
      <c r="A984" s="24" t="s">
        <v>2598</v>
      </c>
      <c r="B984" s="24" t="s">
        <v>2599</v>
      </c>
      <c r="C984" s="24" t="s">
        <v>1014</v>
      </c>
      <c r="D984" s="24" t="s">
        <v>17</v>
      </c>
      <c r="E984" s="24" t="s">
        <v>18</v>
      </c>
      <c r="F984" s="24" t="s">
        <v>19</v>
      </c>
      <c r="G984" s="24" t="s">
        <v>38</v>
      </c>
      <c r="H984" s="26">
        <v>34</v>
      </c>
      <c r="I984" s="24" t="s">
        <v>29</v>
      </c>
      <c r="J984" s="36">
        <v>45412</v>
      </c>
      <c r="K984" s="24" t="s">
        <v>22</v>
      </c>
    </row>
    <row r="985" spans="1:11" x14ac:dyDescent="0.2">
      <c r="A985" s="27" t="s">
        <v>2600</v>
      </c>
      <c r="B985" s="27" t="s">
        <v>2601</v>
      </c>
      <c r="C985" s="27" t="s">
        <v>2602</v>
      </c>
      <c r="D985" s="27" t="s">
        <v>17</v>
      </c>
      <c r="E985" s="27" t="s">
        <v>48</v>
      </c>
      <c r="F985" s="27" t="s">
        <v>49</v>
      </c>
      <c r="G985" s="27" t="s">
        <v>20</v>
      </c>
      <c r="H985" s="29">
        <v>35</v>
      </c>
      <c r="I985" s="27" t="s">
        <v>21</v>
      </c>
      <c r="J985" s="37">
        <v>45406</v>
      </c>
      <c r="K985" s="27" t="s">
        <v>22</v>
      </c>
    </row>
    <row r="986" spans="1:11" x14ac:dyDescent="0.2">
      <c r="A986" s="24" t="s">
        <v>2603</v>
      </c>
      <c r="B986" s="24" t="s">
        <v>2604</v>
      </c>
      <c r="C986" s="24" t="s">
        <v>115</v>
      </c>
      <c r="D986" s="24" t="s">
        <v>17</v>
      </c>
      <c r="E986" s="24" t="s">
        <v>81</v>
      </c>
      <c r="F986" s="24" t="s">
        <v>82</v>
      </c>
      <c r="G986" s="24" t="s">
        <v>28</v>
      </c>
      <c r="H986" s="26">
        <v>100</v>
      </c>
      <c r="I986" s="24" t="s">
        <v>29</v>
      </c>
      <c r="J986" s="36">
        <v>45400</v>
      </c>
      <c r="K986" s="24" t="s">
        <v>22</v>
      </c>
    </row>
    <row r="987" spans="1:11" x14ac:dyDescent="0.2">
      <c r="A987" s="27" t="s">
        <v>2605</v>
      </c>
      <c r="B987" s="27" t="s">
        <v>2606</v>
      </c>
      <c r="C987" s="27" t="s">
        <v>1796</v>
      </c>
      <c r="D987" s="27" t="s">
        <v>17</v>
      </c>
      <c r="E987" s="27" t="s">
        <v>48</v>
      </c>
      <c r="F987" s="27" t="s">
        <v>49</v>
      </c>
      <c r="G987" s="27" t="s">
        <v>217</v>
      </c>
      <c r="H987" s="29">
        <v>28</v>
      </c>
      <c r="I987" s="27" t="s">
        <v>29</v>
      </c>
      <c r="J987" s="37">
        <v>45412</v>
      </c>
      <c r="K987" s="27" t="s">
        <v>22</v>
      </c>
    </row>
    <row r="988" spans="1:11" x14ac:dyDescent="0.2">
      <c r="A988" s="24" t="s">
        <v>2607</v>
      </c>
      <c r="B988" s="24" t="s">
        <v>2608</v>
      </c>
      <c r="C988" s="24" t="s">
        <v>2609</v>
      </c>
      <c r="D988" s="24" t="s">
        <v>17</v>
      </c>
      <c r="E988" s="24" t="s">
        <v>42</v>
      </c>
      <c r="F988" s="24" t="s">
        <v>43</v>
      </c>
      <c r="G988" s="24" t="s">
        <v>28</v>
      </c>
      <c r="H988" s="26">
        <v>240</v>
      </c>
      <c r="I988" s="24" t="s">
        <v>29</v>
      </c>
      <c r="J988" s="36">
        <v>45401</v>
      </c>
      <c r="K988" s="24" t="s">
        <v>22</v>
      </c>
    </row>
    <row r="989" spans="1:11" x14ac:dyDescent="0.2">
      <c r="A989" s="27" t="s">
        <v>2610</v>
      </c>
      <c r="B989" s="27" t="s">
        <v>2611</v>
      </c>
      <c r="C989" s="27" t="s">
        <v>526</v>
      </c>
      <c r="D989" s="27" t="s">
        <v>17</v>
      </c>
      <c r="E989" s="27" t="s">
        <v>18</v>
      </c>
      <c r="F989" s="27" t="s">
        <v>19</v>
      </c>
      <c r="G989" s="27" t="s">
        <v>44</v>
      </c>
      <c r="H989" s="29">
        <v>142</v>
      </c>
      <c r="I989" s="27" t="s">
        <v>29</v>
      </c>
      <c r="J989" s="37">
        <v>45385</v>
      </c>
      <c r="K989" s="27" t="s">
        <v>22</v>
      </c>
    </row>
    <row r="990" spans="1:11" x14ac:dyDescent="0.2">
      <c r="A990" s="24" t="s">
        <v>2612</v>
      </c>
      <c r="B990" s="24" t="s">
        <v>2613</v>
      </c>
      <c r="C990" s="24" t="s">
        <v>115</v>
      </c>
      <c r="D990" s="24" t="s">
        <v>17</v>
      </c>
      <c r="E990" s="24" t="s">
        <v>42</v>
      </c>
      <c r="F990" s="24" t="s">
        <v>43</v>
      </c>
      <c r="G990" s="24" t="s">
        <v>59</v>
      </c>
      <c r="H990" s="26">
        <v>1</v>
      </c>
      <c r="I990" s="24" t="s">
        <v>21</v>
      </c>
      <c r="J990" s="36">
        <v>45407</v>
      </c>
      <c r="K990" s="24" t="s">
        <v>22</v>
      </c>
    </row>
    <row r="991" spans="1:11" x14ac:dyDescent="0.2">
      <c r="A991" s="27" t="s">
        <v>2614</v>
      </c>
      <c r="B991" s="27" t="s">
        <v>2615</v>
      </c>
      <c r="C991" s="27" t="s">
        <v>2616</v>
      </c>
      <c r="D991" s="27" t="s">
        <v>17</v>
      </c>
      <c r="E991" s="27" t="s">
        <v>18</v>
      </c>
      <c r="F991" s="27" t="s">
        <v>19</v>
      </c>
      <c r="G991" s="27" t="s">
        <v>20</v>
      </c>
      <c r="H991" s="29">
        <v>82</v>
      </c>
      <c r="I991" s="27" t="s">
        <v>21</v>
      </c>
      <c r="J991" s="37">
        <v>45398</v>
      </c>
      <c r="K991" s="27" t="s">
        <v>22</v>
      </c>
    </row>
    <row r="992" spans="1:11" x14ac:dyDescent="0.2">
      <c r="A992" s="24" t="s">
        <v>2617</v>
      </c>
      <c r="B992" s="24" t="s">
        <v>2618</v>
      </c>
      <c r="C992" s="24" t="s">
        <v>602</v>
      </c>
      <c r="D992" s="24" t="s">
        <v>17</v>
      </c>
      <c r="E992" s="24" t="s">
        <v>18</v>
      </c>
      <c r="F992" s="24" t="s">
        <v>19</v>
      </c>
      <c r="G992" s="24" t="s">
        <v>28</v>
      </c>
      <c r="H992" s="26">
        <v>140</v>
      </c>
      <c r="I992" s="24" t="s">
        <v>29</v>
      </c>
      <c r="J992" s="36">
        <v>45412</v>
      </c>
      <c r="K992" s="24" t="s">
        <v>22</v>
      </c>
    </row>
    <row r="993" spans="1:11" x14ac:dyDescent="0.2">
      <c r="A993" s="27" t="s">
        <v>2619</v>
      </c>
      <c r="B993" s="27" t="s">
        <v>2620</v>
      </c>
      <c r="C993" s="27" t="s">
        <v>2621</v>
      </c>
      <c r="D993" s="27" t="s">
        <v>17</v>
      </c>
      <c r="E993" s="27" t="s">
        <v>18</v>
      </c>
      <c r="F993" s="27" t="s">
        <v>19</v>
      </c>
      <c r="G993" s="27" t="s">
        <v>20</v>
      </c>
      <c r="H993" s="29">
        <v>57</v>
      </c>
      <c r="I993" s="27" t="s">
        <v>21</v>
      </c>
      <c r="J993" s="37">
        <v>45397</v>
      </c>
      <c r="K993" s="27" t="s">
        <v>22</v>
      </c>
    </row>
    <row r="994" spans="1:11" x14ac:dyDescent="0.2">
      <c r="A994" s="24" t="s">
        <v>2622</v>
      </c>
      <c r="B994" s="24" t="s">
        <v>2623</v>
      </c>
      <c r="C994" s="24" t="s">
        <v>2624</v>
      </c>
      <c r="D994" s="24" t="s">
        <v>17</v>
      </c>
      <c r="E994" s="24" t="s">
        <v>48</v>
      </c>
      <c r="F994" s="24" t="s">
        <v>49</v>
      </c>
      <c r="G994" s="24" t="s">
        <v>28</v>
      </c>
      <c r="H994" s="26">
        <v>51</v>
      </c>
      <c r="I994" s="24" t="s">
        <v>29</v>
      </c>
      <c r="J994" s="36">
        <v>45398</v>
      </c>
      <c r="K994" s="24" t="s">
        <v>22</v>
      </c>
    </row>
    <row r="995" spans="1:11" x14ac:dyDescent="0.2">
      <c r="A995" s="27" t="s">
        <v>2625</v>
      </c>
      <c r="B995" s="27" t="s">
        <v>2626</v>
      </c>
      <c r="C995" s="27" t="s">
        <v>2627</v>
      </c>
      <c r="D995" s="27" t="s">
        <v>17</v>
      </c>
      <c r="E995" s="27" t="s">
        <v>18</v>
      </c>
      <c r="F995" s="27" t="s">
        <v>19</v>
      </c>
      <c r="G995" s="27" t="s">
        <v>44</v>
      </c>
      <c r="H995" s="29">
        <v>160</v>
      </c>
      <c r="I995" s="27" t="s">
        <v>29</v>
      </c>
      <c r="J995" s="37">
        <v>45391</v>
      </c>
      <c r="K995" s="27" t="s">
        <v>22</v>
      </c>
    </row>
    <row r="996" spans="1:11" x14ac:dyDescent="0.2">
      <c r="A996" s="24" t="s">
        <v>2628</v>
      </c>
      <c r="B996" s="24" t="s">
        <v>2629</v>
      </c>
      <c r="C996" s="24" t="s">
        <v>2630</v>
      </c>
      <c r="D996" s="24" t="s">
        <v>17</v>
      </c>
      <c r="E996" s="24" t="s">
        <v>18</v>
      </c>
      <c r="F996" s="24" t="s">
        <v>19</v>
      </c>
      <c r="G996" s="24" t="s">
        <v>44</v>
      </c>
      <c r="H996" s="26">
        <v>28</v>
      </c>
      <c r="I996" s="24" t="s">
        <v>21</v>
      </c>
      <c r="J996" s="36">
        <v>45404</v>
      </c>
      <c r="K996" s="24" t="s">
        <v>22</v>
      </c>
    </row>
    <row r="997" spans="1:11" x14ac:dyDescent="0.2">
      <c r="A997" s="27" t="s">
        <v>2631</v>
      </c>
      <c r="B997" s="27" t="s">
        <v>2632</v>
      </c>
      <c r="C997" s="27" t="s">
        <v>827</v>
      </c>
      <c r="D997" s="27" t="s">
        <v>17</v>
      </c>
      <c r="E997" s="27" t="s">
        <v>26</v>
      </c>
      <c r="F997" s="27" t="s">
        <v>27</v>
      </c>
      <c r="G997" s="27" t="s">
        <v>217</v>
      </c>
      <c r="H997" s="29">
        <v>180</v>
      </c>
      <c r="I997" s="27" t="s">
        <v>29</v>
      </c>
      <c r="J997" s="37">
        <v>45411</v>
      </c>
      <c r="K997" s="27" t="s">
        <v>22</v>
      </c>
    </row>
    <row r="998" spans="1:11" x14ac:dyDescent="0.2">
      <c r="A998" s="24" t="s">
        <v>2633</v>
      </c>
      <c r="B998" s="24" t="s">
        <v>2634</v>
      </c>
      <c r="C998" s="24" t="s">
        <v>2635</v>
      </c>
      <c r="D998" s="24" t="s">
        <v>17</v>
      </c>
      <c r="E998" s="24" t="s">
        <v>42</v>
      </c>
      <c r="F998" s="24" t="s">
        <v>43</v>
      </c>
      <c r="G998" s="24" t="s">
        <v>28</v>
      </c>
      <c r="H998" s="26">
        <v>540</v>
      </c>
      <c r="I998" s="24" t="s">
        <v>29</v>
      </c>
      <c r="J998" s="36">
        <v>45406</v>
      </c>
      <c r="K998" s="24" t="s">
        <v>22</v>
      </c>
    </row>
    <row r="999" spans="1:11" x14ac:dyDescent="0.2">
      <c r="A999" s="27" t="s">
        <v>2636</v>
      </c>
      <c r="B999" s="27" t="s">
        <v>2637</v>
      </c>
      <c r="C999" s="27" t="s">
        <v>2638</v>
      </c>
      <c r="D999" s="27" t="s">
        <v>17</v>
      </c>
      <c r="E999" s="27" t="s">
        <v>48</v>
      </c>
      <c r="F999" s="27" t="s">
        <v>49</v>
      </c>
      <c r="G999" s="27" t="s">
        <v>217</v>
      </c>
      <c r="H999" s="29">
        <v>50</v>
      </c>
      <c r="I999" s="27" t="s">
        <v>29</v>
      </c>
      <c r="J999" s="37">
        <v>45383</v>
      </c>
      <c r="K999" s="27" t="s">
        <v>22</v>
      </c>
    </row>
    <row r="1000" spans="1:11" x14ac:dyDescent="0.2">
      <c r="A1000" s="24" t="s">
        <v>2639</v>
      </c>
      <c r="B1000" s="24" t="s">
        <v>2640</v>
      </c>
      <c r="C1000" s="24" t="s">
        <v>2165</v>
      </c>
      <c r="D1000" s="24" t="s">
        <v>17</v>
      </c>
      <c r="E1000" s="24" t="s">
        <v>26</v>
      </c>
      <c r="F1000" s="24" t="s">
        <v>27</v>
      </c>
      <c r="G1000" s="24" t="s">
        <v>217</v>
      </c>
      <c r="H1000" s="26">
        <v>30</v>
      </c>
      <c r="I1000" s="24" t="s">
        <v>29</v>
      </c>
      <c r="J1000" s="36">
        <v>45407</v>
      </c>
      <c r="K1000" s="24" t="s">
        <v>22</v>
      </c>
    </row>
    <row r="1001" spans="1:11" x14ac:dyDescent="0.2">
      <c r="A1001" s="27" t="s">
        <v>2641</v>
      </c>
      <c r="B1001" s="27" t="s">
        <v>2642</v>
      </c>
      <c r="C1001" s="27" t="s">
        <v>1307</v>
      </c>
      <c r="D1001" s="27" t="s">
        <v>17</v>
      </c>
      <c r="E1001" s="27" t="s">
        <v>18</v>
      </c>
      <c r="F1001" s="27" t="s">
        <v>19</v>
      </c>
      <c r="G1001" s="27" t="s">
        <v>20</v>
      </c>
      <c r="H1001" s="29">
        <v>14</v>
      </c>
      <c r="I1001" s="27" t="s">
        <v>21</v>
      </c>
      <c r="J1001" s="37">
        <v>45408</v>
      </c>
      <c r="K1001" s="27" t="s">
        <v>22</v>
      </c>
    </row>
    <row r="1002" spans="1:11" x14ac:dyDescent="0.2">
      <c r="A1002" s="24" t="s">
        <v>2643</v>
      </c>
      <c r="B1002" s="24" t="s">
        <v>2644</v>
      </c>
      <c r="C1002" s="24" t="s">
        <v>97</v>
      </c>
      <c r="D1002" s="24" t="s">
        <v>17</v>
      </c>
      <c r="E1002" s="24" t="s">
        <v>18</v>
      </c>
      <c r="F1002" s="24" t="s">
        <v>19</v>
      </c>
      <c r="G1002" s="24" t="s">
        <v>20</v>
      </c>
      <c r="H1002" s="26">
        <v>7</v>
      </c>
      <c r="I1002" s="24" t="s">
        <v>21</v>
      </c>
      <c r="J1002" s="36">
        <v>45394</v>
      </c>
      <c r="K1002" s="24" t="s">
        <v>22</v>
      </c>
    </row>
    <row r="1003" spans="1:11" x14ac:dyDescent="0.2">
      <c r="A1003" s="27" t="s">
        <v>2645</v>
      </c>
      <c r="B1003" s="27" t="s">
        <v>2646</v>
      </c>
      <c r="C1003" s="27" t="s">
        <v>1666</v>
      </c>
      <c r="D1003" s="27" t="s">
        <v>17</v>
      </c>
      <c r="E1003" s="27" t="s">
        <v>48</v>
      </c>
      <c r="F1003" s="27" t="s">
        <v>49</v>
      </c>
      <c r="G1003" s="27" t="s">
        <v>20</v>
      </c>
      <c r="H1003" s="29">
        <v>62</v>
      </c>
      <c r="I1003" s="27" t="s">
        <v>21</v>
      </c>
      <c r="J1003" s="37">
        <v>45386</v>
      </c>
      <c r="K1003" s="27" t="s">
        <v>22</v>
      </c>
    </row>
    <row r="1004" spans="1:11" x14ac:dyDescent="0.2">
      <c r="A1004" s="24" t="s">
        <v>2647</v>
      </c>
      <c r="B1004" s="24" t="s">
        <v>2648</v>
      </c>
      <c r="C1004" s="24" t="s">
        <v>2649</v>
      </c>
      <c r="D1004" s="24" t="s">
        <v>17</v>
      </c>
      <c r="E1004" s="24" t="s">
        <v>42</v>
      </c>
      <c r="F1004" s="24" t="s">
        <v>43</v>
      </c>
      <c r="G1004" s="24" t="s">
        <v>44</v>
      </c>
      <c r="H1004" s="26">
        <v>78</v>
      </c>
      <c r="I1004" s="24" t="s">
        <v>21</v>
      </c>
      <c r="J1004" s="36">
        <v>45411</v>
      </c>
      <c r="K1004" s="24" t="s">
        <v>22</v>
      </c>
    </row>
    <row r="1005" spans="1:11" x14ac:dyDescent="0.2">
      <c r="A1005" s="27" t="s">
        <v>2650</v>
      </c>
      <c r="B1005" s="27" t="s">
        <v>2651</v>
      </c>
      <c r="C1005" s="27" t="s">
        <v>97</v>
      </c>
      <c r="D1005" s="27" t="s">
        <v>17</v>
      </c>
      <c r="E1005" s="27" t="s">
        <v>42</v>
      </c>
      <c r="F1005" s="27" t="s">
        <v>43</v>
      </c>
      <c r="G1005" s="27" t="s">
        <v>28</v>
      </c>
      <c r="H1005" s="29">
        <v>582</v>
      </c>
      <c r="I1005" s="27" t="s">
        <v>29</v>
      </c>
      <c r="J1005" s="37">
        <v>45411</v>
      </c>
      <c r="K1005" s="27" t="s">
        <v>22</v>
      </c>
    </row>
    <row r="1006" spans="1:11" x14ac:dyDescent="0.2">
      <c r="A1006" s="24" t="s">
        <v>2652</v>
      </c>
      <c r="B1006" s="24" t="s">
        <v>2653</v>
      </c>
      <c r="C1006" s="24" t="s">
        <v>2654</v>
      </c>
      <c r="D1006" s="24" t="s">
        <v>17</v>
      </c>
      <c r="E1006" s="24" t="s">
        <v>48</v>
      </c>
      <c r="F1006" s="24" t="s">
        <v>49</v>
      </c>
      <c r="G1006" s="24" t="s">
        <v>28</v>
      </c>
      <c r="H1006" s="26">
        <v>54</v>
      </c>
      <c r="I1006" s="24" t="s">
        <v>29</v>
      </c>
      <c r="J1006" s="36">
        <v>45399</v>
      </c>
      <c r="K1006" s="24" t="s">
        <v>22</v>
      </c>
    </row>
    <row r="1007" spans="1:11" x14ac:dyDescent="0.2">
      <c r="A1007" s="27" t="s">
        <v>2655</v>
      </c>
      <c r="B1007" s="27" t="s">
        <v>2656</v>
      </c>
      <c r="C1007" s="27" t="s">
        <v>2657</v>
      </c>
      <c r="D1007" s="27" t="s">
        <v>17</v>
      </c>
      <c r="E1007" s="27" t="s">
        <v>18</v>
      </c>
      <c r="F1007" s="27" t="s">
        <v>19</v>
      </c>
      <c r="G1007" s="27" t="s">
        <v>28</v>
      </c>
      <c r="H1007" s="29">
        <v>18</v>
      </c>
      <c r="I1007" s="27" t="s">
        <v>29</v>
      </c>
      <c r="J1007" s="37">
        <v>45391</v>
      </c>
      <c r="K1007" s="27" t="s">
        <v>22</v>
      </c>
    </row>
    <row r="1008" spans="1:11" x14ac:dyDescent="0.2">
      <c r="A1008" s="24" t="s">
        <v>2658</v>
      </c>
      <c r="B1008" s="24" t="s">
        <v>2659</v>
      </c>
      <c r="C1008" s="24" t="s">
        <v>2660</v>
      </c>
      <c r="D1008" s="24" t="s">
        <v>17</v>
      </c>
      <c r="E1008" s="24" t="s">
        <v>18</v>
      </c>
      <c r="F1008" s="24" t="s">
        <v>19</v>
      </c>
      <c r="G1008" s="24" t="s">
        <v>44</v>
      </c>
      <c r="H1008" s="26">
        <v>21</v>
      </c>
      <c r="I1008" s="24" t="s">
        <v>29</v>
      </c>
      <c r="J1008" s="36">
        <v>45404</v>
      </c>
      <c r="K1008" s="24" t="s">
        <v>22</v>
      </c>
    </row>
    <row r="1009" spans="1:11" x14ac:dyDescent="0.2">
      <c r="A1009" s="27" t="s">
        <v>2661</v>
      </c>
      <c r="B1009" s="27" t="s">
        <v>2662</v>
      </c>
      <c r="C1009" s="27" t="s">
        <v>2663</v>
      </c>
      <c r="D1009" s="27" t="s">
        <v>17</v>
      </c>
      <c r="E1009" s="27" t="s">
        <v>48</v>
      </c>
      <c r="F1009" s="27" t="s">
        <v>49</v>
      </c>
      <c r="G1009" s="27" t="s">
        <v>44</v>
      </c>
      <c r="H1009" s="29">
        <v>140</v>
      </c>
      <c r="I1009" s="27" t="s">
        <v>21</v>
      </c>
      <c r="J1009" s="37">
        <v>45394</v>
      </c>
      <c r="K1009" s="27" t="s">
        <v>22</v>
      </c>
    </row>
    <row r="1010" spans="1:11" x14ac:dyDescent="0.2">
      <c r="A1010" s="24" t="s">
        <v>2664</v>
      </c>
      <c r="B1010" s="24" t="s">
        <v>2665</v>
      </c>
      <c r="C1010" s="24" t="s">
        <v>2666</v>
      </c>
      <c r="D1010" s="24" t="s">
        <v>17</v>
      </c>
      <c r="E1010" s="24" t="s">
        <v>18</v>
      </c>
      <c r="F1010" s="24" t="s">
        <v>19</v>
      </c>
      <c r="G1010" s="24" t="s">
        <v>20</v>
      </c>
      <c r="H1010" s="26">
        <v>21</v>
      </c>
      <c r="I1010" s="24" t="s">
        <v>21</v>
      </c>
      <c r="J1010" s="36">
        <v>45397</v>
      </c>
      <c r="K1010" s="24" t="s">
        <v>22</v>
      </c>
    </row>
    <row r="1011" spans="1:11" x14ac:dyDescent="0.2">
      <c r="A1011" s="27" t="s">
        <v>2667</v>
      </c>
      <c r="B1011" s="27" t="s">
        <v>2668</v>
      </c>
      <c r="C1011" s="27" t="s">
        <v>2669</v>
      </c>
      <c r="D1011" s="27" t="s">
        <v>17</v>
      </c>
      <c r="E1011" s="27" t="s">
        <v>18</v>
      </c>
      <c r="F1011" s="27" t="s">
        <v>19</v>
      </c>
      <c r="G1011" s="27" t="s">
        <v>20</v>
      </c>
      <c r="H1011" s="29">
        <v>35</v>
      </c>
      <c r="I1011" s="27" t="s">
        <v>21</v>
      </c>
      <c r="J1011" s="37">
        <v>45410</v>
      </c>
      <c r="K1011" s="27" t="s">
        <v>22</v>
      </c>
    </row>
    <row r="1012" spans="1:11" x14ac:dyDescent="0.2">
      <c r="A1012" s="24" t="s">
        <v>2670</v>
      </c>
      <c r="B1012" s="24" t="s">
        <v>2671</v>
      </c>
      <c r="C1012" s="24" t="s">
        <v>1523</v>
      </c>
      <c r="D1012" s="24" t="s">
        <v>17</v>
      </c>
      <c r="E1012" s="24" t="s">
        <v>18</v>
      </c>
      <c r="F1012" s="24" t="s">
        <v>19</v>
      </c>
      <c r="G1012" s="24" t="s">
        <v>38</v>
      </c>
      <c r="H1012" s="26">
        <v>236</v>
      </c>
      <c r="I1012" s="24" t="s">
        <v>29</v>
      </c>
      <c r="J1012" s="36">
        <v>45412</v>
      </c>
      <c r="K1012" s="24" t="s">
        <v>22</v>
      </c>
    </row>
    <row r="1013" spans="1:11" x14ac:dyDescent="0.2">
      <c r="A1013" s="27" t="s">
        <v>2672</v>
      </c>
      <c r="B1013" s="27" t="s">
        <v>2673</v>
      </c>
      <c r="C1013" s="27" t="s">
        <v>97</v>
      </c>
      <c r="D1013" s="27" t="s">
        <v>17</v>
      </c>
      <c r="E1013" s="27" t="s">
        <v>18</v>
      </c>
      <c r="F1013" s="27" t="s">
        <v>19</v>
      </c>
      <c r="G1013" s="27" t="s">
        <v>20</v>
      </c>
      <c r="H1013" s="29">
        <v>32</v>
      </c>
      <c r="I1013" s="27" t="s">
        <v>21</v>
      </c>
      <c r="J1013" s="37">
        <v>45391</v>
      </c>
      <c r="K1013" s="27" t="s">
        <v>22</v>
      </c>
    </row>
    <row r="1014" spans="1:11" x14ac:dyDescent="0.2">
      <c r="A1014" s="24" t="s">
        <v>2674</v>
      </c>
      <c r="B1014" s="24" t="s">
        <v>2675</v>
      </c>
      <c r="C1014" s="24" t="s">
        <v>2676</v>
      </c>
      <c r="D1014" s="24" t="s">
        <v>17</v>
      </c>
      <c r="E1014" s="24" t="s">
        <v>48</v>
      </c>
      <c r="F1014" s="24" t="s">
        <v>49</v>
      </c>
      <c r="G1014" s="24" t="s">
        <v>20</v>
      </c>
      <c r="H1014" s="26">
        <v>46</v>
      </c>
      <c r="I1014" s="24" t="s">
        <v>21</v>
      </c>
      <c r="J1014" s="36">
        <v>45384</v>
      </c>
      <c r="K1014" s="24" t="s">
        <v>22</v>
      </c>
    </row>
    <row r="1015" spans="1:11" x14ac:dyDescent="0.2">
      <c r="A1015" s="27" t="s">
        <v>2677</v>
      </c>
      <c r="B1015" s="27" t="s">
        <v>2678</v>
      </c>
      <c r="C1015" s="27" t="s">
        <v>2679</v>
      </c>
      <c r="D1015" s="27" t="s">
        <v>17</v>
      </c>
      <c r="E1015" s="27" t="s">
        <v>48</v>
      </c>
      <c r="F1015" s="27" t="s">
        <v>49</v>
      </c>
      <c r="G1015" s="27" t="s">
        <v>20</v>
      </c>
      <c r="H1015" s="29">
        <v>145</v>
      </c>
      <c r="I1015" s="27" t="s">
        <v>21</v>
      </c>
      <c r="J1015" s="37">
        <v>45405</v>
      </c>
      <c r="K1015" s="27" t="s">
        <v>22</v>
      </c>
    </row>
    <row r="1016" spans="1:11" x14ac:dyDescent="0.2">
      <c r="A1016" s="24" t="s">
        <v>2680</v>
      </c>
      <c r="B1016" s="24" t="s">
        <v>2681</v>
      </c>
      <c r="C1016" s="24" t="s">
        <v>2257</v>
      </c>
      <c r="D1016" s="24" t="s">
        <v>17</v>
      </c>
      <c r="E1016" s="24" t="s">
        <v>26</v>
      </c>
      <c r="F1016" s="24" t="s">
        <v>27</v>
      </c>
      <c r="G1016" s="24" t="s">
        <v>44</v>
      </c>
      <c r="H1016" s="26">
        <v>196</v>
      </c>
      <c r="I1016" s="24" t="s">
        <v>29</v>
      </c>
      <c r="J1016" s="36">
        <v>45398</v>
      </c>
      <c r="K1016" s="24" t="s">
        <v>22</v>
      </c>
    </row>
    <row r="1017" spans="1:11" x14ac:dyDescent="0.2">
      <c r="A1017" s="27" t="s">
        <v>2682</v>
      </c>
      <c r="B1017" s="27" t="s">
        <v>2683</v>
      </c>
      <c r="C1017" s="27" t="s">
        <v>91</v>
      </c>
      <c r="D1017" s="27" t="s">
        <v>17</v>
      </c>
      <c r="E1017" s="27" t="s">
        <v>42</v>
      </c>
      <c r="F1017" s="27" t="s">
        <v>43</v>
      </c>
      <c r="G1017" s="27" t="s">
        <v>217</v>
      </c>
      <c r="H1017" s="29">
        <v>1360</v>
      </c>
      <c r="I1017" s="27" t="s">
        <v>29</v>
      </c>
      <c r="J1017" s="37">
        <v>45387</v>
      </c>
      <c r="K1017" s="27" t="s">
        <v>22</v>
      </c>
    </row>
    <row r="1018" spans="1:11" x14ac:dyDescent="0.2">
      <c r="A1018" s="24" t="s">
        <v>2684</v>
      </c>
      <c r="B1018" s="24" t="s">
        <v>2685</v>
      </c>
      <c r="C1018" s="24" t="s">
        <v>2200</v>
      </c>
      <c r="D1018" s="24" t="s">
        <v>17</v>
      </c>
      <c r="E1018" s="24" t="s">
        <v>18</v>
      </c>
      <c r="F1018" s="24" t="s">
        <v>19</v>
      </c>
      <c r="G1018" s="24" t="s">
        <v>20</v>
      </c>
      <c r="H1018" s="26">
        <v>50</v>
      </c>
      <c r="I1018" s="24" t="s">
        <v>21</v>
      </c>
      <c r="J1018" s="36">
        <v>45385</v>
      </c>
      <c r="K1018" s="24" t="s">
        <v>22</v>
      </c>
    </row>
    <row r="1019" spans="1:11" x14ac:dyDescent="0.2">
      <c r="A1019" s="27" t="s">
        <v>2686</v>
      </c>
      <c r="B1019" s="27" t="s">
        <v>2687</v>
      </c>
      <c r="C1019" s="27" t="s">
        <v>55</v>
      </c>
      <c r="D1019" s="27" t="s">
        <v>17</v>
      </c>
      <c r="E1019" s="27" t="s">
        <v>18</v>
      </c>
      <c r="F1019" s="27" t="s">
        <v>19</v>
      </c>
      <c r="G1019" s="27" t="s">
        <v>20</v>
      </c>
      <c r="H1019" s="29">
        <v>36</v>
      </c>
      <c r="I1019" s="27" t="s">
        <v>21</v>
      </c>
      <c r="J1019" s="37">
        <v>45405</v>
      </c>
      <c r="K1019" s="27" t="s">
        <v>22</v>
      </c>
    </row>
    <row r="1020" spans="1:11" x14ac:dyDescent="0.2">
      <c r="A1020" s="24" t="s">
        <v>2688</v>
      </c>
      <c r="B1020" s="24" t="s">
        <v>2689</v>
      </c>
      <c r="C1020" s="24" t="s">
        <v>2690</v>
      </c>
      <c r="D1020" s="24" t="s">
        <v>17</v>
      </c>
      <c r="E1020" s="24" t="s">
        <v>18</v>
      </c>
      <c r="F1020" s="24" t="s">
        <v>19</v>
      </c>
      <c r="G1020" s="24" t="s">
        <v>20</v>
      </c>
      <c r="H1020" s="26">
        <v>56</v>
      </c>
      <c r="I1020" s="24" t="s">
        <v>21</v>
      </c>
      <c r="J1020" s="36">
        <v>45397</v>
      </c>
      <c r="K1020" s="24" t="s">
        <v>22</v>
      </c>
    </row>
    <row r="1021" spans="1:11" x14ac:dyDescent="0.2">
      <c r="A1021" s="27" t="s">
        <v>2691</v>
      </c>
      <c r="B1021" s="27" t="s">
        <v>2692</v>
      </c>
      <c r="C1021" s="27" t="s">
        <v>2693</v>
      </c>
      <c r="D1021" s="27" t="s">
        <v>17</v>
      </c>
      <c r="E1021" s="27" t="s">
        <v>18</v>
      </c>
      <c r="F1021" s="27" t="s">
        <v>19</v>
      </c>
      <c r="G1021" s="27" t="s">
        <v>20</v>
      </c>
      <c r="H1021" s="29">
        <v>40</v>
      </c>
      <c r="I1021" s="27" t="s">
        <v>21</v>
      </c>
      <c r="J1021" s="37">
        <v>45407</v>
      </c>
      <c r="K1021" s="27" t="s">
        <v>22</v>
      </c>
    </row>
    <row r="1022" spans="1:11" x14ac:dyDescent="0.2">
      <c r="A1022" s="24" t="s">
        <v>2694</v>
      </c>
      <c r="B1022" s="24" t="s">
        <v>2695</v>
      </c>
      <c r="C1022" s="24" t="s">
        <v>2696</v>
      </c>
      <c r="D1022" s="24" t="s">
        <v>17</v>
      </c>
      <c r="E1022" s="24" t="s">
        <v>18</v>
      </c>
      <c r="F1022" s="24" t="s">
        <v>19</v>
      </c>
      <c r="G1022" s="24" t="s">
        <v>28</v>
      </c>
      <c r="H1022" s="26">
        <v>120</v>
      </c>
      <c r="I1022" s="24" t="s">
        <v>29</v>
      </c>
      <c r="J1022" s="36">
        <v>45398</v>
      </c>
      <c r="K1022" s="24" t="s">
        <v>22</v>
      </c>
    </row>
    <row r="1023" spans="1:11" x14ac:dyDescent="0.2">
      <c r="A1023" s="27" t="s">
        <v>2697</v>
      </c>
      <c r="B1023" s="27" t="s">
        <v>2698</v>
      </c>
      <c r="C1023" s="27" t="s">
        <v>2699</v>
      </c>
      <c r="D1023" s="27" t="s">
        <v>17</v>
      </c>
      <c r="E1023" s="27" t="s">
        <v>48</v>
      </c>
      <c r="F1023" s="27" t="s">
        <v>49</v>
      </c>
      <c r="G1023" s="27" t="s">
        <v>20</v>
      </c>
      <c r="H1023" s="29">
        <v>24</v>
      </c>
      <c r="I1023" s="27" t="s">
        <v>21</v>
      </c>
      <c r="J1023" s="37">
        <v>45395</v>
      </c>
      <c r="K1023" s="27" t="s">
        <v>22</v>
      </c>
    </row>
    <row r="1024" spans="1:11" x14ac:dyDescent="0.2">
      <c r="A1024" s="24" t="s">
        <v>2700</v>
      </c>
      <c r="B1024" s="24" t="s">
        <v>2701</v>
      </c>
      <c r="C1024" s="24" t="s">
        <v>2702</v>
      </c>
      <c r="D1024" s="24" t="s">
        <v>17</v>
      </c>
      <c r="E1024" s="24" t="s">
        <v>18</v>
      </c>
      <c r="F1024" s="24" t="s">
        <v>19</v>
      </c>
      <c r="G1024" s="24" t="s">
        <v>217</v>
      </c>
      <c r="H1024" s="26">
        <v>24</v>
      </c>
      <c r="I1024" s="24" t="s">
        <v>29</v>
      </c>
      <c r="J1024" s="36">
        <v>45397</v>
      </c>
      <c r="K1024" s="24" t="s">
        <v>22</v>
      </c>
    </row>
    <row r="1025" spans="1:11" x14ac:dyDescent="0.2">
      <c r="A1025" s="27" t="s">
        <v>2703</v>
      </c>
      <c r="B1025" s="27" t="s">
        <v>2704</v>
      </c>
      <c r="C1025" s="27" t="s">
        <v>2705</v>
      </c>
      <c r="D1025" s="27" t="s">
        <v>17</v>
      </c>
      <c r="E1025" s="27" t="s">
        <v>26</v>
      </c>
      <c r="F1025" s="27" t="s">
        <v>27</v>
      </c>
      <c r="G1025" s="27" t="s">
        <v>28</v>
      </c>
      <c r="H1025" s="29">
        <v>33</v>
      </c>
      <c r="I1025" s="27" t="s">
        <v>29</v>
      </c>
      <c r="J1025" s="37">
        <v>45401</v>
      </c>
      <c r="K1025" s="27" t="s">
        <v>22</v>
      </c>
    </row>
    <row r="1026" spans="1:11" x14ac:dyDescent="0.2">
      <c r="A1026" s="24" t="s">
        <v>2706</v>
      </c>
      <c r="B1026" s="24" t="s">
        <v>2707</v>
      </c>
      <c r="C1026" s="24" t="s">
        <v>2708</v>
      </c>
      <c r="D1026" s="24" t="s">
        <v>17</v>
      </c>
      <c r="E1026" s="24" t="s">
        <v>48</v>
      </c>
      <c r="F1026" s="24" t="s">
        <v>49</v>
      </c>
      <c r="G1026" s="24" t="s">
        <v>217</v>
      </c>
      <c r="H1026" s="26">
        <v>280</v>
      </c>
      <c r="I1026" s="24" t="s">
        <v>29</v>
      </c>
      <c r="J1026" s="36">
        <v>45383</v>
      </c>
      <c r="K1026" s="24" t="s">
        <v>22</v>
      </c>
    </row>
    <row r="1027" spans="1:11" x14ac:dyDescent="0.2">
      <c r="A1027" s="27" t="s">
        <v>2709</v>
      </c>
      <c r="B1027" s="27" t="s">
        <v>2710</v>
      </c>
      <c r="C1027" s="27" t="s">
        <v>41</v>
      </c>
      <c r="D1027" s="27" t="s">
        <v>17</v>
      </c>
      <c r="E1027" s="27" t="s">
        <v>42</v>
      </c>
      <c r="F1027" s="27" t="s">
        <v>43</v>
      </c>
      <c r="G1027" s="27" t="s">
        <v>44</v>
      </c>
      <c r="H1027" s="29">
        <v>43</v>
      </c>
      <c r="I1027" s="27" t="s">
        <v>21</v>
      </c>
      <c r="J1027" s="37">
        <v>45384</v>
      </c>
      <c r="K1027" s="27" t="s">
        <v>22</v>
      </c>
    </row>
    <row r="1028" spans="1:11" x14ac:dyDescent="0.2">
      <c r="A1028" s="24" t="s">
        <v>2711</v>
      </c>
      <c r="B1028" s="24" t="s">
        <v>2712</v>
      </c>
      <c r="C1028" s="24" t="s">
        <v>1212</v>
      </c>
      <c r="D1028" s="24" t="s">
        <v>17</v>
      </c>
      <c r="E1028" s="24" t="s">
        <v>42</v>
      </c>
      <c r="F1028" s="24" t="s">
        <v>43</v>
      </c>
      <c r="G1028" s="24" t="s">
        <v>20</v>
      </c>
      <c r="H1028" s="26">
        <v>156</v>
      </c>
      <c r="I1028" s="24" t="s">
        <v>21</v>
      </c>
      <c r="J1028" s="36">
        <v>45399</v>
      </c>
      <c r="K1028" s="24" t="s">
        <v>22</v>
      </c>
    </row>
    <row r="1029" spans="1:11" x14ac:dyDescent="0.2">
      <c r="A1029" s="27" t="s">
        <v>2713</v>
      </c>
      <c r="B1029" s="27" t="s">
        <v>2714</v>
      </c>
      <c r="C1029" s="27" t="s">
        <v>670</v>
      </c>
      <c r="D1029" s="27" t="s">
        <v>17</v>
      </c>
      <c r="E1029" s="27" t="s">
        <v>42</v>
      </c>
      <c r="F1029" s="27" t="s">
        <v>43</v>
      </c>
      <c r="G1029" s="27" t="s">
        <v>44</v>
      </c>
      <c r="H1029" s="29">
        <v>125</v>
      </c>
      <c r="I1029" s="27" t="s">
        <v>21</v>
      </c>
      <c r="J1029" s="37">
        <v>45383</v>
      </c>
      <c r="K1029" s="27" t="s">
        <v>22</v>
      </c>
    </row>
    <row r="1030" spans="1:11" x14ac:dyDescent="0.2">
      <c r="A1030" s="24" t="s">
        <v>2715</v>
      </c>
      <c r="B1030" s="24" t="s">
        <v>2716</v>
      </c>
      <c r="C1030" s="24" t="s">
        <v>2717</v>
      </c>
      <c r="D1030" s="24" t="s">
        <v>17</v>
      </c>
      <c r="E1030" s="24" t="s">
        <v>48</v>
      </c>
      <c r="F1030" s="24" t="s">
        <v>49</v>
      </c>
      <c r="G1030" s="24" t="s">
        <v>28</v>
      </c>
      <c r="H1030" s="26">
        <v>80</v>
      </c>
      <c r="I1030" s="24" t="s">
        <v>29</v>
      </c>
      <c r="J1030" s="36">
        <v>45391</v>
      </c>
      <c r="K1030" s="24" t="s">
        <v>22</v>
      </c>
    </row>
    <row r="1031" spans="1:11" x14ac:dyDescent="0.2">
      <c r="A1031" s="27" t="s">
        <v>2718</v>
      </c>
      <c r="B1031" s="27" t="s">
        <v>2719</v>
      </c>
      <c r="C1031" s="27" t="s">
        <v>2720</v>
      </c>
      <c r="D1031" s="27" t="s">
        <v>17</v>
      </c>
      <c r="E1031" s="27" t="s">
        <v>26</v>
      </c>
      <c r="F1031" s="27" t="s">
        <v>27</v>
      </c>
      <c r="G1031" s="27" t="s">
        <v>44</v>
      </c>
      <c r="H1031" s="29">
        <v>32</v>
      </c>
      <c r="I1031" s="27" t="s">
        <v>29</v>
      </c>
      <c r="J1031" s="37">
        <v>45406</v>
      </c>
      <c r="K1031" s="27" t="s">
        <v>22</v>
      </c>
    </row>
    <row r="1032" spans="1:11" x14ac:dyDescent="0.2">
      <c r="A1032" s="24" t="s">
        <v>2721</v>
      </c>
      <c r="B1032" s="24" t="s">
        <v>2722</v>
      </c>
      <c r="C1032" s="24" t="s">
        <v>194</v>
      </c>
      <c r="D1032" s="24" t="s">
        <v>17</v>
      </c>
      <c r="E1032" s="24" t="s">
        <v>18</v>
      </c>
      <c r="F1032" s="24" t="s">
        <v>19</v>
      </c>
      <c r="G1032" s="24" t="s">
        <v>28</v>
      </c>
      <c r="H1032" s="26">
        <v>30</v>
      </c>
      <c r="I1032" s="24" t="s">
        <v>29</v>
      </c>
      <c r="J1032" s="36">
        <v>45401</v>
      </c>
      <c r="K1032" s="24" t="s">
        <v>22</v>
      </c>
    </row>
    <row r="1033" spans="1:11" x14ac:dyDescent="0.2">
      <c r="A1033" s="27" t="s">
        <v>2723</v>
      </c>
      <c r="B1033" s="27" t="s">
        <v>2724</v>
      </c>
      <c r="C1033" s="27" t="s">
        <v>2725</v>
      </c>
      <c r="D1033" s="27" t="s">
        <v>17</v>
      </c>
      <c r="E1033" s="27" t="s">
        <v>81</v>
      </c>
      <c r="F1033" s="27" t="s">
        <v>82</v>
      </c>
      <c r="G1033" s="27" t="s">
        <v>20</v>
      </c>
      <c r="H1033" s="29">
        <v>46</v>
      </c>
      <c r="I1033" s="27" t="s">
        <v>21</v>
      </c>
      <c r="J1033" s="37">
        <v>45390</v>
      </c>
      <c r="K1033" s="27" t="s">
        <v>22</v>
      </c>
    </row>
    <row r="1034" spans="1:11" x14ac:dyDescent="0.2">
      <c r="A1034" s="24" t="s">
        <v>2726</v>
      </c>
      <c r="B1034" s="24" t="s">
        <v>2727</v>
      </c>
      <c r="C1034" s="24" t="s">
        <v>618</v>
      </c>
      <c r="D1034" s="24" t="s">
        <v>17</v>
      </c>
      <c r="E1034" s="24" t="s">
        <v>18</v>
      </c>
      <c r="F1034" s="24" t="s">
        <v>19</v>
      </c>
      <c r="G1034" s="24" t="s">
        <v>28</v>
      </c>
      <c r="H1034" s="26">
        <v>1048</v>
      </c>
      <c r="I1034" s="24" t="s">
        <v>29</v>
      </c>
      <c r="J1034" s="36">
        <v>45393</v>
      </c>
      <c r="K1034" s="24" t="s">
        <v>22</v>
      </c>
    </row>
    <row r="1035" spans="1:11" x14ac:dyDescent="0.2">
      <c r="A1035" s="27" t="s">
        <v>2728</v>
      </c>
      <c r="B1035" s="27" t="s">
        <v>2729</v>
      </c>
      <c r="C1035" s="27" t="s">
        <v>134</v>
      </c>
      <c r="D1035" s="27" t="s">
        <v>17</v>
      </c>
      <c r="E1035" s="27" t="s">
        <v>42</v>
      </c>
      <c r="F1035" s="27" t="s">
        <v>43</v>
      </c>
      <c r="G1035" s="27" t="s">
        <v>44</v>
      </c>
      <c r="H1035" s="29">
        <v>44</v>
      </c>
      <c r="I1035" s="27" t="s">
        <v>21</v>
      </c>
      <c r="J1035" s="37">
        <v>45399</v>
      </c>
      <c r="K1035" s="27" t="s">
        <v>22</v>
      </c>
    </row>
    <row r="1036" spans="1:11" x14ac:dyDescent="0.2">
      <c r="A1036" s="24" t="s">
        <v>2730</v>
      </c>
      <c r="B1036" s="24" t="s">
        <v>2731</v>
      </c>
      <c r="C1036" s="24" t="s">
        <v>213</v>
      </c>
      <c r="D1036" s="24" t="s">
        <v>17</v>
      </c>
      <c r="E1036" s="24" t="s">
        <v>18</v>
      </c>
      <c r="F1036" s="24" t="s">
        <v>19</v>
      </c>
      <c r="G1036" s="24" t="s">
        <v>20</v>
      </c>
      <c r="H1036" s="26">
        <v>8</v>
      </c>
      <c r="I1036" s="24" t="s">
        <v>21</v>
      </c>
      <c r="J1036" s="36">
        <v>45412</v>
      </c>
      <c r="K1036" s="24" t="s">
        <v>22</v>
      </c>
    </row>
    <row r="1037" spans="1:11" x14ac:dyDescent="0.2">
      <c r="A1037" s="27" t="s">
        <v>2732</v>
      </c>
      <c r="B1037" s="27" t="s">
        <v>2733</v>
      </c>
      <c r="C1037" s="27" t="s">
        <v>1147</v>
      </c>
      <c r="D1037" s="27" t="s">
        <v>17</v>
      </c>
      <c r="E1037" s="27" t="s">
        <v>48</v>
      </c>
      <c r="F1037" s="27" t="s">
        <v>49</v>
      </c>
      <c r="G1037" s="27" t="s">
        <v>28</v>
      </c>
      <c r="H1037" s="29">
        <v>40</v>
      </c>
      <c r="I1037" s="27" t="s">
        <v>29</v>
      </c>
      <c r="J1037" s="37">
        <v>45409</v>
      </c>
      <c r="K1037" s="27" t="s">
        <v>22</v>
      </c>
    </row>
    <row r="1038" spans="1:11" x14ac:dyDescent="0.2">
      <c r="A1038" s="24" t="s">
        <v>2734</v>
      </c>
      <c r="B1038" s="24" t="s">
        <v>2735</v>
      </c>
      <c r="C1038" s="24" t="s">
        <v>1227</v>
      </c>
      <c r="D1038" s="24" t="s">
        <v>17</v>
      </c>
      <c r="E1038" s="24" t="s">
        <v>42</v>
      </c>
      <c r="F1038" s="24" t="s">
        <v>43</v>
      </c>
      <c r="G1038" s="24" t="s">
        <v>28</v>
      </c>
      <c r="H1038" s="26">
        <v>284</v>
      </c>
      <c r="I1038" s="24" t="s">
        <v>29</v>
      </c>
      <c r="J1038" s="36">
        <v>45404</v>
      </c>
      <c r="K1038" s="24" t="s">
        <v>22</v>
      </c>
    </row>
    <row r="1039" spans="1:11" x14ac:dyDescent="0.2">
      <c r="A1039" s="27" t="s">
        <v>2736</v>
      </c>
      <c r="B1039" s="27" t="s">
        <v>2737</v>
      </c>
      <c r="C1039" s="27" t="s">
        <v>2738</v>
      </c>
      <c r="D1039" s="27" t="s">
        <v>17</v>
      </c>
      <c r="E1039" s="27" t="s">
        <v>26</v>
      </c>
      <c r="F1039" s="27" t="s">
        <v>27</v>
      </c>
      <c r="G1039" s="27" t="s">
        <v>28</v>
      </c>
      <c r="H1039" s="29">
        <v>49</v>
      </c>
      <c r="I1039" s="27" t="s">
        <v>29</v>
      </c>
      <c r="J1039" s="37">
        <v>45383</v>
      </c>
      <c r="K1039" s="27" t="s">
        <v>22</v>
      </c>
    </row>
    <row r="1040" spans="1:11" x14ac:dyDescent="0.2">
      <c r="A1040" s="24" t="s">
        <v>2739</v>
      </c>
      <c r="B1040" s="24" t="s">
        <v>2740</v>
      </c>
      <c r="C1040" s="24" t="s">
        <v>2741</v>
      </c>
      <c r="D1040" s="24" t="s">
        <v>17</v>
      </c>
      <c r="E1040" s="24" t="s">
        <v>18</v>
      </c>
      <c r="F1040" s="24" t="s">
        <v>19</v>
      </c>
      <c r="G1040" s="24" t="s">
        <v>20</v>
      </c>
      <c r="H1040" s="26">
        <v>64</v>
      </c>
      <c r="I1040" s="24" t="s">
        <v>21</v>
      </c>
      <c r="J1040" s="36">
        <v>45398</v>
      </c>
      <c r="K1040" s="24" t="s">
        <v>22</v>
      </c>
    </row>
    <row r="1041" spans="1:11" x14ac:dyDescent="0.2">
      <c r="A1041" s="27" t="s">
        <v>2742</v>
      </c>
      <c r="B1041" s="27" t="s">
        <v>2743</v>
      </c>
      <c r="C1041" s="27" t="s">
        <v>97</v>
      </c>
      <c r="D1041" s="27" t="s">
        <v>17</v>
      </c>
      <c r="E1041" s="27" t="s">
        <v>42</v>
      </c>
      <c r="F1041" s="27" t="s">
        <v>43</v>
      </c>
      <c r="G1041" s="27" t="s">
        <v>28</v>
      </c>
      <c r="H1041" s="29">
        <v>280</v>
      </c>
      <c r="I1041" s="27" t="s">
        <v>29</v>
      </c>
      <c r="J1041" s="37">
        <v>45386</v>
      </c>
      <c r="K1041" s="27" t="s">
        <v>22</v>
      </c>
    </row>
    <row r="1042" spans="1:11" x14ac:dyDescent="0.2">
      <c r="A1042" s="24" t="s">
        <v>2744</v>
      </c>
      <c r="B1042" s="24" t="s">
        <v>2745</v>
      </c>
      <c r="C1042" s="24" t="s">
        <v>55</v>
      </c>
      <c r="D1042" s="24" t="s">
        <v>17</v>
      </c>
      <c r="E1042" s="24" t="s">
        <v>42</v>
      </c>
      <c r="F1042" s="24" t="s">
        <v>43</v>
      </c>
      <c r="G1042" s="24" t="s">
        <v>28</v>
      </c>
      <c r="H1042" s="26">
        <v>780</v>
      </c>
      <c r="I1042" s="24" t="s">
        <v>29</v>
      </c>
      <c r="J1042" s="36">
        <v>45385</v>
      </c>
      <c r="K1042" s="24" t="s">
        <v>22</v>
      </c>
    </row>
    <row r="1043" spans="1:11" x14ac:dyDescent="0.2">
      <c r="A1043" s="27" t="s">
        <v>2746</v>
      </c>
      <c r="B1043" s="27" t="s">
        <v>2747</v>
      </c>
      <c r="C1043" s="27" t="s">
        <v>1663</v>
      </c>
      <c r="D1043" s="27" t="s">
        <v>17</v>
      </c>
      <c r="E1043" s="27" t="s">
        <v>18</v>
      </c>
      <c r="F1043" s="27" t="s">
        <v>19</v>
      </c>
      <c r="G1043" s="27" t="s">
        <v>44</v>
      </c>
      <c r="H1043" s="29">
        <v>268</v>
      </c>
      <c r="I1043" s="27" t="s">
        <v>29</v>
      </c>
      <c r="J1043" s="37">
        <v>45404</v>
      </c>
      <c r="K1043" s="27" t="s">
        <v>22</v>
      </c>
    </row>
    <row r="1044" spans="1:11" x14ac:dyDescent="0.2">
      <c r="A1044" s="24" t="s">
        <v>2748</v>
      </c>
      <c r="B1044" s="24" t="s">
        <v>2749</v>
      </c>
      <c r="C1044" s="24" t="s">
        <v>97</v>
      </c>
      <c r="D1044" s="24" t="s">
        <v>17</v>
      </c>
      <c r="E1044" s="24" t="s">
        <v>18</v>
      </c>
      <c r="F1044" s="24" t="s">
        <v>19</v>
      </c>
      <c r="G1044" s="24" t="s">
        <v>59</v>
      </c>
      <c r="H1044" s="26">
        <v>84</v>
      </c>
      <c r="I1044" s="24" t="s">
        <v>21</v>
      </c>
      <c r="J1044" s="36">
        <v>45383</v>
      </c>
      <c r="K1044" s="24" t="s">
        <v>22</v>
      </c>
    </row>
    <row r="1045" spans="1:11" x14ac:dyDescent="0.2">
      <c r="A1045" s="27" t="s">
        <v>2750</v>
      </c>
      <c r="B1045" s="27" t="s">
        <v>2751</v>
      </c>
      <c r="C1045" s="27" t="s">
        <v>85</v>
      </c>
      <c r="D1045" s="27" t="s">
        <v>17</v>
      </c>
      <c r="E1045" s="27" t="s">
        <v>42</v>
      </c>
      <c r="F1045" s="27" t="s">
        <v>43</v>
      </c>
      <c r="G1045" s="27" t="s">
        <v>20</v>
      </c>
      <c r="H1045" s="29">
        <v>202</v>
      </c>
      <c r="I1045" s="27" t="s">
        <v>21</v>
      </c>
      <c r="J1045" s="37">
        <v>45404</v>
      </c>
      <c r="K1045" s="27" t="s">
        <v>22</v>
      </c>
    </row>
    <row r="1046" spans="1:11" x14ac:dyDescent="0.2">
      <c r="A1046" s="24" t="s">
        <v>2752</v>
      </c>
      <c r="B1046" s="24" t="s">
        <v>2753</v>
      </c>
      <c r="C1046" s="24" t="s">
        <v>2754</v>
      </c>
      <c r="D1046" s="24" t="s">
        <v>17</v>
      </c>
      <c r="E1046" s="24" t="s">
        <v>18</v>
      </c>
      <c r="F1046" s="24" t="s">
        <v>19</v>
      </c>
      <c r="G1046" s="24" t="s">
        <v>28</v>
      </c>
      <c r="H1046" s="26">
        <v>36</v>
      </c>
      <c r="I1046" s="24" t="s">
        <v>29</v>
      </c>
      <c r="J1046" s="36">
        <v>45390</v>
      </c>
      <c r="K1046" s="24" t="s">
        <v>22</v>
      </c>
    </row>
    <row r="1047" spans="1:11" x14ac:dyDescent="0.2">
      <c r="A1047" s="27" t="s">
        <v>2755</v>
      </c>
      <c r="B1047" s="27" t="s">
        <v>2756</v>
      </c>
      <c r="C1047" s="27" t="s">
        <v>2757</v>
      </c>
      <c r="D1047" s="27" t="s">
        <v>17</v>
      </c>
      <c r="E1047" s="27" t="s">
        <v>26</v>
      </c>
      <c r="F1047" s="27" t="s">
        <v>27</v>
      </c>
      <c r="G1047" s="27" t="s">
        <v>28</v>
      </c>
      <c r="H1047" s="29">
        <v>72</v>
      </c>
      <c r="I1047" s="27" t="s">
        <v>29</v>
      </c>
      <c r="J1047" s="37">
        <v>45383</v>
      </c>
      <c r="K1047" s="27" t="s">
        <v>22</v>
      </c>
    </row>
    <row r="1048" spans="1:11" x14ac:dyDescent="0.2">
      <c r="A1048" s="24" t="s">
        <v>2758</v>
      </c>
      <c r="B1048" s="24" t="s">
        <v>2759</v>
      </c>
      <c r="C1048" s="24" t="s">
        <v>260</v>
      </c>
      <c r="D1048" s="24" t="s">
        <v>17</v>
      </c>
      <c r="E1048" s="24" t="s">
        <v>26</v>
      </c>
      <c r="F1048" s="24" t="s">
        <v>27</v>
      </c>
      <c r="G1048" s="24" t="s">
        <v>20</v>
      </c>
      <c r="H1048" s="26">
        <v>910</v>
      </c>
      <c r="I1048" s="24" t="s">
        <v>21</v>
      </c>
      <c r="J1048" s="36">
        <v>45383</v>
      </c>
      <c r="K1048" s="24" t="s">
        <v>22</v>
      </c>
    </row>
    <row r="1049" spans="1:11" x14ac:dyDescent="0.2">
      <c r="A1049" s="27" t="s">
        <v>2760</v>
      </c>
      <c r="B1049" s="27" t="s">
        <v>2761</v>
      </c>
      <c r="C1049" s="27" t="s">
        <v>251</v>
      </c>
      <c r="D1049" s="27" t="s">
        <v>17</v>
      </c>
      <c r="E1049" s="27" t="s">
        <v>18</v>
      </c>
      <c r="F1049" s="27" t="s">
        <v>19</v>
      </c>
      <c r="G1049" s="27" t="s">
        <v>44</v>
      </c>
      <c r="H1049" s="29">
        <v>4</v>
      </c>
      <c r="I1049" s="27" t="s">
        <v>21</v>
      </c>
      <c r="J1049" s="37">
        <v>45398</v>
      </c>
      <c r="K1049" s="27" t="s">
        <v>22</v>
      </c>
    </row>
    <row r="1050" spans="1:11" x14ac:dyDescent="0.2">
      <c r="A1050" s="24" t="s">
        <v>2762</v>
      </c>
      <c r="B1050" s="24" t="s">
        <v>2763</v>
      </c>
      <c r="C1050" s="24" t="s">
        <v>2764</v>
      </c>
      <c r="D1050" s="24" t="s">
        <v>17</v>
      </c>
      <c r="E1050" s="24" t="s">
        <v>18</v>
      </c>
      <c r="F1050" s="24" t="s">
        <v>19</v>
      </c>
      <c r="G1050" s="24" t="s">
        <v>28</v>
      </c>
      <c r="H1050" s="26">
        <v>230</v>
      </c>
      <c r="I1050" s="24" t="s">
        <v>29</v>
      </c>
      <c r="J1050" s="36">
        <v>45391</v>
      </c>
      <c r="K1050" s="24" t="s">
        <v>22</v>
      </c>
    </row>
    <row r="1051" spans="1:11" x14ac:dyDescent="0.2">
      <c r="A1051" s="27" t="s">
        <v>2765</v>
      </c>
      <c r="B1051" s="27" t="s">
        <v>2766</v>
      </c>
      <c r="C1051" s="27" t="s">
        <v>2767</v>
      </c>
      <c r="D1051" s="27" t="s">
        <v>17</v>
      </c>
      <c r="E1051" s="27" t="s">
        <v>18</v>
      </c>
      <c r="F1051" s="27" t="s">
        <v>19</v>
      </c>
      <c r="G1051" s="27" t="s">
        <v>38</v>
      </c>
      <c r="H1051" s="29">
        <v>10</v>
      </c>
      <c r="I1051" s="27" t="s">
        <v>29</v>
      </c>
      <c r="J1051" s="37">
        <v>45383</v>
      </c>
      <c r="K1051" s="27" t="s">
        <v>22</v>
      </c>
    </row>
    <row r="1052" spans="1:11" x14ac:dyDescent="0.2">
      <c r="A1052" s="24" t="s">
        <v>2768</v>
      </c>
      <c r="B1052" s="24" t="s">
        <v>2769</v>
      </c>
      <c r="C1052" s="24" t="s">
        <v>2770</v>
      </c>
      <c r="D1052" s="24" t="s">
        <v>17</v>
      </c>
      <c r="E1052" s="24" t="s">
        <v>42</v>
      </c>
      <c r="F1052" s="24" t="s">
        <v>43</v>
      </c>
      <c r="G1052" s="24" t="s">
        <v>44</v>
      </c>
      <c r="H1052" s="26">
        <v>163</v>
      </c>
      <c r="I1052" s="24" t="s">
        <v>21</v>
      </c>
      <c r="J1052" s="36">
        <v>45384</v>
      </c>
      <c r="K1052" s="24" t="s">
        <v>22</v>
      </c>
    </row>
    <row r="1053" spans="1:11" x14ac:dyDescent="0.2">
      <c r="A1053" s="27" t="s">
        <v>2771</v>
      </c>
      <c r="B1053" s="27" t="s">
        <v>2772</v>
      </c>
      <c r="C1053" s="27" t="s">
        <v>2773</v>
      </c>
      <c r="D1053" s="27" t="s">
        <v>17</v>
      </c>
      <c r="E1053" s="27" t="s">
        <v>48</v>
      </c>
      <c r="F1053" s="27" t="s">
        <v>49</v>
      </c>
      <c r="G1053" s="27" t="s">
        <v>20</v>
      </c>
      <c r="H1053" s="29">
        <v>168</v>
      </c>
      <c r="I1053" s="27" t="s">
        <v>21</v>
      </c>
      <c r="J1053" s="37">
        <v>45411</v>
      </c>
      <c r="K1053" s="27" t="s">
        <v>22</v>
      </c>
    </row>
    <row r="1054" spans="1:11" x14ac:dyDescent="0.2">
      <c r="A1054" s="24" t="s">
        <v>2774</v>
      </c>
      <c r="B1054" s="24" t="s">
        <v>2775</v>
      </c>
      <c r="C1054" s="24" t="s">
        <v>2776</v>
      </c>
      <c r="D1054" s="24" t="s">
        <v>17</v>
      </c>
      <c r="E1054" s="24" t="s">
        <v>26</v>
      </c>
      <c r="F1054" s="24" t="s">
        <v>27</v>
      </c>
      <c r="G1054" s="24" t="s">
        <v>28</v>
      </c>
      <c r="H1054" s="26">
        <v>41</v>
      </c>
      <c r="I1054" s="24" t="s">
        <v>29</v>
      </c>
      <c r="J1054" s="36">
        <v>45387</v>
      </c>
      <c r="K1054" s="24" t="s">
        <v>22</v>
      </c>
    </row>
    <row r="1055" spans="1:11" x14ac:dyDescent="0.2">
      <c r="A1055" s="27" t="s">
        <v>2777</v>
      </c>
      <c r="B1055" s="27" t="s">
        <v>2778</v>
      </c>
      <c r="C1055" s="27" t="s">
        <v>2779</v>
      </c>
      <c r="D1055" s="27" t="s">
        <v>17</v>
      </c>
      <c r="E1055" s="27" t="s">
        <v>18</v>
      </c>
      <c r="F1055" s="27" t="s">
        <v>19</v>
      </c>
      <c r="G1055" s="27" t="s">
        <v>28</v>
      </c>
      <c r="H1055" s="29">
        <v>308</v>
      </c>
      <c r="I1055" s="27" t="s">
        <v>29</v>
      </c>
      <c r="J1055" s="37">
        <v>45394</v>
      </c>
      <c r="K1055" s="27" t="s">
        <v>22</v>
      </c>
    </row>
    <row r="1056" spans="1:11" x14ac:dyDescent="0.2">
      <c r="A1056" s="24" t="s">
        <v>2780</v>
      </c>
      <c r="B1056" s="24" t="s">
        <v>2781</v>
      </c>
      <c r="C1056" s="24" t="s">
        <v>266</v>
      </c>
      <c r="D1056" s="24" t="s">
        <v>17</v>
      </c>
      <c r="E1056" s="24" t="s">
        <v>26</v>
      </c>
      <c r="F1056" s="24" t="s">
        <v>27</v>
      </c>
      <c r="G1056" s="24" t="s">
        <v>28</v>
      </c>
      <c r="H1056" s="26">
        <v>125</v>
      </c>
      <c r="I1056" s="24" t="s">
        <v>29</v>
      </c>
      <c r="J1056" s="36">
        <v>45400</v>
      </c>
      <c r="K1056" s="24" t="s">
        <v>22</v>
      </c>
    </row>
    <row r="1057" spans="1:11" x14ac:dyDescent="0.2">
      <c r="A1057" s="27" t="s">
        <v>2782</v>
      </c>
      <c r="B1057" s="27" t="s">
        <v>2783</v>
      </c>
      <c r="C1057" s="27" t="s">
        <v>208</v>
      </c>
      <c r="D1057" s="27" t="s">
        <v>17</v>
      </c>
      <c r="E1057" s="27" t="s">
        <v>42</v>
      </c>
      <c r="F1057" s="27" t="s">
        <v>43</v>
      </c>
      <c r="G1057" s="27" t="s">
        <v>44</v>
      </c>
      <c r="H1057" s="29">
        <v>2500</v>
      </c>
      <c r="I1057" s="27" t="s">
        <v>29</v>
      </c>
      <c r="J1057" s="37">
        <v>45398</v>
      </c>
      <c r="K1057" s="27" t="s">
        <v>22</v>
      </c>
    </row>
    <row r="1058" spans="1:11" x14ac:dyDescent="0.2">
      <c r="A1058" s="24" t="s">
        <v>2784</v>
      </c>
      <c r="B1058" s="24" t="s">
        <v>2785</v>
      </c>
      <c r="C1058" s="24" t="s">
        <v>68</v>
      </c>
      <c r="D1058" s="24" t="s">
        <v>17</v>
      </c>
      <c r="E1058" s="24" t="s">
        <v>18</v>
      </c>
      <c r="F1058" s="24" t="s">
        <v>19</v>
      </c>
      <c r="G1058" s="24" t="s">
        <v>217</v>
      </c>
      <c r="H1058" s="26">
        <v>18</v>
      </c>
      <c r="I1058" s="24" t="s">
        <v>29</v>
      </c>
      <c r="J1058" s="36">
        <v>45383</v>
      </c>
      <c r="K1058" s="24" t="s">
        <v>22</v>
      </c>
    </row>
    <row r="1059" spans="1:11" x14ac:dyDescent="0.2">
      <c r="A1059" s="27" t="s">
        <v>2786</v>
      </c>
      <c r="B1059" s="27" t="s">
        <v>2787</v>
      </c>
      <c r="C1059" s="27" t="s">
        <v>2788</v>
      </c>
      <c r="D1059" s="27" t="s">
        <v>17</v>
      </c>
      <c r="E1059" s="27" t="s">
        <v>48</v>
      </c>
      <c r="F1059" s="27" t="s">
        <v>49</v>
      </c>
      <c r="G1059" s="27" t="s">
        <v>28</v>
      </c>
      <c r="H1059" s="29">
        <v>30</v>
      </c>
      <c r="I1059" s="27" t="s">
        <v>29</v>
      </c>
      <c r="J1059" s="37">
        <v>45412</v>
      </c>
      <c r="K1059" s="27" t="s">
        <v>22</v>
      </c>
    </row>
    <row r="1060" spans="1:11" x14ac:dyDescent="0.2">
      <c r="A1060" s="24" t="s">
        <v>2789</v>
      </c>
      <c r="B1060" s="24" t="s">
        <v>2790</v>
      </c>
      <c r="C1060" s="24" t="s">
        <v>2767</v>
      </c>
      <c r="D1060" s="24" t="s">
        <v>17</v>
      </c>
      <c r="E1060" s="24" t="s">
        <v>18</v>
      </c>
      <c r="F1060" s="24" t="s">
        <v>19</v>
      </c>
      <c r="G1060" s="24" t="s">
        <v>38</v>
      </c>
      <c r="H1060" s="26">
        <v>10</v>
      </c>
      <c r="I1060" s="24" t="s">
        <v>29</v>
      </c>
      <c r="J1060" s="36">
        <v>45383</v>
      </c>
      <c r="K1060" s="24" t="s">
        <v>22</v>
      </c>
    </row>
    <row r="1061" spans="1:11" x14ac:dyDescent="0.2">
      <c r="A1061" s="27" t="s">
        <v>2791</v>
      </c>
      <c r="B1061" s="27" t="s">
        <v>2792</v>
      </c>
      <c r="C1061" s="27" t="s">
        <v>106</v>
      </c>
      <c r="D1061" s="27" t="s">
        <v>17</v>
      </c>
      <c r="E1061" s="27" t="s">
        <v>48</v>
      </c>
      <c r="F1061" s="27" t="s">
        <v>49</v>
      </c>
      <c r="G1061" s="27" t="s">
        <v>20</v>
      </c>
      <c r="H1061" s="29">
        <v>22</v>
      </c>
      <c r="I1061" s="27" t="s">
        <v>21</v>
      </c>
      <c r="J1061" s="37">
        <v>45387</v>
      </c>
      <c r="K1061" s="27" t="s">
        <v>22</v>
      </c>
    </row>
    <row r="1062" spans="1:11" x14ac:dyDescent="0.2">
      <c r="A1062" s="24" t="s">
        <v>2793</v>
      </c>
      <c r="B1062" s="24" t="s">
        <v>2794</v>
      </c>
      <c r="C1062" s="24" t="s">
        <v>2795</v>
      </c>
      <c r="D1062" s="24" t="s">
        <v>17</v>
      </c>
      <c r="E1062" s="24" t="s">
        <v>18</v>
      </c>
      <c r="F1062" s="24" t="s">
        <v>19</v>
      </c>
      <c r="G1062" s="24" t="s">
        <v>28</v>
      </c>
      <c r="H1062" s="26">
        <v>27</v>
      </c>
      <c r="I1062" s="24" t="s">
        <v>29</v>
      </c>
      <c r="J1062" s="36">
        <v>45383</v>
      </c>
      <c r="K1062" s="24" t="s">
        <v>22</v>
      </c>
    </row>
    <row r="1063" spans="1:11" x14ac:dyDescent="0.2">
      <c r="A1063" s="27" t="s">
        <v>2796</v>
      </c>
      <c r="B1063" s="27" t="s">
        <v>2797</v>
      </c>
      <c r="C1063" s="27" t="s">
        <v>592</v>
      </c>
      <c r="D1063" s="27" t="s">
        <v>17</v>
      </c>
      <c r="E1063" s="27" t="s">
        <v>48</v>
      </c>
      <c r="F1063" s="27" t="s">
        <v>49</v>
      </c>
      <c r="G1063" s="27" t="s">
        <v>28</v>
      </c>
      <c r="H1063" s="29">
        <v>40</v>
      </c>
      <c r="I1063" s="27" t="s">
        <v>29</v>
      </c>
      <c r="J1063" s="37">
        <v>45390</v>
      </c>
      <c r="K1063" s="27" t="s">
        <v>22</v>
      </c>
    </row>
    <row r="1064" spans="1:11" x14ac:dyDescent="0.2">
      <c r="A1064" s="24" t="s">
        <v>2798</v>
      </c>
      <c r="B1064" s="24" t="s">
        <v>2799</v>
      </c>
      <c r="C1064" s="24" t="s">
        <v>2800</v>
      </c>
      <c r="D1064" s="24" t="s">
        <v>17</v>
      </c>
      <c r="E1064" s="24" t="s">
        <v>18</v>
      </c>
      <c r="F1064" s="24" t="s">
        <v>19</v>
      </c>
      <c r="G1064" s="24" t="s">
        <v>28</v>
      </c>
      <c r="H1064" s="26">
        <v>15</v>
      </c>
      <c r="I1064" s="24" t="s">
        <v>29</v>
      </c>
      <c r="J1064" s="36">
        <v>45390</v>
      </c>
      <c r="K1064" s="24" t="s">
        <v>22</v>
      </c>
    </row>
    <row r="1065" spans="1:11" x14ac:dyDescent="0.2">
      <c r="A1065" s="27" t="s">
        <v>2801</v>
      </c>
      <c r="B1065" s="27" t="s">
        <v>2802</v>
      </c>
      <c r="C1065" s="27" t="s">
        <v>2803</v>
      </c>
      <c r="D1065" s="27" t="s">
        <v>17</v>
      </c>
      <c r="E1065" s="27" t="s">
        <v>48</v>
      </c>
      <c r="F1065" s="27" t="s">
        <v>49</v>
      </c>
      <c r="G1065" s="27" t="s">
        <v>44</v>
      </c>
      <c r="H1065" s="29">
        <v>470</v>
      </c>
      <c r="I1065" s="27" t="s">
        <v>21</v>
      </c>
      <c r="J1065" s="37">
        <v>45411</v>
      </c>
      <c r="K1065" s="27" t="s">
        <v>22</v>
      </c>
    </row>
    <row r="1066" spans="1:11" x14ac:dyDescent="0.2">
      <c r="A1066" s="24" t="s">
        <v>2804</v>
      </c>
      <c r="B1066" s="24" t="s">
        <v>2805</v>
      </c>
      <c r="C1066" s="24" t="s">
        <v>2806</v>
      </c>
      <c r="D1066" s="24" t="s">
        <v>17</v>
      </c>
      <c r="E1066" s="24" t="s">
        <v>42</v>
      </c>
      <c r="F1066" s="24" t="s">
        <v>43</v>
      </c>
      <c r="G1066" s="24" t="s">
        <v>20</v>
      </c>
      <c r="H1066" s="26">
        <v>235</v>
      </c>
      <c r="I1066" s="24" t="s">
        <v>21</v>
      </c>
      <c r="J1066" s="36">
        <v>45383</v>
      </c>
      <c r="K1066" s="24" t="s">
        <v>22</v>
      </c>
    </row>
    <row r="1067" spans="1:11" x14ac:dyDescent="0.2">
      <c r="A1067" s="27" t="s">
        <v>2807</v>
      </c>
      <c r="B1067" s="27" t="s">
        <v>2808</v>
      </c>
      <c r="C1067" s="27" t="s">
        <v>437</v>
      </c>
      <c r="D1067" s="27" t="s">
        <v>17</v>
      </c>
      <c r="E1067" s="27" t="s">
        <v>42</v>
      </c>
      <c r="F1067" s="27" t="s">
        <v>43</v>
      </c>
      <c r="G1067" s="27" t="s">
        <v>44</v>
      </c>
      <c r="H1067" s="29">
        <v>434</v>
      </c>
      <c r="I1067" s="27" t="s">
        <v>21</v>
      </c>
      <c r="J1067" s="37">
        <v>45390</v>
      </c>
      <c r="K1067" s="27" t="s">
        <v>22</v>
      </c>
    </row>
    <row r="1068" spans="1:11" x14ac:dyDescent="0.2">
      <c r="A1068" s="24" t="s">
        <v>2809</v>
      </c>
      <c r="B1068" s="24" t="s">
        <v>2810</v>
      </c>
      <c r="C1068" s="24" t="s">
        <v>2811</v>
      </c>
      <c r="D1068" s="24" t="s">
        <v>17</v>
      </c>
      <c r="E1068" s="24" t="s">
        <v>163</v>
      </c>
      <c r="F1068" s="24" t="s">
        <v>164</v>
      </c>
      <c r="G1068" s="24" t="s">
        <v>217</v>
      </c>
      <c r="H1068" s="26">
        <v>190</v>
      </c>
      <c r="I1068" s="24" t="s">
        <v>29</v>
      </c>
      <c r="J1068" s="36">
        <v>45392</v>
      </c>
      <c r="K1068" s="24" t="s">
        <v>22</v>
      </c>
    </row>
    <row r="1069" spans="1:11" x14ac:dyDescent="0.2">
      <c r="A1069" s="27" t="s">
        <v>2812</v>
      </c>
      <c r="B1069" s="27" t="s">
        <v>2813</v>
      </c>
      <c r="C1069" s="27" t="s">
        <v>2814</v>
      </c>
      <c r="D1069" s="27" t="s">
        <v>17</v>
      </c>
      <c r="E1069" s="27" t="s">
        <v>26</v>
      </c>
      <c r="F1069" s="27" t="s">
        <v>27</v>
      </c>
      <c r="G1069" s="27" t="s">
        <v>28</v>
      </c>
      <c r="H1069" s="29">
        <v>8</v>
      </c>
      <c r="I1069" s="27" t="s">
        <v>29</v>
      </c>
      <c r="J1069" s="37">
        <v>45390</v>
      </c>
      <c r="K1069" s="27" t="s">
        <v>22</v>
      </c>
    </row>
    <row r="1070" spans="1:11" x14ac:dyDescent="0.2">
      <c r="A1070" s="24" t="s">
        <v>2815</v>
      </c>
      <c r="B1070" s="24" t="s">
        <v>2816</v>
      </c>
      <c r="C1070" s="24" t="s">
        <v>2817</v>
      </c>
      <c r="D1070" s="24" t="s">
        <v>17</v>
      </c>
      <c r="E1070" s="24" t="s">
        <v>42</v>
      </c>
      <c r="F1070" s="24" t="s">
        <v>43</v>
      </c>
      <c r="G1070" s="24" t="s">
        <v>28</v>
      </c>
      <c r="H1070" s="26">
        <v>124</v>
      </c>
      <c r="I1070" s="24" t="s">
        <v>29</v>
      </c>
      <c r="J1070" s="36">
        <v>45412</v>
      </c>
      <c r="K1070" s="24" t="s">
        <v>22</v>
      </c>
    </row>
    <row r="1071" spans="1:11" x14ac:dyDescent="0.2">
      <c r="A1071" s="27" t="s">
        <v>2818</v>
      </c>
      <c r="B1071" s="27" t="s">
        <v>2819</v>
      </c>
      <c r="C1071" s="27" t="s">
        <v>526</v>
      </c>
      <c r="D1071" s="27" t="s">
        <v>17</v>
      </c>
      <c r="E1071" s="27" t="s">
        <v>48</v>
      </c>
      <c r="F1071" s="27" t="s">
        <v>49</v>
      </c>
      <c r="G1071" s="27" t="s">
        <v>44</v>
      </c>
      <c r="H1071" s="29">
        <v>392</v>
      </c>
      <c r="I1071" s="27" t="s">
        <v>21</v>
      </c>
      <c r="J1071" s="37">
        <v>45406</v>
      </c>
      <c r="K1071" s="27" t="s">
        <v>22</v>
      </c>
    </row>
    <row r="1072" spans="1:11" x14ac:dyDescent="0.2">
      <c r="A1072" s="24" t="s">
        <v>2820</v>
      </c>
      <c r="B1072" s="24" t="s">
        <v>2821</v>
      </c>
      <c r="C1072" s="24" t="s">
        <v>526</v>
      </c>
      <c r="D1072" s="24" t="s">
        <v>17</v>
      </c>
      <c r="E1072" s="24" t="s">
        <v>18</v>
      </c>
      <c r="F1072" s="24" t="s">
        <v>19</v>
      </c>
      <c r="G1072" s="24" t="s">
        <v>20</v>
      </c>
      <c r="H1072" s="26">
        <v>96</v>
      </c>
      <c r="I1072" s="24" t="s">
        <v>21</v>
      </c>
      <c r="J1072" s="36">
        <v>45385</v>
      </c>
      <c r="K1072" s="24" t="s">
        <v>22</v>
      </c>
    </row>
    <row r="1073" spans="1:11" x14ac:dyDescent="0.2">
      <c r="A1073" s="27" t="s">
        <v>2822</v>
      </c>
      <c r="B1073" s="27" t="s">
        <v>2823</v>
      </c>
      <c r="C1073" s="27" t="s">
        <v>708</v>
      </c>
      <c r="D1073" s="27" t="s">
        <v>17</v>
      </c>
      <c r="E1073" s="27" t="s">
        <v>42</v>
      </c>
      <c r="F1073" s="27" t="s">
        <v>43</v>
      </c>
      <c r="G1073" s="27" t="s">
        <v>20</v>
      </c>
      <c r="H1073" s="29">
        <v>35</v>
      </c>
      <c r="I1073" s="27" t="s">
        <v>21</v>
      </c>
      <c r="J1073" s="37">
        <v>45397</v>
      </c>
      <c r="K1073" s="27" t="s">
        <v>22</v>
      </c>
    </row>
    <row r="1074" spans="1:11" x14ac:dyDescent="0.2">
      <c r="A1074" s="24" t="s">
        <v>2824</v>
      </c>
      <c r="B1074" s="24" t="s">
        <v>2825</v>
      </c>
      <c r="C1074" s="24" t="s">
        <v>122</v>
      </c>
      <c r="D1074" s="24" t="s">
        <v>17</v>
      </c>
      <c r="E1074" s="24" t="s">
        <v>18</v>
      </c>
      <c r="F1074" s="24" t="s">
        <v>19</v>
      </c>
      <c r="G1074" s="24" t="s">
        <v>28</v>
      </c>
      <c r="H1074" s="26">
        <v>429</v>
      </c>
      <c r="I1074" s="24" t="s">
        <v>29</v>
      </c>
      <c r="J1074" s="36">
        <v>45385</v>
      </c>
      <c r="K1074" s="24" t="s">
        <v>22</v>
      </c>
    </row>
    <row r="1075" spans="1:11" x14ac:dyDescent="0.2">
      <c r="A1075" s="27" t="s">
        <v>2826</v>
      </c>
      <c r="B1075" s="27" t="s">
        <v>2827</v>
      </c>
      <c r="C1075" s="27" t="s">
        <v>618</v>
      </c>
      <c r="D1075" s="27" t="s">
        <v>17</v>
      </c>
      <c r="E1075" s="27" t="s">
        <v>18</v>
      </c>
      <c r="F1075" s="27" t="s">
        <v>19</v>
      </c>
      <c r="G1075" s="27" t="s">
        <v>28</v>
      </c>
      <c r="H1075" s="29">
        <v>610</v>
      </c>
      <c r="I1075" s="27" t="s">
        <v>29</v>
      </c>
      <c r="J1075" s="37">
        <v>45408</v>
      </c>
      <c r="K1075" s="27" t="s">
        <v>22</v>
      </c>
    </row>
    <row r="1076" spans="1:11" x14ac:dyDescent="0.2">
      <c r="A1076" s="24" t="s">
        <v>2828</v>
      </c>
      <c r="B1076" s="24" t="s">
        <v>2829</v>
      </c>
      <c r="C1076" s="24" t="s">
        <v>687</v>
      </c>
      <c r="D1076" s="24" t="s">
        <v>17</v>
      </c>
      <c r="E1076" s="24" t="s">
        <v>42</v>
      </c>
      <c r="F1076" s="24" t="s">
        <v>43</v>
      </c>
      <c r="G1076" s="24" t="s">
        <v>20</v>
      </c>
      <c r="H1076" s="26">
        <v>429</v>
      </c>
      <c r="I1076" s="24" t="s">
        <v>21</v>
      </c>
      <c r="J1076" s="36">
        <v>45401</v>
      </c>
      <c r="K1076" s="24" t="s">
        <v>22</v>
      </c>
    </row>
    <row r="1077" spans="1:11" x14ac:dyDescent="0.2">
      <c r="A1077" s="27" t="s">
        <v>2830</v>
      </c>
      <c r="B1077" s="27" t="s">
        <v>2831</v>
      </c>
      <c r="C1077" s="27" t="s">
        <v>423</v>
      </c>
      <c r="D1077" s="27" t="s">
        <v>17</v>
      </c>
      <c r="E1077" s="27" t="s">
        <v>18</v>
      </c>
      <c r="F1077" s="27" t="s">
        <v>19</v>
      </c>
      <c r="G1077" s="27" t="s">
        <v>20</v>
      </c>
      <c r="H1077" s="29">
        <v>45</v>
      </c>
      <c r="I1077" s="27" t="s">
        <v>21</v>
      </c>
      <c r="J1077" s="37">
        <v>45386</v>
      </c>
      <c r="K1077" s="27" t="s">
        <v>22</v>
      </c>
    </row>
    <row r="1078" spans="1:11" x14ac:dyDescent="0.2">
      <c r="A1078" s="24" t="s">
        <v>2832</v>
      </c>
      <c r="B1078" s="24" t="s">
        <v>2833</v>
      </c>
      <c r="C1078" s="24" t="s">
        <v>2834</v>
      </c>
      <c r="D1078" s="24" t="s">
        <v>17</v>
      </c>
      <c r="E1078" s="24" t="s">
        <v>18</v>
      </c>
      <c r="F1078" s="24" t="s">
        <v>19</v>
      </c>
      <c r="G1078" s="24" t="s">
        <v>20</v>
      </c>
      <c r="H1078" s="26">
        <v>24</v>
      </c>
      <c r="I1078" s="24" t="s">
        <v>21</v>
      </c>
      <c r="J1078" s="36">
        <v>45406</v>
      </c>
      <c r="K1078" s="24" t="s">
        <v>22</v>
      </c>
    </row>
    <row r="1079" spans="1:11" x14ac:dyDescent="0.2">
      <c r="A1079" s="27" t="s">
        <v>2835</v>
      </c>
      <c r="B1079" s="27" t="s">
        <v>2836</v>
      </c>
      <c r="C1079" s="27" t="s">
        <v>2837</v>
      </c>
      <c r="D1079" s="27" t="s">
        <v>17</v>
      </c>
      <c r="E1079" s="27" t="s">
        <v>81</v>
      </c>
      <c r="F1079" s="27" t="s">
        <v>82</v>
      </c>
      <c r="G1079" s="27" t="s">
        <v>217</v>
      </c>
      <c r="H1079" s="29">
        <v>88</v>
      </c>
      <c r="I1079" s="27" t="s">
        <v>29</v>
      </c>
      <c r="J1079" s="37">
        <v>45412</v>
      </c>
      <c r="K1079" s="27" t="s">
        <v>22</v>
      </c>
    </row>
    <row r="1080" spans="1:11" x14ac:dyDescent="0.2">
      <c r="A1080" s="24" t="s">
        <v>2838</v>
      </c>
      <c r="B1080" s="24" t="s">
        <v>2839</v>
      </c>
      <c r="C1080" s="24" t="s">
        <v>526</v>
      </c>
      <c r="D1080" s="24" t="s">
        <v>17</v>
      </c>
      <c r="E1080" s="24" t="s">
        <v>81</v>
      </c>
      <c r="F1080" s="24" t="s">
        <v>82</v>
      </c>
      <c r="G1080" s="24" t="s">
        <v>20</v>
      </c>
      <c r="H1080" s="26">
        <v>150</v>
      </c>
      <c r="I1080" s="24" t="s">
        <v>21</v>
      </c>
      <c r="J1080" s="36">
        <v>45400</v>
      </c>
      <c r="K1080" s="24" t="s">
        <v>22</v>
      </c>
    </row>
    <row r="1081" spans="1:11" x14ac:dyDescent="0.2">
      <c r="A1081" s="27" t="s">
        <v>2840</v>
      </c>
      <c r="B1081" s="27" t="s">
        <v>2841</v>
      </c>
      <c r="C1081" s="27" t="s">
        <v>1174</v>
      </c>
      <c r="D1081" s="27" t="s">
        <v>17</v>
      </c>
      <c r="E1081" s="27" t="s">
        <v>26</v>
      </c>
      <c r="F1081" s="27" t="s">
        <v>27</v>
      </c>
      <c r="G1081" s="27" t="s">
        <v>28</v>
      </c>
      <c r="H1081" s="29">
        <v>250</v>
      </c>
      <c r="I1081" s="27" t="s">
        <v>29</v>
      </c>
      <c r="J1081" s="37">
        <v>45399</v>
      </c>
      <c r="K1081" s="27" t="s">
        <v>22</v>
      </c>
    </row>
    <row r="1082" spans="1:11" x14ac:dyDescent="0.2">
      <c r="A1082" s="24" t="s">
        <v>2842</v>
      </c>
      <c r="B1082" s="24" t="s">
        <v>2843</v>
      </c>
      <c r="C1082" s="24" t="s">
        <v>71</v>
      </c>
      <c r="D1082" s="24" t="s">
        <v>17</v>
      </c>
      <c r="E1082" s="24" t="s">
        <v>18</v>
      </c>
      <c r="F1082" s="24" t="s">
        <v>19</v>
      </c>
      <c r="G1082" s="24" t="s">
        <v>28</v>
      </c>
      <c r="H1082" s="26">
        <v>250</v>
      </c>
      <c r="I1082" s="24" t="s">
        <v>29</v>
      </c>
      <c r="J1082" s="36">
        <v>45407</v>
      </c>
      <c r="K1082" s="24" t="s">
        <v>22</v>
      </c>
    </row>
    <row r="1083" spans="1:11" x14ac:dyDescent="0.2">
      <c r="A1083" s="27" t="s">
        <v>2844</v>
      </c>
      <c r="B1083" s="27" t="s">
        <v>2845</v>
      </c>
      <c r="C1083" s="27" t="s">
        <v>526</v>
      </c>
      <c r="D1083" s="27" t="s">
        <v>17</v>
      </c>
      <c r="E1083" s="27" t="s">
        <v>42</v>
      </c>
      <c r="F1083" s="27" t="s">
        <v>43</v>
      </c>
      <c r="G1083" s="27" t="s">
        <v>28</v>
      </c>
      <c r="H1083" s="29">
        <v>450</v>
      </c>
      <c r="I1083" s="27" t="s">
        <v>29</v>
      </c>
      <c r="J1083" s="37">
        <v>45408</v>
      </c>
      <c r="K1083" s="27" t="s">
        <v>22</v>
      </c>
    </row>
    <row r="1084" spans="1:11" x14ac:dyDescent="0.2">
      <c r="A1084" s="24" t="s">
        <v>2846</v>
      </c>
      <c r="B1084" s="24" t="s">
        <v>2847</v>
      </c>
      <c r="C1084" s="24" t="s">
        <v>780</v>
      </c>
      <c r="D1084" s="24" t="s">
        <v>17</v>
      </c>
      <c r="E1084" s="24" t="s">
        <v>18</v>
      </c>
      <c r="F1084" s="24" t="s">
        <v>19</v>
      </c>
      <c r="G1084" s="24" t="s">
        <v>44</v>
      </c>
      <c r="H1084" s="26">
        <v>46</v>
      </c>
      <c r="I1084" s="24" t="s">
        <v>21</v>
      </c>
      <c r="J1084" s="36">
        <v>45402</v>
      </c>
      <c r="K1084" s="24" t="s">
        <v>22</v>
      </c>
    </row>
    <row r="1085" spans="1:11" x14ac:dyDescent="0.2">
      <c r="A1085" s="27" t="s">
        <v>2848</v>
      </c>
      <c r="B1085" s="27" t="s">
        <v>2849</v>
      </c>
      <c r="C1085" s="27" t="s">
        <v>2850</v>
      </c>
      <c r="D1085" s="27" t="s">
        <v>17</v>
      </c>
      <c r="E1085" s="27" t="s">
        <v>18</v>
      </c>
      <c r="F1085" s="27" t="s">
        <v>19</v>
      </c>
      <c r="G1085" s="27" t="s">
        <v>28</v>
      </c>
      <c r="H1085" s="29">
        <v>12</v>
      </c>
      <c r="I1085" s="27" t="s">
        <v>29</v>
      </c>
      <c r="J1085" s="37">
        <v>45411</v>
      </c>
      <c r="K1085" s="27" t="s">
        <v>22</v>
      </c>
    </row>
    <row r="1086" spans="1:11" x14ac:dyDescent="0.2">
      <c r="A1086" s="24" t="s">
        <v>2851</v>
      </c>
      <c r="B1086" s="24" t="s">
        <v>2852</v>
      </c>
      <c r="C1086" s="24" t="s">
        <v>2853</v>
      </c>
      <c r="D1086" s="24" t="s">
        <v>17</v>
      </c>
      <c r="E1086" s="24" t="s">
        <v>48</v>
      </c>
      <c r="F1086" s="24" t="s">
        <v>49</v>
      </c>
      <c r="G1086" s="24" t="s">
        <v>20</v>
      </c>
      <c r="H1086" s="26">
        <v>123</v>
      </c>
      <c r="I1086" s="24" t="s">
        <v>21</v>
      </c>
      <c r="J1086" s="36">
        <v>45392</v>
      </c>
      <c r="K1086" s="24" t="s">
        <v>22</v>
      </c>
    </row>
    <row r="1087" spans="1:11" x14ac:dyDescent="0.2">
      <c r="A1087" s="27" t="s">
        <v>2854</v>
      </c>
      <c r="B1087" s="27" t="s">
        <v>2855</v>
      </c>
      <c r="C1087" s="27" t="s">
        <v>2856</v>
      </c>
      <c r="D1087" s="27" t="s">
        <v>17</v>
      </c>
      <c r="E1087" s="27" t="s">
        <v>48</v>
      </c>
      <c r="F1087" s="27" t="s">
        <v>49</v>
      </c>
      <c r="G1087" s="27" t="s">
        <v>59</v>
      </c>
      <c r="H1087" s="29">
        <v>64</v>
      </c>
      <c r="I1087" s="27" t="s">
        <v>21</v>
      </c>
      <c r="J1087" s="37">
        <v>45384</v>
      </c>
      <c r="K1087" s="27" t="s">
        <v>22</v>
      </c>
    </row>
    <row r="1088" spans="1:11" x14ac:dyDescent="0.2">
      <c r="A1088" s="24" t="s">
        <v>2857</v>
      </c>
      <c r="B1088" s="24" t="s">
        <v>2858</v>
      </c>
      <c r="C1088" s="24" t="s">
        <v>2859</v>
      </c>
      <c r="D1088" s="24" t="s">
        <v>17</v>
      </c>
      <c r="E1088" s="24" t="s">
        <v>18</v>
      </c>
      <c r="F1088" s="24" t="s">
        <v>19</v>
      </c>
      <c r="G1088" s="24" t="s">
        <v>20</v>
      </c>
      <c r="H1088" s="26">
        <v>21</v>
      </c>
      <c r="I1088" s="24" t="s">
        <v>21</v>
      </c>
      <c r="J1088" s="36">
        <v>45406</v>
      </c>
      <c r="K1088" s="24" t="s">
        <v>22</v>
      </c>
    </row>
    <row r="1089" spans="1:11" x14ac:dyDescent="0.2">
      <c r="A1089" s="27" t="s">
        <v>2860</v>
      </c>
      <c r="B1089" s="27" t="s">
        <v>2861</v>
      </c>
      <c r="C1089" s="27" t="s">
        <v>2862</v>
      </c>
      <c r="D1089" s="27" t="s">
        <v>17</v>
      </c>
      <c r="E1089" s="27" t="s">
        <v>18</v>
      </c>
      <c r="F1089" s="27" t="s">
        <v>19</v>
      </c>
      <c r="G1089" s="27" t="s">
        <v>28</v>
      </c>
      <c r="H1089" s="29">
        <v>35</v>
      </c>
      <c r="I1089" s="27" t="s">
        <v>29</v>
      </c>
      <c r="J1089" s="37">
        <v>45412</v>
      </c>
      <c r="K1089" s="27" t="s">
        <v>22</v>
      </c>
    </row>
    <row r="1090" spans="1:11" x14ac:dyDescent="0.2">
      <c r="A1090" s="24" t="s">
        <v>2863</v>
      </c>
      <c r="B1090" s="24" t="s">
        <v>2864</v>
      </c>
      <c r="C1090" s="24" t="s">
        <v>1678</v>
      </c>
      <c r="D1090" s="24" t="s">
        <v>17</v>
      </c>
      <c r="E1090" s="24" t="s">
        <v>48</v>
      </c>
      <c r="F1090" s="24" t="s">
        <v>49</v>
      </c>
      <c r="G1090" s="24" t="s">
        <v>44</v>
      </c>
      <c r="H1090" s="26">
        <v>50</v>
      </c>
      <c r="I1090" s="24" t="s">
        <v>29</v>
      </c>
      <c r="J1090" s="36">
        <v>45396</v>
      </c>
      <c r="K1090" s="24" t="s">
        <v>22</v>
      </c>
    </row>
    <row r="1091" spans="1:11" x14ac:dyDescent="0.2">
      <c r="A1091" s="27" t="s">
        <v>2865</v>
      </c>
      <c r="B1091" s="27" t="s">
        <v>2866</v>
      </c>
      <c r="C1091" s="27" t="s">
        <v>2867</v>
      </c>
      <c r="D1091" s="27" t="s">
        <v>17</v>
      </c>
      <c r="E1091" s="27" t="s">
        <v>18</v>
      </c>
      <c r="F1091" s="27" t="s">
        <v>19</v>
      </c>
      <c r="G1091" s="27" t="s">
        <v>20</v>
      </c>
      <c r="H1091" s="29">
        <v>80</v>
      </c>
      <c r="I1091" s="27" t="s">
        <v>21</v>
      </c>
      <c r="J1091" s="37">
        <v>45406</v>
      </c>
      <c r="K1091" s="27" t="s">
        <v>22</v>
      </c>
    </row>
    <row r="1092" spans="1:11" x14ac:dyDescent="0.2">
      <c r="A1092" s="24" t="s">
        <v>2868</v>
      </c>
      <c r="B1092" s="24" t="s">
        <v>2869</v>
      </c>
      <c r="C1092" s="24" t="s">
        <v>2870</v>
      </c>
      <c r="D1092" s="24" t="s">
        <v>17</v>
      </c>
      <c r="E1092" s="24" t="s">
        <v>48</v>
      </c>
      <c r="F1092" s="24" t="s">
        <v>49</v>
      </c>
      <c r="G1092" s="24" t="s">
        <v>44</v>
      </c>
      <c r="H1092" s="26">
        <v>46</v>
      </c>
      <c r="I1092" s="24" t="s">
        <v>29</v>
      </c>
      <c r="J1092" s="36">
        <v>45392</v>
      </c>
      <c r="K1092" s="24" t="s">
        <v>22</v>
      </c>
    </row>
    <row r="1093" spans="1:11" x14ac:dyDescent="0.2">
      <c r="A1093" s="27" t="s">
        <v>2871</v>
      </c>
      <c r="B1093" s="27" t="s">
        <v>2872</v>
      </c>
      <c r="C1093" s="27" t="s">
        <v>85</v>
      </c>
      <c r="D1093" s="27" t="s">
        <v>17</v>
      </c>
      <c r="E1093" s="27" t="s">
        <v>42</v>
      </c>
      <c r="F1093" s="27" t="s">
        <v>43</v>
      </c>
      <c r="G1093" s="27" t="s">
        <v>20</v>
      </c>
      <c r="H1093" s="29">
        <v>207</v>
      </c>
      <c r="I1093" s="27" t="s">
        <v>21</v>
      </c>
      <c r="J1093" s="37">
        <v>45412</v>
      </c>
      <c r="K1093" s="27" t="s">
        <v>22</v>
      </c>
    </row>
    <row r="1094" spans="1:11" x14ac:dyDescent="0.2">
      <c r="A1094" s="24" t="s">
        <v>2873</v>
      </c>
      <c r="B1094" s="24" t="s">
        <v>2874</v>
      </c>
      <c r="C1094" s="24" t="s">
        <v>194</v>
      </c>
      <c r="D1094" s="24" t="s">
        <v>17</v>
      </c>
      <c r="E1094" s="24" t="s">
        <v>42</v>
      </c>
      <c r="F1094" s="24" t="s">
        <v>43</v>
      </c>
      <c r="G1094" s="24" t="s">
        <v>44</v>
      </c>
      <c r="H1094" s="26">
        <v>383</v>
      </c>
      <c r="I1094" s="24" t="s">
        <v>21</v>
      </c>
      <c r="J1094" s="36">
        <v>45406</v>
      </c>
      <c r="K1094" s="24" t="s">
        <v>22</v>
      </c>
    </row>
    <row r="1095" spans="1:11" x14ac:dyDescent="0.2">
      <c r="A1095" s="27" t="s">
        <v>2875</v>
      </c>
      <c r="B1095" s="27" t="s">
        <v>2876</v>
      </c>
      <c r="C1095" s="27" t="s">
        <v>85</v>
      </c>
      <c r="D1095" s="27" t="s">
        <v>17</v>
      </c>
      <c r="E1095" s="27" t="s">
        <v>81</v>
      </c>
      <c r="F1095" s="27" t="s">
        <v>82</v>
      </c>
      <c r="G1095" s="27" t="s">
        <v>20</v>
      </c>
      <c r="H1095" s="29">
        <v>10</v>
      </c>
      <c r="I1095" s="27" t="s">
        <v>21</v>
      </c>
      <c r="J1095" s="37">
        <v>45406</v>
      </c>
      <c r="K1095" s="27" t="s">
        <v>22</v>
      </c>
    </row>
    <row r="1096" spans="1:11" x14ac:dyDescent="0.2">
      <c r="A1096" s="24" t="s">
        <v>2877</v>
      </c>
      <c r="B1096" s="24" t="s">
        <v>2878</v>
      </c>
      <c r="C1096" s="24" t="s">
        <v>1931</v>
      </c>
      <c r="D1096" s="24" t="s">
        <v>17</v>
      </c>
      <c r="E1096" s="24" t="s">
        <v>18</v>
      </c>
      <c r="F1096" s="24" t="s">
        <v>19</v>
      </c>
      <c r="G1096" s="24" t="s">
        <v>44</v>
      </c>
      <c r="H1096" s="26">
        <v>33</v>
      </c>
      <c r="I1096" s="24" t="s">
        <v>21</v>
      </c>
      <c r="J1096" s="36">
        <v>45383</v>
      </c>
      <c r="K1096" s="24" t="s">
        <v>22</v>
      </c>
    </row>
    <row r="1097" spans="1:11" x14ac:dyDescent="0.2">
      <c r="A1097" s="27" t="s">
        <v>2879</v>
      </c>
      <c r="B1097" s="27" t="s">
        <v>2880</v>
      </c>
      <c r="C1097" s="27" t="s">
        <v>2881</v>
      </c>
      <c r="D1097" s="27" t="s">
        <v>17</v>
      </c>
      <c r="E1097" s="27" t="s">
        <v>26</v>
      </c>
      <c r="F1097" s="27" t="s">
        <v>27</v>
      </c>
      <c r="G1097" s="27" t="s">
        <v>28</v>
      </c>
      <c r="H1097" s="29">
        <v>474</v>
      </c>
      <c r="I1097" s="27" t="s">
        <v>29</v>
      </c>
      <c r="J1097" s="37">
        <v>45385</v>
      </c>
      <c r="K1097" s="27" t="s">
        <v>22</v>
      </c>
    </row>
    <row r="1098" spans="1:11" x14ac:dyDescent="0.2">
      <c r="A1098" s="24" t="s">
        <v>2882</v>
      </c>
      <c r="B1098" s="24" t="s">
        <v>2883</v>
      </c>
      <c r="C1098" s="24" t="s">
        <v>2884</v>
      </c>
      <c r="D1098" s="24" t="s">
        <v>17</v>
      </c>
      <c r="E1098" s="24" t="s">
        <v>48</v>
      </c>
      <c r="F1098" s="24" t="s">
        <v>49</v>
      </c>
      <c r="G1098" s="24" t="s">
        <v>20</v>
      </c>
      <c r="H1098" s="26">
        <v>40</v>
      </c>
      <c r="I1098" s="24" t="s">
        <v>21</v>
      </c>
      <c r="J1098" s="36">
        <v>45404</v>
      </c>
      <c r="K1098" s="24" t="s">
        <v>22</v>
      </c>
    </row>
    <row r="1099" spans="1:11" x14ac:dyDescent="0.2">
      <c r="A1099" s="27" t="s">
        <v>2885</v>
      </c>
      <c r="B1099" s="27" t="s">
        <v>2886</v>
      </c>
      <c r="C1099" s="27" t="s">
        <v>2767</v>
      </c>
      <c r="D1099" s="27" t="s">
        <v>17</v>
      </c>
      <c r="E1099" s="27" t="s">
        <v>18</v>
      </c>
      <c r="F1099" s="27" t="s">
        <v>19</v>
      </c>
      <c r="G1099" s="27" t="s">
        <v>38</v>
      </c>
      <c r="H1099" s="29">
        <v>10</v>
      </c>
      <c r="I1099" s="27" t="s">
        <v>29</v>
      </c>
      <c r="J1099" s="37">
        <v>45383</v>
      </c>
      <c r="K1099" s="27" t="s">
        <v>22</v>
      </c>
    </row>
    <row r="1100" spans="1:11" x14ac:dyDescent="0.2">
      <c r="A1100" s="24" t="s">
        <v>2887</v>
      </c>
      <c r="B1100" s="24" t="s">
        <v>2888</v>
      </c>
      <c r="C1100" s="24" t="s">
        <v>2889</v>
      </c>
      <c r="D1100" s="24" t="s">
        <v>17</v>
      </c>
      <c r="E1100" s="24" t="s">
        <v>18</v>
      </c>
      <c r="F1100" s="24" t="s">
        <v>19</v>
      </c>
      <c r="G1100" s="24" t="s">
        <v>20</v>
      </c>
      <c r="H1100" s="26">
        <v>25</v>
      </c>
      <c r="I1100" s="24" t="s">
        <v>21</v>
      </c>
      <c r="J1100" s="36">
        <v>45384</v>
      </c>
      <c r="K1100" s="24" t="s">
        <v>22</v>
      </c>
    </row>
    <row r="1101" spans="1:11" x14ac:dyDescent="0.2">
      <c r="A1101" s="27" t="s">
        <v>2890</v>
      </c>
      <c r="B1101" s="27" t="s">
        <v>2891</v>
      </c>
      <c r="C1101" s="27" t="s">
        <v>2892</v>
      </c>
      <c r="D1101" s="27" t="s">
        <v>17</v>
      </c>
      <c r="E1101" s="27" t="s">
        <v>18</v>
      </c>
      <c r="F1101" s="27" t="s">
        <v>19</v>
      </c>
      <c r="G1101" s="27" t="s">
        <v>20</v>
      </c>
      <c r="H1101" s="29">
        <v>12</v>
      </c>
      <c r="I1101" s="27" t="s">
        <v>21</v>
      </c>
      <c r="J1101" s="37">
        <v>45390</v>
      </c>
      <c r="K1101" s="27" t="s">
        <v>22</v>
      </c>
    </row>
    <row r="1102" spans="1:11" x14ac:dyDescent="0.2">
      <c r="A1102" s="24" t="s">
        <v>2893</v>
      </c>
      <c r="B1102" s="24" t="s">
        <v>2894</v>
      </c>
      <c r="C1102" s="24" t="s">
        <v>71</v>
      </c>
      <c r="D1102" s="24" t="s">
        <v>17</v>
      </c>
      <c r="E1102" s="24" t="s">
        <v>18</v>
      </c>
      <c r="F1102" s="24" t="s">
        <v>19</v>
      </c>
      <c r="G1102" s="24" t="s">
        <v>28</v>
      </c>
      <c r="H1102" s="26">
        <v>228</v>
      </c>
      <c r="I1102" s="24" t="s">
        <v>29</v>
      </c>
      <c r="J1102" s="36">
        <v>45394</v>
      </c>
      <c r="K1102" s="24" t="s">
        <v>22</v>
      </c>
    </row>
    <row r="1103" spans="1:11" x14ac:dyDescent="0.2">
      <c r="A1103" s="27" t="s">
        <v>2895</v>
      </c>
      <c r="B1103" s="27" t="s">
        <v>2896</v>
      </c>
      <c r="C1103" s="27" t="s">
        <v>106</v>
      </c>
      <c r="D1103" s="27" t="s">
        <v>17</v>
      </c>
      <c r="E1103" s="27" t="s">
        <v>18</v>
      </c>
      <c r="F1103" s="27" t="s">
        <v>19</v>
      </c>
      <c r="G1103" s="27" t="s">
        <v>20</v>
      </c>
      <c r="H1103" s="29">
        <v>56</v>
      </c>
      <c r="I1103" s="27" t="s">
        <v>21</v>
      </c>
      <c r="J1103" s="37">
        <v>45412</v>
      </c>
      <c r="K1103" s="27" t="s">
        <v>22</v>
      </c>
    </row>
    <row r="1104" spans="1:11" x14ac:dyDescent="0.2">
      <c r="A1104" s="24" t="s">
        <v>2897</v>
      </c>
      <c r="B1104" s="24" t="s">
        <v>2898</v>
      </c>
      <c r="C1104" s="24" t="s">
        <v>85</v>
      </c>
      <c r="D1104" s="24" t="s">
        <v>17</v>
      </c>
      <c r="E1104" s="24" t="s">
        <v>33</v>
      </c>
      <c r="F1104" s="24" t="s">
        <v>34</v>
      </c>
      <c r="G1104" s="24" t="s">
        <v>28</v>
      </c>
      <c r="H1104" s="26">
        <v>840</v>
      </c>
      <c r="I1104" s="24" t="s">
        <v>29</v>
      </c>
      <c r="J1104" s="36">
        <v>45392</v>
      </c>
      <c r="K1104" s="24" t="s">
        <v>22</v>
      </c>
    </row>
    <row r="1105" spans="1:11" x14ac:dyDescent="0.2">
      <c r="A1105" s="27" t="s">
        <v>2899</v>
      </c>
      <c r="B1105" s="27" t="s">
        <v>2900</v>
      </c>
      <c r="C1105" s="27" t="s">
        <v>687</v>
      </c>
      <c r="D1105" s="27" t="s">
        <v>17</v>
      </c>
      <c r="E1105" s="27" t="s">
        <v>18</v>
      </c>
      <c r="F1105" s="27" t="s">
        <v>19</v>
      </c>
      <c r="G1105" s="27" t="s">
        <v>20</v>
      </c>
      <c r="H1105" s="29">
        <v>36</v>
      </c>
      <c r="I1105" s="27" t="s">
        <v>21</v>
      </c>
      <c r="J1105" s="37">
        <v>45397</v>
      </c>
      <c r="K1105" s="27" t="s">
        <v>22</v>
      </c>
    </row>
    <row r="1106" spans="1:11" x14ac:dyDescent="0.2">
      <c r="A1106" s="24" t="s">
        <v>2901</v>
      </c>
      <c r="B1106" s="24" t="s">
        <v>2902</v>
      </c>
      <c r="C1106" s="24" t="s">
        <v>331</v>
      </c>
      <c r="D1106" s="24" t="s">
        <v>17</v>
      </c>
      <c r="E1106" s="24" t="s">
        <v>26</v>
      </c>
      <c r="F1106" s="24" t="s">
        <v>27</v>
      </c>
      <c r="G1106" s="24" t="s">
        <v>59</v>
      </c>
      <c r="H1106" s="26">
        <v>5</v>
      </c>
      <c r="I1106" s="24" t="s">
        <v>21</v>
      </c>
      <c r="J1106" s="36">
        <v>45398</v>
      </c>
      <c r="K1106" s="24" t="s">
        <v>22</v>
      </c>
    </row>
    <row r="1107" spans="1:11" x14ac:dyDescent="0.2">
      <c r="A1107" s="27" t="s">
        <v>2903</v>
      </c>
      <c r="B1107" s="27" t="s">
        <v>2904</v>
      </c>
      <c r="C1107" s="27" t="s">
        <v>1260</v>
      </c>
      <c r="D1107" s="27" t="s">
        <v>17</v>
      </c>
      <c r="E1107" s="27" t="s">
        <v>18</v>
      </c>
      <c r="F1107" s="27" t="s">
        <v>19</v>
      </c>
      <c r="G1107" s="27" t="s">
        <v>20</v>
      </c>
      <c r="H1107" s="29">
        <v>60</v>
      </c>
      <c r="I1107" s="27" t="s">
        <v>21</v>
      </c>
      <c r="J1107" s="37">
        <v>45399</v>
      </c>
      <c r="K1107" s="27" t="s">
        <v>22</v>
      </c>
    </row>
    <row r="1108" spans="1:11" x14ac:dyDescent="0.2">
      <c r="A1108" s="24" t="s">
        <v>2905</v>
      </c>
      <c r="B1108" s="24" t="s">
        <v>2906</v>
      </c>
      <c r="C1108" s="24" t="s">
        <v>2569</v>
      </c>
      <c r="D1108" s="24" t="s">
        <v>17</v>
      </c>
      <c r="E1108" s="24" t="s">
        <v>42</v>
      </c>
      <c r="F1108" s="24" t="s">
        <v>43</v>
      </c>
      <c r="G1108" s="24" t="s">
        <v>20</v>
      </c>
      <c r="H1108" s="26">
        <v>132</v>
      </c>
      <c r="I1108" s="24" t="s">
        <v>21</v>
      </c>
      <c r="J1108" s="36">
        <v>45391</v>
      </c>
      <c r="K1108" s="24" t="s">
        <v>22</v>
      </c>
    </row>
    <row r="1109" spans="1:11" x14ac:dyDescent="0.2">
      <c r="A1109" s="27" t="s">
        <v>2907</v>
      </c>
      <c r="B1109" s="27" t="s">
        <v>2908</v>
      </c>
      <c r="C1109" s="27" t="s">
        <v>2909</v>
      </c>
      <c r="D1109" s="27" t="s">
        <v>17</v>
      </c>
      <c r="E1109" s="27" t="s">
        <v>26</v>
      </c>
      <c r="F1109" s="27" t="s">
        <v>27</v>
      </c>
      <c r="G1109" s="27" t="s">
        <v>28</v>
      </c>
      <c r="H1109" s="29">
        <v>32</v>
      </c>
      <c r="I1109" s="27" t="s">
        <v>29</v>
      </c>
      <c r="J1109" s="37">
        <v>45383</v>
      </c>
      <c r="K1109" s="27" t="s">
        <v>22</v>
      </c>
    </row>
    <row r="1110" spans="1:11" x14ac:dyDescent="0.2">
      <c r="A1110" s="24" t="s">
        <v>2910</v>
      </c>
      <c r="B1110" s="24" t="s">
        <v>2911</v>
      </c>
      <c r="C1110" s="24" t="s">
        <v>1047</v>
      </c>
      <c r="D1110" s="24" t="s">
        <v>17</v>
      </c>
      <c r="E1110" s="24" t="s">
        <v>18</v>
      </c>
      <c r="F1110" s="24" t="s">
        <v>19</v>
      </c>
      <c r="G1110" s="24" t="s">
        <v>20</v>
      </c>
      <c r="H1110" s="26">
        <v>8</v>
      </c>
      <c r="I1110" s="24" t="s">
        <v>21</v>
      </c>
      <c r="J1110" s="36">
        <v>45392</v>
      </c>
      <c r="K1110" s="24" t="s">
        <v>22</v>
      </c>
    </row>
    <row r="1111" spans="1:11" x14ac:dyDescent="0.2">
      <c r="A1111" s="27" t="s">
        <v>2912</v>
      </c>
      <c r="B1111" s="27" t="s">
        <v>2913</v>
      </c>
      <c r="C1111" s="27" t="s">
        <v>1921</v>
      </c>
      <c r="D1111" s="27" t="s">
        <v>17</v>
      </c>
      <c r="E1111" s="27" t="s">
        <v>48</v>
      </c>
      <c r="F1111" s="27" t="s">
        <v>49</v>
      </c>
      <c r="G1111" s="27" t="s">
        <v>28</v>
      </c>
      <c r="H1111" s="29">
        <v>155</v>
      </c>
      <c r="I1111" s="27" t="s">
        <v>29</v>
      </c>
      <c r="J1111" s="37">
        <v>45411</v>
      </c>
      <c r="K1111" s="27" t="s">
        <v>22</v>
      </c>
    </row>
    <row r="1112" spans="1:11" x14ac:dyDescent="0.2">
      <c r="A1112" s="24" t="s">
        <v>2914</v>
      </c>
      <c r="B1112" s="24" t="s">
        <v>2915</v>
      </c>
      <c r="C1112" s="24" t="s">
        <v>2916</v>
      </c>
      <c r="D1112" s="24" t="s">
        <v>17</v>
      </c>
      <c r="E1112" s="24" t="s">
        <v>18</v>
      </c>
      <c r="F1112" s="24" t="s">
        <v>19</v>
      </c>
      <c r="G1112" s="24" t="s">
        <v>28</v>
      </c>
      <c r="H1112" s="26">
        <v>78</v>
      </c>
      <c r="I1112" s="24" t="s">
        <v>29</v>
      </c>
      <c r="J1112" s="36">
        <v>45405</v>
      </c>
      <c r="K1112" s="24" t="s">
        <v>22</v>
      </c>
    </row>
    <row r="1113" spans="1:11" x14ac:dyDescent="0.2">
      <c r="A1113" s="27" t="s">
        <v>2917</v>
      </c>
      <c r="B1113" s="27" t="s">
        <v>2918</v>
      </c>
      <c r="C1113" s="27" t="s">
        <v>1663</v>
      </c>
      <c r="D1113" s="27" t="s">
        <v>17</v>
      </c>
      <c r="E1113" s="27" t="s">
        <v>18</v>
      </c>
      <c r="F1113" s="27" t="s">
        <v>19</v>
      </c>
      <c r="G1113" s="27" t="s">
        <v>20</v>
      </c>
      <c r="H1113" s="29">
        <v>66</v>
      </c>
      <c r="I1113" s="27" t="s">
        <v>21</v>
      </c>
      <c r="J1113" s="37">
        <v>45405</v>
      </c>
      <c r="K1113" s="27" t="s">
        <v>22</v>
      </c>
    </row>
    <row r="1114" spans="1:11" x14ac:dyDescent="0.2">
      <c r="A1114" s="24" t="s">
        <v>2919</v>
      </c>
      <c r="B1114" s="24" t="s">
        <v>2920</v>
      </c>
      <c r="C1114" s="24" t="s">
        <v>2921</v>
      </c>
      <c r="D1114" s="24" t="s">
        <v>17</v>
      </c>
      <c r="E1114" s="24" t="s">
        <v>18</v>
      </c>
      <c r="F1114" s="24" t="s">
        <v>19</v>
      </c>
      <c r="G1114" s="24" t="s">
        <v>28</v>
      </c>
      <c r="H1114" s="26">
        <v>76</v>
      </c>
      <c r="I1114" s="24" t="s">
        <v>29</v>
      </c>
      <c r="J1114" s="36">
        <v>45412</v>
      </c>
      <c r="K1114" s="24" t="s">
        <v>22</v>
      </c>
    </row>
    <row r="1115" spans="1:11" x14ac:dyDescent="0.2">
      <c r="A1115" s="27" t="s">
        <v>2922</v>
      </c>
      <c r="B1115" s="27" t="s">
        <v>2923</v>
      </c>
      <c r="C1115" s="27" t="s">
        <v>140</v>
      </c>
      <c r="D1115" s="27" t="s">
        <v>17</v>
      </c>
      <c r="E1115" s="27" t="s">
        <v>48</v>
      </c>
      <c r="F1115" s="27" t="s">
        <v>49</v>
      </c>
      <c r="G1115" s="27" t="s">
        <v>28</v>
      </c>
      <c r="H1115" s="29">
        <v>90</v>
      </c>
      <c r="I1115" s="27" t="s">
        <v>29</v>
      </c>
      <c r="J1115" s="37">
        <v>45401</v>
      </c>
      <c r="K1115" s="27" t="s">
        <v>22</v>
      </c>
    </row>
    <row r="1116" spans="1:11" x14ac:dyDescent="0.2">
      <c r="A1116" s="24" t="s">
        <v>2924</v>
      </c>
      <c r="B1116" s="24" t="s">
        <v>2925</v>
      </c>
      <c r="C1116" s="24" t="s">
        <v>2324</v>
      </c>
      <c r="D1116" s="24" t="s">
        <v>17</v>
      </c>
      <c r="E1116" s="24" t="s">
        <v>42</v>
      </c>
      <c r="F1116" s="24" t="s">
        <v>43</v>
      </c>
      <c r="G1116" s="24" t="s">
        <v>116</v>
      </c>
      <c r="H1116" s="26">
        <v>0</v>
      </c>
      <c r="I1116" s="24" t="s">
        <v>21</v>
      </c>
      <c r="J1116" s="36">
        <v>45392</v>
      </c>
      <c r="K1116" s="24" t="s">
        <v>22</v>
      </c>
    </row>
    <row r="1117" spans="1:11" x14ac:dyDescent="0.2">
      <c r="A1117" s="27" t="s">
        <v>2926</v>
      </c>
      <c r="B1117" s="27" t="s">
        <v>2927</v>
      </c>
      <c r="C1117" s="27" t="s">
        <v>687</v>
      </c>
      <c r="D1117" s="27" t="s">
        <v>17</v>
      </c>
      <c r="E1117" s="27" t="s">
        <v>48</v>
      </c>
      <c r="F1117" s="27" t="s">
        <v>49</v>
      </c>
      <c r="G1117" s="27" t="s">
        <v>20</v>
      </c>
      <c r="H1117" s="29">
        <v>626</v>
      </c>
      <c r="I1117" s="27" t="s">
        <v>21</v>
      </c>
      <c r="J1117" s="37">
        <v>45383</v>
      </c>
      <c r="K1117" s="27" t="s">
        <v>22</v>
      </c>
    </row>
    <row r="1118" spans="1:11" x14ac:dyDescent="0.2">
      <c r="A1118" s="24" t="s">
        <v>2928</v>
      </c>
      <c r="B1118" s="24" t="s">
        <v>2929</v>
      </c>
      <c r="C1118" s="24" t="s">
        <v>301</v>
      </c>
      <c r="D1118" s="24" t="s">
        <v>17</v>
      </c>
      <c r="E1118" s="24" t="s">
        <v>42</v>
      </c>
      <c r="F1118" s="24" t="s">
        <v>43</v>
      </c>
      <c r="G1118" s="24" t="s">
        <v>28</v>
      </c>
      <c r="H1118" s="26">
        <v>641</v>
      </c>
      <c r="I1118" s="24" t="s">
        <v>29</v>
      </c>
      <c r="J1118" s="36">
        <v>45400</v>
      </c>
      <c r="K1118" s="24" t="s">
        <v>22</v>
      </c>
    </row>
    <row r="1119" spans="1:11" x14ac:dyDescent="0.2">
      <c r="A1119" s="27" t="s">
        <v>2930</v>
      </c>
      <c r="B1119" s="27" t="s">
        <v>2931</v>
      </c>
      <c r="C1119" s="27" t="s">
        <v>55</v>
      </c>
      <c r="D1119" s="27" t="s">
        <v>17</v>
      </c>
      <c r="E1119" s="27" t="s">
        <v>18</v>
      </c>
      <c r="F1119" s="27" t="s">
        <v>19</v>
      </c>
      <c r="G1119" s="27" t="s">
        <v>20</v>
      </c>
      <c r="H1119" s="29">
        <v>36</v>
      </c>
      <c r="I1119" s="27" t="s">
        <v>21</v>
      </c>
      <c r="J1119" s="37">
        <v>45383</v>
      </c>
      <c r="K1119" s="27" t="s">
        <v>22</v>
      </c>
    </row>
    <row r="1120" spans="1:11" x14ac:dyDescent="0.2">
      <c r="A1120" s="24" t="s">
        <v>2932</v>
      </c>
      <c r="B1120" s="24" t="s">
        <v>2933</v>
      </c>
      <c r="C1120" s="24" t="s">
        <v>2165</v>
      </c>
      <c r="D1120" s="24" t="s">
        <v>17</v>
      </c>
      <c r="E1120" s="24" t="s">
        <v>26</v>
      </c>
      <c r="F1120" s="24" t="s">
        <v>27</v>
      </c>
      <c r="G1120" s="24" t="s">
        <v>217</v>
      </c>
      <c r="H1120" s="26">
        <v>30</v>
      </c>
      <c r="I1120" s="24" t="s">
        <v>29</v>
      </c>
      <c r="J1120" s="36">
        <v>45408</v>
      </c>
      <c r="K1120" s="24" t="s">
        <v>22</v>
      </c>
    </row>
    <row r="1121" spans="1:11" x14ac:dyDescent="0.2">
      <c r="A1121" s="27" t="s">
        <v>2934</v>
      </c>
      <c r="B1121" s="27" t="s">
        <v>2935</v>
      </c>
      <c r="C1121" s="27" t="s">
        <v>354</v>
      </c>
      <c r="D1121" s="27" t="s">
        <v>17</v>
      </c>
      <c r="E1121" s="27" t="s">
        <v>18</v>
      </c>
      <c r="F1121" s="27" t="s">
        <v>19</v>
      </c>
      <c r="G1121" s="27" t="s">
        <v>20</v>
      </c>
      <c r="H1121" s="29">
        <v>159</v>
      </c>
      <c r="I1121" s="27" t="s">
        <v>21</v>
      </c>
      <c r="J1121" s="37">
        <v>45399</v>
      </c>
      <c r="K1121" s="27" t="s">
        <v>22</v>
      </c>
    </row>
    <row r="1122" spans="1:11" x14ac:dyDescent="0.2">
      <c r="A1122" s="24" t="s">
        <v>2936</v>
      </c>
      <c r="B1122" s="24" t="s">
        <v>2937</v>
      </c>
      <c r="C1122" s="24" t="s">
        <v>868</v>
      </c>
      <c r="D1122" s="24" t="s">
        <v>17</v>
      </c>
      <c r="E1122" s="24" t="s">
        <v>48</v>
      </c>
      <c r="F1122" s="24" t="s">
        <v>49</v>
      </c>
      <c r="G1122" s="24" t="s">
        <v>44</v>
      </c>
      <c r="H1122" s="26">
        <v>60</v>
      </c>
      <c r="I1122" s="24" t="s">
        <v>29</v>
      </c>
      <c r="J1122" s="36">
        <v>45408</v>
      </c>
      <c r="K1122" s="24" t="s">
        <v>22</v>
      </c>
    </row>
    <row r="1123" spans="1:11" x14ac:dyDescent="0.2">
      <c r="A1123" s="27" t="s">
        <v>2938</v>
      </c>
      <c r="B1123" s="27" t="s">
        <v>2939</v>
      </c>
      <c r="C1123" s="27" t="s">
        <v>106</v>
      </c>
      <c r="D1123" s="27" t="s">
        <v>17</v>
      </c>
      <c r="E1123" s="27" t="s">
        <v>18</v>
      </c>
      <c r="F1123" s="27" t="s">
        <v>19</v>
      </c>
      <c r="G1123" s="27" t="s">
        <v>20</v>
      </c>
      <c r="H1123" s="29">
        <v>40</v>
      </c>
      <c r="I1123" s="27" t="s">
        <v>21</v>
      </c>
      <c r="J1123" s="37">
        <v>45391</v>
      </c>
      <c r="K1123" s="27" t="s">
        <v>22</v>
      </c>
    </row>
    <row r="1124" spans="1:11" x14ac:dyDescent="0.2">
      <c r="A1124" s="24" t="s">
        <v>2940</v>
      </c>
      <c r="B1124" s="24" t="s">
        <v>2941</v>
      </c>
      <c r="C1124" s="24" t="s">
        <v>55</v>
      </c>
      <c r="D1124" s="24" t="s">
        <v>17</v>
      </c>
      <c r="E1124" s="24" t="s">
        <v>48</v>
      </c>
      <c r="F1124" s="24" t="s">
        <v>49</v>
      </c>
      <c r="G1124" s="24" t="s">
        <v>44</v>
      </c>
      <c r="H1124" s="26">
        <v>272</v>
      </c>
      <c r="I1124" s="24" t="s">
        <v>29</v>
      </c>
      <c r="J1124" s="36">
        <v>45392</v>
      </c>
      <c r="K1124" s="24" t="s">
        <v>22</v>
      </c>
    </row>
    <row r="1125" spans="1:11" x14ac:dyDescent="0.2">
      <c r="A1125" s="27" t="s">
        <v>2942</v>
      </c>
      <c r="B1125" s="27" t="s">
        <v>2943</v>
      </c>
      <c r="C1125" s="27" t="s">
        <v>2944</v>
      </c>
      <c r="D1125" s="27" t="s">
        <v>17</v>
      </c>
      <c r="E1125" s="27" t="s">
        <v>48</v>
      </c>
      <c r="F1125" s="27" t="s">
        <v>49</v>
      </c>
      <c r="G1125" s="27" t="s">
        <v>217</v>
      </c>
      <c r="H1125" s="29">
        <v>80</v>
      </c>
      <c r="I1125" s="27" t="s">
        <v>29</v>
      </c>
      <c r="J1125" s="37">
        <v>45383</v>
      </c>
      <c r="K1125" s="27" t="s">
        <v>22</v>
      </c>
    </row>
    <row r="1126" spans="1:11" x14ac:dyDescent="0.2">
      <c r="A1126" s="24" t="s">
        <v>2945</v>
      </c>
      <c r="B1126" s="24" t="s">
        <v>2946</v>
      </c>
      <c r="C1126" s="24" t="s">
        <v>899</v>
      </c>
      <c r="D1126" s="24" t="s">
        <v>17</v>
      </c>
      <c r="E1126" s="24" t="s">
        <v>18</v>
      </c>
      <c r="F1126" s="24" t="s">
        <v>19</v>
      </c>
      <c r="G1126" s="24" t="s">
        <v>28</v>
      </c>
      <c r="H1126" s="26">
        <v>24</v>
      </c>
      <c r="I1126" s="24" t="s">
        <v>29</v>
      </c>
      <c r="J1126" s="36">
        <v>45392</v>
      </c>
      <c r="K1126" s="24" t="s">
        <v>22</v>
      </c>
    </row>
    <row r="1127" spans="1:11" x14ac:dyDescent="0.2">
      <c r="A1127" s="27" t="s">
        <v>2947</v>
      </c>
      <c r="B1127" s="27" t="s">
        <v>2948</v>
      </c>
      <c r="C1127" s="27" t="s">
        <v>2048</v>
      </c>
      <c r="D1127" s="27" t="s">
        <v>17</v>
      </c>
      <c r="E1127" s="27" t="s">
        <v>18</v>
      </c>
      <c r="F1127" s="27" t="s">
        <v>19</v>
      </c>
      <c r="G1127" s="27" t="s">
        <v>217</v>
      </c>
      <c r="H1127" s="29">
        <v>78</v>
      </c>
      <c r="I1127" s="27" t="s">
        <v>29</v>
      </c>
      <c r="J1127" s="37">
        <v>45392</v>
      </c>
      <c r="K1127" s="27" t="s">
        <v>22</v>
      </c>
    </row>
    <row r="1128" spans="1:11" x14ac:dyDescent="0.2">
      <c r="A1128" s="24" t="s">
        <v>2949</v>
      </c>
      <c r="B1128" s="24" t="s">
        <v>2950</v>
      </c>
      <c r="C1128" s="24" t="s">
        <v>2083</v>
      </c>
      <c r="D1128" s="24" t="s">
        <v>17</v>
      </c>
      <c r="E1128" s="24" t="s">
        <v>48</v>
      </c>
      <c r="F1128" s="24" t="s">
        <v>49</v>
      </c>
      <c r="G1128" s="24" t="s">
        <v>20</v>
      </c>
      <c r="H1128" s="26">
        <v>36</v>
      </c>
      <c r="I1128" s="24" t="s">
        <v>21</v>
      </c>
      <c r="J1128" s="36">
        <v>45403</v>
      </c>
      <c r="K1128" s="24" t="s">
        <v>22</v>
      </c>
    </row>
    <row r="1129" spans="1:11" x14ac:dyDescent="0.2">
      <c r="A1129" s="27" t="s">
        <v>2951</v>
      </c>
      <c r="B1129" s="27" t="s">
        <v>2952</v>
      </c>
      <c r="C1129" s="27" t="s">
        <v>2953</v>
      </c>
      <c r="D1129" s="27" t="s">
        <v>17</v>
      </c>
      <c r="E1129" s="27" t="s">
        <v>48</v>
      </c>
      <c r="F1129" s="27" t="s">
        <v>49</v>
      </c>
      <c r="G1129" s="27" t="s">
        <v>20</v>
      </c>
      <c r="H1129" s="29">
        <v>102</v>
      </c>
      <c r="I1129" s="27" t="s">
        <v>21</v>
      </c>
      <c r="J1129" s="37">
        <v>45383</v>
      </c>
      <c r="K1129" s="27" t="s">
        <v>22</v>
      </c>
    </row>
    <row r="1130" spans="1:11" x14ac:dyDescent="0.2">
      <c r="A1130" s="24" t="s">
        <v>2954</v>
      </c>
      <c r="B1130" s="24" t="s">
        <v>2955</v>
      </c>
      <c r="C1130" s="24" t="s">
        <v>213</v>
      </c>
      <c r="D1130" s="24" t="s">
        <v>17</v>
      </c>
      <c r="E1130" s="24" t="s">
        <v>18</v>
      </c>
      <c r="F1130" s="24" t="s">
        <v>19</v>
      </c>
      <c r="G1130" s="24" t="s">
        <v>20</v>
      </c>
      <c r="H1130" s="26">
        <v>52</v>
      </c>
      <c r="I1130" s="24" t="s">
        <v>21</v>
      </c>
      <c r="J1130" s="36">
        <v>45384</v>
      </c>
      <c r="K1130" s="24" t="s">
        <v>22</v>
      </c>
    </row>
    <row r="1131" spans="1:11" x14ac:dyDescent="0.2">
      <c r="A1131" s="27" t="s">
        <v>2956</v>
      </c>
      <c r="B1131" s="27" t="s">
        <v>2957</v>
      </c>
      <c r="C1131" s="27" t="s">
        <v>1283</v>
      </c>
      <c r="D1131" s="27" t="s">
        <v>17</v>
      </c>
      <c r="E1131" s="27" t="s">
        <v>26</v>
      </c>
      <c r="F1131" s="27" t="s">
        <v>27</v>
      </c>
      <c r="G1131" s="27" t="s">
        <v>217</v>
      </c>
      <c r="H1131" s="29">
        <v>515</v>
      </c>
      <c r="I1131" s="27" t="s">
        <v>29</v>
      </c>
      <c r="J1131" s="37">
        <v>45412</v>
      </c>
      <c r="K1131" s="27" t="s">
        <v>22</v>
      </c>
    </row>
    <row r="1132" spans="1:11" x14ac:dyDescent="0.2">
      <c r="A1132" s="24" t="s">
        <v>2958</v>
      </c>
      <c r="B1132" s="24" t="s">
        <v>2959</v>
      </c>
      <c r="C1132" s="24" t="s">
        <v>354</v>
      </c>
      <c r="D1132" s="24" t="s">
        <v>17</v>
      </c>
      <c r="E1132" s="24" t="s">
        <v>18</v>
      </c>
      <c r="F1132" s="24" t="s">
        <v>19</v>
      </c>
      <c r="G1132" s="24" t="s">
        <v>20</v>
      </c>
      <c r="H1132" s="26">
        <v>15</v>
      </c>
      <c r="I1132" s="24" t="s">
        <v>21</v>
      </c>
      <c r="J1132" s="36">
        <v>45384</v>
      </c>
      <c r="K1132" s="24" t="s">
        <v>22</v>
      </c>
    </row>
    <row r="1133" spans="1:11" x14ac:dyDescent="0.2">
      <c r="A1133" s="27" t="s">
        <v>2960</v>
      </c>
      <c r="B1133" s="27" t="s">
        <v>2961</v>
      </c>
      <c r="C1133" s="27" t="s">
        <v>437</v>
      </c>
      <c r="D1133" s="27" t="s">
        <v>17</v>
      </c>
      <c r="E1133" s="27" t="s">
        <v>18</v>
      </c>
      <c r="F1133" s="27" t="s">
        <v>19</v>
      </c>
      <c r="G1133" s="27" t="s">
        <v>20</v>
      </c>
      <c r="H1133" s="29">
        <v>20</v>
      </c>
      <c r="I1133" s="27" t="s">
        <v>21</v>
      </c>
      <c r="J1133" s="37">
        <v>45407</v>
      </c>
      <c r="K1133" s="27" t="s">
        <v>22</v>
      </c>
    </row>
    <row r="1134" spans="1:11" x14ac:dyDescent="0.2">
      <c r="A1134" s="24" t="s">
        <v>2962</v>
      </c>
      <c r="B1134" s="24" t="s">
        <v>2963</v>
      </c>
      <c r="C1134" s="24" t="s">
        <v>1005</v>
      </c>
      <c r="D1134" s="24" t="s">
        <v>17</v>
      </c>
      <c r="E1134" s="24" t="s">
        <v>18</v>
      </c>
      <c r="F1134" s="24" t="s">
        <v>19</v>
      </c>
      <c r="G1134" s="24" t="s">
        <v>28</v>
      </c>
      <c r="H1134" s="26">
        <v>60</v>
      </c>
      <c r="I1134" s="24" t="s">
        <v>29</v>
      </c>
      <c r="J1134" s="36">
        <v>45407</v>
      </c>
      <c r="K1134" s="24" t="s">
        <v>22</v>
      </c>
    </row>
    <row r="1135" spans="1:11" x14ac:dyDescent="0.2">
      <c r="A1135" s="27" t="s">
        <v>2964</v>
      </c>
      <c r="B1135" s="27" t="s">
        <v>2965</v>
      </c>
      <c r="C1135" s="27" t="s">
        <v>97</v>
      </c>
      <c r="D1135" s="27" t="s">
        <v>17</v>
      </c>
      <c r="E1135" s="27" t="s">
        <v>42</v>
      </c>
      <c r="F1135" s="27" t="s">
        <v>43</v>
      </c>
      <c r="G1135" s="27" t="s">
        <v>44</v>
      </c>
      <c r="H1135" s="29">
        <v>326</v>
      </c>
      <c r="I1135" s="27" t="s">
        <v>21</v>
      </c>
      <c r="J1135" s="37">
        <v>45390</v>
      </c>
      <c r="K1135" s="27" t="s">
        <v>22</v>
      </c>
    </row>
    <row r="1136" spans="1:11" x14ac:dyDescent="0.2">
      <c r="A1136" s="24" t="s">
        <v>2966</v>
      </c>
      <c r="B1136" s="24" t="s">
        <v>2967</v>
      </c>
      <c r="C1136" s="24" t="s">
        <v>2968</v>
      </c>
      <c r="D1136" s="24" t="s">
        <v>17</v>
      </c>
      <c r="E1136" s="24" t="s">
        <v>81</v>
      </c>
      <c r="F1136" s="24" t="s">
        <v>82</v>
      </c>
      <c r="G1136" s="24" t="s">
        <v>20</v>
      </c>
      <c r="H1136" s="26">
        <v>204</v>
      </c>
      <c r="I1136" s="24" t="s">
        <v>21</v>
      </c>
      <c r="J1136" s="36">
        <v>45404</v>
      </c>
      <c r="K1136" s="24" t="s">
        <v>22</v>
      </c>
    </row>
    <row r="1137" spans="1:11" x14ac:dyDescent="0.2">
      <c r="A1137" s="27" t="s">
        <v>2969</v>
      </c>
      <c r="B1137" s="27" t="s">
        <v>2970</v>
      </c>
      <c r="C1137" s="27" t="s">
        <v>526</v>
      </c>
      <c r="D1137" s="27" t="s">
        <v>17</v>
      </c>
      <c r="E1137" s="27" t="s">
        <v>18</v>
      </c>
      <c r="F1137" s="27" t="s">
        <v>19</v>
      </c>
      <c r="G1137" s="27" t="s">
        <v>20</v>
      </c>
      <c r="H1137" s="29">
        <v>128</v>
      </c>
      <c r="I1137" s="27" t="s">
        <v>21</v>
      </c>
      <c r="J1137" s="37">
        <v>45397</v>
      </c>
      <c r="K1137" s="27" t="s">
        <v>22</v>
      </c>
    </row>
    <row r="1138" spans="1:11" x14ac:dyDescent="0.2">
      <c r="A1138" s="24" t="s">
        <v>2971</v>
      </c>
      <c r="B1138" s="24" t="s">
        <v>2972</v>
      </c>
      <c r="C1138" s="24" t="s">
        <v>2973</v>
      </c>
      <c r="D1138" s="24" t="s">
        <v>17</v>
      </c>
      <c r="E1138" s="24" t="s">
        <v>48</v>
      </c>
      <c r="F1138" s="24" t="s">
        <v>49</v>
      </c>
      <c r="G1138" s="24" t="s">
        <v>44</v>
      </c>
      <c r="H1138" s="26">
        <v>94</v>
      </c>
      <c r="I1138" s="24" t="s">
        <v>21</v>
      </c>
      <c r="J1138" s="36">
        <v>45384</v>
      </c>
      <c r="K1138" s="24" t="s">
        <v>22</v>
      </c>
    </row>
    <row r="1139" spans="1:11" x14ac:dyDescent="0.2">
      <c r="A1139" s="27" t="s">
        <v>2974</v>
      </c>
      <c r="B1139" s="27" t="s">
        <v>2975</v>
      </c>
      <c r="C1139" s="27" t="s">
        <v>437</v>
      </c>
      <c r="D1139" s="27" t="s">
        <v>17</v>
      </c>
      <c r="E1139" s="27" t="s">
        <v>42</v>
      </c>
      <c r="F1139" s="27" t="s">
        <v>43</v>
      </c>
      <c r="G1139" s="27" t="s">
        <v>44</v>
      </c>
      <c r="H1139" s="29">
        <v>151</v>
      </c>
      <c r="I1139" s="27" t="s">
        <v>21</v>
      </c>
      <c r="J1139" s="37">
        <v>45384</v>
      </c>
      <c r="K1139" s="27" t="s">
        <v>22</v>
      </c>
    </row>
    <row r="1140" spans="1:11" x14ac:dyDescent="0.2">
      <c r="A1140" s="24" t="s">
        <v>2976</v>
      </c>
      <c r="B1140" s="24" t="s">
        <v>2977</v>
      </c>
      <c r="C1140" s="24" t="s">
        <v>2978</v>
      </c>
      <c r="D1140" s="24" t="s">
        <v>17</v>
      </c>
      <c r="E1140" s="24" t="s">
        <v>18</v>
      </c>
      <c r="F1140" s="24" t="s">
        <v>19</v>
      </c>
      <c r="G1140" s="24" t="s">
        <v>44</v>
      </c>
      <c r="H1140" s="26">
        <v>20</v>
      </c>
      <c r="I1140" s="24" t="s">
        <v>29</v>
      </c>
      <c r="J1140" s="36">
        <v>45401</v>
      </c>
      <c r="K1140" s="24" t="s">
        <v>22</v>
      </c>
    </row>
    <row r="1141" spans="1:11" x14ac:dyDescent="0.2">
      <c r="A1141" s="27" t="s">
        <v>2979</v>
      </c>
      <c r="B1141" s="27" t="s">
        <v>2980</v>
      </c>
      <c r="C1141" s="27" t="s">
        <v>437</v>
      </c>
      <c r="D1141" s="27" t="s">
        <v>17</v>
      </c>
      <c r="E1141" s="27" t="s">
        <v>81</v>
      </c>
      <c r="F1141" s="27" t="s">
        <v>82</v>
      </c>
      <c r="G1141" s="27" t="s">
        <v>44</v>
      </c>
      <c r="H1141" s="29">
        <v>32</v>
      </c>
      <c r="I1141" s="27" t="s">
        <v>21</v>
      </c>
      <c r="J1141" s="37">
        <v>45384</v>
      </c>
      <c r="K1141" s="27" t="s">
        <v>22</v>
      </c>
    </row>
    <row r="1142" spans="1:11" x14ac:dyDescent="0.2">
      <c r="A1142" s="24" t="s">
        <v>2981</v>
      </c>
      <c r="B1142" s="24" t="s">
        <v>2982</v>
      </c>
      <c r="C1142" s="24" t="s">
        <v>2983</v>
      </c>
      <c r="D1142" s="24" t="s">
        <v>17</v>
      </c>
      <c r="E1142" s="24" t="s">
        <v>163</v>
      </c>
      <c r="F1142" s="24" t="s">
        <v>164</v>
      </c>
      <c r="G1142" s="24" t="s">
        <v>20</v>
      </c>
      <c r="H1142" s="26">
        <v>8</v>
      </c>
      <c r="I1142" s="24" t="s">
        <v>21</v>
      </c>
      <c r="J1142" s="36">
        <v>45411</v>
      </c>
      <c r="K1142" s="24" t="s">
        <v>22</v>
      </c>
    </row>
    <row r="1143" spans="1:11" x14ac:dyDescent="0.2">
      <c r="A1143" s="27" t="s">
        <v>2984</v>
      </c>
      <c r="B1143" s="27" t="s">
        <v>2985</v>
      </c>
      <c r="C1143" s="27" t="s">
        <v>2129</v>
      </c>
      <c r="D1143" s="27" t="s">
        <v>17</v>
      </c>
      <c r="E1143" s="27" t="s">
        <v>26</v>
      </c>
      <c r="F1143" s="27" t="s">
        <v>27</v>
      </c>
      <c r="G1143" s="27" t="s">
        <v>28</v>
      </c>
      <c r="H1143" s="29">
        <v>500</v>
      </c>
      <c r="I1143" s="27" t="s">
        <v>29</v>
      </c>
      <c r="J1143" s="37">
        <v>45404</v>
      </c>
      <c r="K1143" s="27" t="s">
        <v>22</v>
      </c>
    </row>
    <row r="1144" spans="1:11" x14ac:dyDescent="0.2">
      <c r="A1144" s="24" t="s">
        <v>2986</v>
      </c>
      <c r="B1144" s="24" t="s">
        <v>2987</v>
      </c>
      <c r="C1144" s="24" t="s">
        <v>2988</v>
      </c>
      <c r="D1144" s="24" t="s">
        <v>17</v>
      </c>
      <c r="E1144" s="24" t="s">
        <v>26</v>
      </c>
      <c r="F1144" s="24" t="s">
        <v>27</v>
      </c>
      <c r="G1144" s="24" t="s">
        <v>28</v>
      </c>
      <c r="H1144" s="26">
        <v>342</v>
      </c>
      <c r="I1144" s="24" t="s">
        <v>29</v>
      </c>
      <c r="J1144" s="36">
        <v>45411</v>
      </c>
      <c r="K1144" s="24" t="s">
        <v>22</v>
      </c>
    </row>
    <row r="1145" spans="1:11" x14ac:dyDescent="0.2">
      <c r="A1145" s="27" t="s">
        <v>2989</v>
      </c>
      <c r="B1145" s="27" t="s">
        <v>2990</v>
      </c>
      <c r="C1145" s="27" t="s">
        <v>2991</v>
      </c>
      <c r="D1145" s="27" t="s">
        <v>17</v>
      </c>
      <c r="E1145" s="27" t="s">
        <v>18</v>
      </c>
      <c r="F1145" s="27" t="s">
        <v>19</v>
      </c>
      <c r="G1145" s="27" t="s">
        <v>59</v>
      </c>
      <c r="H1145" s="29">
        <v>13</v>
      </c>
      <c r="I1145" s="27" t="s">
        <v>21</v>
      </c>
      <c r="J1145" s="37">
        <v>45400</v>
      </c>
      <c r="K1145" s="27" t="s">
        <v>22</v>
      </c>
    </row>
    <row r="1146" spans="1:11" x14ac:dyDescent="0.2">
      <c r="A1146" s="24" t="s">
        <v>2992</v>
      </c>
      <c r="B1146" s="24" t="s">
        <v>2993</v>
      </c>
      <c r="C1146" s="24" t="s">
        <v>245</v>
      </c>
      <c r="D1146" s="24" t="s">
        <v>17</v>
      </c>
      <c r="E1146" s="24" t="s">
        <v>42</v>
      </c>
      <c r="F1146" s="24" t="s">
        <v>43</v>
      </c>
      <c r="G1146" s="24" t="s">
        <v>20</v>
      </c>
      <c r="H1146" s="26">
        <v>240</v>
      </c>
      <c r="I1146" s="24" t="s">
        <v>21</v>
      </c>
      <c r="J1146" s="36">
        <v>45400</v>
      </c>
      <c r="K1146" s="24" t="s">
        <v>22</v>
      </c>
    </row>
    <row r="1147" spans="1:11" x14ac:dyDescent="0.2">
      <c r="A1147" s="27" t="s">
        <v>2994</v>
      </c>
      <c r="B1147" s="27" t="s">
        <v>2995</v>
      </c>
      <c r="C1147" s="27" t="s">
        <v>2996</v>
      </c>
      <c r="D1147" s="27" t="s">
        <v>17</v>
      </c>
      <c r="E1147" s="27" t="s">
        <v>18</v>
      </c>
      <c r="F1147" s="27" t="s">
        <v>19</v>
      </c>
      <c r="G1147" s="27" t="s">
        <v>20</v>
      </c>
      <c r="H1147" s="29">
        <v>48</v>
      </c>
      <c r="I1147" s="27" t="s">
        <v>21</v>
      </c>
      <c r="J1147" s="37">
        <v>45383</v>
      </c>
      <c r="K1147" s="27" t="s">
        <v>22</v>
      </c>
    </row>
    <row r="1148" spans="1:11" x14ac:dyDescent="0.2">
      <c r="A1148" s="24" t="s">
        <v>2997</v>
      </c>
      <c r="B1148" s="24" t="s">
        <v>2998</v>
      </c>
      <c r="C1148" s="24" t="s">
        <v>2999</v>
      </c>
      <c r="D1148" s="24" t="s">
        <v>17</v>
      </c>
      <c r="E1148" s="24" t="s">
        <v>42</v>
      </c>
      <c r="F1148" s="24" t="s">
        <v>43</v>
      </c>
      <c r="G1148" s="24" t="s">
        <v>38</v>
      </c>
      <c r="H1148" s="26">
        <v>50</v>
      </c>
      <c r="I1148" s="24" t="s">
        <v>29</v>
      </c>
      <c r="J1148" s="36">
        <v>45383</v>
      </c>
      <c r="K1148" s="24" t="s">
        <v>22</v>
      </c>
    </row>
    <row r="1149" spans="1:11" x14ac:dyDescent="0.2">
      <c r="A1149" s="27" t="s">
        <v>3000</v>
      </c>
      <c r="B1149" s="27" t="s">
        <v>3001</v>
      </c>
      <c r="C1149" s="27" t="s">
        <v>3002</v>
      </c>
      <c r="D1149" s="27" t="s">
        <v>17</v>
      </c>
      <c r="E1149" s="27" t="s">
        <v>18</v>
      </c>
      <c r="F1149" s="27" t="s">
        <v>19</v>
      </c>
      <c r="G1149" s="27" t="s">
        <v>28</v>
      </c>
      <c r="H1149" s="29">
        <v>25</v>
      </c>
      <c r="I1149" s="27" t="s">
        <v>29</v>
      </c>
      <c r="J1149" s="37">
        <v>45394</v>
      </c>
      <c r="K1149" s="27" t="s">
        <v>22</v>
      </c>
    </row>
    <row r="1150" spans="1:11" x14ac:dyDescent="0.2">
      <c r="A1150" s="24" t="s">
        <v>3003</v>
      </c>
      <c r="B1150" s="24" t="s">
        <v>3004</v>
      </c>
      <c r="C1150" s="24" t="s">
        <v>3005</v>
      </c>
      <c r="D1150" s="24" t="s">
        <v>17</v>
      </c>
      <c r="E1150" s="24" t="s">
        <v>18</v>
      </c>
      <c r="F1150" s="24" t="s">
        <v>19</v>
      </c>
      <c r="G1150" s="24" t="s">
        <v>20</v>
      </c>
      <c r="H1150" s="26">
        <v>82</v>
      </c>
      <c r="I1150" s="24" t="s">
        <v>21</v>
      </c>
      <c r="J1150" s="36">
        <v>45394</v>
      </c>
      <c r="K1150" s="24" t="s">
        <v>22</v>
      </c>
    </row>
    <row r="1151" spans="1:11" x14ac:dyDescent="0.2">
      <c r="A1151" s="27" t="s">
        <v>3006</v>
      </c>
      <c r="B1151" s="27" t="s">
        <v>3007</v>
      </c>
      <c r="C1151" s="27" t="s">
        <v>3008</v>
      </c>
      <c r="D1151" s="27" t="s">
        <v>17</v>
      </c>
      <c r="E1151" s="27" t="s">
        <v>18</v>
      </c>
      <c r="F1151" s="27" t="s">
        <v>19</v>
      </c>
      <c r="G1151" s="27" t="s">
        <v>59</v>
      </c>
      <c r="H1151" s="29">
        <v>16</v>
      </c>
      <c r="I1151" s="27" t="s">
        <v>21</v>
      </c>
      <c r="J1151" s="37">
        <v>45403</v>
      </c>
      <c r="K1151" s="27" t="s">
        <v>22</v>
      </c>
    </row>
    <row r="1152" spans="1:11" x14ac:dyDescent="0.2">
      <c r="A1152" s="24" t="s">
        <v>3009</v>
      </c>
      <c r="B1152" s="24" t="s">
        <v>3010</v>
      </c>
      <c r="C1152" s="24" t="s">
        <v>526</v>
      </c>
      <c r="D1152" s="24" t="s">
        <v>17</v>
      </c>
      <c r="E1152" s="24" t="s">
        <v>42</v>
      </c>
      <c r="F1152" s="24" t="s">
        <v>43</v>
      </c>
      <c r="G1152" s="24" t="s">
        <v>20</v>
      </c>
      <c r="H1152" s="26">
        <v>537</v>
      </c>
      <c r="I1152" s="24" t="s">
        <v>21</v>
      </c>
      <c r="J1152" s="36">
        <v>45392</v>
      </c>
      <c r="K1152" s="24" t="s">
        <v>22</v>
      </c>
    </row>
    <row r="1153" spans="1:11" x14ac:dyDescent="0.2">
      <c r="A1153" s="27" t="s">
        <v>3011</v>
      </c>
      <c r="B1153" s="27" t="s">
        <v>3012</v>
      </c>
      <c r="C1153" s="27" t="s">
        <v>55</v>
      </c>
      <c r="D1153" s="27" t="s">
        <v>17</v>
      </c>
      <c r="E1153" s="27" t="s">
        <v>18</v>
      </c>
      <c r="F1153" s="27" t="s">
        <v>19</v>
      </c>
      <c r="G1153" s="27" t="s">
        <v>20</v>
      </c>
      <c r="H1153" s="29">
        <v>34</v>
      </c>
      <c r="I1153" s="27" t="s">
        <v>21</v>
      </c>
      <c r="J1153" s="37">
        <v>45390</v>
      </c>
      <c r="K1153" s="27" t="s">
        <v>22</v>
      </c>
    </row>
    <row r="1154" spans="1:11" x14ac:dyDescent="0.2">
      <c r="A1154" s="24" t="s">
        <v>3013</v>
      </c>
      <c r="B1154" s="24" t="s">
        <v>3014</v>
      </c>
      <c r="C1154" s="24" t="s">
        <v>1047</v>
      </c>
      <c r="D1154" s="24" t="s">
        <v>17</v>
      </c>
      <c r="E1154" s="24" t="s">
        <v>48</v>
      </c>
      <c r="F1154" s="24" t="s">
        <v>49</v>
      </c>
      <c r="G1154" s="24" t="s">
        <v>44</v>
      </c>
      <c r="H1154" s="26">
        <v>874</v>
      </c>
      <c r="I1154" s="24" t="s">
        <v>21</v>
      </c>
      <c r="J1154" s="36">
        <v>45383</v>
      </c>
      <c r="K1154" s="24" t="s">
        <v>22</v>
      </c>
    </row>
    <row r="1155" spans="1:11" x14ac:dyDescent="0.2">
      <c r="A1155" s="27" t="s">
        <v>3015</v>
      </c>
      <c r="B1155" s="27" t="s">
        <v>3016</v>
      </c>
      <c r="C1155" s="27" t="s">
        <v>3017</v>
      </c>
      <c r="D1155" s="27" t="s">
        <v>17</v>
      </c>
      <c r="E1155" s="27" t="s">
        <v>18</v>
      </c>
      <c r="F1155" s="27" t="s">
        <v>19</v>
      </c>
      <c r="G1155" s="27" t="s">
        <v>28</v>
      </c>
      <c r="H1155" s="29">
        <v>85</v>
      </c>
      <c r="I1155" s="27" t="s">
        <v>29</v>
      </c>
      <c r="J1155" s="37">
        <v>45412</v>
      </c>
      <c r="K1155" s="27" t="s">
        <v>22</v>
      </c>
    </row>
    <row r="1156" spans="1:11" x14ac:dyDescent="0.2">
      <c r="A1156" s="24" t="s">
        <v>3018</v>
      </c>
      <c r="B1156" s="24" t="s">
        <v>3019</v>
      </c>
      <c r="C1156" s="24" t="s">
        <v>3020</v>
      </c>
      <c r="D1156" s="24" t="s">
        <v>17</v>
      </c>
      <c r="E1156" s="24" t="s">
        <v>48</v>
      </c>
      <c r="F1156" s="24" t="s">
        <v>49</v>
      </c>
      <c r="G1156" s="24" t="s">
        <v>28</v>
      </c>
      <c r="H1156" s="26">
        <v>216</v>
      </c>
      <c r="I1156" s="24" t="s">
        <v>29</v>
      </c>
      <c r="J1156" s="36">
        <v>45384</v>
      </c>
      <c r="K1156" s="24" t="s">
        <v>22</v>
      </c>
    </row>
    <row r="1157" spans="1:11" x14ac:dyDescent="0.2">
      <c r="A1157" s="27" t="s">
        <v>3021</v>
      </c>
      <c r="B1157" s="27" t="s">
        <v>3022</v>
      </c>
      <c r="C1157" s="27" t="s">
        <v>2532</v>
      </c>
      <c r="D1157" s="27" t="s">
        <v>17</v>
      </c>
      <c r="E1157" s="27" t="s">
        <v>18</v>
      </c>
      <c r="F1157" s="27" t="s">
        <v>19</v>
      </c>
      <c r="G1157" s="27" t="s">
        <v>44</v>
      </c>
      <c r="H1157" s="29">
        <v>7</v>
      </c>
      <c r="I1157" s="27" t="s">
        <v>29</v>
      </c>
      <c r="J1157" s="37">
        <v>45411</v>
      </c>
      <c r="K1157" s="27" t="s">
        <v>22</v>
      </c>
    </row>
    <row r="1158" spans="1:11" x14ac:dyDescent="0.2">
      <c r="A1158" s="24" t="s">
        <v>3023</v>
      </c>
      <c r="B1158" s="24" t="s">
        <v>3024</v>
      </c>
      <c r="C1158" s="24" t="s">
        <v>2806</v>
      </c>
      <c r="D1158" s="24" t="s">
        <v>17</v>
      </c>
      <c r="E1158" s="24" t="s">
        <v>42</v>
      </c>
      <c r="F1158" s="24" t="s">
        <v>43</v>
      </c>
      <c r="G1158" s="24" t="s">
        <v>28</v>
      </c>
      <c r="H1158" s="26">
        <v>439</v>
      </c>
      <c r="I1158" s="24" t="s">
        <v>29</v>
      </c>
      <c r="J1158" s="36">
        <v>45383</v>
      </c>
      <c r="K1158" s="24" t="s">
        <v>22</v>
      </c>
    </row>
    <row r="1159" spans="1:11" x14ac:dyDescent="0.2">
      <c r="A1159" s="27" t="s">
        <v>3025</v>
      </c>
      <c r="B1159" s="27" t="s">
        <v>3026</v>
      </c>
      <c r="C1159" s="27" t="s">
        <v>1283</v>
      </c>
      <c r="D1159" s="27" t="s">
        <v>17</v>
      </c>
      <c r="E1159" s="27" t="s">
        <v>18</v>
      </c>
      <c r="F1159" s="27" t="s">
        <v>19</v>
      </c>
      <c r="G1159" s="27" t="s">
        <v>217</v>
      </c>
      <c r="H1159" s="29">
        <v>76</v>
      </c>
      <c r="I1159" s="27" t="s">
        <v>29</v>
      </c>
      <c r="J1159" s="37">
        <v>45383</v>
      </c>
      <c r="K1159" s="27" t="s">
        <v>22</v>
      </c>
    </row>
    <row r="1160" spans="1:11" x14ac:dyDescent="0.2">
      <c r="A1160" s="24" t="s">
        <v>3027</v>
      </c>
      <c r="B1160" s="24" t="s">
        <v>3028</v>
      </c>
      <c r="C1160" s="24" t="s">
        <v>68</v>
      </c>
      <c r="D1160" s="24" t="s">
        <v>17</v>
      </c>
      <c r="E1160" s="24" t="s">
        <v>42</v>
      </c>
      <c r="F1160" s="24" t="s">
        <v>43</v>
      </c>
      <c r="G1160" s="24" t="s">
        <v>20</v>
      </c>
      <c r="H1160" s="26">
        <v>401</v>
      </c>
      <c r="I1160" s="24" t="s">
        <v>21</v>
      </c>
      <c r="J1160" s="36">
        <v>45412</v>
      </c>
      <c r="K1160" s="24" t="s">
        <v>22</v>
      </c>
    </row>
    <row r="1161" spans="1:11" x14ac:dyDescent="0.2">
      <c r="A1161" s="27" t="s">
        <v>3029</v>
      </c>
      <c r="B1161" s="27" t="s">
        <v>3030</v>
      </c>
      <c r="C1161" s="27" t="s">
        <v>592</v>
      </c>
      <c r="D1161" s="27" t="s">
        <v>17</v>
      </c>
      <c r="E1161" s="27" t="s">
        <v>48</v>
      </c>
      <c r="F1161" s="27" t="s">
        <v>49</v>
      </c>
      <c r="G1161" s="27" t="s">
        <v>28</v>
      </c>
      <c r="H1161" s="29">
        <v>79</v>
      </c>
      <c r="I1161" s="27" t="s">
        <v>29</v>
      </c>
      <c r="J1161" s="37">
        <v>45411</v>
      </c>
      <c r="K1161" s="27" t="s">
        <v>22</v>
      </c>
    </row>
    <row r="1162" spans="1:11" x14ac:dyDescent="0.2">
      <c r="A1162" s="24" t="s">
        <v>3031</v>
      </c>
      <c r="B1162" s="24" t="s">
        <v>3032</v>
      </c>
      <c r="C1162" s="24" t="s">
        <v>1093</v>
      </c>
      <c r="D1162" s="24" t="s">
        <v>17</v>
      </c>
      <c r="E1162" s="24" t="s">
        <v>81</v>
      </c>
      <c r="F1162" s="24" t="s">
        <v>82</v>
      </c>
      <c r="G1162" s="24" t="s">
        <v>20</v>
      </c>
      <c r="H1162" s="26">
        <v>80</v>
      </c>
      <c r="I1162" s="24" t="s">
        <v>21</v>
      </c>
      <c r="J1162" s="36">
        <v>45406</v>
      </c>
      <c r="K1162" s="24" t="s">
        <v>22</v>
      </c>
    </row>
    <row r="1163" spans="1:11" x14ac:dyDescent="0.2">
      <c r="A1163" s="27" t="s">
        <v>3033</v>
      </c>
      <c r="B1163" s="27" t="s">
        <v>3034</v>
      </c>
      <c r="C1163" s="27" t="s">
        <v>3035</v>
      </c>
      <c r="D1163" s="27" t="s">
        <v>17</v>
      </c>
      <c r="E1163" s="27" t="s">
        <v>18</v>
      </c>
      <c r="F1163" s="27" t="s">
        <v>19</v>
      </c>
      <c r="G1163" s="27" t="s">
        <v>20</v>
      </c>
      <c r="H1163" s="29">
        <v>28</v>
      </c>
      <c r="I1163" s="27" t="s">
        <v>21</v>
      </c>
      <c r="J1163" s="37">
        <v>45406</v>
      </c>
      <c r="K1163" s="27" t="s">
        <v>22</v>
      </c>
    </row>
    <row r="1164" spans="1:11" x14ac:dyDescent="0.2">
      <c r="A1164" s="24" t="s">
        <v>3036</v>
      </c>
      <c r="B1164" s="24" t="s">
        <v>3037</v>
      </c>
      <c r="C1164" s="24" t="s">
        <v>3038</v>
      </c>
      <c r="D1164" s="24" t="s">
        <v>17</v>
      </c>
      <c r="E1164" s="24" t="s">
        <v>18</v>
      </c>
      <c r="F1164" s="24" t="s">
        <v>19</v>
      </c>
      <c r="G1164" s="24" t="s">
        <v>20</v>
      </c>
      <c r="H1164" s="26">
        <v>21</v>
      </c>
      <c r="I1164" s="24" t="s">
        <v>21</v>
      </c>
      <c r="J1164" s="36">
        <v>45401</v>
      </c>
      <c r="K1164" s="24" t="s">
        <v>22</v>
      </c>
    </row>
    <row r="1165" spans="1:11" x14ac:dyDescent="0.2">
      <c r="A1165" s="27" t="s">
        <v>3039</v>
      </c>
      <c r="B1165" s="27" t="s">
        <v>3040</v>
      </c>
      <c r="C1165" s="27" t="s">
        <v>97</v>
      </c>
      <c r="D1165" s="27" t="s">
        <v>17</v>
      </c>
      <c r="E1165" s="27" t="s">
        <v>18</v>
      </c>
      <c r="F1165" s="27" t="s">
        <v>19</v>
      </c>
      <c r="G1165" s="27" t="s">
        <v>20</v>
      </c>
      <c r="H1165" s="29">
        <v>46</v>
      </c>
      <c r="I1165" s="27" t="s">
        <v>21</v>
      </c>
      <c r="J1165" s="37">
        <v>45390</v>
      </c>
      <c r="K1165" s="27" t="s">
        <v>22</v>
      </c>
    </row>
    <row r="1166" spans="1:11" x14ac:dyDescent="0.2">
      <c r="A1166" s="24" t="s">
        <v>3041</v>
      </c>
      <c r="B1166" s="24" t="s">
        <v>3042</v>
      </c>
      <c r="C1166" s="24" t="s">
        <v>3043</v>
      </c>
      <c r="D1166" s="24" t="s">
        <v>17</v>
      </c>
      <c r="E1166" s="24" t="s">
        <v>48</v>
      </c>
      <c r="F1166" s="24" t="s">
        <v>49</v>
      </c>
      <c r="G1166" s="24" t="s">
        <v>20</v>
      </c>
      <c r="H1166" s="26">
        <v>27</v>
      </c>
      <c r="I1166" s="24" t="s">
        <v>21</v>
      </c>
      <c r="J1166" s="36">
        <v>45390</v>
      </c>
      <c r="K1166" s="24" t="s">
        <v>22</v>
      </c>
    </row>
    <row r="1167" spans="1:11" x14ac:dyDescent="0.2">
      <c r="A1167" s="27" t="s">
        <v>3044</v>
      </c>
      <c r="B1167" s="27" t="s">
        <v>3045</v>
      </c>
      <c r="C1167" s="27" t="s">
        <v>1518</v>
      </c>
      <c r="D1167" s="27" t="s">
        <v>17</v>
      </c>
      <c r="E1167" s="27" t="s">
        <v>48</v>
      </c>
      <c r="F1167" s="27" t="s">
        <v>49</v>
      </c>
      <c r="G1167" s="27" t="s">
        <v>28</v>
      </c>
      <c r="H1167" s="29">
        <v>180</v>
      </c>
      <c r="I1167" s="27" t="s">
        <v>29</v>
      </c>
      <c r="J1167" s="37">
        <v>45405</v>
      </c>
      <c r="K1167" s="27" t="s">
        <v>22</v>
      </c>
    </row>
    <row r="1168" spans="1:11" x14ac:dyDescent="0.2">
      <c r="A1168" s="24" t="s">
        <v>3046</v>
      </c>
      <c r="B1168" s="24" t="s">
        <v>3047</v>
      </c>
      <c r="C1168" s="24" t="s">
        <v>3048</v>
      </c>
      <c r="D1168" s="24" t="s">
        <v>17</v>
      </c>
      <c r="E1168" s="24" t="s">
        <v>42</v>
      </c>
      <c r="F1168" s="24" t="s">
        <v>43</v>
      </c>
      <c r="G1168" s="24" t="s">
        <v>28</v>
      </c>
      <c r="H1168" s="26">
        <v>316</v>
      </c>
      <c r="I1168" s="24" t="s">
        <v>29</v>
      </c>
      <c r="J1168" s="36">
        <v>45408</v>
      </c>
      <c r="K1168" s="24" t="s">
        <v>22</v>
      </c>
    </row>
    <row r="1169" spans="1:11" x14ac:dyDescent="0.2">
      <c r="A1169" s="27" t="s">
        <v>3049</v>
      </c>
      <c r="B1169" s="27" t="s">
        <v>3050</v>
      </c>
      <c r="C1169" s="27" t="s">
        <v>3051</v>
      </c>
      <c r="D1169" s="27" t="s">
        <v>17</v>
      </c>
      <c r="E1169" s="27" t="s">
        <v>33</v>
      </c>
      <c r="F1169" s="27" t="s">
        <v>34</v>
      </c>
      <c r="G1169" s="27" t="s">
        <v>28</v>
      </c>
      <c r="H1169" s="29">
        <v>166</v>
      </c>
      <c r="I1169" s="27" t="s">
        <v>29</v>
      </c>
      <c r="J1169" s="37">
        <v>45397</v>
      </c>
      <c r="K1169" s="27" t="s">
        <v>22</v>
      </c>
    </row>
    <row r="1170" spans="1:11" x14ac:dyDescent="0.2">
      <c r="A1170" s="24" t="s">
        <v>3052</v>
      </c>
      <c r="B1170" s="24" t="s">
        <v>3053</v>
      </c>
      <c r="C1170" s="24" t="s">
        <v>3054</v>
      </c>
      <c r="D1170" s="24" t="s">
        <v>17</v>
      </c>
      <c r="E1170" s="24" t="s">
        <v>48</v>
      </c>
      <c r="F1170" s="24" t="s">
        <v>49</v>
      </c>
      <c r="G1170" s="24" t="s">
        <v>227</v>
      </c>
      <c r="H1170" s="26">
        <v>240</v>
      </c>
      <c r="I1170" s="24" t="s">
        <v>29</v>
      </c>
      <c r="J1170" s="36">
        <v>45407</v>
      </c>
      <c r="K1170" s="24" t="s">
        <v>22</v>
      </c>
    </row>
    <row r="1171" spans="1:11" x14ac:dyDescent="0.2">
      <c r="A1171" s="27" t="s">
        <v>3055</v>
      </c>
      <c r="B1171" s="27" t="s">
        <v>3056</v>
      </c>
      <c r="C1171" s="27" t="s">
        <v>3057</v>
      </c>
      <c r="D1171" s="27" t="s">
        <v>17</v>
      </c>
      <c r="E1171" s="27" t="s">
        <v>18</v>
      </c>
      <c r="F1171" s="27" t="s">
        <v>19</v>
      </c>
      <c r="G1171" s="27" t="s">
        <v>28</v>
      </c>
      <c r="H1171" s="29">
        <v>160</v>
      </c>
      <c r="I1171" s="27" t="s">
        <v>29</v>
      </c>
      <c r="J1171" s="37">
        <v>45384</v>
      </c>
      <c r="K1171" s="27" t="s">
        <v>22</v>
      </c>
    </row>
    <row r="1172" spans="1:11" x14ac:dyDescent="0.2">
      <c r="A1172" s="24" t="s">
        <v>3058</v>
      </c>
      <c r="B1172" s="24" t="s">
        <v>3059</v>
      </c>
      <c r="C1172" s="24" t="s">
        <v>1839</v>
      </c>
      <c r="D1172" s="24" t="s">
        <v>17</v>
      </c>
      <c r="E1172" s="24" t="s">
        <v>48</v>
      </c>
      <c r="F1172" s="24" t="s">
        <v>49</v>
      </c>
      <c r="G1172" s="24" t="s">
        <v>44</v>
      </c>
      <c r="H1172" s="26">
        <v>100</v>
      </c>
      <c r="I1172" s="24" t="s">
        <v>29</v>
      </c>
      <c r="J1172" s="36">
        <v>45393</v>
      </c>
      <c r="K1172" s="24" t="s">
        <v>22</v>
      </c>
    </row>
    <row r="1173" spans="1:11" x14ac:dyDescent="0.2">
      <c r="A1173" s="27" t="s">
        <v>3060</v>
      </c>
      <c r="B1173" s="27" t="s">
        <v>3061</v>
      </c>
      <c r="C1173" s="27" t="s">
        <v>429</v>
      </c>
      <c r="D1173" s="27" t="s">
        <v>17</v>
      </c>
      <c r="E1173" s="27" t="s">
        <v>48</v>
      </c>
      <c r="F1173" s="27" t="s">
        <v>49</v>
      </c>
      <c r="G1173" s="27" t="s">
        <v>28</v>
      </c>
      <c r="H1173" s="29">
        <v>178</v>
      </c>
      <c r="I1173" s="27" t="s">
        <v>29</v>
      </c>
      <c r="J1173" s="37">
        <v>45390</v>
      </c>
      <c r="K1173" s="27" t="s">
        <v>22</v>
      </c>
    </row>
    <row r="1174" spans="1:11" x14ac:dyDescent="0.2">
      <c r="A1174" s="24" t="s">
        <v>3062</v>
      </c>
      <c r="B1174" s="24" t="s">
        <v>3063</v>
      </c>
      <c r="C1174" s="24" t="s">
        <v>97</v>
      </c>
      <c r="D1174" s="24" t="s">
        <v>17</v>
      </c>
      <c r="E1174" s="24" t="s">
        <v>18</v>
      </c>
      <c r="F1174" s="24" t="s">
        <v>19</v>
      </c>
      <c r="G1174" s="24" t="s">
        <v>20</v>
      </c>
      <c r="H1174" s="26">
        <v>42</v>
      </c>
      <c r="I1174" s="24" t="s">
        <v>21</v>
      </c>
      <c r="J1174" s="36">
        <v>45411</v>
      </c>
      <c r="K1174" s="24" t="s">
        <v>22</v>
      </c>
    </row>
    <row r="1175" spans="1:11" x14ac:dyDescent="0.2">
      <c r="A1175" s="27" t="s">
        <v>3064</v>
      </c>
      <c r="B1175" s="27" t="s">
        <v>3065</v>
      </c>
      <c r="C1175" s="27" t="s">
        <v>3066</v>
      </c>
      <c r="D1175" s="27" t="s">
        <v>17</v>
      </c>
      <c r="E1175" s="27" t="s">
        <v>18</v>
      </c>
      <c r="F1175" s="27" t="s">
        <v>19</v>
      </c>
      <c r="G1175" s="27" t="s">
        <v>28</v>
      </c>
      <c r="H1175" s="29">
        <v>112</v>
      </c>
      <c r="I1175" s="27" t="s">
        <v>29</v>
      </c>
      <c r="J1175" s="37">
        <v>45392</v>
      </c>
      <c r="K1175" s="27" t="s">
        <v>22</v>
      </c>
    </row>
    <row r="1176" spans="1:11" x14ac:dyDescent="0.2">
      <c r="A1176" s="24" t="s">
        <v>3067</v>
      </c>
      <c r="B1176" s="24" t="s">
        <v>3068</v>
      </c>
      <c r="C1176" s="24" t="s">
        <v>1257</v>
      </c>
      <c r="D1176" s="24" t="s">
        <v>17</v>
      </c>
      <c r="E1176" s="24" t="s">
        <v>18</v>
      </c>
      <c r="F1176" s="24" t="s">
        <v>19</v>
      </c>
      <c r="G1176" s="24" t="s">
        <v>44</v>
      </c>
      <c r="H1176" s="26">
        <v>175</v>
      </c>
      <c r="I1176" s="24" t="s">
        <v>29</v>
      </c>
      <c r="J1176" s="36">
        <v>45398</v>
      </c>
      <c r="K1176" s="24" t="s">
        <v>22</v>
      </c>
    </row>
    <row r="1177" spans="1:11" x14ac:dyDescent="0.2">
      <c r="A1177" s="27" t="s">
        <v>3069</v>
      </c>
      <c r="B1177" s="27" t="s">
        <v>3070</v>
      </c>
      <c r="C1177" s="27" t="s">
        <v>3071</v>
      </c>
      <c r="D1177" s="27" t="s">
        <v>17</v>
      </c>
      <c r="E1177" s="27" t="s">
        <v>18</v>
      </c>
      <c r="F1177" s="27" t="s">
        <v>19</v>
      </c>
      <c r="G1177" s="27" t="s">
        <v>28</v>
      </c>
      <c r="H1177" s="29">
        <v>282</v>
      </c>
      <c r="I1177" s="27" t="s">
        <v>29</v>
      </c>
      <c r="J1177" s="37">
        <v>45386</v>
      </c>
      <c r="K1177" s="27" t="s">
        <v>22</v>
      </c>
    </row>
    <row r="1178" spans="1:11" x14ac:dyDescent="0.2">
      <c r="A1178" s="24" t="s">
        <v>3072</v>
      </c>
      <c r="B1178" s="24" t="s">
        <v>3073</v>
      </c>
      <c r="C1178" s="24" t="s">
        <v>251</v>
      </c>
      <c r="D1178" s="24" t="s">
        <v>17</v>
      </c>
      <c r="E1178" s="24" t="s">
        <v>48</v>
      </c>
      <c r="F1178" s="24" t="s">
        <v>49</v>
      </c>
      <c r="G1178" s="24" t="s">
        <v>28</v>
      </c>
      <c r="H1178" s="26">
        <v>20</v>
      </c>
      <c r="I1178" s="24" t="s">
        <v>29</v>
      </c>
      <c r="J1178" s="36">
        <v>45386</v>
      </c>
      <c r="K1178" s="24" t="s">
        <v>22</v>
      </c>
    </row>
    <row r="1179" spans="1:11" x14ac:dyDescent="0.2">
      <c r="A1179" s="27" t="s">
        <v>3074</v>
      </c>
      <c r="B1179" s="27" t="s">
        <v>3075</v>
      </c>
      <c r="C1179" s="27" t="s">
        <v>3076</v>
      </c>
      <c r="D1179" s="27" t="s">
        <v>17</v>
      </c>
      <c r="E1179" s="27" t="s">
        <v>26</v>
      </c>
      <c r="F1179" s="27" t="s">
        <v>27</v>
      </c>
      <c r="G1179" s="27" t="s">
        <v>28</v>
      </c>
      <c r="H1179" s="29">
        <v>348</v>
      </c>
      <c r="I1179" s="27" t="s">
        <v>29</v>
      </c>
      <c r="J1179" s="37">
        <v>45383</v>
      </c>
      <c r="K1179" s="27" t="s">
        <v>22</v>
      </c>
    </row>
    <row r="1180" spans="1:11" x14ac:dyDescent="0.2">
      <c r="A1180" s="24" t="s">
        <v>3077</v>
      </c>
      <c r="B1180" s="24" t="s">
        <v>3078</v>
      </c>
      <c r="C1180" s="24" t="s">
        <v>1110</v>
      </c>
      <c r="D1180" s="24" t="s">
        <v>17</v>
      </c>
      <c r="E1180" s="24" t="s">
        <v>48</v>
      </c>
      <c r="F1180" s="24" t="s">
        <v>49</v>
      </c>
      <c r="G1180" s="24" t="s">
        <v>28</v>
      </c>
      <c r="H1180" s="26">
        <v>10</v>
      </c>
      <c r="I1180" s="24" t="s">
        <v>29</v>
      </c>
      <c r="J1180" s="36">
        <v>45408</v>
      </c>
      <c r="K1180" s="24" t="s">
        <v>22</v>
      </c>
    </row>
    <row r="1181" spans="1:11" x14ac:dyDescent="0.2">
      <c r="A1181" s="27" t="s">
        <v>3079</v>
      </c>
      <c r="B1181" s="27" t="s">
        <v>3080</v>
      </c>
      <c r="C1181" s="27" t="s">
        <v>106</v>
      </c>
      <c r="D1181" s="27" t="s">
        <v>17</v>
      </c>
      <c r="E1181" s="27" t="s">
        <v>42</v>
      </c>
      <c r="F1181" s="27" t="s">
        <v>43</v>
      </c>
      <c r="G1181" s="27" t="s">
        <v>20</v>
      </c>
      <c r="H1181" s="29">
        <v>218</v>
      </c>
      <c r="I1181" s="27" t="s">
        <v>21</v>
      </c>
      <c r="J1181" s="37">
        <v>45384</v>
      </c>
      <c r="K1181" s="27" t="s">
        <v>22</v>
      </c>
    </row>
    <row r="1182" spans="1:11" x14ac:dyDescent="0.2">
      <c r="A1182" s="24" t="s">
        <v>3081</v>
      </c>
      <c r="B1182" s="24" t="s">
        <v>3082</v>
      </c>
      <c r="C1182" s="24" t="s">
        <v>3083</v>
      </c>
      <c r="D1182" s="24" t="s">
        <v>17</v>
      </c>
      <c r="E1182" s="24" t="s">
        <v>18</v>
      </c>
      <c r="F1182" s="24" t="s">
        <v>19</v>
      </c>
      <c r="G1182" s="24" t="s">
        <v>44</v>
      </c>
      <c r="H1182" s="26">
        <v>51</v>
      </c>
      <c r="I1182" s="24" t="s">
        <v>29</v>
      </c>
      <c r="J1182" s="36">
        <v>45385</v>
      </c>
      <c r="K1182" s="24" t="s">
        <v>22</v>
      </c>
    </row>
    <row r="1183" spans="1:11" x14ac:dyDescent="0.2">
      <c r="A1183" s="27" t="s">
        <v>3084</v>
      </c>
      <c r="B1183" s="27" t="s">
        <v>3085</v>
      </c>
      <c r="C1183" s="27" t="s">
        <v>3086</v>
      </c>
      <c r="D1183" s="27" t="s">
        <v>17</v>
      </c>
      <c r="E1183" s="27" t="s">
        <v>18</v>
      </c>
      <c r="F1183" s="27" t="s">
        <v>19</v>
      </c>
      <c r="G1183" s="27" t="s">
        <v>28</v>
      </c>
      <c r="H1183" s="29">
        <v>240</v>
      </c>
      <c r="I1183" s="27" t="s">
        <v>29</v>
      </c>
      <c r="J1183" s="37">
        <v>45383</v>
      </c>
      <c r="K1183" s="27" t="s">
        <v>22</v>
      </c>
    </row>
    <row r="1184" spans="1:11" x14ac:dyDescent="0.2">
      <c r="A1184" s="24" t="s">
        <v>3087</v>
      </c>
      <c r="B1184" s="24" t="s">
        <v>3088</v>
      </c>
      <c r="C1184" s="24" t="s">
        <v>3089</v>
      </c>
      <c r="D1184" s="24" t="s">
        <v>17</v>
      </c>
      <c r="E1184" s="24" t="s">
        <v>18</v>
      </c>
      <c r="F1184" s="24" t="s">
        <v>19</v>
      </c>
      <c r="G1184" s="24" t="s">
        <v>20</v>
      </c>
      <c r="H1184" s="26">
        <v>2</v>
      </c>
      <c r="I1184" s="24" t="s">
        <v>21</v>
      </c>
      <c r="J1184" s="36">
        <v>45399</v>
      </c>
      <c r="K1184" s="24" t="s">
        <v>22</v>
      </c>
    </row>
    <row r="1185" spans="1:11" x14ac:dyDescent="0.2">
      <c r="A1185" s="27" t="s">
        <v>3090</v>
      </c>
      <c r="B1185" s="27" t="s">
        <v>3091</v>
      </c>
      <c r="C1185" s="27" t="s">
        <v>106</v>
      </c>
      <c r="D1185" s="27" t="s">
        <v>17</v>
      </c>
      <c r="E1185" s="27" t="s">
        <v>18</v>
      </c>
      <c r="F1185" s="27" t="s">
        <v>19</v>
      </c>
      <c r="G1185" s="27" t="s">
        <v>20</v>
      </c>
      <c r="H1185" s="29">
        <v>36</v>
      </c>
      <c r="I1185" s="27" t="s">
        <v>21</v>
      </c>
      <c r="J1185" s="37">
        <v>45401</v>
      </c>
      <c r="K1185" s="27" t="s">
        <v>22</v>
      </c>
    </row>
    <row r="1186" spans="1:11" x14ac:dyDescent="0.2">
      <c r="A1186" s="24" t="s">
        <v>3092</v>
      </c>
      <c r="B1186" s="24" t="s">
        <v>3093</v>
      </c>
      <c r="C1186" s="24" t="s">
        <v>260</v>
      </c>
      <c r="D1186" s="24" t="s">
        <v>17</v>
      </c>
      <c r="E1186" s="24" t="s">
        <v>48</v>
      </c>
      <c r="F1186" s="24" t="s">
        <v>49</v>
      </c>
      <c r="G1186" s="24" t="s">
        <v>20</v>
      </c>
      <c r="H1186" s="26">
        <v>4541</v>
      </c>
      <c r="I1186" s="24" t="s">
        <v>21</v>
      </c>
      <c r="J1186" s="36">
        <v>45384</v>
      </c>
      <c r="K1186" s="24" t="s">
        <v>22</v>
      </c>
    </row>
    <row r="1187" spans="1:11" x14ac:dyDescent="0.2">
      <c r="A1187" s="27" t="s">
        <v>3094</v>
      </c>
      <c r="B1187" s="27" t="s">
        <v>3095</v>
      </c>
      <c r="C1187" s="27" t="s">
        <v>921</v>
      </c>
      <c r="D1187" s="27" t="s">
        <v>17</v>
      </c>
      <c r="E1187" s="27" t="s">
        <v>42</v>
      </c>
      <c r="F1187" s="27" t="s">
        <v>43</v>
      </c>
      <c r="G1187" s="27" t="s">
        <v>217</v>
      </c>
      <c r="H1187" s="29">
        <v>60</v>
      </c>
      <c r="I1187" s="27" t="s">
        <v>29</v>
      </c>
      <c r="J1187" s="37">
        <v>45383</v>
      </c>
      <c r="K1187" s="27" t="s">
        <v>22</v>
      </c>
    </row>
    <row r="1188" spans="1:11" x14ac:dyDescent="0.2">
      <c r="A1188" s="24" t="s">
        <v>3096</v>
      </c>
      <c r="B1188" s="24" t="s">
        <v>3097</v>
      </c>
      <c r="C1188" s="24" t="s">
        <v>2246</v>
      </c>
      <c r="D1188" s="24" t="s">
        <v>17</v>
      </c>
      <c r="E1188" s="24" t="s">
        <v>26</v>
      </c>
      <c r="F1188" s="24" t="s">
        <v>27</v>
      </c>
      <c r="G1188" s="24" t="s">
        <v>44</v>
      </c>
      <c r="H1188" s="26">
        <v>112</v>
      </c>
      <c r="I1188" s="24" t="s">
        <v>29</v>
      </c>
      <c r="J1188" s="36">
        <v>45394</v>
      </c>
      <c r="K1188" s="24" t="s">
        <v>22</v>
      </c>
    </row>
    <row r="1189" spans="1:11" x14ac:dyDescent="0.2">
      <c r="A1189" s="27" t="s">
        <v>3098</v>
      </c>
      <c r="B1189" s="27" t="s">
        <v>282</v>
      </c>
      <c r="C1189" s="27" t="s">
        <v>1918</v>
      </c>
      <c r="D1189" s="27" t="s">
        <v>17</v>
      </c>
      <c r="E1189" s="27" t="s">
        <v>18</v>
      </c>
      <c r="F1189" s="27" t="s">
        <v>19</v>
      </c>
      <c r="G1189" s="27" t="s">
        <v>38</v>
      </c>
      <c r="H1189" s="29">
        <v>48</v>
      </c>
      <c r="I1189" s="27" t="s">
        <v>29</v>
      </c>
      <c r="J1189" s="37">
        <v>45383</v>
      </c>
      <c r="K1189" s="27" t="s">
        <v>22</v>
      </c>
    </row>
    <row r="1190" spans="1:11" x14ac:dyDescent="0.2">
      <c r="A1190" s="24" t="s">
        <v>3099</v>
      </c>
      <c r="B1190" s="24" t="s">
        <v>3100</v>
      </c>
      <c r="C1190" s="24" t="s">
        <v>984</v>
      </c>
      <c r="D1190" s="24" t="s">
        <v>17</v>
      </c>
      <c r="E1190" s="24" t="s">
        <v>42</v>
      </c>
      <c r="F1190" s="24" t="s">
        <v>43</v>
      </c>
      <c r="G1190" s="24" t="s">
        <v>20</v>
      </c>
      <c r="H1190" s="26">
        <v>217</v>
      </c>
      <c r="I1190" s="24" t="s">
        <v>21</v>
      </c>
      <c r="J1190" s="36">
        <v>45390</v>
      </c>
      <c r="K1190" s="24" t="s">
        <v>22</v>
      </c>
    </row>
    <row r="1191" spans="1:11" x14ac:dyDescent="0.2">
      <c r="A1191" s="27" t="s">
        <v>3101</v>
      </c>
      <c r="B1191" s="27" t="s">
        <v>3102</v>
      </c>
      <c r="C1191" s="27" t="s">
        <v>97</v>
      </c>
      <c r="D1191" s="27" t="s">
        <v>17</v>
      </c>
      <c r="E1191" s="27" t="s">
        <v>42</v>
      </c>
      <c r="F1191" s="27" t="s">
        <v>43</v>
      </c>
      <c r="G1191" s="27" t="s">
        <v>28</v>
      </c>
      <c r="H1191" s="29">
        <v>4800</v>
      </c>
      <c r="I1191" s="27" t="s">
        <v>29</v>
      </c>
      <c r="J1191" s="37">
        <v>45394</v>
      </c>
      <c r="K1191" s="27" t="s">
        <v>22</v>
      </c>
    </row>
    <row r="1192" spans="1:11" x14ac:dyDescent="0.2">
      <c r="A1192" s="24" t="s">
        <v>3103</v>
      </c>
      <c r="B1192" s="24" t="s">
        <v>3104</v>
      </c>
      <c r="C1192" s="24" t="s">
        <v>418</v>
      </c>
      <c r="D1192" s="24" t="s">
        <v>17</v>
      </c>
      <c r="E1192" s="24" t="s">
        <v>18</v>
      </c>
      <c r="F1192" s="24" t="s">
        <v>19</v>
      </c>
      <c r="G1192" s="24" t="s">
        <v>20</v>
      </c>
      <c r="H1192" s="26">
        <v>48</v>
      </c>
      <c r="I1192" s="24" t="s">
        <v>21</v>
      </c>
      <c r="J1192" s="36">
        <v>45391</v>
      </c>
      <c r="K1192" s="24" t="s">
        <v>22</v>
      </c>
    </row>
    <row r="1193" spans="1:11" x14ac:dyDescent="0.2">
      <c r="A1193" s="27" t="s">
        <v>3105</v>
      </c>
      <c r="B1193" s="27" t="s">
        <v>3106</v>
      </c>
      <c r="C1193" s="27" t="s">
        <v>792</v>
      </c>
      <c r="D1193" s="27" t="s">
        <v>17</v>
      </c>
      <c r="E1193" s="27" t="s">
        <v>48</v>
      </c>
      <c r="F1193" s="27" t="s">
        <v>49</v>
      </c>
      <c r="G1193" s="27" t="s">
        <v>28</v>
      </c>
      <c r="H1193" s="29">
        <v>520</v>
      </c>
      <c r="I1193" s="27" t="s">
        <v>29</v>
      </c>
      <c r="J1193" s="37">
        <v>45392</v>
      </c>
      <c r="K1193" s="27" t="s">
        <v>22</v>
      </c>
    </row>
    <row r="1194" spans="1:11" x14ac:dyDescent="0.2">
      <c r="A1194" s="24" t="s">
        <v>3107</v>
      </c>
      <c r="B1194" s="24" t="s">
        <v>3108</v>
      </c>
      <c r="C1194" s="24" t="s">
        <v>331</v>
      </c>
      <c r="D1194" s="24" t="s">
        <v>17</v>
      </c>
      <c r="E1194" s="24" t="s">
        <v>42</v>
      </c>
      <c r="F1194" s="24" t="s">
        <v>43</v>
      </c>
      <c r="G1194" s="24" t="s">
        <v>20</v>
      </c>
      <c r="H1194" s="26">
        <v>241</v>
      </c>
      <c r="I1194" s="24" t="s">
        <v>21</v>
      </c>
      <c r="J1194" s="36">
        <v>45408</v>
      </c>
      <c r="K1194" s="24" t="s">
        <v>22</v>
      </c>
    </row>
    <row r="1195" spans="1:11" x14ac:dyDescent="0.2">
      <c r="A1195" s="27" t="s">
        <v>3109</v>
      </c>
      <c r="B1195" s="27" t="s">
        <v>3110</v>
      </c>
      <c r="C1195" s="27" t="s">
        <v>437</v>
      </c>
      <c r="D1195" s="27" t="s">
        <v>17</v>
      </c>
      <c r="E1195" s="27" t="s">
        <v>42</v>
      </c>
      <c r="F1195" s="27" t="s">
        <v>43</v>
      </c>
      <c r="G1195" s="27" t="s">
        <v>28</v>
      </c>
      <c r="H1195" s="29">
        <v>106</v>
      </c>
      <c r="I1195" s="27" t="s">
        <v>29</v>
      </c>
      <c r="J1195" s="37">
        <v>45404</v>
      </c>
      <c r="K1195" s="27" t="s">
        <v>22</v>
      </c>
    </row>
    <row r="1196" spans="1:11" x14ac:dyDescent="0.2">
      <c r="A1196" s="24" t="s">
        <v>3111</v>
      </c>
      <c r="B1196" s="24" t="s">
        <v>3112</v>
      </c>
      <c r="C1196" s="24" t="s">
        <v>3113</v>
      </c>
      <c r="D1196" s="24" t="s">
        <v>17</v>
      </c>
      <c r="E1196" s="24" t="s">
        <v>42</v>
      </c>
      <c r="F1196" s="24" t="s">
        <v>43</v>
      </c>
      <c r="G1196" s="24" t="s">
        <v>20</v>
      </c>
      <c r="H1196" s="26">
        <v>200</v>
      </c>
      <c r="I1196" s="24" t="s">
        <v>21</v>
      </c>
      <c r="J1196" s="36">
        <v>45383</v>
      </c>
      <c r="K1196" s="24" t="s">
        <v>22</v>
      </c>
    </row>
    <row r="1197" spans="1:11" x14ac:dyDescent="0.2">
      <c r="A1197" s="27" t="s">
        <v>3114</v>
      </c>
      <c r="B1197" s="27" t="s">
        <v>3115</v>
      </c>
      <c r="C1197" s="27" t="s">
        <v>3116</v>
      </c>
      <c r="D1197" s="27" t="s">
        <v>17</v>
      </c>
      <c r="E1197" s="27" t="s">
        <v>18</v>
      </c>
      <c r="F1197" s="27" t="s">
        <v>19</v>
      </c>
      <c r="G1197" s="27" t="s">
        <v>44</v>
      </c>
      <c r="H1197" s="29">
        <v>230</v>
      </c>
      <c r="I1197" s="27" t="s">
        <v>29</v>
      </c>
      <c r="J1197" s="37">
        <v>45409</v>
      </c>
      <c r="K1197" s="27" t="s">
        <v>22</v>
      </c>
    </row>
    <row r="1198" spans="1:11" x14ac:dyDescent="0.2">
      <c r="A1198" s="24" t="s">
        <v>3117</v>
      </c>
      <c r="B1198" s="24" t="s">
        <v>3118</v>
      </c>
      <c r="C1198" s="24" t="s">
        <v>3119</v>
      </c>
      <c r="D1198" s="24" t="s">
        <v>17</v>
      </c>
      <c r="E1198" s="24" t="s">
        <v>48</v>
      </c>
      <c r="F1198" s="24" t="s">
        <v>49</v>
      </c>
      <c r="G1198" s="24" t="s">
        <v>59</v>
      </c>
      <c r="H1198" s="26">
        <v>58</v>
      </c>
      <c r="I1198" s="24" t="s">
        <v>21</v>
      </c>
      <c r="J1198" s="36">
        <v>45411</v>
      </c>
      <c r="K1198" s="24" t="s">
        <v>22</v>
      </c>
    </row>
    <row r="1199" spans="1:11" x14ac:dyDescent="0.2">
      <c r="A1199" s="27" t="s">
        <v>3120</v>
      </c>
      <c r="B1199" s="27" t="s">
        <v>3121</v>
      </c>
      <c r="C1199" s="27" t="s">
        <v>1059</v>
      </c>
      <c r="D1199" s="27" t="s">
        <v>17</v>
      </c>
      <c r="E1199" s="27" t="s">
        <v>42</v>
      </c>
      <c r="F1199" s="27" t="s">
        <v>43</v>
      </c>
      <c r="G1199" s="27" t="s">
        <v>28</v>
      </c>
      <c r="H1199" s="29">
        <v>252</v>
      </c>
      <c r="I1199" s="27" t="s">
        <v>29</v>
      </c>
      <c r="J1199" s="37">
        <v>45397</v>
      </c>
      <c r="K1199" s="27" t="s">
        <v>22</v>
      </c>
    </row>
    <row r="1200" spans="1:11" x14ac:dyDescent="0.2">
      <c r="A1200" s="24" t="s">
        <v>3122</v>
      </c>
      <c r="B1200" s="24" t="s">
        <v>3123</v>
      </c>
      <c r="C1200" s="24" t="s">
        <v>3124</v>
      </c>
      <c r="D1200" s="24" t="s">
        <v>17</v>
      </c>
      <c r="E1200" s="24" t="s">
        <v>163</v>
      </c>
      <c r="F1200" s="24" t="s">
        <v>164</v>
      </c>
      <c r="G1200" s="24" t="s">
        <v>20</v>
      </c>
      <c r="H1200" s="26">
        <v>35</v>
      </c>
      <c r="I1200" s="24" t="s">
        <v>21</v>
      </c>
      <c r="J1200" s="36">
        <v>45397</v>
      </c>
      <c r="K1200" s="24" t="s">
        <v>22</v>
      </c>
    </row>
    <row r="1201" spans="1:11" x14ac:dyDescent="0.2">
      <c r="A1201" s="27" t="s">
        <v>3125</v>
      </c>
      <c r="B1201" s="27" t="s">
        <v>3126</v>
      </c>
      <c r="C1201" s="27" t="s">
        <v>3127</v>
      </c>
      <c r="D1201" s="27" t="s">
        <v>17</v>
      </c>
      <c r="E1201" s="27" t="s">
        <v>18</v>
      </c>
      <c r="F1201" s="27" t="s">
        <v>19</v>
      </c>
      <c r="G1201" s="27" t="s">
        <v>28</v>
      </c>
      <c r="H1201" s="29">
        <v>64</v>
      </c>
      <c r="I1201" s="27" t="s">
        <v>29</v>
      </c>
      <c r="J1201" s="37">
        <v>45389</v>
      </c>
      <c r="K1201" s="27" t="s">
        <v>22</v>
      </c>
    </row>
    <row r="1202" spans="1:11" x14ac:dyDescent="0.2">
      <c r="A1202" s="24" t="s">
        <v>3128</v>
      </c>
      <c r="B1202" s="24" t="s">
        <v>3129</v>
      </c>
      <c r="C1202" s="24" t="s">
        <v>3130</v>
      </c>
      <c r="D1202" s="24" t="s">
        <v>17</v>
      </c>
      <c r="E1202" s="24" t="s">
        <v>18</v>
      </c>
      <c r="F1202" s="24" t="s">
        <v>19</v>
      </c>
      <c r="G1202" s="24" t="s">
        <v>28</v>
      </c>
      <c r="H1202" s="26">
        <v>81</v>
      </c>
      <c r="I1202" s="24" t="s">
        <v>29</v>
      </c>
      <c r="J1202" s="36">
        <v>45385</v>
      </c>
      <c r="K1202" s="24" t="s">
        <v>22</v>
      </c>
    </row>
    <row r="1203" spans="1:11" x14ac:dyDescent="0.2">
      <c r="A1203" s="27" t="s">
        <v>3131</v>
      </c>
      <c r="B1203" s="27" t="s">
        <v>3132</v>
      </c>
      <c r="C1203" s="27" t="s">
        <v>3133</v>
      </c>
      <c r="D1203" s="27" t="s">
        <v>17</v>
      </c>
      <c r="E1203" s="27" t="s">
        <v>18</v>
      </c>
      <c r="F1203" s="27" t="s">
        <v>19</v>
      </c>
      <c r="G1203" s="27" t="s">
        <v>28</v>
      </c>
      <c r="H1203" s="29">
        <v>48</v>
      </c>
      <c r="I1203" s="27" t="s">
        <v>29</v>
      </c>
      <c r="J1203" s="37">
        <v>45390</v>
      </c>
      <c r="K1203" s="27" t="s">
        <v>22</v>
      </c>
    </row>
    <row r="1204" spans="1:11" x14ac:dyDescent="0.2">
      <c r="A1204" s="24" t="s">
        <v>3134</v>
      </c>
      <c r="B1204" s="24" t="s">
        <v>3135</v>
      </c>
      <c r="C1204" s="24" t="s">
        <v>3136</v>
      </c>
      <c r="D1204" s="24" t="s">
        <v>17</v>
      </c>
      <c r="E1204" s="24" t="s">
        <v>18</v>
      </c>
      <c r="F1204" s="24" t="s">
        <v>19</v>
      </c>
      <c r="G1204" s="24" t="s">
        <v>20</v>
      </c>
      <c r="H1204" s="26">
        <v>135</v>
      </c>
      <c r="I1204" s="24" t="s">
        <v>21</v>
      </c>
      <c r="J1204" s="36">
        <v>45404</v>
      </c>
      <c r="K1204" s="24" t="s">
        <v>22</v>
      </c>
    </row>
    <row r="1205" spans="1:11" x14ac:dyDescent="0.2">
      <c r="A1205" s="27" t="s">
        <v>3137</v>
      </c>
      <c r="B1205" s="27" t="s">
        <v>3138</v>
      </c>
      <c r="C1205" s="27" t="s">
        <v>146</v>
      </c>
      <c r="D1205" s="27" t="s">
        <v>17</v>
      </c>
      <c r="E1205" s="27" t="s">
        <v>42</v>
      </c>
      <c r="F1205" s="27" t="s">
        <v>43</v>
      </c>
      <c r="G1205" s="27" t="s">
        <v>20</v>
      </c>
      <c r="H1205" s="29">
        <v>841</v>
      </c>
      <c r="I1205" s="27" t="s">
        <v>21</v>
      </c>
      <c r="J1205" s="37">
        <v>45411</v>
      </c>
      <c r="K1205" s="27" t="s">
        <v>22</v>
      </c>
    </row>
    <row r="1206" spans="1:11" x14ac:dyDescent="0.2">
      <c r="A1206" s="24" t="s">
        <v>3139</v>
      </c>
      <c r="B1206" s="24" t="s">
        <v>3140</v>
      </c>
      <c r="C1206" s="24" t="s">
        <v>3141</v>
      </c>
      <c r="D1206" s="24" t="s">
        <v>17</v>
      </c>
      <c r="E1206" s="24" t="s">
        <v>48</v>
      </c>
      <c r="F1206" s="24" t="s">
        <v>49</v>
      </c>
      <c r="G1206" s="24" t="s">
        <v>28</v>
      </c>
      <c r="H1206" s="26">
        <v>83</v>
      </c>
      <c r="I1206" s="24" t="s">
        <v>29</v>
      </c>
      <c r="J1206" s="36">
        <v>45384</v>
      </c>
      <c r="K1206" s="24" t="s">
        <v>22</v>
      </c>
    </row>
    <row r="1207" spans="1:11" x14ac:dyDescent="0.2">
      <c r="A1207" s="27" t="s">
        <v>3142</v>
      </c>
      <c r="B1207" s="27" t="s">
        <v>3143</v>
      </c>
      <c r="C1207" s="27" t="s">
        <v>3144</v>
      </c>
      <c r="D1207" s="27" t="s">
        <v>17</v>
      </c>
      <c r="E1207" s="27" t="s">
        <v>18</v>
      </c>
      <c r="F1207" s="27" t="s">
        <v>19</v>
      </c>
      <c r="G1207" s="27" t="s">
        <v>28</v>
      </c>
      <c r="H1207" s="29">
        <v>100</v>
      </c>
      <c r="I1207" s="27" t="s">
        <v>29</v>
      </c>
      <c r="J1207" s="37">
        <v>45408</v>
      </c>
      <c r="K1207" s="27" t="s">
        <v>22</v>
      </c>
    </row>
    <row r="1208" spans="1:11" x14ac:dyDescent="0.2">
      <c r="A1208" s="24" t="s">
        <v>3145</v>
      </c>
      <c r="B1208" s="24" t="s">
        <v>3146</v>
      </c>
      <c r="C1208" s="24" t="s">
        <v>213</v>
      </c>
      <c r="D1208" s="24" t="s">
        <v>17</v>
      </c>
      <c r="E1208" s="24" t="s">
        <v>18</v>
      </c>
      <c r="F1208" s="24" t="s">
        <v>19</v>
      </c>
      <c r="G1208" s="24" t="s">
        <v>20</v>
      </c>
      <c r="H1208" s="26">
        <v>23</v>
      </c>
      <c r="I1208" s="24" t="s">
        <v>21</v>
      </c>
      <c r="J1208" s="36">
        <v>45412</v>
      </c>
      <c r="K1208" s="24" t="s">
        <v>22</v>
      </c>
    </row>
    <row r="1209" spans="1:11" x14ac:dyDescent="0.2">
      <c r="A1209" s="27" t="s">
        <v>3147</v>
      </c>
      <c r="B1209" s="27" t="s">
        <v>3148</v>
      </c>
      <c r="C1209" s="27" t="s">
        <v>301</v>
      </c>
      <c r="D1209" s="27" t="s">
        <v>17</v>
      </c>
      <c r="E1209" s="27" t="s">
        <v>26</v>
      </c>
      <c r="F1209" s="27" t="s">
        <v>27</v>
      </c>
      <c r="G1209" s="27" t="s">
        <v>28</v>
      </c>
      <c r="H1209" s="29">
        <v>287</v>
      </c>
      <c r="I1209" s="27" t="s">
        <v>29</v>
      </c>
      <c r="J1209" s="37">
        <v>45404</v>
      </c>
      <c r="K1209" s="27" t="s">
        <v>22</v>
      </c>
    </row>
    <row r="1210" spans="1:11" x14ac:dyDescent="0.2">
      <c r="A1210" s="24" t="s">
        <v>3149</v>
      </c>
      <c r="B1210" s="24" t="s">
        <v>3150</v>
      </c>
      <c r="C1210" s="24" t="s">
        <v>2246</v>
      </c>
      <c r="D1210" s="24" t="s">
        <v>17</v>
      </c>
      <c r="E1210" s="24" t="s">
        <v>33</v>
      </c>
      <c r="F1210" s="24" t="s">
        <v>34</v>
      </c>
      <c r="G1210" s="24" t="s">
        <v>59</v>
      </c>
      <c r="H1210" s="26">
        <v>5</v>
      </c>
      <c r="I1210" s="24" t="s">
        <v>21</v>
      </c>
      <c r="J1210" s="36">
        <v>45391</v>
      </c>
      <c r="K1210" s="24" t="s">
        <v>22</v>
      </c>
    </row>
    <row r="1211" spans="1:11" x14ac:dyDescent="0.2">
      <c r="A1211" s="27" t="s">
        <v>3151</v>
      </c>
      <c r="B1211" s="27" t="s">
        <v>3152</v>
      </c>
      <c r="C1211" s="27" t="s">
        <v>3153</v>
      </c>
      <c r="D1211" s="27" t="s">
        <v>17</v>
      </c>
      <c r="E1211" s="27" t="s">
        <v>18</v>
      </c>
      <c r="F1211" s="27" t="s">
        <v>19</v>
      </c>
      <c r="G1211" s="27" t="s">
        <v>20</v>
      </c>
      <c r="H1211" s="29">
        <v>50</v>
      </c>
      <c r="I1211" s="27" t="s">
        <v>21</v>
      </c>
      <c r="J1211" s="37">
        <v>45400</v>
      </c>
      <c r="K1211" s="27" t="s">
        <v>22</v>
      </c>
    </row>
    <row r="1212" spans="1:11" x14ac:dyDescent="0.2">
      <c r="A1212" s="24" t="s">
        <v>3154</v>
      </c>
      <c r="B1212" s="24" t="s">
        <v>3155</v>
      </c>
      <c r="C1212" s="24" t="s">
        <v>3156</v>
      </c>
      <c r="D1212" s="24" t="s">
        <v>17</v>
      </c>
      <c r="E1212" s="24" t="s">
        <v>18</v>
      </c>
      <c r="F1212" s="24" t="s">
        <v>19</v>
      </c>
      <c r="G1212" s="24" t="s">
        <v>28</v>
      </c>
      <c r="H1212" s="26">
        <v>24</v>
      </c>
      <c r="I1212" s="24" t="s">
        <v>29</v>
      </c>
      <c r="J1212" s="36">
        <v>45410</v>
      </c>
      <c r="K1212" s="24" t="s">
        <v>22</v>
      </c>
    </row>
    <row r="1213" spans="1:11" x14ac:dyDescent="0.2">
      <c r="A1213" s="27" t="s">
        <v>3157</v>
      </c>
      <c r="B1213" s="27" t="s">
        <v>3158</v>
      </c>
      <c r="C1213" s="27" t="s">
        <v>3159</v>
      </c>
      <c r="D1213" s="27" t="s">
        <v>17</v>
      </c>
      <c r="E1213" s="27" t="s">
        <v>42</v>
      </c>
      <c r="F1213" s="27" t="s">
        <v>43</v>
      </c>
      <c r="G1213" s="27" t="s">
        <v>28</v>
      </c>
      <c r="H1213" s="29">
        <v>112</v>
      </c>
      <c r="I1213" s="27" t="s">
        <v>29</v>
      </c>
      <c r="J1213" s="37">
        <v>45399</v>
      </c>
      <c r="K1213" s="27" t="s">
        <v>22</v>
      </c>
    </row>
    <row r="1214" spans="1:11" x14ac:dyDescent="0.2">
      <c r="A1214" s="24" t="s">
        <v>3160</v>
      </c>
      <c r="B1214" s="24" t="s">
        <v>3161</v>
      </c>
      <c r="C1214" s="24" t="s">
        <v>3048</v>
      </c>
      <c r="D1214" s="24" t="s">
        <v>17</v>
      </c>
      <c r="E1214" s="24" t="s">
        <v>18</v>
      </c>
      <c r="F1214" s="24" t="s">
        <v>19</v>
      </c>
      <c r="G1214" s="24" t="s">
        <v>116</v>
      </c>
      <c r="H1214" s="26">
        <v>0</v>
      </c>
      <c r="I1214" s="24" t="s">
        <v>21</v>
      </c>
      <c r="J1214" s="36">
        <v>45384</v>
      </c>
      <c r="K1214" s="24" t="s">
        <v>22</v>
      </c>
    </row>
    <row r="1215" spans="1:11" x14ac:dyDescent="0.2">
      <c r="A1215" s="27" t="s">
        <v>3162</v>
      </c>
      <c r="B1215" s="27" t="s">
        <v>3163</v>
      </c>
      <c r="C1215" s="27" t="s">
        <v>3164</v>
      </c>
      <c r="D1215" s="27" t="s">
        <v>17</v>
      </c>
      <c r="E1215" s="27" t="s">
        <v>26</v>
      </c>
      <c r="F1215" s="27" t="s">
        <v>27</v>
      </c>
      <c r="G1215" s="27" t="s">
        <v>28</v>
      </c>
      <c r="H1215" s="29">
        <v>440</v>
      </c>
      <c r="I1215" s="27" t="s">
        <v>29</v>
      </c>
      <c r="J1215" s="37">
        <v>45411</v>
      </c>
      <c r="K1215" s="27" t="s">
        <v>22</v>
      </c>
    </row>
    <row r="1216" spans="1:11" x14ac:dyDescent="0.2">
      <c r="A1216" s="24" t="s">
        <v>3165</v>
      </c>
      <c r="B1216" s="24" t="s">
        <v>3166</v>
      </c>
      <c r="C1216" s="24" t="s">
        <v>85</v>
      </c>
      <c r="D1216" s="24" t="s">
        <v>17</v>
      </c>
      <c r="E1216" s="24" t="s">
        <v>33</v>
      </c>
      <c r="F1216" s="24" t="s">
        <v>34</v>
      </c>
      <c r="G1216" s="24" t="s">
        <v>28</v>
      </c>
      <c r="H1216" s="26">
        <v>2800</v>
      </c>
      <c r="I1216" s="24" t="s">
        <v>29</v>
      </c>
      <c r="J1216" s="36">
        <v>45408</v>
      </c>
      <c r="K1216" s="24" t="s">
        <v>22</v>
      </c>
    </row>
    <row r="1217" spans="1:11" x14ac:dyDescent="0.2">
      <c r="A1217" s="27" t="s">
        <v>3167</v>
      </c>
      <c r="B1217" s="27" t="s">
        <v>3168</v>
      </c>
      <c r="C1217" s="27" t="s">
        <v>146</v>
      </c>
      <c r="D1217" s="27" t="s">
        <v>17</v>
      </c>
      <c r="E1217" s="27" t="s">
        <v>48</v>
      </c>
      <c r="F1217" s="27" t="s">
        <v>49</v>
      </c>
      <c r="G1217" s="27" t="s">
        <v>59</v>
      </c>
      <c r="H1217" s="29">
        <v>158</v>
      </c>
      <c r="I1217" s="27" t="s">
        <v>21</v>
      </c>
      <c r="J1217" s="37">
        <v>45386</v>
      </c>
      <c r="K1217" s="27" t="s">
        <v>22</v>
      </c>
    </row>
    <row r="1218" spans="1:11" x14ac:dyDescent="0.2">
      <c r="A1218" s="24" t="s">
        <v>3169</v>
      </c>
      <c r="B1218" s="24" t="s">
        <v>3170</v>
      </c>
      <c r="C1218" s="24" t="s">
        <v>1788</v>
      </c>
      <c r="D1218" s="24" t="s">
        <v>17</v>
      </c>
      <c r="E1218" s="24" t="s">
        <v>42</v>
      </c>
      <c r="F1218" s="24" t="s">
        <v>43</v>
      </c>
      <c r="G1218" s="24" t="s">
        <v>227</v>
      </c>
      <c r="H1218" s="26">
        <v>752</v>
      </c>
      <c r="I1218" s="24" t="s">
        <v>29</v>
      </c>
      <c r="J1218" s="36">
        <v>45405</v>
      </c>
      <c r="K1218" s="24" t="s">
        <v>22</v>
      </c>
    </row>
    <row r="1219" spans="1:11" x14ac:dyDescent="0.2">
      <c r="A1219" s="27" t="s">
        <v>3171</v>
      </c>
      <c r="B1219" s="27" t="s">
        <v>3172</v>
      </c>
      <c r="C1219" s="27" t="s">
        <v>3173</v>
      </c>
      <c r="D1219" s="27" t="s">
        <v>17</v>
      </c>
      <c r="E1219" s="27" t="s">
        <v>48</v>
      </c>
      <c r="F1219" s="27" t="s">
        <v>49</v>
      </c>
      <c r="G1219" s="27" t="s">
        <v>20</v>
      </c>
      <c r="H1219" s="29">
        <v>17</v>
      </c>
      <c r="I1219" s="27" t="s">
        <v>21</v>
      </c>
      <c r="J1219" s="37">
        <v>45398</v>
      </c>
      <c r="K1219" s="27" t="s">
        <v>22</v>
      </c>
    </row>
    <row r="1220" spans="1:11" x14ac:dyDescent="0.2">
      <c r="A1220" s="24" t="s">
        <v>3174</v>
      </c>
      <c r="B1220" s="24" t="s">
        <v>3175</v>
      </c>
      <c r="C1220" s="24" t="s">
        <v>3176</v>
      </c>
      <c r="D1220" s="24" t="s">
        <v>17</v>
      </c>
      <c r="E1220" s="24" t="s">
        <v>48</v>
      </c>
      <c r="F1220" s="24" t="s">
        <v>49</v>
      </c>
      <c r="G1220" s="24" t="s">
        <v>28</v>
      </c>
      <c r="H1220" s="26">
        <v>375</v>
      </c>
      <c r="I1220" s="24" t="s">
        <v>29</v>
      </c>
      <c r="J1220" s="36">
        <v>45385</v>
      </c>
      <c r="K1220" s="24" t="s">
        <v>22</v>
      </c>
    </row>
    <row r="1221" spans="1:11" x14ac:dyDescent="0.2">
      <c r="A1221" s="27" t="s">
        <v>3177</v>
      </c>
      <c r="B1221" s="27" t="s">
        <v>3178</v>
      </c>
      <c r="C1221" s="27" t="s">
        <v>1535</v>
      </c>
      <c r="D1221" s="27" t="s">
        <v>17</v>
      </c>
      <c r="E1221" s="27" t="s">
        <v>42</v>
      </c>
      <c r="F1221" s="27" t="s">
        <v>43</v>
      </c>
      <c r="G1221" s="27" t="s">
        <v>28</v>
      </c>
      <c r="H1221" s="29">
        <v>344</v>
      </c>
      <c r="I1221" s="27" t="s">
        <v>29</v>
      </c>
      <c r="J1221" s="37">
        <v>45389</v>
      </c>
      <c r="K1221" s="27" t="s">
        <v>22</v>
      </c>
    </row>
    <row r="1222" spans="1:11" x14ac:dyDescent="0.2">
      <c r="A1222" s="24" t="s">
        <v>3179</v>
      </c>
      <c r="B1222" s="24" t="s">
        <v>3180</v>
      </c>
      <c r="C1222" s="24" t="s">
        <v>1737</v>
      </c>
      <c r="D1222" s="24" t="s">
        <v>17</v>
      </c>
      <c r="E1222" s="24" t="s">
        <v>48</v>
      </c>
      <c r="F1222" s="24" t="s">
        <v>49</v>
      </c>
      <c r="G1222" s="24" t="s">
        <v>38</v>
      </c>
      <c r="H1222" s="26">
        <v>120</v>
      </c>
      <c r="I1222" s="24" t="s">
        <v>29</v>
      </c>
      <c r="J1222" s="36">
        <v>45383</v>
      </c>
      <c r="K1222" s="24" t="s">
        <v>22</v>
      </c>
    </row>
    <row r="1223" spans="1:11" x14ac:dyDescent="0.2">
      <c r="A1223" s="27" t="s">
        <v>3181</v>
      </c>
      <c r="B1223" s="27" t="s">
        <v>3182</v>
      </c>
      <c r="C1223" s="27" t="s">
        <v>3183</v>
      </c>
      <c r="D1223" s="27" t="s">
        <v>17</v>
      </c>
      <c r="E1223" s="27" t="s">
        <v>18</v>
      </c>
      <c r="F1223" s="27" t="s">
        <v>19</v>
      </c>
      <c r="G1223" s="27" t="s">
        <v>20</v>
      </c>
      <c r="H1223" s="29">
        <v>30</v>
      </c>
      <c r="I1223" s="27" t="s">
        <v>21</v>
      </c>
      <c r="J1223" s="37">
        <v>45404</v>
      </c>
      <c r="K1223" s="27" t="s">
        <v>22</v>
      </c>
    </row>
    <row r="1224" spans="1:11" x14ac:dyDescent="0.2">
      <c r="A1224" s="24" t="s">
        <v>3184</v>
      </c>
      <c r="B1224" s="24" t="s">
        <v>3185</v>
      </c>
      <c r="C1224" s="24" t="s">
        <v>2862</v>
      </c>
      <c r="D1224" s="24" t="s">
        <v>17</v>
      </c>
      <c r="E1224" s="24" t="s">
        <v>18</v>
      </c>
      <c r="F1224" s="24" t="s">
        <v>19</v>
      </c>
      <c r="G1224" s="24" t="s">
        <v>38</v>
      </c>
      <c r="H1224" s="26">
        <v>55</v>
      </c>
      <c r="I1224" s="24" t="s">
        <v>29</v>
      </c>
      <c r="J1224" s="36">
        <v>45383</v>
      </c>
      <c r="K1224" s="24" t="s">
        <v>22</v>
      </c>
    </row>
    <row r="1225" spans="1:11" x14ac:dyDescent="0.2">
      <c r="A1225" s="27" t="s">
        <v>3186</v>
      </c>
      <c r="B1225" s="27" t="s">
        <v>3187</v>
      </c>
      <c r="C1225" s="27" t="s">
        <v>749</v>
      </c>
      <c r="D1225" s="27" t="s">
        <v>17</v>
      </c>
      <c r="E1225" s="27" t="s">
        <v>26</v>
      </c>
      <c r="F1225" s="27" t="s">
        <v>27</v>
      </c>
      <c r="G1225" s="27" t="s">
        <v>44</v>
      </c>
      <c r="H1225" s="29">
        <v>66</v>
      </c>
      <c r="I1225" s="27" t="s">
        <v>29</v>
      </c>
      <c r="J1225" s="37">
        <v>45387</v>
      </c>
      <c r="K1225" s="27" t="s">
        <v>22</v>
      </c>
    </row>
    <row r="1226" spans="1:11" x14ac:dyDescent="0.2">
      <c r="A1226" s="24" t="s">
        <v>3188</v>
      </c>
      <c r="B1226" s="24" t="s">
        <v>3189</v>
      </c>
      <c r="C1226" s="24" t="s">
        <v>526</v>
      </c>
      <c r="D1226" s="24" t="s">
        <v>17</v>
      </c>
      <c r="E1226" s="24" t="s">
        <v>42</v>
      </c>
      <c r="F1226" s="24" t="s">
        <v>43</v>
      </c>
      <c r="G1226" s="24" t="s">
        <v>28</v>
      </c>
      <c r="H1226" s="26">
        <v>510</v>
      </c>
      <c r="I1226" s="24" t="s">
        <v>29</v>
      </c>
      <c r="J1226" s="36">
        <v>45411</v>
      </c>
      <c r="K1226" s="24" t="s">
        <v>22</v>
      </c>
    </row>
    <row r="1227" spans="1:11" x14ac:dyDescent="0.2">
      <c r="A1227" s="27" t="s">
        <v>3190</v>
      </c>
      <c r="B1227" s="27" t="s">
        <v>3191</v>
      </c>
      <c r="C1227" s="27" t="s">
        <v>3192</v>
      </c>
      <c r="D1227" s="27" t="s">
        <v>17</v>
      </c>
      <c r="E1227" s="27" t="s">
        <v>18</v>
      </c>
      <c r="F1227" s="27" t="s">
        <v>19</v>
      </c>
      <c r="G1227" s="27" t="s">
        <v>28</v>
      </c>
      <c r="H1227" s="29">
        <v>80</v>
      </c>
      <c r="I1227" s="27" t="s">
        <v>29</v>
      </c>
      <c r="J1227" s="37">
        <v>45411</v>
      </c>
      <c r="K1227" s="27" t="s">
        <v>22</v>
      </c>
    </row>
    <row r="1228" spans="1:11" x14ac:dyDescent="0.2">
      <c r="A1228" s="24" t="s">
        <v>3193</v>
      </c>
      <c r="B1228" s="24" t="s">
        <v>3194</v>
      </c>
      <c r="C1228" s="24" t="s">
        <v>494</v>
      </c>
      <c r="D1228" s="24" t="s">
        <v>17</v>
      </c>
      <c r="E1228" s="24" t="s">
        <v>18</v>
      </c>
      <c r="F1228" s="24" t="s">
        <v>19</v>
      </c>
      <c r="G1228" s="24" t="s">
        <v>20</v>
      </c>
      <c r="H1228" s="26">
        <v>27</v>
      </c>
      <c r="I1228" s="24" t="s">
        <v>21</v>
      </c>
      <c r="J1228" s="36">
        <v>45407</v>
      </c>
      <c r="K1228" s="24" t="s">
        <v>22</v>
      </c>
    </row>
    <row r="1229" spans="1:11" x14ac:dyDescent="0.2">
      <c r="A1229" s="27" t="s">
        <v>3195</v>
      </c>
      <c r="B1229" s="27" t="s">
        <v>3196</v>
      </c>
      <c r="C1229" s="27" t="s">
        <v>1737</v>
      </c>
      <c r="D1229" s="27" t="s">
        <v>17</v>
      </c>
      <c r="E1229" s="27" t="s">
        <v>48</v>
      </c>
      <c r="F1229" s="27" t="s">
        <v>49</v>
      </c>
      <c r="G1229" s="27" t="s">
        <v>38</v>
      </c>
      <c r="H1229" s="29">
        <v>60</v>
      </c>
      <c r="I1229" s="27" t="s">
        <v>29</v>
      </c>
      <c r="J1229" s="37">
        <v>45383</v>
      </c>
      <c r="K1229" s="27" t="s">
        <v>22</v>
      </c>
    </row>
    <row r="1230" spans="1:11" x14ac:dyDescent="0.2">
      <c r="A1230" s="24" t="s">
        <v>3197</v>
      </c>
      <c r="B1230" s="24" t="s">
        <v>3198</v>
      </c>
      <c r="C1230" s="24" t="s">
        <v>3199</v>
      </c>
      <c r="D1230" s="24" t="s">
        <v>17</v>
      </c>
      <c r="E1230" s="24" t="s">
        <v>18</v>
      </c>
      <c r="F1230" s="24" t="s">
        <v>19</v>
      </c>
      <c r="G1230" s="24" t="s">
        <v>44</v>
      </c>
      <c r="H1230" s="26">
        <v>92</v>
      </c>
      <c r="I1230" s="24" t="s">
        <v>21</v>
      </c>
      <c r="J1230" s="36">
        <v>45383</v>
      </c>
      <c r="K1230" s="24" t="s">
        <v>22</v>
      </c>
    </row>
    <row r="1231" spans="1:11" x14ac:dyDescent="0.2">
      <c r="A1231" s="27" t="s">
        <v>3200</v>
      </c>
      <c r="B1231" s="27" t="s">
        <v>3201</v>
      </c>
      <c r="C1231" s="27" t="s">
        <v>3202</v>
      </c>
      <c r="D1231" s="27" t="s">
        <v>17</v>
      </c>
      <c r="E1231" s="27" t="s">
        <v>18</v>
      </c>
      <c r="F1231" s="27" t="s">
        <v>19</v>
      </c>
      <c r="G1231" s="27" t="s">
        <v>20</v>
      </c>
      <c r="H1231" s="29">
        <v>48</v>
      </c>
      <c r="I1231" s="27" t="s">
        <v>21</v>
      </c>
      <c r="J1231" s="37">
        <v>45411</v>
      </c>
      <c r="K1231" s="27" t="s">
        <v>22</v>
      </c>
    </row>
    <row r="1232" spans="1:11" x14ac:dyDescent="0.2">
      <c r="A1232" s="24" t="s">
        <v>3203</v>
      </c>
      <c r="B1232" s="24" t="s">
        <v>3204</v>
      </c>
      <c r="C1232" s="24" t="s">
        <v>3205</v>
      </c>
      <c r="D1232" s="24" t="s">
        <v>17</v>
      </c>
      <c r="E1232" s="24" t="s">
        <v>42</v>
      </c>
      <c r="F1232" s="24" t="s">
        <v>43</v>
      </c>
      <c r="G1232" s="24" t="s">
        <v>20</v>
      </c>
      <c r="H1232" s="26">
        <v>190</v>
      </c>
      <c r="I1232" s="24" t="s">
        <v>21</v>
      </c>
      <c r="J1232" s="36">
        <v>45408</v>
      </c>
      <c r="K1232" s="24" t="s">
        <v>22</v>
      </c>
    </row>
    <row r="1233" spans="1:11" x14ac:dyDescent="0.2">
      <c r="A1233" s="27" t="s">
        <v>3206</v>
      </c>
      <c r="B1233" s="27" t="s">
        <v>3207</v>
      </c>
      <c r="C1233" s="27" t="s">
        <v>3208</v>
      </c>
      <c r="D1233" s="27" t="s">
        <v>17</v>
      </c>
      <c r="E1233" s="27" t="s">
        <v>26</v>
      </c>
      <c r="F1233" s="27" t="s">
        <v>27</v>
      </c>
      <c r="G1233" s="27" t="s">
        <v>20</v>
      </c>
      <c r="H1233" s="29">
        <v>120</v>
      </c>
      <c r="I1233" s="27" t="s">
        <v>21</v>
      </c>
      <c r="J1233" s="37">
        <v>45383</v>
      </c>
      <c r="K1233" s="27" t="s">
        <v>22</v>
      </c>
    </row>
    <row r="1234" spans="1:11" x14ac:dyDescent="0.2">
      <c r="A1234" s="24" t="s">
        <v>3209</v>
      </c>
      <c r="B1234" s="24" t="s">
        <v>3210</v>
      </c>
      <c r="C1234" s="24" t="s">
        <v>526</v>
      </c>
      <c r="D1234" s="24" t="s">
        <v>17</v>
      </c>
      <c r="E1234" s="24" t="s">
        <v>42</v>
      </c>
      <c r="F1234" s="24" t="s">
        <v>43</v>
      </c>
      <c r="G1234" s="24" t="s">
        <v>44</v>
      </c>
      <c r="H1234" s="26">
        <v>10000</v>
      </c>
      <c r="I1234" s="24" t="s">
        <v>29</v>
      </c>
      <c r="J1234" s="36">
        <v>45412</v>
      </c>
      <c r="K1234" s="24" t="s">
        <v>22</v>
      </c>
    </row>
    <row r="1235" spans="1:11" x14ac:dyDescent="0.2">
      <c r="A1235" s="27" t="s">
        <v>3211</v>
      </c>
      <c r="B1235" s="27" t="s">
        <v>3212</v>
      </c>
      <c r="C1235" s="27" t="s">
        <v>3205</v>
      </c>
      <c r="D1235" s="27" t="s">
        <v>17</v>
      </c>
      <c r="E1235" s="27" t="s">
        <v>42</v>
      </c>
      <c r="F1235" s="27" t="s">
        <v>43</v>
      </c>
      <c r="G1235" s="27" t="s">
        <v>20</v>
      </c>
      <c r="H1235" s="29">
        <v>192</v>
      </c>
      <c r="I1235" s="27" t="s">
        <v>21</v>
      </c>
      <c r="J1235" s="37">
        <v>45393</v>
      </c>
      <c r="K1235" s="27" t="s">
        <v>22</v>
      </c>
    </row>
    <row r="1236" spans="1:11" x14ac:dyDescent="0.2">
      <c r="A1236" s="24" t="s">
        <v>3213</v>
      </c>
      <c r="B1236" s="24" t="s">
        <v>3214</v>
      </c>
      <c r="C1236" s="24" t="s">
        <v>401</v>
      </c>
      <c r="D1236" s="24" t="s">
        <v>17</v>
      </c>
      <c r="E1236" s="24" t="s">
        <v>42</v>
      </c>
      <c r="F1236" s="24" t="s">
        <v>43</v>
      </c>
      <c r="G1236" s="24" t="s">
        <v>20</v>
      </c>
      <c r="H1236" s="26">
        <v>472</v>
      </c>
      <c r="I1236" s="24" t="s">
        <v>21</v>
      </c>
      <c r="J1236" s="36">
        <v>45394</v>
      </c>
      <c r="K1236" s="24" t="s">
        <v>22</v>
      </c>
    </row>
    <row r="1237" spans="1:11" x14ac:dyDescent="0.2">
      <c r="A1237" s="27" t="s">
        <v>3215</v>
      </c>
      <c r="B1237" s="27" t="s">
        <v>3216</v>
      </c>
      <c r="C1237" s="27" t="s">
        <v>68</v>
      </c>
      <c r="D1237" s="27" t="s">
        <v>17</v>
      </c>
      <c r="E1237" s="27" t="s">
        <v>18</v>
      </c>
      <c r="F1237" s="27" t="s">
        <v>19</v>
      </c>
      <c r="G1237" s="27" t="s">
        <v>20</v>
      </c>
      <c r="H1237" s="29">
        <v>72</v>
      </c>
      <c r="I1237" s="27" t="s">
        <v>21</v>
      </c>
      <c r="J1237" s="37">
        <v>45389</v>
      </c>
      <c r="K1237" s="27" t="s">
        <v>22</v>
      </c>
    </row>
    <row r="1238" spans="1:11" x14ac:dyDescent="0.2">
      <c r="A1238" s="24" t="s">
        <v>3217</v>
      </c>
      <c r="B1238" s="24" t="s">
        <v>3218</v>
      </c>
      <c r="C1238" s="24" t="s">
        <v>2999</v>
      </c>
      <c r="D1238" s="24" t="s">
        <v>17</v>
      </c>
      <c r="E1238" s="24" t="s">
        <v>42</v>
      </c>
      <c r="F1238" s="24" t="s">
        <v>43</v>
      </c>
      <c r="G1238" s="24" t="s">
        <v>38</v>
      </c>
      <c r="H1238" s="26">
        <v>50</v>
      </c>
      <c r="I1238" s="24" t="s">
        <v>29</v>
      </c>
      <c r="J1238" s="36">
        <v>45383</v>
      </c>
      <c r="K1238" s="24" t="s">
        <v>22</v>
      </c>
    </row>
    <row r="1239" spans="1:11" x14ac:dyDescent="0.2">
      <c r="A1239" s="27" t="s">
        <v>3219</v>
      </c>
      <c r="B1239" s="27" t="s">
        <v>3220</v>
      </c>
      <c r="C1239" s="27" t="s">
        <v>2287</v>
      </c>
      <c r="D1239" s="27" t="s">
        <v>17</v>
      </c>
      <c r="E1239" s="27" t="s">
        <v>42</v>
      </c>
      <c r="F1239" s="27" t="s">
        <v>43</v>
      </c>
      <c r="G1239" s="27" t="s">
        <v>227</v>
      </c>
      <c r="H1239" s="29">
        <v>7</v>
      </c>
      <c r="I1239" s="27" t="s">
        <v>29</v>
      </c>
      <c r="J1239" s="37">
        <v>45406</v>
      </c>
      <c r="K1239" s="27" t="s">
        <v>22</v>
      </c>
    </row>
    <row r="1240" spans="1:11" x14ac:dyDescent="0.2">
      <c r="A1240" s="24" t="s">
        <v>3221</v>
      </c>
      <c r="B1240" s="24" t="s">
        <v>3222</v>
      </c>
      <c r="C1240" s="24" t="s">
        <v>3223</v>
      </c>
      <c r="D1240" s="24" t="s">
        <v>17</v>
      </c>
      <c r="E1240" s="24" t="s">
        <v>33</v>
      </c>
      <c r="F1240" s="24" t="s">
        <v>34</v>
      </c>
      <c r="G1240" s="24" t="s">
        <v>28</v>
      </c>
      <c r="H1240" s="26">
        <v>80</v>
      </c>
      <c r="I1240" s="24" t="s">
        <v>29</v>
      </c>
      <c r="J1240" s="36">
        <v>45386</v>
      </c>
      <c r="K1240" s="24" t="s">
        <v>22</v>
      </c>
    </row>
    <row r="1241" spans="1:11" x14ac:dyDescent="0.2">
      <c r="A1241" s="27" t="s">
        <v>3224</v>
      </c>
      <c r="B1241" s="27" t="s">
        <v>3225</v>
      </c>
      <c r="C1241" s="27" t="s">
        <v>2494</v>
      </c>
      <c r="D1241" s="27" t="s">
        <v>17</v>
      </c>
      <c r="E1241" s="27" t="s">
        <v>18</v>
      </c>
      <c r="F1241" s="27" t="s">
        <v>19</v>
      </c>
      <c r="G1241" s="27" t="s">
        <v>217</v>
      </c>
      <c r="H1241" s="29">
        <v>24</v>
      </c>
      <c r="I1241" s="27" t="s">
        <v>29</v>
      </c>
      <c r="J1241" s="37">
        <v>45383</v>
      </c>
      <c r="K1241" s="27" t="s">
        <v>22</v>
      </c>
    </row>
    <row r="1242" spans="1:11" x14ac:dyDescent="0.2">
      <c r="A1242" s="24" t="s">
        <v>3226</v>
      </c>
      <c r="B1242" s="24" t="s">
        <v>3227</v>
      </c>
      <c r="C1242" s="24" t="s">
        <v>3228</v>
      </c>
      <c r="D1242" s="24" t="s">
        <v>17</v>
      </c>
      <c r="E1242" s="24" t="s">
        <v>48</v>
      </c>
      <c r="F1242" s="24" t="s">
        <v>49</v>
      </c>
      <c r="G1242" s="24" t="s">
        <v>44</v>
      </c>
      <c r="H1242" s="26">
        <v>40</v>
      </c>
      <c r="I1242" s="24" t="s">
        <v>29</v>
      </c>
      <c r="J1242" s="36">
        <v>45383</v>
      </c>
      <c r="K1242" s="24" t="s">
        <v>22</v>
      </c>
    </row>
    <row r="1243" spans="1:11" x14ac:dyDescent="0.2">
      <c r="A1243" s="27" t="s">
        <v>3229</v>
      </c>
      <c r="B1243" s="27" t="s">
        <v>3230</v>
      </c>
      <c r="C1243" s="27" t="s">
        <v>134</v>
      </c>
      <c r="D1243" s="27" t="s">
        <v>17</v>
      </c>
      <c r="E1243" s="27" t="s">
        <v>18</v>
      </c>
      <c r="F1243" s="27" t="s">
        <v>19</v>
      </c>
      <c r="G1243" s="27" t="s">
        <v>20</v>
      </c>
      <c r="H1243" s="29">
        <v>18</v>
      </c>
      <c r="I1243" s="27" t="s">
        <v>21</v>
      </c>
      <c r="J1243" s="37">
        <v>45411</v>
      </c>
      <c r="K1243" s="27" t="s">
        <v>22</v>
      </c>
    </row>
    <row r="1244" spans="1:11" x14ac:dyDescent="0.2">
      <c r="A1244" s="24" t="s">
        <v>3231</v>
      </c>
      <c r="B1244" s="24" t="s">
        <v>3232</v>
      </c>
      <c r="C1244" s="24" t="s">
        <v>3233</v>
      </c>
      <c r="D1244" s="24" t="s">
        <v>17</v>
      </c>
      <c r="E1244" s="24" t="s">
        <v>48</v>
      </c>
      <c r="F1244" s="24" t="s">
        <v>49</v>
      </c>
      <c r="G1244" s="24" t="s">
        <v>28</v>
      </c>
      <c r="H1244" s="26">
        <v>58</v>
      </c>
      <c r="I1244" s="24" t="s">
        <v>29</v>
      </c>
      <c r="J1244" s="36">
        <v>45404</v>
      </c>
      <c r="K1244" s="24" t="s">
        <v>22</v>
      </c>
    </row>
    <row r="1245" spans="1:11" x14ac:dyDescent="0.2">
      <c r="A1245" s="27" t="s">
        <v>3234</v>
      </c>
      <c r="B1245" s="27" t="s">
        <v>3235</v>
      </c>
      <c r="C1245" s="27" t="s">
        <v>3236</v>
      </c>
      <c r="D1245" s="27" t="s">
        <v>17</v>
      </c>
      <c r="E1245" s="27" t="s">
        <v>33</v>
      </c>
      <c r="F1245" s="27" t="s">
        <v>34</v>
      </c>
      <c r="G1245" s="27" t="s">
        <v>44</v>
      </c>
      <c r="H1245" s="29">
        <v>636</v>
      </c>
      <c r="I1245" s="27" t="s">
        <v>29</v>
      </c>
      <c r="J1245" s="37">
        <v>45404</v>
      </c>
      <c r="K1245" s="27" t="s">
        <v>22</v>
      </c>
    </row>
    <row r="1246" spans="1:11" x14ac:dyDescent="0.2">
      <c r="A1246" s="24" t="s">
        <v>3237</v>
      </c>
      <c r="B1246" s="24" t="s">
        <v>3238</v>
      </c>
      <c r="C1246" s="24" t="s">
        <v>3239</v>
      </c>
      <c r="D1246" s="24" t="s">
        <v>17</v>
      </c>
      <c r="E1246" s="24" t="s">
        <v>18</v>
      </c>
      <c r="F1246" s="24" t="s">
        <v>19</v>
      </c>
      <c r="G1246" s="24" t="s">
        <v>28</v>
      </c>
      <c r="H1246" s="26">
        <v>8</v>
      </c>
      <c r="I1246" s="24" t="s">
        <v>29</v>
      </c>
      <c r="J1246" s="36">
        <v>45390</v>
      </c>
      <c r="K1246" s="24" t="s">
        <v>22</v>
      </c>
    </row>
    <row r="1247" spans="1:11" x14ac:dyDescent="0.2">
      <c r="A1247" s="27" t="s">
        <v>3240</v>
      </c>
      <c r="B1247" s="27" t="s">
        <v>3241</v>
      </c>
      <c r="C1247" s="27" t="s">
        <v>1769</v>
      </c>
      <c r="D1247" s="27" t="s">
        <v>17</v>
      </c>
      <c r="E1247" s="27" t="s">
        <v>18</v>
      </c>
      <c r="F1247" s="27" t="s">
        <v>19</v>
      </c>
      <c r="G1247" s="27" t="s">
        <v>20</v>
      </c>
      <c r="H1247" s="29">
        <v>9</v>
      </c>
      <c r="I1247" s="27" t="s">
        <v>21</v>
      </c>
      <c r="J1247" s="37">
        <v>45400</v>
      </c>
      <c r="K1247" s="27" t="s">
        <v>22</v>
      </c>
    </row>
    <row r="1248" spans="1:11" x14ac:dyDescent="0.2">
      <c r="A1248" s="24" t="s">
        <v>3242</v>
      </c>
      <c r="B1248" s="24" t="s">
        <v>3243</v>
      </c>
      <c r="C1248" s="24" t="s">
        <v>780</v>
      </c>
      <c r="D1248" s="24" t="s">
        <v>17</v>
      </c>
      <c r="E1248" s="24" t="s">
        <v>18</v>
      </c>
      <c r="F1248" s="24" t="s">
        <v>19</v>
      </c>
      <c r="G1248" s="24" t="s">
        <v>20</v>
      </c>
      <c r="H1248" s="26">
        <v>34</v>
      </c>
      <c r="I1248" s="24" t="s">
        <v>21</v>
      </c>
      <c r="J1248" s="36">
        <v>45397</v>
      </c>
      <c r="K1248" s="24" t="s">
        <v>22</v>
      </c>
    </row>
    <row r="1249" spans="1:11" x14ac:dyDescent="0.2">
      <c r="A1249" s="27" t="s">
        <v>3244</v>
      </c>
      <c r="B1249" s="27" t="s">
        <v>3245</v>
      </c>
      <c r="C1249" s="27" t="s">
        <v>146</v>
      </c>
      <c r="D1249" s="27" t="s">
        <v>17</v>
      </c>
      <c r="E1249" s="27" t="s">
        <v>42</v>
      </c>
      <c r="F1249" s="27" t="s">
        <v>43</v>
      </c>
      <c r="G1249" s="27" t="s">
        <v>20</v>
      </c>
      <c r="H1249" s="29">
        <v>1459</v>
      </c>
      <c r="I1249" s="27" t="s">
        <v>21</v>
      </c>
      <c r="J1249" s="37">
        <v>45411</v>
      </c>
      <c r="K1249" s="27" t="s">
        <v>22</v>
      </c>
    </row>
    <row r="1250" spans="1:11" x14ac:dyDescent="0.2">
      <c r="A1250" s="24" t="s">
        <v>3246</v>
      </c>
      <c r="B1250" s="24" t="s">
        <v>3247</v>
      </c>
      <c r="C1250" s="24" t="s">
        <v>3248</v>
      </c>
      <c r="D1250" s="24" t="s">
        <v>17</v>
      </c>
      <c r="E1250" s="24" t="s">
        <v>18</v>
      </c>
      <c r="F1250" s="24" t="s">
        <v>19</v>
      </c>
      <c r="G1250" s="24" t="s">
        <v>20</v>
      </c>
      <c r="H1250" s="26">
        <v>24</v>
      </c>
      <c r="I1250" s="24" t="s">
        <v>21</v>
      </c>
      <c r="J1250" s="36">
        <v>45398</v>
      </c>
      <c r="K1250" s="24" t="s">
        <v>22</v>
      </c>
    </row>
    <row r="1251" spans="1:11" x14ac:dyDescent="0.2">
      <c r="A1251" s="27" t="s">
        <v>3249</v>
      </c>
      <c r="B1251" s="27" t="s">
        <v>3250</v>
      </c>
      <c r="C1251" s="27" t="s">
        <v>708</v>
      </c>
      <c r="D1251" s="27" t="s">
        <v>17</v>
      </c>
      <c r="E1251" s="27" t="s">
        <v>48</v>
      </c>
      <c r="F1251" s="27" t="s">
        <v>49</v>
      </c>
      <c r="G1251" s="27" t="s">
        <v>59</v>
      </c>
      <c r="H1251" s="29">
        <v>89</v>
      </c>
      <c r="I1251" s="27" t="s">
        <v>21</v>
      </c>
      <c r="J1251" s="37">
        <v>45393</v>
      </c>
      <c r="K1251" s="27" t="s">
        <v>22</v>
      </c>
    </row>
    <row r="1252" spans="1:11" x14ac:dyDescent="0.2">
      <c r="A1252" s="24" t="s">
        <v>3251</v>
      </c>
      <c r="B1252" s="24" t="s">
        <v>3252</v>
      </c>
      <c r="C1252" s="24" t="s">
        <v>3253</v>
      </c>
      <c r="D1252" s="24" t="s">
        <v>17</v>
      </c>
      <c r="E1252" s="24" t="s">
        <v>26</v>
      </c>
      <c r="F1252" s="24" t="s">
        <v>27</v>
      </c>
      <c r="G1252" s="24" t="s">
        <v>28</v>
      </c>
      <c r="H1252" s="26">
        <v>220</v>
      </c>
      <c r="I1252" s="24" t="s">
        <v>29</v>
      </c>
      <c r="J1252" s="36">
        <v>45385</v>
      </c>
      <c r="K1252" s="24" t="s">
        <v>22</v>
      </c>
    </row>
    <row r="1253" spans="1:11" x14ac:dyDescent="0.2">
      <c r="A1253" s="27" t="s">
        <v>3254</v>
      </c>
      <c r="B1253" s="27" t="s">
        <v>3255</v>
      </c>
      <c r="C1253" s="27" t="s">
        <v>2048</v>
      </c>
      <c r="D1253" s="27" t="s">
        <v>17</v>
      </c>
      <c r="E1253" s="27" t="s">
        <v>18</v>
      </c>
      <c r="F1253" s="27" t="s">
        <v>19</v>
      </c>
      <c r="G1253" s="27" t="s">
        <v>217</v>
      </c>
      <c r="H1253" s="29">
        <v>72</v>
      </c>
      <c r="I1253" s="27" t="s">
        <v>29</v>
      </c>
      <c r="J1253" s="37">
        <v>45383</v>
      </c>
      <c r="K1253" s="27" t="s">
        <v>22</v>
      </c>
    </row>
    <row r="1254" spans="1:11" x14ac:dyDescent="0.2">
      <c r="A1254" s="24" t="s">
        <v>3256</v>
      </c>
      <c r="B1254" s="24" t="s">
        <v>3257</v>
      </c>
      <c r="C1254" s="24" t="s">
        <v>146</v>
      </c>
      <c r="D1254" s="24" t="s">
        <v>17</v>
      </c>
      <c r="E1254" s="24" t="s">
        <v>26</v>
      </c>
      <c r="F1254" s="24" t="s">
        <v>27</v>
      </c>
      <c r="G1254" s="24" t="s">
        <v>20</v>
      </c>
      <c r="H1254" s="26">
        <v>991</v>
      </c>
      <c r="I1254" s="24" t="s">
        <v>21</v>
      </c>
      <c r="J1254" s="36">
        <v>45400</v>
      </c>
      <c r="K1254" s="24" t="s">
        <v>22</v>
      </c>
    </row>
    <row r="1255" spans="1:11" x14ac:dyDescent="0.2">
      <c r="A1255" s="27" t="s">
        <v>3258</v>
      </c>
      <c r="B1255" s="27" t="s">
        <v>3259</v>
      </c>
      <c r="C1255" s="27" t="s">
        <v>3260</v>
      </c>
      <c r="D1255" s="27" t="s">
        <v>17</v>
      </c>
      <c r="E1255" s="27" t="s">
        <v>26</v>
      </c>
      <c r="F1255" s="27" t="s">
        <v>27</v>
      </c>
      <c r="G1255" s="27" t="s">
        <v>217</v>
      </c>
      <c r="H1255" s="29">
        <v>166</v>
      </c>
      <c r="I1255" s="27" t="s">
        <v>29</v>
      </c>
      <c r="J1255" s="37">
        <v>45397</v>
      </c>
      <c r="K1255" s="27" t="s">
        <v>22</v>
      </c>
    </row>
    <row r="1256" spans="1:11" x14ac:dyDescent="0.2">
      <c r="A1256" s="24" t="s">
        <v>3261</v>
      </c>
      <c r="B1256" s="24" t="s">
        <v>3262</v>
      </c>
      <c r="C1256" s="24" t="s">
        <v>3263</v>
      </c>
      <c r="D1256" s="24" t="s">
        <v>17</v>
      </c>
      <c r="E1256" s="24" t="s">
        <v>48</v>
      </c>
      <c r="F1256" s="24" t="s">
        <v>49</v>
      </c>
      <c r="G1256" s="24" t="s">
        <v>38</v>
      </c>
      <c r="H1256" s="26">
        <v>30</v>
      </c>
      <c r="I1256" s="24" t="s">
        <v>29</v>
      </c>
      <c r="J1256" s="36">
        <v>45383</v>
      </c>
      <c r="K1256" s="24" t="s">
        <v>22</v>
      </c>
    </row>
    <row r="1257" spans="1:11" x14ac:dyDescent="0.2">
      <c r="A1257" s="27" t="s">
        <v>3264</v>
      </c>
      <c r="B1257" s="27" t="s">
        <v>3265</v>
      </c>
      <c r="C1257" s="27" t="s">
        <v>3266</v>
      </c>
      <c r="D1257" s="27" t="s">
        <v>17</v>
      </c>
      <c r="E1257" s="27" t="s">
        <v>18</v>
      </c>
      <c r="F1257" s="27" t="s">
        <v>19</v>
      </c>
      <c r="G1257" s="27" t="s">
        <v>44</v>
      </c>
      <c r="H1257" s="29">
        <v>120</v>
      </c>
      <c r="I1257" s="27" t="s">
        <v>29</v>
      </c>
      <c r="J1257" s="37">
        <v>45386</v>
      </c>
      <c r="K1257" s="27" t="s">
        <v>22</v>
      </c>
    </row>
    <row r="1258" spans="1:11" x14ac:dyDescent="0.2">
      <c r="A1258" s="24" t="s">
        <v>3267</v>
      </c>
      <c r="B1258" s="24" t="s">
        <v>3268</v>
      </c>
      <c r="C1258" s="24" t="s">
        <v>3269</v>
      </c>
      <c r="D1258" s="24" t="s">
        <v>17</v>
      </c>
      <c r="E1258" s="24" t="s">
        <v>18</v>
      </c>
      <c r="F1258" s="24" t="s">
        <v>19</v>
      </c>
      <c r="G1258" s="24" t="s">
        <v>28</v>
      </c>
      <c r="H1258" s="26">
        <v>108</v>
      </c>
      <c r="I1258" s="24" t="s">
        <v>29</v>
      </c>
      <c r="J1258" s="36">
        <v>45390</v>
      </c>
      <c r="K1258" s="24" t="s">
        <v>22</v>
      </c>
    </row>
    <row r="1259" spans="1:11" x14ac:dyDescent="0.2">
      <c r="A1259" s="27" t="s">
        <v>3270</v>
      </c>
      <c r="B1259" s="27" t="s">
        <v>3271</v>
      </c>
      <c r="C1259" s="27" t="s">
        <v>3272</v>
      </c>
      <c r="D1259" s="27" t="s">
        <v>17</v>
      </c>
      <c r="E1259" s="27" t="s">
        <v>81</v>
      </c>
      <c r="F1259" s="27" t="s">
        <v>82</v>
      </c>
      <c r="G1259" s="27" t="s">
        <v>20</v>
      </c>
      <c r="H1259" s="29">
        <v>20</v>
      </c>
      <c r="I1259" s="27" t="s">
        <v>21</v>
      </c>
      <c r="J1259" s="37">
        <v>45411</v>
      </c>
      <c r="K1259" s="27" t="s">
        <v>22</v>
      </c>
    </row>
    <row r="1260" spans="1:11" x14ac:dyDescent="0.2">
      <c r="A1260" s="24" t="s">
        <v>3273</v>
      </c>
      <c r="B1260" s="24" t="s">
        <v>3274</v>
      </c>
      <c r="C1260" s="24" t="s">
        <v>301</v>
      </c>
      <c r="D1260" s="24" t="s">
        <v>17</v>
      </c>
      <c r="E1260" s="24" t="s">
        <v>42</v>
      </c>
      <c r="F1260" s="24" t="s">
        <v>43</v>
      </c>
      <c r="G1260" s="24" t="s">
        <v>44</v>
      </c>
      <c r="H1260" s="26">
        <v>272</v>
      </c>
      <c r="I1260" s="24" t="s">
        <v>21</v>
      </c>
      <c r="J1260" s="36">
        <v>45391</v>
      </c>
      <c r="K1260" s="24" t="s">
        <v>22</v>
      </c>
    </row>
    <row r="1261" spans="1:11" x14ac:dyDescent="0.2">
      <c r="A1261" s="27" t="s">
        <v>3275</v>
      </c>
      <c r="B1261" s="27" t="s">
        <v>3276</v>
      </c>
      <c r="C1261" s="27" t="s">
        <v>68</v>
      </c>
      <c r="D1261" s="27" t="s">
        <v>17</v>
      </c>
      <c r="E1261" s="27" t="s">
        <v>48</v>
      </c>
      <c r="F1261" s="27" t="s">
        <v>49</v>
      </c>
      <c r="G1261" s="27" t="s">
        <v>217</v>
      </c>
      <c r="H1261" s="29">
        <v>105</v>
      </c>
      <c r="I1261" s="27" t="s">
        <v>29</v>
      </c>
      <c r="J1261" s="37">
        <v>45383</v>
      </c>
      <c r="K1261" s="27" t="s">
        <v>22</v>
      </c>
    </row>
    <row r="1262" spans="1:11" x14ac:dyDescent="0.2">
      <c r="A1262" s="24" t="s">
        <v>3277</v>
      </c>
      <c r="B1262" s="24" t="s">
        <v>3278</v>
      </c>
      <c r="C1262" s="24" t="s">
        <v>1158</v>
      </c>
      <c r="D1262" s="24" t="s">
        <v>17</v>
      </c>
      <c r="E1262" s="24" t="s">
        <v>42</v>
      </c>
      <c r="F1262" s="24" t="s">
        <v>43</v>
      </c>
      <c r="G1262" s="24" t="s">
        <v>44</v>
      </c>
      <c r="H1262" s="26">
        <v>119</v>
      </c>
      <c r="I1262" s="24" t="s">
        <v>21</v>
      </c>
      <c r="J1262" s="36">
        <v>45398</v>
      </c>
      <c r="K1262" s="24" t="s">
        <v>22</v>
      </c>
    </row>
    <row r="1263" spans="1:11" x14ac:dyDescent="0.2">
      <c r="A1263" s="27" t="s">
        <v>3279</v>
      </c>
      <c r="B1263" s="27" t="s">
        <v>3280</v>
      </c>
      <c r="C1263" s="27" t="s">
        <v>3281</v>
      </c>
      <c r="D1263" s="27" t="s">
        <v>17</v>
      </c>
      <c r="E1263" s="27" t="s">
        <v>81</v>
      </c>
      <c r="F1263" s="27" t="s">
        <v>82</v>
      </c>
      <c r="G1263" s="27" t="s">
        <v>28</v>
      </c>
      <c r="H1263" s="29">
        <v>50</v>
      </c>
      <c r="I1263" s="27" t="s">
        <v>29</v>
      </c>
      <c r="J1263" s="37">
        <v>45383</v>
      </c>
      <c r="K1263" s="27" t="s">
        <v>22</v>
      </c>
    </row>
    <row r="1264" spans="1:11" x14ac:dyDescent="0.2">
      <c r="A1264" s="24" t="s">
        <v>3282</v>
      </c>
      <c r="B1264" s="24" t="s">
        <v>3283</v>
      </c>
      <c r="C1264" s="24" t="s">
        <v>3284</v>
      </c>
      <c r="D1264" s="24" t="s">
        <v>17</v>
      </c>
      <c r="E1264" s="24" t="s">
        <v>18</v>
      </c>
      <c r="F1264" s="24" t="s">
        <v>19</v>
      </c>
      <c r="G1264" s="24" t="s">
        <v>28</v>
      </c>
      <c r="H1264" s="26">
        <v>36</v>
      </c>
      <c r="I1264" s="24" t="s">
        <v>29</v>
      </c>
      <c r="J1264" s="36">
        <v>45405</v>
      </c>
      <c r="K1264" s="24" t="s">
        <v>22</v>
      </c>
    </row>
    <row r="1265" spans="1:11" x14ac:dyDescent="0.2">
      <c r="A1265" s="27" t="s">
        <v>3285</v>
      </c>
      <c r="B1265" s="27" t="s">
        <v>3286</v>
      </c>
      <c r="C1265" s="27" t="s">
        <v>1518</v>
      </c>
      <c r="D1265" s="27" t="s">
        <v>17</v>
      </c>
      <c r="E1265" s="27" t="s">
        <v>18</v>
      </c>
      <c r="F1265" s="27" t="s">
        <v>19</v>
      </c>
      <c r="G1265" s="27" t="s">
        <v>28</v>
      </c>
      <c r="H1265" s="29">
        <v>162</v>
      </c>
      <c r="I1265" s="27" t="s">
        <v>29</v>
      </c>
      <c r="J1265" s="37">
        <v>45399</v>
      </c>
      <c r="K1265" s="27" t="s">
        <v>22</v>
      </c>
    </row>
    <row r="1266" spans="1:11" x14ac:dyDescent="0.2">
      <c r="A1266" s="24" t="s">
        <v>3287</v>
      </c>
      <c r="B1266" s="24" t="s">
        <v>3288</v>
      </c>
      <c r="C1266" s="24" t="s">
        <v>3289</v>
      </c>
      <c r="D1266" s="24" t="s">
        <v>17</v>
      </c>
      <c r="E1266" s="24" t="s">
        <v>18</v>
      </c>
      <c r="F1266" s="24" t="s">
        <v>19</v>
      </c>
      <c r="G1266" s="24" t="s">
        <v>28</v>
      </c>
      <c r="H1266" s="26">
        <v>96</v>
      </c>
      <c r="I1266" s="24" t="s">
        <v>29</v>
      </c>
      <c r="J1266" s="36">
        <v>45392</v>
      </c>
      <c r="K1266" s="24" t="s">
        <v>22</v>
      </c>
    </row>
    <row r="1267" spans="1:11" x14ac:dyDescent="0.2">
      <c r="A1267" s="27" t="s">
        <v>3290</v>
      </c>
      <c r="B1267" s="27" t="s">
        <v>3291</v>
      </c>
      <c r="C1267" s="27" t="s">
        <v>592</v>
      </c>
      <c r="D1267" s="27" t="s">
        <v>17</v>
      </c>
      <c r="E1267" s="27" t="s">
        <v>26</v>
      </c>
      <c r="F1267" s="27" t="s">
        <v>27</v>
      </c>
      <c r="G1267" s="27" t="s">
        <v>38</v>
      </c>
      <c r="H1267" s="29">
        <v>26</v>
      </c>
      <c r="I1267" s="27" t="s">
        <v>29</v>
      </c>
      <c r="J1267" s="37">
        <v>45383</v>
      </c>
      <c r="K1267" s="27" t="s">
        <v>22</v>
      </c>
    </row>
    <row r="1268" spans="1:11" x14ac:dyDescent="0.2">
      <c r="A1268" s="24" t="s">
        <v>3292</v>
      </c>
      <c r="B1268" s="24" t="s">
        <v>3293</v>
      </c>
      <c r="C1268" s="24" t="s">
        <v>128</v>
      </c>
      <c r="D1268" s="24" t="s">
        <v>17</v>
      </c>
      <c r="E1268" s="24" t="s">
        <v>81</v>
      </c>
      <c r="F1268" s="24" t="s">
        <v>82</v>
      </c>
      <c r="G1268" s="24" t="s">
        <v>116</v>
      </c>
      <c r="H1268" s="26">
        <v>0</v>
      </c>
      <c r="I1268" s="24" t="s">
        <v>21</v>
      </c>
      <c r="J1268" s="36">
        <v>45408</v>
      </c>
      <c r="K1268" s="24" t="s">
        <v>22</v>
      </c>
    </row>
    <row r="1269" spans="1:11" x14ac:dyDescent="0.2">
      <c r="A1269" s="27" t="s">
        <v>3294</v>
      </c>
      <c r="B1269" s="27" t="s">
        <v>3295</v>
      </c>
      <c r="C1269" s="27" t="s">
        <v>3296</v>
      </c>
      <c r="D1269" s="27" t="s">
        <v>17</v>
      </c>
      <c r="E1269" s="27" t="s">
        <v>18</v>
      </c>
      <c r="F1269" s="27" t="s">
        <v>19</v>
      </c>
      <c r="G1269" s="27" t="s">
        <v>28</v>
      </c>
      <c r="H1269" s="29">
        <v>100</v>
      </c>
      <c r="I1269" s="27" t="s">
        <v>29</v>
      </c>
      <c r="J1269" s="37">
        <v>45383</v>
      </c>
      <c r="K1269" s="27" t="s">
        <v>22</v>
      </c>
    </row>
    <row r="1270" spans="1:11" x14ac:dyDescent="0.2">
      <c r="A1270" s="24" t="s">
        <v>3297</v>
      </c>
      <c r="B1270" s="24" t="s">
        <v>3298</v>
      </c>
      <c r="C1270" s="24" t="s">
        <v>3299</v>
      </c>
      <c r="D1270" s="24" t="s">
        <v>17</v>
      </c>
      <c r="E1270" s="24" t="s">
        <v>42</v>
      </c>
      <c r="F1270" s="24" t="s">
        <v>43</v>
      </c>
      <c r="G1270" s="24" t="s">
        <v>257</v>
      </c>
      <c r="H1270" s="26">
        <v>218</v>
      </c>
      <c r="I1270" s="24" t="s">
        <v>21</v>
      </c>
      <c r="J1270" s="36">
        <v>45411</v>
      </c>
      <c r="K1270" s="24" t="s">
        <v>22</v>
      </c>
    </row>
    <row r="1271" spans="1:11" x14ac:dyDescent="0.2">
      <c r="A1271" s="27" t="s">
        <v>3300</v>
      </c>
      <c r="B1271" s="27" t="s">
        <v>3301</v>
      </c>
      <c r="C1271" s="27" t="s">
        <v>1083</v>
      </c>
      <c r="D1271" s="27" t="s">
        <v>17</v>
      </c>
      <c r="E1271" s="27" t="s">
        <v>81</v>
      </c>
      <c r="F1271" s="27" t="s">
        <v>82</v>
      </c>
      <c r="G1271" s="27" t="s">
        <v>20</v>
      </c>
      <c r="H1271" s="29">
        <v>97</v>
      </c>
      <c r="I1271" s="27" t="s">
        <v>21</v>
      </c>
      <c r="J1271" s="37">
        <v>45412</v>
      </c>
      <c r="K1271" s="27" t="s">
        <v>22</v>
      </c>
    </row>
    <row r="1272" spans="1:11" x14ac:dyDescent="0.2">
      <c r="A1272" s="24" t="s">
        <v>3302</v>
      </c>
      <c r="B1272" s="24" t="s">
        <v>3303</v>
      </c>
      <c r="C1272" s="24" t="s">
        <v>3304</v>
      </c>
      <c r="D1272" s="24" t="s">
        <v>17</v>
      </c>
      <c r="E1272" s="24" t="s">
        <v>18</v>
      </c>
      <c r="F1272" s="24" t="s">
        <v>19</v>
      </c>
      <c r="G1272" s="24" t="s">
        <v>20</v>
      </c>
      <c r="H1272" s="26">
        <v>24</v>
      </c>
      <c r="I1272" s="24" t="s">
        <v>21</v>
      </c>
      <c r="J1272" s="36">
        <v>45412</v>
      </c>
      <c r="K1272" s="24" t="s">
        <v>22</v>
      </c>
    </row>
    <row r="1273" spans="1:11" x14ac:dyDescent="0.2">
      <c r="A1273" s="27" t="s">
        <v>3305</v>
      </c>
      <c r="B1273" s="27" t="s">
        <v>3306</v>
      </c>
      <c r="C1273" s="27" t="s">
        <v>1033</v>
      </c>
      <c r="D1273" s="27" t="s">
        <v>17</v>
      </c>
      <c r="E1273" s="27" t="s">
        <v>48</v>
      </c>
      <c r="F1273" s="27" t="s">
        <v>49</v>
      </c>
      <c r="G1273" s="27" t="s">
        <v>20</v>
      </c>
      <c r="H1273" s="29">
        <v>80</v>
      </c>
      <c r="I1273" s="27" t="s">
        <v>21</v>
      </c>
      <c r="J1273" s="37">
        <v>45393</v>
      </c>
      <c r="K1273" s="27" t="s">
        <v>22</v>
      </c>
    </row>
    <row r="1274" spans="1:11" x14ac:dyDescent="0.2">
      <c r="A1274" s="24" t="s">
        <v>3307</v>
      </c>
      <c r="B1274" s="24" t="s">
        <v>3308</v>
      </c>
      <c r="C1274" s="24" t="s">
        <v>595</v>
      </c>
      <c r="D1274" s="24" t="s">
        <v>17</v>
      </c>
      <c r="E1274" s="24" t="s">
        <v>18</v>
      </c>
      <c r="F1274" s="24" t="s">
        <v>19</v>
      </c>
      <c r="G1274" s="24" t="s">
        <v>20</v>
      </c>
      <c r="H1274" s="26">
        <v>87</v>
      </c>
      <c r="I1274" s="24" t="s">
        <v>21</v>
      </c>
      <c r="J1274" s="36">
        <v>45391</v>
      </c>
      <c r="K1274" s="24" t="s">
        <v>22</v>
      </c>
    </row>
    <row r="1275" spans="1:11" x14ac:dyDescent="0.2">
      <c r="A1275" s="27" t="s">
        <v>3309</v>
      </c>
      <c r="B1275" s="27" t="s">
        <v>3310</v>
      </c>
      <c r="C1275" s="27" t="s">
        <v>526</v>
      </c>
      <c r="D1275" s="27" t="s">
        <v>17</v>
      </c>
      <c r="E1275" s="27" t="s">
        <v>42</v>
      </c>
      <c r="F1275" s="27" t="s">
        <v>43</v>
      </c>
      <c r="G1275" s="27" t="s">
        <v>44</v>
      </c>
      <c r="H1275" s="29">
        <v>301</v>
      </c>
      <c r="I1275" s="27" t="s">
        <v>21</v>
      </c>
      <c r="J1275" s="37">
        <v>45406</v>
      </c>
      <c r="K1275" s="27" t="s">
        <v>22</v>
      </c>
    </row>
    <row r="1276" spans="1:11" x14ac:dyDescent="0.2">
      <c r="A1276" s="24" t="s">
        <v>3311</v>
      </c>
      <c r="B1276" s="24" t="s">
        <v>3312</v>
      </c>
      <c r="C1276" s="24" t="s">
        <v>55</v>
      </c>
      <c r="D1276" s="24" t="s">
        <v>17</v>
      </c>
      <c r="E1276" s="24" t="s">
        <v>18</v>
      </c>
      <c r="F1276" s="24" t="s">
        <v>19</v>
      </c>
      <c r="G1276" s="24" t="s">
        <v>20</v>
      </c>
      <c r="H1276" s="26">
        <v>37</v>
      </c>
      <c r="I1276" s="24" t="s">
        <v>21</v>
      </c>
      <c r="J1276" s="36">
        <v>45405</v>
      </c>
      <c r="K1276" s="24" t="s">
        <v>22</v>
      </c>
    </row>
    <row r="1277" spans="1:11" x14ac:dyDescent="0.2">
      <c r="A1277" s="27" t="s">
        <v>3313</v>
      </c>
      <c r="B1277" s="27" t="s">
        <v>3314</v>
      </c>
      <c r="C1277" s="27" t="s">
        <v>2657</v>
      </c>
      <c r="D1277" s="27" t="s">
        <v>17</v>
      </c>
      <c r="E1277" s="27" t="s">
        <v>42</v>
      </c>
      <c r="F1277" s="27" t="s">
        <v>43</v>
      </c>
      <c r="G1277" s="27" t="s">
        <v>28</v>
      </c>
      <c r="H1277" s="29">
        <v>430</v>
      </c>
      <c r="I1277" s="27" t="s">
        <v>29</v>
      </c>
      <c r="J1277" s="37">
        <v>45408</v>
      </c>
      <c r="K1277" s="27" t="s">
        <v>22</v>
      </c>
    </row>
    <row r="1278" spans="1:11" x14ac:dyDescent="0.2">
      <c r="A1278" s="24" t="s">
        <v>3315</v>
      </c>
      <c r="B1278" s="24" t="s">
        <v>3316</v>
      </c>
      <c r="C1278" s="24" t="s">
        <v>1687</v>
      </c>
      <c r="D1278" s="24" t="s">
        <v>17</v>
      </c>
      <c r="E1278" s="24" t="s">
        <v>42</v>
      </c>
      <c r="F1278" s="24" t="s">
        <v>43</v>
      </c>
      <c r="G1278" s="24" t="s">
        <v>28</v>
      </c>
      <c r="H1278" s="26">
        <v>450</v>
      </c>
      <c r="I1278" s="24" t="s">
        <v>29</v>
      </c>
      <c r="J1278" s="36">
        <v>45408</v>
      </c>
      <c r="K1278" s="24" t="s">
        <v>22</v>
      </c>
    </row>
    <row r="1279" spans="1:11" x14ac:dyDescent="0.2">
      <c r="A1279" s="27" t="s">
        <v>3317</v>
      </c>
      <c r="B1279" s="27" t="s">
        <v>3318</v>
      </c>
      <c r="C1279" s="27" t="s">
        <v>91</v>
      </c>
      <c r="D1279" s="27" t="s">
        <v>17</v>
      </c>
      <c r="E1279" s="27" t="s">
        <v>42</v>
      </c>
      <c r="F1279" s="27" t="s">
        <v>43</v>
      </c>
      <c r="G1279" s="27" t="s">
        <v>217</v>
      </c>
      <c r="H1279" s="29">
        <v>398</v>
      </c>
      <c r="I1279" s="27" t="s">
        <v>29</v>
      </c>
      <c r="J1279" s="37">
        <v>45408</v>
      </c>
      <c r="K1279" s="27" t="s">
        <v>22</v>
      </c>
    </row>
    <row r="1280" spans="1:11" x14ac:dyDescent="0.2">
      <c r="A1280" s="24" t="s">
        <v>3319</v>
      </c>
      <c r="B1280" s="24" t="s">
        <v>3320</v>
      </c>
      <c r="C1280" s="24" t="s">
        <v>3321</v>
      </c>
      <c r="D1280" s="24" t="s">
        <v>17</v>
      </c>
      <c r="E1280" s="24" t="s">
        <v>18</v>
      </c>
      <c r="F1280" s="24" t="s">
        <v>19</v>
      </c>
      <c r="G1280" s="24" t="s">
        <v>44</v>
      </c>
      <c r="H1280" s="26">
        <v>48</v>
      </c>
      <c r="I1280" s="24" t="s">
        <v>29</v>
      </c>
      <c r="J1280" s="36">
        <v>45398</v>
      </c>
      <c r="K1280" s="24" t="s">
        <v>22</v>
      </c>
    </row>
    <row r="1281" spans="1:11" x14ac:dyDescent="0.2">
      <c r="A1281" s="27" t="s">
        <v>3322</v>
      </c>
      <c r="B1281" s="27" t="s">
        <v>3323</v>
      </c>
      <c r="C1281" s="27" t="s">
        <v>251</v>
      </c>
      <c r="D1281" s="27" t="s">
        <v>17</v>
      </c>
      <c r="E1281" s="27" t="s">
        <v>42</v>
      </c>
      <c r="F1281" s="27" t="s">
        <v>43</v>
      </c>
      <c r="G1281" s="27" t="s">
        <v>44</v>
      </c>
      <c r="H1281" s="29">
        <v>422</v>
      </c>
      <c r="I1281" s="27" t="s">
        <v>21</v>
      </c>
      <c r="J1281" s="37">
        <v>45406</v>
      </c>
      <c r="K1281" s="27" t="s">
        <v>22</v>
      </c>
    </row>
    <row r="1282" spans="1:11" x14ac:dyDescent="0.2">
      <c r="A1282" s="24" t="s">
        <v>3324</v>
      </c>
      <c r="B1282" s="24" t="s">
        <v>3325</v>
      </c>
      <c r="C1282" s="24" t="s">
        <v>395</v>
      </c>
      <c r="D1282" s="24" t="s">
        <v>17</v>
      </c>
      <c r="E1282" s="24" t="s">
        <v>26</v>
      </c>
      <c r="F1282" s="24" t="s">
        <v>27</v>
      </c>
      <c r="G1282" s="24" t="s">
        <v>38</v>
      </c>
      <c r="H1282" s="26">
        <v>85</v>
      </c>
      <c r="I1282" s="24" t="s">
        <v>29</v>
      </c>
      <c r="J1282" s="36">
        <v>45397</v>
      </c>
      <c r="K1282" s="24" t="s">
        <v>22</v>
      </c>
    </row>
    <row r="1283" spans="1:11" x14ac:dyDescent="0.2">
      <c r="A1283" s="27" t="s">
        <v>3326</v>
      </c>
      <c r="B1283" s="27" t="s">
        <v>3327</v>
      </c>
      <c r="C1283" s="27" t="s">
        <v>106</v>
      </c>
      <c r="D1283" s="27" t="s">
        <v>17</v>
      </c>
      <c r="E1283" s="27" t="s">
        <v>18</v>
      </c>
      <c r="F1283" s="27" t="s">
        <v>19</v>
      </c>
      <c r="G1283" s="27" t="s">
        <v>20</v>
      </c>
      <c r="H1283" s="29">
        <v>23</v>
      </c>
      <c r="I1283" s="27" t="s">
        <v>21</v>
      </c>
      <c r="J1283" s="37">
        <v>45412</v>
      </c>
      <c r="K1283" s="27" t="s">
        <v>22</v>
      </c>
    </row>
    <row r="1284" spans="1:11" x14ac:dyDescent="0.2">
      <c r="A1284" s="24" t="s">
        <v>3328</v>
      </c>
      <c r="B1284" s="24" t="s">
        <v>3329</v>
      </c>
      <c r="C1284" s="24" t="s">
        <v>146</v>
      </c>
      <c r="D1284" s="24" t="s">
        <v>17</v>
      </c>
      <c r="E1284" s="24" t="s">
        <v>18</v>
      </c>
      <c r="F1284" s="24" t="s">
        <v>19</v>
      </c>
      <c r="G1284" s="24" t="s">
        <v>20</v>
      </c>
      <c r="H1284" s="26">
        <v>20</v>
      </c>
      <c r="I1284" s="24" t="s">
        <v>21</v>
      </c>
      <c r="J1284" s="36">
        <v>45387</v>
      </c>
      <c r="K1284" s="24" t="s">
        <v>22</v>
      </c>
    </row>
    <row r="1285" spans="1:11" x14ac:dyDescent="0.2">
      <c r="A1285" s="27" t="s">
        <v>3330</v>
      </c>
      <c r="B1285" s="27" t="s">
        <v>3331</v>
      </c>
      <c r="C1285" s="27" t="s">
        <v>687</v>
      </c>
      <c r="D1285" s="27" t="s">
        <v>17</v>
      </c>
      <c r="E1285" s="27" t="s">
        <v>42</v>
      </c>
      <c r="F1285" s="27" t="s">
        <v>43</v>
      </c>
      <c r="G1285" s="27" t="s">
        <v>28</v>
      </c>
      <c r="H1285" s="29">
        <v>680</v>
      </c>
      <c r="I1285" s="27" t="s">
        <v>29</v>
      </c>
      <c r="J1285" s="37">
        <v>45383</v>
      </c>
      <c r="K1285" s="27" t="s">
        <v>22</v>
      </c>
    </row>
    <row r="1286" spans="1:11" x14ac:dyDescent="0.2">
      <c r="A1286" s="24" t="s">
        <v>3332</v>
      </c>
      <c r="B1286" s="24" t="s">
        <v>3333</v>
      </c>
      <c r="C1286" s="24" t="s">
        <v>325</v>
      </c>
      <c r="D1286" s="24" t="s">
        <v>17</v>
      </c>
      <c r="E1286" s="24" t="s">
        <v>48</v>
      </c>
      <c r="F1286" s="24" t="s">
        <v>49</v>
      </c>
      <c r="G1286" s="24" t="s">
        <v>20</v>
      </c>
      <c r="H1286" s="26">
        <v>106</v>
      </c>
      <c r="I1286" s="24" t="s">
        <v>21</v>
      </c>
      <c r="J1286" s="36">
        <v>45400</v>
      </c>
      <c r="K1286" s="24" t="s">
        <v>22</v>
      </c>
    </row>
    <row r="1287" spans="1:11" x14ac:dyDescent="0.2">
      <c r="A1287" s="27" t="s">
        <v>3334</v>
      </c>
      <c r="B1287" s="27" t="s">
        <v>3335</v>
      </c>
      <c r="C1287" s="27" t="s">
        <v>3336</v>
      </c>
      <c r="D1287" s="27" t="s">
        <v>17</v>
      </c>
      <c r="E1287" s="27" t="s">
        <v>42</v>
      </c>
      <c r="F1287" s="27" t="s">
        <v>43</v>
      </c>
      <c r="G1287" s="27" t="s">
        <v>59</v>
      </c>
      <c r="H1287" s="29">
        <v>477</v>
      </c>
      <c r="I1287" s="27" t="s">
        <v>21</v>
      </c>
      <c r="J1287" s="37">
        <v>45404</v>
      </c>
      <c r="K1287" s="27" t="s">
        <v>22</v>
      </c>
    </row>
    <row r="1288" spans="1:11" x14ac:dyDescent="0.2">
      <c r="A1288" s="24" t="s">
        <v>3337</v>
      </c>
      <c r="B1288" s="24" t="s">
        <v>3338</v>
      </c>
      <c r="C1288" s="24" t="s">
        <v>325</v>
      </c>
      <c r="D1288" s="24" t="s">
        <v>17</v>
      </c>
      <c r="E1288" s="24" t="s">
        <v>18</v>
      </c>
      <c r="F1288" s="24" t="s">
        <v>19</v>
      </c>
      <c r="G1288" s="24" t="s">
        <v>20</v>
      </c>
      <c r="H1288" s="26">
        <v>15</v>
      </c>
      <c r="I1288" s="24" t="s">
        <v>21</v>
      </c>
      <c r="J1288" s="36">
        <v>45399</v>
      </c>
      <c r="K1288" s="24" t="s">
        <v>22</v>
      </c>
    </row>
    <row r="1289" spans="1:11" x14ac:dyDescent="0.2">
      <c r="A1289" s="27" t="s">
        <v>3339</v>
      </c>
      <c r="B1289" s="27" t="s">
        <v>3340</v>
      </c>
      <c r="C1289" s="27" t="s">
        <v>260</v>
      </c>
      <c r="D1289" s="27" t="s">
        <v>17</v>
      </c>
      <c r="E1289" s="27" t="s">
        <v>26</v>
      </c>
      <c r="F1289" s="27" t="s">
        <v>27</v>
      </c>
      <c r="G1289" s="27" t="s">
        <v>28</v>
      </c>
      <c r="H1289" s="29">
        <v>260</v>
      </c>
      <c r="I1289" s="27" t="s">
        <v>29</v>
      </c>
      <c r="J1289" s="37">
        <v>45387</v>
      </c>
      <c r="K1289" s="27" t="s">
        <v>22</v>
      </c>
    </row>
    <row r="1290" spans="1:11" x14ac:dyDescent="0.2">
      <c r="A1290" s="24" t="s">
        <v>3341</v>
      </c>
      <c r="B1290" s="24" t="s">
        <v>3342</v>
      </c>
      <c r="C1290" s="24" t="s">
        <v>325</v>
      </c>
      <c r="D1290" s="24" t="s">
        <v>17</v>
      </c>
      <c r="E1290" s="24" t="s">
        <v>18</v>
      </c>
      <c r="F1290" s="24" t="s">
        <v>19</v>
      </c>
      <c r="G1290" s="24" t="s">
        <v>20</v>
      </c>
      <c r="H1290" s="26">
        <v>30</v>
      </c>
      <c r="I1290" s="24" t="s">
        <v>21</v>
      </c>
      <c r="J1290" s="36">
        <v>45392</v>
      </c>
      <c r="K1290" s="24" t="s">
        <v>22</v>
      </c>
    </row>
    <row r="1291" spans="1:11" x14ac:dyDescent="0.2">
      <c r="A1291" s="27" t="s">
        <v>3343</v>
      </c>
      <c r="B1291" s="27" t="s">
        <v>3344</v>
      </c>
      <c r="C1291" s="27" t="s">
        <v>3116</v>
      </c>
      <c r="D1291" s="27" t="s">
        <v>17</v>
      </c>
      <c r="E1291" s="27" t="s">
        <v>48</v>
      </c>
      <c r="F1291" s="27" t="s">
        <v>49</v>
      </c>
      <c r="G1291" s="27" t="s">
        <v>44</v>
      </c>
      <c r="H1291" s="29">
        <v>992</v>
      </c>
      <c r="I1291" s="27" t="s">
        <v>29</v>
      </c>
      <c r="J1291" s="37">
        <v>45402</v>
      </c>
      <c r="K1291" s="27" t="s">
        <v>22</v>
      </c>
    </row>
    <row r="1292" spans="1:11" x14ac:dyDescent="0.2">
      <c r="A1292" s="24" t="s">
        <v>3345</v>
      </c>
      <c r="B1292" s="24" t="s">
        <v>3346</v>
      </c>
      <c r="C1292" s="24" t="s">
        <v>140</v>
      </c>
      <c r="D1292" s="24" t="s">
        <v>17</v>
      </c>
      <c r="E1292" s="24" t="s">
        <v>42</v>
      </c>
      <c r="F1292" s="24" t="s">
        <v>43</v>
      </c>
      <c r="G1292" s="24" t="s">
        <v>20</v>
      </c>
      <c r="H1292" s="26">
        <v>190</v>
      </c>
      <c r="I1292" s="24" t="s">
        <v>21</v>
      </c>
      <c r="J1292" s="36">
        <v>45389</v>
      </c>
      <c r="K1292" s="24" t="s">
        <v>22</v>
      </c>
    </row>
    <row r="1293" spans="1:11" x14ac:dyDescent="0.2">
      <c r="A1293" s="27" t="s">
        <v>3347</v>
      </c>
      <c r="B1293" s="27" t="s">
        <v>3348</v>
      </c>
      <c r="C1293" s="27" t="s">
        <v>641</v>
      </c>
      <c r="D1293" s="27" t="s">
        <v>17</v>
      </c>
      <c r="E1293" s="27" t="s">
        <v>33</v>
      </c>
      <c r="F1293" s="27" t="s">
        <v>34</v>
      </c>
      <c r="G1293" s="27" t="s">
        <v>59</v>
      </c>
      <c r="H1293" s="29">
        <v>43</v>
      </c>
      <c r="I1293" s="27" t="s">
        <v>21</v>
      </c>
      <c r="J1293" s="37">
        <v>45404</v>
      </c>
      <c r="K1293" s="27" t="s">
        <v>22</v>
      </c>
    </row>
    <row r="1294" spans="1:11" x14ac:dyDescent="0.2">
      <c r="A1294" s="24" t="s">
        <v>3349</v>
      </c>
      <c r="B1294" s="24" t="s">
        <v>3350</v>
      </c>
      <c r="C1294" s="24" t="s">
        <v>3351</v>
      </c>
      <c r="D1294" s="24" t="s">
        <v>17</v>
      </c>
      <c r="E1294" s="24" t="s">
        <v>42</v>
      </c>
      <c r="F1294" s="24" t="s">
        <v>43</v>
      </c>
      <c r="G1294" s="24" t="s">
        <v>217</v>
      </c>
      <c r="H1294" s="26">
        <v>478</v>
      </c>
      <c r="I1294" s="24" t="s">
        <v>29</v>
      </c>
      <c r="J1294" s="36">
        <v>45383</v>
      </c>
      <c r="K1294" s="24" t="s">
        <v>22</v>
      </c>
    </row>
    <row r="1295" spans="1:11" x14ac:dyDescent="0.2">
      <c r="A1295" s="27" t="s">
        <v>3352</v>
      </c>
      <c r="B1295" s="27" t="s">
        <v>3353</v>
      </c>
      <c r="C1295" s="27" t="s">
        <v>500</v>
      </c>
      <c r="D1295" s="27" t="s">
        <v>17</v>
      </c>
      <c r="E1295" s="27" t="s">
        <v>18</v>
      </c>
      <c r="F1295" s="27" t="s">
        <v>19</v>
      </c>
      <c r="G1295" s="27" t="s">
        <v>20</v>
      </c>
      <c r="H1295" s="29">
        <v>32</v>
      </c>
      <c r="I1295" s="27" t="s">
        <v>21</v>
      </c>
      <c r="J1295" s="37">
        <v>45403</v>
      </c>
      <c r="K1295" s="27" t="s">
        <v>22</v>
      </c>
    </row>
    <row r="1296" spans="1:11" x14ac:dyDescent="0.2">
      <c r="A1296" s="24" t="s">
        <v>3354</v>
      </c>
      <c r="B1296" s="24" t="s">
        <v>3355</v>
      </c>
      <c r="C1296" s="24" t="s">
        <v>1236</v>
      </c>
      <c r="D1296" s="24" t="s">
        <v>17</v>
      </c>
      <c r="E1296" s="24" t="s">
        <v>42</v>
      </c>
      <c r="F1296" s="24" t="s">
        <v>43</v>
      </c>
      <c r="G1296" s="24" t="s">
        <v>44</v>
      </c>
      <c r="H1296" s="26">
        <v>632</v>
      </c>
      <c r="I1296" s="24" t="s">
        <v>21</v>
      </c>
      <c r="J1296" s="36">
        <v>45390</v>
      </c>
      <c r="K1296" s="24" t="s">
        <v>22</v>
      </c>
    </row>
    <row r="1297" spans="1:11" x14ac:dyDescent="0.2">
      <c r="A1297" s="27" t="s">
        <v>3356</v>
      </c>
      <c r="B1297" s="27" t="s">
        <v>3357</v>
      </c>
      <c r="C1297" s="27" t="s">
        <v>3358</v>
      </c>
      <c r="D1297" s="27" t="s">
        <v>17</v>
      </c>
      <c r="E1297" s="27" t="s">
        <v>42</v>
      </c>
      <c r="F1297" s="27" t="s">
        <v>43</v>
      </c>
      <c r="G1297" s="27" t="s">
        <v>20</v>
      </c>
      <c r="H1297" s="29">
        <v>300</v>
      </c>
      <c r="I1297" s="27" t="s">
        <v>21</v>
      </c>
      <c r="J1297" s="37">
        <v>45398</v>
      </c>
      <c r="K1297" s="27" t="s">
        <v>22</v>
      </c>
    </row>
    <row r="1298" spans="1:11" x14ac:dyDescent="0.2">
      <c r="A1298" s="24" t="s">
        <v>3359</v>
      </c>
      <c r="B1298" s="24" t="s">
        <v>3360</v>
      </c>
      <c r="C1298" s="24" t="s">
        <v>55</v>
      </c>
      <c r="D1298" s="24" t="s">
        <v>17</v>
      </c>
      <c r="E1298" s="24" t="s">
        <v>18</v>
      </c>
      <c r="F1298" s="24" t="s">
        <v>19</v>
      </c>
      <c r="G1298" s="24" t="s">
        <v>20</v>
      </c>
      <c r="H1298" s="26">
        <v>16</v>
      </c>
      <c r="I1298" s="24" t="s">
        <v>21</v>
      </c>
      <c r="J1298" s="36">
        <v>45400</v>
      </c>
      <c r="K1298" s="24" t="s">
        <v>22</v>
      </c>
    </row>
    <row r="1299" spans="1:11" x14ac:dyDescent="0.2">
      <c r="A1299" s="27" t="s">
        <v>3361</v>
      </c>
      <c r="B1299" s="27" t="s">
        <v>3362</v>
      </c>
      <c r="C1299" s="27" t="s">
        <v>1053</v>
      </c>
      <c r="D1299" s="27" t="s">
        <v>17</v>
      </c>
      <c r="E1299" s="27" t="s">
        <v>18</v>
      </c>
      <c r="F1299" s="27" t="s">
        <v>19</v>
      </c>
      <c r="G1299" s="27" t="s">
        <v>20</v>
      </c>
      <c r="H1299" s="29">
        <v>35</v>
      </c>
      <c r="I1299" s="27" t="s">
        <v>21</v>
      </c>
      <c r="J1299" s="37">
        <v>45405</v>
      </c>
      <c r="K1299" s="27" t="s">
        <v>22</v>
      </c>
    </row>
    <row r="1300" spans="1:11" x14ac:dyDescent="0.2">
      <c r="A1300" s="24" t="s">
        <v>3363</v>
      </c>
      <c r="B1300" s="24" t="s">
        <v>3364</v>
      </c>
      <c r="C1300" s="24" t="s">
        <v>3365</v>
      </c>
      <c r="D1300" s="24" t="s">
        <v>17</v>
      </c>
      <c r="E1300" s="24" t="s">
        <v>33</v>
      </c>
      <c r="F1300" s="24" t="s">
        <v>34</v>
      </c>
      <c r="G1300" s="24" t="s">
        <v>44</v>
      </c>
      <c r="H1300" s="26">
        <v>247</v>
      </c>
      <c r="I1300" s="24" t="s">
        <v>21</v>
      </c>
      <c r="J1300" s="36">
        <v>45394</v>
      </c>
      <c r="K1300" s="24" t="s">
        <v>22</v>
      </c>
    </row>
    <row r="1301" spans="1:11" x14ac:dyDescent="0.2">
      <c r="A1301" s="27" t="s">
        <v>3366</v>
      </c>
      <c r="B1301" s="27" t="s">
        <v>3367</v>
      </c>
      <c r="C1301" s="27" t="s">
        <v>3368</v>
      </c>
      <c r="D1301" s="27" t="s">
        <v>17</v>
      </c>
      <c r="E1301" s="27" t="s">
        <v>48</v>
      </c>
      <c r="F1301" s="27" t="s">
        <v>49</v>
      </c>
      <c r="G1301" s="27" t="s">
        <v>116</v>
      </c>
      <c r="H1301" s="29">
        <v>0</v>
      </c>
      <c r="I1301" s="27" t="s">
        <v>21</v>
      </c>
      <c r="J1301" s="37">
        <v>45383</v>
      </c>
      <c r="K1301" s="27" t="s">
        <v>22</v>
      </c>
    </row>
    <row r="1302" spans="1:11" x14ac:dyDescent="0.2">
      <c r="A1302" s="24" t="s">
        <v>3369</v>
      </c>
      <c r="B1302" s="24" t="s">
        <v>3370</v>
      </c>
      <c r="C1302" s="24" t="s">
        <v>3371</v>
      </c>
      <c r="D1302" s="24" t="s">
        <v>17</v>
      </c>
      <c r="E1302" s="24" t="s">
        <v>18</v>
      </c>
      <c r="F1302" s="24" t="s">
        <v>19</v>
      </c>
      <c r="G1302" s="24" t="s">
        <v>20</v>
      </c>
      <c r="H1302" s="26">
        <v>27</v>
      </c>
      <c r="I1302" s="24" t="s">
        <v>21</v>
      </c>
      <c r="J1302" s="36">
        <v>45399</v>
      </c>
      <c r="K1302" s="24" t="s">
        <v>22</v>
      </c>
    </row>
    <row r="1303" spans="1:11" x14ac:dyDescent="0.2">
      <c r="A1303" s="27" t="s">
        <v>3372</v>
      </c>
      <c r="B1303" s="27" t="s">
        <v>3373</v>
      </c>
      <c r="C1303" s="27" t="s">
        <v>3374</v>
      </c>
      <c r="D1303" s="27" t="s">
        <v>17</v>
      </c>
      <c r="E1303" s="27" t="s">
        <v>18</v>
      </c>
      <c r="F1303" s="27" t="s">
        <v>19</v>
      </c>
      <c r="G1303" s="27" t="s">
        <v>28</v>
      </c>
      <c r="H1303" s="29">
        <v>56</v>
      </c>
      <c r="I1303" s="27" t="s">
        <v>29</v>
      </c>
      <c r="J1303" s="37">
        <v>45392</v>
      </c>
      <c r="K1303" s="27" t="s">
        <v>22</v>
      </c>
    </row>
    <row r="1304" spans="1:11" x14ac:dyDescent="0.2">
      <c r="A1304" s="24" t="s">
        <v>3375</v>
      </c>
      <c r="B1304" s="24" t="s">
        <v>3376</v>
      </c>
      <c r="C1304" s="24" t="s">
        <v>3377</v>
      </c>
      <c r="D1304" s="24" t="s">
        <v>17</v>
      </c>
      <c r="E1304" s="24" t="s">
        <v>18</v>
      </c>
      <c r="F1304" s="24" t="s">
        <v>19</v>
      </c>
      <c r="G1304" s="24" t="s">
        <v>116</v>
      </c>
      <c r="H1304" s="26">
        <v>0</v>
      </c>
      <c r="I1304" s="24" t="s">
        <v>21</v>
      </c>
      <c r="J1304" s="36">
        <v>45413</v>
      </c>
      <c r="K1304" s="24" t="s">
        <v>22</v>
      </c>
    </row>
    <row r="1305" spans="1:11" x14ac:dyDescent="0.2">
      <c r="A1305" s="27" t="s">
        <v>3378</v>
      </c>
      <c r="B1305" s="27" t="s">
        <v>3379</v>
      </c>
      <c r="C1305" s="27" t="s">
        <v>3380</v>
      </c>
      <c r="D1305" s="27" t="s">
        <v>17</v>
      </c>
      <c r="E1305" s="27" t="s">
        <v>26</v>
      </c>
      <c r="F1305" s="27" t="s">
        <v>27</v>
      </c>
      <c r="G1305" s="27" t="s">
        <v>28</v>
      </c>
      <c r="H1305" s="29">
        <v>45</v>
      </c>
      <c r="I1305" s="27" t="s">
        <v>29</v>
      </c>
      <c r="J1305" s="37">
        <v>45433</v>
      </c>
      <c r="K1305" s="27" t="s">
        <v>22</v>
      </c>
    </row>
    <row r="1306" spans="1:11" x14ac:dyDescent="0.2">
      <c r="A1306" s="24" t="s">
        <v>3381</v>
      </c>
      <c r="B1306" s="24" t="s">
        <v>3382</v>
      </c>
      <c r="C1306" s="24" t="s">
        <v>526</v>
      </c>
      <c r="D1306" s="24" t="s">
        <v>17</v>
      </c>
      <c r="E1306" s="24" t="s">
        <v>18</v>
      </c>
      <c r="F1306" s="24" t="s">
        <v>19</v>
      </c>
      <c r="G1306" s="24" t="s">
        <v>28</v>
      </c>
      <c r="H1306" s="26">
        <v>118</v>
      </c>
      <c r="I1306" s="24" t="s">
        <v>29</v>
      </c>
      <c r="J1306" s="36">
        <v>45427</v>
      </c>
      <c r="K1306" s="24" t="s">
        <v>22</v>
      </c>
    </row>
    <row r="1307" spans="1:11" x14ac:dyDescent="0.2">
      <c r="A1307" s="27" t="s">
        <v>3383</v>
      </c>
      <c r="B1307" s="27" t="s">
        <v>3384</v>
      </c>
      <c r="C1307" s="27" t="s">
        <v>109</v>
      </c>
      <c r="D1307" s="27" t="s">
        <v>17</v>
      </c>
      <c r="E1307" s="27" t="s">
        <v>26</v>
      </c>
      <c r="F1307" s="27" t="s">
        <v>27</v>
      </c>
      <c r="G1307" s="27" t="s">
        <v>59</v>
      </c>
      <c r="H1307" s="29">
        <v>21</v>
      </c>
      <c r="I1307" s="27" t="s">
        <v>21</v>
      </c>
      <c r="J1307" s="37">
        <v>45426</v>
      </c>
      <c r="K1307" s="27" t="s">
        <v>22</v>
      </c>
    </row>
    <row r="1308" spans="1:11" x14ac:dyDescent="0.2">
      <c r="A1308" s="24" t="s">
        <v>3385</v>
      </c>
      <c r="B1308" s="24" t="s">
        <v>3386</v>
      </c>
      <c r="C1308" s="24" t="s">
        <v>3387</v>
      </c>
      <c r="D1308" s="24" t="s">
        <v>17</v>
      </c>
      <c r="E1308" s="24" t="s">
        <v>18</v>
      </c>
      <c r="F1308" s="24" t="s">
        <v>19</v>
      </c>
      <c r="G1308" s="24" t="s">
        <v>20</v>
      </c>
      <c r="H1308" s="26">
        <v>382</v>
      </c>
      <c r="I1308" s="24" t="s">
        <v>21</v>
      </c>
      <c r="J1308" s="36">
        <v>45425</v>
      </c>
      <c r="K1308" s="24" t="s">
        <v>22</v>
      </c>
    </row>
    <row r="1309" spans="1:11" x14ac:dyDescent="0.2">
      <c r="A1309" s="27" t="s">
        <v>3388</v>
      </c>
      <c r="B1309" s="27" t="s">
        <v>3389</v>
      </c>
      <c r="C1309" s="27" t="s">
        <v>55</v>
      </c>
      <c r="D1309" s="27" t="s">
        <v>17</v>
      </c>
      <c r="E1309" s="27" t="s">
        <v>42</v>
      </c>
      <c r="F1309" s="27" t="s">
        <v>43</v>
      </c>
      <c r="G1309" s="27" t="s">
        <v>28</v>
      </c>
      <c r="H1309" s="29">
        <v>600</v>
      </c>
      <c r="I1309" s="27" t="s">
        <v>29</v>
      </c>
      <c r="J1309" s="37">
        <v>45436</v>
      </c>
      <c r="K1309" s="27" t="s">
        <v>22</v>
      </c>
    </row>
    <row r="1310" spans="1:11" x14ac:dyDescent="0.2">
      <c r="A1310" s="24" t="s">
        <v>3390</v>
      </c>
      <c r="B1310" s="24" t="s">
        <v>3391</v>
      </c>
      <c r="C1310" s="24" t="s">
        <v>3392</v>
      </c>
      <c r="D1310" s="24" t="s">
        <v>17</v>
      </c>
      <c r="E1310" s="24" t="s">
        <v>33</v>
      </c>
      <c r="F1310" s="24" t="s">
        <v>34</v>
      </c>
      <c r="G1310" s="24" t="s">
        <v>28</v>
      </c>
      <c r="H1310" s="26">
        <v>410</v>
      </c>
      <c r="I1310" s="24" t="s">
        <v>29</v>
      </c>
      <c r="J1310" s="36">
        <v>45426</v>
      </c>
      <c r="K1310" s="24" t="s">
        <v>22</v>
      </c>
    </row>
    <row r="1311" spans="1:11" x14ac:dyDescent="0.2">
      <c r="A1311" s="27" t="s">
        <v>3393</v>
      </c>
      <c r="B1311" s="27" t="s">
        <v>3394</v>
      </c>
      <c r="C1311" s="27" t="s">
        <v>242</v>
      </c>
      <c r="D1311" s="27" t="s">
        <v>17</v>
      </c>
      <c r="E1311" s="27" t="s">
        <v>18</v>
      </c>
      <c r="F1311" s="27" t="s">
        <v>19</v>
      </c>
      <c r="G1311" s="27" t="s">
        <v>28</v>
      </c>
      <c r="H1311" s="29">
        <v>180</v>
      </c>
      <c r="I1311" s="27" t="s">
        <v>29</v>
      </c>
      <c r="J1311" s="37">
        <v>45442</v>
      </c>
      <c r="K1311" s="27" t="s">
        <v>22</v>
      </c>
    </row>
    <row r="1312" spans="1:11" x14ac:dyDescent="0.2">
      <c r="A1312" s="24" t="s">
        <v>3395</v>
      </c>
      <c r="B1312" s="24" t="s">
        <v>3396</v>
      </c>
      <c r="C1312" s="24" t="s">
        <v>3397</v>
      </c>
      <c r="D1312" s="24" t="s">
        <v>17</v>
      </c>
      <c r="E1312" s="24" t="s">
        <v>18</v>
      </c>
      <c r="F1312" s="24" t="s">
        <v>19</v>
      </c>
      <c r="G1312" s="24" t="s">
        <v>28</v>
      </c>
      <c r="H1312" s="26">
        <v>30</v>
      </c>
      <c r="I1312" s="24" t="s">
        <v>29</v>
      </c>
      <c r="J1312" s="36">
        <v>45427</v>
      </c>
      <c r="K1312" s="24" t="s">
        <v>22</v>
      </c>
    </row>
    <row r="1313" spans="1:11" x14ac:dyDescent="0.2">
      <c r="A1313" s="27" t="s">
        <v>3398</v>
      </c>
      <c r="B1313" s="27" t="s">
        <v>3399</v>
      </c>
      <c r="C1313" s="27" t="s">
        <v>1678</v>
      </c>
      <c r="D1313" s="27" t="s">
        <v>17</v>
      </c>
      <c r="E1313" s="27" t="s">
        <v>48</v>
      </c>
      <c r="F1313" s="27" t="s">
        <v>49</v>
      </c>
      <c r="G1313" s="27" t="s">
        <v>28</v>
      </c>
      <c r="H1313" s="29">
        <v>75</v>
      </c>
      <c r="I1313" s="27" t="s">
        <v>29</v>
      </c>
      <c r="J1313" s="37">
        <v>45418</v>
      </c>
      <c r="K1313" s="27" t="s">
        <v>22</v>
      </c>
    </row>
    <row r="1314" spans="1:11" x14ac:dyDescent="0.2">
      <c r="A1314" s="24" t="s">
        <v>3400</v>
      </c>
      <c r="B1314" s="24" t="s">
        <v>3401</v>
      </c>
      <c r="C1314" s="24" t="s">
        <v>3402</v>
      </c>
      <c r="D1314" s="24" t="s">
        <v>17</v>
      </c>
      <c r="E1314" s="24" t="s">
        <v>33</v>
      </c>
      <c r="F1314" s="24" t="s">
        <v>34</v>
      </c>
      <c r="G1314" s="24" t="s">
        <v>28</v>
      </c>
      <c r="H1314" s="26">
        <v>55</v>
      </c>
      <c r="I1314" s="24" t="s">
        <v>29</v>
      </c>
      <c r="J1314" s="36">
        <v>45441</v>
      </c>
      <c r="K1314" s="24" t="s">
        <v>22</v>
      </c>
    </row>
    <row r="1315" spans="1:11" x14ac:dyDescent="0.2">
      <c r="A1315" s="27" t="s">
        <v>3403</v>
      </c>
      <c r="B1315" s="27" t="s">
        <v>3404</v>
      </c>
      <c r="C1315" s="27" t="s">
        <v>349</v>
      </c>
      <c r="D1315" s="27" t="s">
        <v>17</v>
      </c>
      <c r="E1315" s="27" t="s">
        <v>18</v>
      </c>
      <c r="F1315" s="27" t="s">
        <v>19</v>
      </c>
      <c r="G1315" s="27" t="s">
        <v>20</v>
      </c>
      <c r="H1315" s="29">
        <v>36</v>
      </c>
      <c r="I1315" s="27" t="s">
        <v>21</v>
      </c>
      <c r="J1315" s="37">
        <v>45428</v>
      </c>
      <c r="K1315" s="27" t="s">
        <v>22</v>
      </c>
    </row>
    <row r="1316" spans="1:11" x14ac:dyDescent="0.2">
      <c r="A1316" s="24" t="s">
        <v>3405</v>
      </c>
      <c r="B1316" s="24" t="s">
        <v>3406</v>
      </c>
      <c r="C1316" s="24" t="s">
        <v>3407</v>
      </c>
      <c r="D1316" s="24" t="s">
        <v>17</v>
      </c>
      <c r="E1316" s="24" t="s">
        <v>18</v>
      </c>
      <c r="F1316" s="24" t="s">
        <v>19</v>
      </c>
      <c r="G1316" s="24" t="s">
        <v>116</v>
      </c>
      <c r="H1316" s="26">
        <v>0</v>
      </c>
      <c r="I1316" s="24" t="s">
        <v>21</v>
      </c>
      <c r="J1316" s="36">
        <v>45414</v>
      </c>
      <c r="K1316" s="24" t="s">
        <v>22</v>
      </c>
    </row>
    <row r="1317" spans="1:11" x14ac:dyDescent="0.2">
      <c r="A1317" s="27" t="s">
        <v>3408</v>
      </c>
      <c r="B1317" s="27" t="s">
        <v>3409</v>
      </c>
      <c r="C1317" s="27" t="s">
        <v>1781</v>
      </c>
      <c r="D1317" s="27" t="s">
        <v>17</v>
      </c>
      <c r="E1317" s="27" t="s">
        <v>18</v>
      </c>
      <c r="F1317" s="27" t="s">
        <v>19</v>
      </c>
      <c r="G1317" s="27" t="s">
        <v>20</v>
      </c>
      <c r="H1317" s="29">
        <v>7</v>
      </c>
      <c r="I1317" s="27" t="s">
        <v>21</v>
      </c>
      <c r="J1317" s="37">
        <v>45433</v>
      </c>
      <c r="K1317" s="27" t="s">
        <v>22</v>
      </c>
    </row>
    <row r="1318" spans="1:11" x14ac:dyDescent="0.2">
      <c r="A1318" s="24" t="s">
        <v>3410</v>
      </c>
      <c r="B1318" s="24" t="s">
        <v>3411</v>
      </c>
      <c r="C1318" s="24" t="s">
        <v>3412</v>
      </c>
      <c r="D1318" s="24" t="s">
        <v>17</v>
      </c>
      <c r="E1318" s="24" t="s">
        <v>18</v>
      </c>
      <c r="F1318" s="24" t="s">
        <v>19</v>
      </c>
      <c r="G1318" s="24" t="s">
        <v>44</v>
      </c>
      <c r="H1318" s="26">
        <v>115</v>
      </c>
      <c r="I1318" s="24" t="s">
        <v>21</v>
      </c>
      <c r="J1318" s="36">
        <v>45442</v>
      </c>
      <c r="K1318" s="24" t="s">
        <v>22</v>
      </c>
    </row>
    <row r="1319" spans="1:11" x14ac:dyDescent="0.2">
      <c r="A1319" s="27" t="s">
        <v>3413</v>
      </c>
      <c r="B1319" s="27" t="s">
        <v>3414</v>
      </c>
      <c r="C1319" s="27" t="s">
        <v>1307</v>
      </c>
      <c r="D1319" s="27" t="s">
        <v>17</v>
      </c>
      <c r="E1319" s="27" t="s">
        <v>18</v>
      </c>
      <c r="F1319" s="27" t="s">
        <v>19</v>
      </c>
      <c r="G1319" s="27" t="s">
        <v>217</v>
      </c>
      <c r="H1319" s="29">
        <v>18</v>
      </c>
      <c r="I1319" s="27" t="s">
        <v>29</v>
      </c>
      <c r="J1319" s="37">
        <v>45427</v>
      </c>
      <c r="K1319" s="27" t="s">
        <v>22</v>
      </c>
    </row>
    <row r="1320" spans="1:11" x14ac:dyDescent="0.2">
      <c r="A1320" s="24" t="s">
        <v>3415</v>
      </c>
      <c r="B1320" s="24" t="s">
        <v>3416</v>
      </c>
      <c r="C1320" s="24" t="s">
        <v>3417</v>
      </c>
      <c r="D1320" s="24" t="s">
        <v>17</v>
      </c>
      <c r="E1320" s="24" t="s">
        <v>18</v>
      </c>
      <c r="F1320" s="24" t="s">
        <v>19</v>
      </c>
      <c r="G1320" s="24" t="s">
        <v>28</v>
      </c>
      <c r="H1320" s="26">
        <v>100</v>
      </c>
      <c r="I1320" s="24" t="s">
        <v>29</v>
      </c>
      <c r="J1320" s="36">
        <v>45413</v>
      </c>
      <c r="K1320" s="24" t="s">
        <v>22</v>
      </c>
    </row>
    <row r="1321" spans="1:11" x14ac:dyDescent="0.2">
      <c r="A1321" s="27" t="s">
        <v>3418</v>
      </c>
      <c r="B1321" s="27" t="s">
        <v>3419</v>
      </c>
      <c r="C1321" s="27" t="s">
        <v>85</v>
      </c>
      <c r="D1321" s="27" t="s">
        <v>17</v>
      </c>
      <c r="E1321" s="27" t="s">
        <v>48</v>
      </c>
      <c r="F1321" s="27" t="s">
        <v>49</v>
      </c>
      <c r="G1321" s="27" t="s">
        <v>116</v>
      </c>
      <c r="H1321" s="29">
        <v>0</v>
      </c>
      <c r="I1321" s="27" t="s">
        <v>21</v>
      </c>
      <c r="J1321" s="37">
        <v>45419</v>
      </c>
      <c r="K1321" s="27" t="s">
        <v>22</v>
      </c>
    </row>
    <row r="1322" spans="1:11" x14ac:dyDescent="0.2">
      <c r="A1322" s="24" t="s">
        <v>3420</v>
      </c>
      <c r="B1322" s="24" t="s">
        <v>3421</v>
      </c>
      <c r="C1322" s="24" t="s">
        <v>146</v>
      </c>
      <c r="D1322" s="24" t="s">
        <v>17</v>
      </c>
      <c r="E1322" s="24" t="s">
        <v>42</v>
      </c>
      <c r="F1322" s="24" t="s">
        <v>43</v>
      </c>
      <c r="G1322" s="24" t="s">
        <v>20</v>
      </c>
      <c r="H1322" s="26">
        <v>477</v>
      </c>
      <c r="I1322" s="24" t="s">
        <v>21</v>
      </c>
      <c r="J1322" s="36">
        <v>45443</v>
      </c>
      <c r="K1322" s="24" t="s">
        <v>22</v>
      </c>
    </row>
    <row r="1323" spans="1:11" x14ac:dyDescent="0.2">
      <c r="A1323" s="27" t="s">
        <v>3422</v>
      </c>
      <c r="B1323" s="27" t="s">
        <v>3423</v>
      </c>
      <c r="C1323" s="27" t="s">
        <v>2129</v>
      </c>
      <c r="D1323" s="27" t="s">
        <v>17</v>
      </c>
      <c r="E1323" s="27" t="s">
        <v>33</v>
      </c>
      <c r="F1323" s="27" t="s">
        <v>34</v>
      </c>
      <c r="G1323" s="27" t="s">
        <v>28</v>
      </c>
      <c r="H1323" s="29">
        <v>390</v>
      </c>
      <c r="I1323" s="27" t="s">
        <v>29</v>
      </c>
      <c r="J1323" s="37">
        <v>45425</v>
      </c>
      <c r="K1323" s="27" t="s">
        <v>22</v>
      </c>
    </row>
    <row r="1324" spans="1:11" x14ac:dyDescent="0.2">
      <c r="A1324" s="24" t="s">
        <v>3424</v>
      </c>
      <c r="B1324" s="24" t="s">
        <v>3425</v>
      </c>
      <c r="C1324" s="24" t="s">
        <v>85</v>
      </c>
      <c r="D1324" s="24" t="s">
        <v>17</v>
      </c>
      <c r="E1324" s="24" t="s">
        <v>42</v>
      </c>
      <c r="F1324" s="24" t="s">
        <v>43</v>
      </c>
      <c r="G1324" s="24" t="s">
        <v>28</v>
      </c>
      <c r="H1324" s="26">
        <v>380</v>
      </c>
      <c r="I1324" s="24" t="s">
        <v>29</v>
      </c>
      <c r="J1324" s="36">
        <v>45431</v>
      </c>
      <c r="K1324" s="24" t="s">
        <v>22</v>
      </c>
    </row>
    <row r="1325" spans="1:11" x14ac:dyDescent="0.2">
      <c r="A1325" s="27" t="s">
        <v>3426</v>
      </c>
      <c r="B1325" s="27" t="s">
        <v>3427</v>
      </c>
      <c r="C1325" s="27" t="s">
        <v>251</v>
      </c>
      <c r="D1325" s="27" t="s">
        <v>17</v>
      </c>
      <c r="E1325" s="27" t="s">
        <v>42</v>
      </c>
      <c r="F1325" s="27" t="s">
        <v>43</v>
      </c>
      <c r="G1325" s="27" t="s">
        <v>28</v>
      </c>
      <c r="H1325" s="29">
        <v>550</v>
      </c>
      <c r="I1325" s="27" t="s">
        <v>29</v>
      </c>
      <c r="J1325" s="37">
        <v>45433</v>
      </c>
      <c r="K1325" s="27" t="s">
        <v>22</v>
      </c>
    </row>
    <row r="1326" spans="1:11" x14ac:dyDescent="0.2">
      <c r="A1326" s="24" t="s">
        <v>3428</v>
      </c>
      <c r="B1326" s="24" t="s">
        <v>3429</v>
      </c>
      <c r="C1326" s="24" t="s">
        <v>3430</v>
      </c>
      <c r="D1326" s="24" t="s">
        <v>17</v>
      </c>
      <c r="E1326" s="24" t="s">
        <v>18</v>
      </c>
      <c r="F1326" s="24" t="s">
        <v>19</v>
      </c>
      <c r="G1326" s="24" t="s">
        <v>44</v>
      </c>
      <c r="H1326" s="26">
        <v>100</v>
      </c>
      <c r="I1326" s="24" t="s">
        <v>21</v>
      </c>
      <c r="J1326" s="36">
        <v>45420</v>
      </c>
      <c r="K1326" s="24" t="s">
        <v>22</v>
      </c>
    </row>
    <row r="1327" spans="1:11" x14ac:dyDescent="0.2">
      <c r="A1327" s="27" t="s">
        <v>3431</v>
      </c>
      <c r="B1327" s="27" t="s">
        <v>3432</v>
      </c>
      <c r="C1327" s="27" t="s">
        <v>3433</v>
      </c>
      <c r="D1327" s="27" t="s">
        <v>17</v>
      </c>
      <c r="E1327" s="27" t="s">
        <v>18</v>
      </c>
      <c r="F1327" s="27" t="s">
        <v>19</v>
      </c>
      <c r="G1327" s="27" t="s">
        <v>20</v>
      </c>
      <c r="H1327" s="29">
        <v>62</v>
      </c>
      <c r="I1327" s="27" t="s">
        <v>21</v>
      </c>
      <c r="J1327" s="37">
        <v>45425</v>
      </c>
      <c r="K1327" s="27" t="s">
        <v>22</v>
      </c>
    </row>
    <row r="1328" spans="1:11" x14ac:dyDescent="0.2">
      <c r="A1328" s="24" t="s">
        <v>3434</v>
      </c>
      <c r="B1328" s="24" t="s">
        <v>3435</v>
      </c>
      <c r="C1328" s="24" t="s">
        <v>3436</v>
      </c>
      <c r="D1328" s="24" t="s">
        <v>17</v>
      </c>
      <c r="E1328" s="24" t="s">
        <v>81</v>
      </c>
      <c r="F1328" s="24" t="s">
        <v>82</v>
      </c>
      <c r="G1328" s="24" t="s">
        <v>44</v>
      </c>
      <c r="H1328" s="26">
        <v>110</v>
      </c>
      <c r="I1328" s="24" t="s">
        <v>21</v>
      </c>
      <c r="J1328" s="36">
        <v>45422</v>
      </c>
      <c r="K1328" s="24" t="s">
        <v>22</v>
      </c>
    </row>
    <row r="1329" spans="1:11" x14ac:dyDescent="0.2">
      <c r="A1329" s="27" t="s">
        <v>3437</v>
      </c>
      <c r="B1329" s="27" t="s">
        <v>3438</v>
      </c>
      <c r="C1329" s="27" t="s">
        <v>3248</v>
      </c>
      <c r="D1329" s="27" t="s">
        <v>17</v>
      </c>
      <c r="E1329" s="27" t="s">
        <v>48</v>
      </c>
      <c r="F1329" s="27" t="s">
        <v>49</v>
      </c>
      <c r="G1329" s="27" t="s">
        <v>28</v>
      </c>
      <c r="H1329" s="29">
        <v>250</v>
      </c>
      <c r="I1329" s="27" t="s">
        <v>29</v>
      </c>
      <c r="J1329" s="37">
        <v>45434</v>
      </c>
      <c r="K1329" s="27" t="s">
        <v>22</v>
      </c>
    </row>
    <row r="1330" spans="1:11" x14ac:dyDescent="0.2">
      <c r="A1330" s="24" t="s">
        <v>3439</v>
      </c>
      <c r="B1330" s="24" t="s">
        <v>3440</v>
      </c>
      <c r="C1330" s="24" t="s">
        <v>3441</v>
      </c>
      <c r="D1330" s="24" t="s">
        <v>17</v>
      </c>
      <c r="E1330" s="24" t="s">
        <v>81</v>
      </c>
      <c r="F1330" s="24" t="s">
        <v>82</v>
      </c>
      <c r="G1330" s="24" t="s">
        <v>28</v>
      </c>
      <c r="H1330" s="26">
        <v>196</v>
      </c>
      <c r="I1330" s="24" t="s">
        <v>29</v>
      </c>
      <c r="J1330" s="36">
        <v>45440</v>
      </c>
      <c r="K1330" s="24" t="s">
        <v>22</v>
      </c>
    </row>
    <row r="1331" spans="1:11" x14ac:dyDescent="0.2">
      <c r="A1331" s="27" t="s">
        <v>3442</v>
      </c>
      <c r="B1331" s="27" t="s">
        <v>3443</v>
      </c>
      <c r="C1331" s="27" t="s">
        <v>3444</v>
      </c>
      <c r="D1331" s="27" t="s">
        <v>17</v>
      </c>
      <c r="E1331" s="27" t="s">
        <v>163</v>
      </c>
      <c r="F1331" s="27" t="s">
        <v>164</v>
      </c>
      <c r="G1331" s="27" t="s">
        <v>217</v>
      </c>
      <c r="H1331" s="29">
        <v>10</v>
      </c>
      <c r="I1331" s="27" t="s">
        <v>29</v>
      </c>
      <c r="J1331" s="37">
        <v>45426</v>
      </c>
      <c r="K1331" s="27" t="s">
        <v>22</v>
      </c>
    </row>
    <row r="1332" spans="1:11" x14ac:dyDescent="0.2">
      <c r="A1332" s="24" t="s">
        <v>3445</v>
      </c>
      <c r="B1332" s="24" t="s">
        <v>3446</v>
      </c>
      <c r="C1332" s="24" t="s">
        <v>3447</v>
      </c>
      <c r="D1332" s="24" t="s">
        <v>17</v>
      </c>
      <c r="E1332" s="24" t="s">
        <v>26</v>
      </c>
      <c r="F1332" s="24" t="s">
        <v>27</v>
      </c>
      <c r="G1332" s="24" t="s">
        <v>28</v>
      </c>
      <c r="H1332" s="26">
        <v>6</v>
      </c>
      <c r="I1332" s="24" t="s">
        <v>29</v>
      </c>
      <c r="J1332" s="36">
        <v>45423</v>
      </c>
      <c r="K1332" s="24" t="s">
        <v>22</v>
      </c>
    </row>
    <row r="1333" spans="1:11" x14ac:dyDescent="0.2">
      <c r="A1333" s="27" t="s">
        <v>3448</v>
      </c>
      <c r="B1333" s="27" t="s">
        <v>3449</v>
      </c>
      <c r="C1333" s="27" t="s">
        <v>780</v>
      </c>
      <c r="D1333" s="27" t="s">
        <v>17</v>
      </c>
      <c r="E1333" s="27" t="s">
        <v>42</v>
      </c>
      <c r="F1333" s="27" t="s">
        <v>43</v>
      </c>
      <c r="G1333" s="27" t="s">
        <v>20</v>
      </c>
      <c r="H1333" s="29">
        <v>297</v>
      </c>
      <c r="I1333" s="27" t="s">
        <v>21</v>
      </c>
      <c r="J1333" s="37">
        <v>45432</v>
      </c>
      <c r="K1333" s="27" t="s">
        <v>22</v>
      </c>
    </row>
    <row r="1334" spans="1:11" x14ac:dyDescent="0.2">
      <c r="A1334" s="24" t="s">
        <v>3450</v>
      </c>
      <c r="B1334" s="24" t="s">
        <v>3451</v>
      </c>
      <c r="C1334" s="24" t="s">
        <v>3452</v>
      </c>
      <c r="D1334" s="24" t="s">
        <v>17</v>
      </c>
      <c r="E1334" s="24" t="s">
        <v>48</v>
      </c>
      <c r="F1334" s="24" t="s">
        <v>49</v>
      </c>
      <c r="G1334" s="24" t="s">
        <v>116</v>
      </c>
      <c r="H1334" s="26">
        <v>0</v>
      </c>
      <c r="I1334" s="24" t="s">
        <v>21</v>
      </c>
      <c r="J1334" s="36">
        <v>45443</v>
      </c>
      <c r="K1334" s="24" t="s">
        <v>22</v>
      </c>
    </row>
    <row r="1335" spans="1:11" x14ac:dyDescent="0.2">
      <c r="A1335" s="27" t="s">
        <v>3453</v>
      </c>
      <c r="B1335" s="27" t="s">
        <v>3454</v>
      </c>
      <c r="C1335" s="27" t="s">
        <v>1212</v>
      </c>
      <c r="D1335" s="27" t="s">
        <v>17</v>
      </c>
      <c r="E1335" s="27" t="s">
        <v>42</v>
      </c>
      <c r="F1335" s="27" t="s">
        <v>43</v>
      </c>
      <c r="G1335" s="27" t="s">
        <v>28</v>
      </c>
      <c r="H1335" s="29">
        <v>276</v>
      </c>
      <c r="I1335" s="27" t="s">
        <v>29</v>
      </c>
      <c r="J1335" s="37">
        <v>45433</v>
      </c>
      <c r="K1335" s="27" t="s">
        <v>22</v>
      </c>
    </row>
    <row r="1336" spans="1:11" x14ac:dyDescent="0.2">
      <c r="A1336" s="24" t="s">
        <v>3455</v>
      </c>
      <c r="B1336" s="24" t="s">
        <v>3456</v>
      </c>
      <c r="C1336" s="24" t="s">
        <v>401</v>
      </c>
      <c r="D1336" s="24" t="s">
        <v>17</v>
      </c>
      <c r="E1336" s="24" t="s">
        <v>18</v>
      </c>
      <c r="F1336" s="24" t="s">
        <v>19</v>
      </c>
      <c r="G1336" s="24" t="s">
        <v>20</v>
      </c>
      <c r="H1336" s="26">
        <v>20</v>
      </c>
      <c r="I1336" s="24" t="s">
        <v>21</v>
      </c>
      <c r="J1336" s="36">
        <v>45442</v>
      </c>
      <c r="K1336" s="24" t="s">
        <v>22</v>
      </c>
    </row>
    <row r="1337" spans="1:11" x14ac:dyDescent="0.2">
      <c r="A1337" s="27" t="s">
        <v>3457</v>
      </c>
      <c r="B1337" s="27" t="s">
        <v>3458</v>
      </c>
      <c r="C1337" s="27" t="s">
        <v>325</v>
      </c>
      <c r="D1337" s="27" t="s">
        <v>17</v>
      </c>
      <c r="E1337" s="27" t="s">
        <v>18</v>
      </c>
      <c r="F1337" s="27" t="s">
        <v>19</v>
      </c>
      <c r="G1337" s="27" t="s">
        <v>20</v>
      </c>
      <c r="H1337" s="29">
        <v>14</v>
      </c>
      <c r="I1337" s="27" t="s">
        <v>21</v>
      </c>
      <c r="J1337" s="37">
        <v>45419</v>
      </c>
      <c r="K1337" s="27" t="s">
        <v>22</v>
      </c>
    </row>
    <row r="1338" spans="1:11" x14ac:dyDescent="0.2">
      <c r="A1338" s="24" t="s">
        <v>3459</v>
      </c>
      <c r="B1338" s="24" t="s">
        <v>3460</v>
      </c>
      <c r="C1338" s="24" t="s">
        <v>500</v>
      </c>
      <c r="D1338" s="24" t="s">
        <v>17</v>
      </c>
      <c r="E1338" s="24" t="s">
        <v>18</v>
      </c>
      <c r="F1338" s="24" t="s">
        <v>19</v>
      </c>
      <c r="G1338" s="24" t="s">
        <v>20</v>
      </c>
      <c r="H1338" s="26">
        <v>30</v>
      </c>
      <c r="I1338" s="24" t="s">
        <v>21</v>
      </c>
      <c r="J1338" s="36">
        <v>45426</v>
      </c>
      <c r="K1338" s="24" t="s">
        <v>22</v>
      </c>
    </row>
    <row r="1339" spans="1:11" x14ac:dyDescent="0.2">
      <c r="A1339" s="27" t="s">
        <v>3461</v>
      </c>
      <c r="B1339" s="27" t="s">
        <v>3462</v>
      </c>
      <c r="C1339" s="27" t="s">
        <v>2129</v>
      </c>
      <c r="D1339" s="27" t="s">
        <v>17</v>
      </c>
      <c r="E1339" s="27" t="s">
        <v>33</v>
      </c>
      <c r="F1339" s="27" t="s">
        <v>34</v>
      </c>
      <c r="G1339" s="27" t="s">
        <v>20</v>
      </c>
      <c r="H1339" s="29">
        <v>274</v>
      </c>
      <c r="I1339" s="27" t="s">
        <v>21</v>
      </c>
      <c r="J1339" s="37">
        <v>45440</v>
      </c>
      <c r="K1339" s="27" t="s">
        <v>22</v>
      </c>
    </row>
    <row r="1340" spans="1:11" x14ac:dyDescent="0.2">
      <c r="A1340" s="24" t="s">
        <v>3463</v>
      </c>
      <c r="B1340" s="24" t="s">
        <v>3464</v>
      </c>
      <c r="C1340" s="24" t="s">
        <v>1921</v>
      </c>
      <c r="D1340" s="24" t="s">
        <v>17</v>
      </c>
      <c r="E1340" s="24" t="s">
        <v>42</v>
      </c>
      <c r="F1340" s="24" t="s">
        <v>43</v>
      </c>
      <c r="G1340" s="24" t="s">
        <v>28</v>
      </c>
      <c r="H1340" s="26">
        <v>218</v>
      </c>
      <c r="I1340" s="24" t="s">
        <v>29</v>
      </c>
      <c r="J1340" s="36">
        <v>45425</v>
      </c>
      <c r="K1340" s="24" t="s">
        <v>22</v>
      </c>
    </row>
    <row r="1341" spans="1:11" x14ac:dyDescent="0.2">
      <c r="A1341" s="27" t="s">
        <v>3465</v>
      </c>
      <c r="B1341" s="27" t="s">
        <v>3466</v>
      </c>
      <c r="C1341" s="27" t="s">
        <v>354</v>
      </c>
      <c r="D1341" s="27" t="s">
        <v>17</v>
      </c>
      <c r="E1341" s="27" t="s">
        <v>18</v>
      </c>
      <c r="F1341" s="27" t="s">
        <v>19</v>
      </c>
      <c r="G1341" s="27" t="s">
        <v>20</v>
      </c>
      <c r="H1341" s="29">
        <v>42</v>
      </c>
      <c r="I1341" s="27" t="s">
        <v>21</v>
      </c>
      <c r="J1341" s="37">
        <v>45414</v>
      </c>
      <c r="K1341" s="27" t="s">
        <v>22</v>
      </c>
    </row>
    <row r="1342" spans="1:11" x14ac:dyDescent="0.2">
      <c r="A1342" s="24" t="s">
        <v>3467</v>
      </c>
      <c r="B1342" s="24" t="s">
        <v>3468</v>
      </c>
      <c r="C1342" s="24" t="s">
        <v>1863</v>
      </c>
      <c r="D1342" s="24" t="s">
        <v>17</v>
      </c>
      <c r="E1342" s="24" t="s">
        <v>18</v>
      </c>
      <c r="F1342" s="24" t="s">
        <v>19</v>
      </c>
      <c r="G1342" s="24" t="s">
        <v>20</v>
      </c>
      <c r="H1342" s="26">
        <v>30</v>
      </c>
      <c r="I1342" s="24" t="s">
        <v>21</v>
      </c>
      <c r="J1342" s="36">
        <v>45428</v>
      </c>
      <c r="K1342" s="24" t="s">
        <v>22</v>
      </c>
    </row>
    <row r="1343" spans="1:11" x14ac:dyDescent="0.2">
      <c r="A1343" s="27" t="s">
        <v>3469</v>
      </c>
      <c r="B1343" s="27" t="s">
        <v>3470</v>
      </c>
      <c r="C1343" s="27" t="s">
        <v>1853</v>
      </c>
      <c r="D1343" s="27" t="s">
        <v>17</v>
      </c>
      <c r="E1343" s="27" t="s">
        <v>18</v>
      </c>
      <c r="F1343" s="27" t="s">
        <v>19</v>
      </c>
      <c r="G1343" s="27" t="s">
        <v>20</v>
      </c>
      <c r="H1343" s="29">
        <v>74</v>
      </c>
      <c r="I1343" s="27" t="s">
        <v>21</v>
      </c>
      <c r="J1343" s="37">
        <v>45418</v>
      </c>
      <c r="K1343" s="27" t="s">
        <v>22</v>
      </c>
    </row>
    <row r="1344" spans="1:11" x14ac:dyDescent="0.2">
      <c r="A1344" s="24" t="s">
        <v>3471</v>
      </c>
      <c r="B1344" s="24" t="s">
        <v>3472</v>
      </c>
      <c r="C1344" s="24" t="s">
        <v>618</v>
      </c>
      <c r="D1344" s="24" t="s">
        <v>17</v>
      </c>
      <c r="E1344" s="24" t="s">
        <v>48</v>
      </c>
      <c r="F1344" s="24" t="s">
        <v>49</v>
      </c>
      <c r="G1344" s="24" t="s">
        <v>217</v>
      </c>
      <c r="H1344" s="26">
        <v>195</v>
      </c>
      <c r="I1344" s="24" t="s">
        <v>29</v>
      </c>
      <c r="J1344" s="36">
        <v>45442</v>
      </c>
      <c r="K1344" s="24" t="s">
        <v>22</v>
      </c>
    </row>
    <row r="1345" spans="1:11" x14ac:dyDescent="0.2">
      <c r="A1345" s="27" t="s">
        <v>3473</v>
      </c>
      <c r="B1345" s="27" t="s">
        <v>3474</v>
      </c>
      <c r="C1345" s="27" t="s">
        <v>3475</v>
      </c>
      <c r="D1345" s="27" t="s">
        <v>17</v>
      </c>
      <c r="E1345" s="27" t="s">
        <v>18</v>
      </c>
      <c r="F1345" s="27" t="s">
        <v>19</v>
      </c>
      <c r="G1345" s="27" t="s">
        <v>217</v>
      </c>
      <c r="H1345" s="29">
        <v>30</v>
      </c>
      <c r="I1345" s="27" t="s">
        <v>29</v>
      </c>
      <c r="J1345" s="37">
        <v>45432</v>
      </c>
      <c r="K1345" s="27" t="s">
        <v>22</v>
      </c>
    </row>
    <row r="1346" spans="1:11" x14ac:dyDescent="0.2">
      <c r="A1346" s="24" t="s">
        <v>3476</v>
      </c>
      <c r="B1346" s="24" t="s">
        <v>3477</v>
      </c>
      <c r="C1346" s="24" t="s">
        <v>3478</v>
      </c>
      <c r="D1346" s="24" t="s">
        <v>17</v>
      </c>
      <c r="E1346" s="24" t="s">
        <v>42</v>
      </c>
      <c r="F1346" s="24" t="s">
        <v>43</v>
      </c>
      <c r="G1346" s="24" t="s">
        <v>44</v>
      </c>
      <c r="H1346" s="26">
        <v>313</v>
      </c>
      <c r="I1346" s="24" t="s">
        <v>21</v>
      </c>
      <c r="J1346" s="36">
        <v>45442</v>
      </c>
      <c r="K1346" s="24" t="s">
        <v>22</v>
      </c>
    </row>
    <row r="1347" spans="1:11" x14ac:dyDescent="0.2">
      <c r="A1347" s="27" t="s">
        <v>3479</v>
      </c>
      <c r="B1347" s="27" t="s">
        <v>3480</v>
      </c>
      <c r="C1347" s="27" t="s">
        <v>55</v>
      </c>
      <c r="D1347" s="27" t="s">
        <v>17</v>
      </c>
      <c r="E1347" s="27" t="s">
        <v>26</v>
      </c>
      <c r="F1347" s="27" t="s">
        <v>27</v>
      </c>
      <c r="G1347" s="27" t="s">
        <v>28</v>
      </c>
      <c r="H1347" s="29">
        <v>220</v>
      </c>
      <c r="I1347" s="27" t="s">
        <v>29</v>
      </c>
      <c r="J1347" s="37">
        <v>45432</v>
      </c>
      <c r="K1347" s="27" t="s">
        <v>22</v>
      </c>
    </row>
    <row r="1348" spans="1:11" x14ac:dyDescent="0.2">
      <c r="A1348" s="24" t="s">
        <v>3481</v>
      </c>
      <c r="B1348" s="24" t="s">
        <v>3482</v>
      </c>
      <c r="C1348" s="24" t="s">
        <v>3483</v>
      </c>
      <c r="D1348" s="24" t="s">
        <v>17</v>
      </c>
      <c r="E1348" s="24" t="s">
        <v>163</v>
      </c>
      <c r="F1348" s="24" t="s">
        <v>164</v>
      </c>
      <c r="G1348" s="24" t="s">
        <v>217</v>
      </c>
      <c r="H1348" s="26">
        <v>40</v>
      </c>
      <c r="I1348" s="24" t="s">
        <v>29</v>
      </c>
      <c r="J1348" s="36">
        <v>45413</v>
      </c>
      <c r="K1348" s="24" t="s">
        <v>22</v>
      </c>
    </row>
    <row r="1349" spans="1:11" x14ac:dyDescent="0.2">
      <c r="A1349" s="27" t="s">
        <v>3484</v>
      </c>
      <c r="B1349" s="27" t="s">
        <v>3485</v>
      </c>
      <c r="C1349" s="27" t="s">
        <v>3486</v>
      </c>
      <c r="D1349" s="27" t="s">
        <v>17</v>
      </c>
      <c r="E1349" s="27" t="s">
        <v>48</v>
      </c>
      <c r="F1349" s="27" t="s">
        <v>49</v>
      </c>
      <c r="G1349" s="27" t="s">
        <v>28</v>
      </c>
      <c r="H1349" s="29">
        <v>66</v>
      </c>
      <c r="I1349" s="27" t="s">
        <v>29</v>
      </c>
      <c r="J1349" s="37">
        <v>45435</v>
      </c>
      <c r="K1349" s="27" t="s">
        <v>22</v>
      </c>
    </row>
    <row r="1350" spans="1:11" x14ac:dyDescent="0.2">
      <c r="A1350" s="24" t="s">
        <v>3487</v>
      </c>
      <c r="B1350" s="24" t="s">
        <v>3488</v>
      </c>
      <c r="C1350" s="24" t="s">
        <v>3489</v>
      </c>
      <c r="D1350" s="24" t="s">
        <v>17</v>
      </c>
      <c r="E1350" s="24" t="s">
        <v>48</v>
      </c>
      <c r="F1350" s="24" t="s">
        <v>49</v>
      </c>
      <c r="G1350" s="24" t="s">
        <v>20</v>
      </c>
      <c r="H1350" s="26">
        <v>102</v>
      </c>
      <c r="I1350" s="24" t="s">
        <v>21</v>
      </c>
      <c r="J1350" s="36">
        <v>45433</v>
      </c>
      <c r="K1350" s="24" t="s">
        <v>22</v>
      </c>
    </row>
    <row r="1351" spans="1:11" x14ac:dyDescent="0.2">
      <c r="A1351" s="27" t="s">
        <v>3490</v>
      </c>
      <c r="B1351" s="27" t="s">
        <v>3491</v>
      </c>
      <c r="C1351" s="27" t="s">
        <v>3492</v>
      </c>
      <c r="D1351" s="27" t="s">
        <v>17</v>
      </c>
      <c r="E1351" s="27" t="s">
        <v>18</v>
      </c>
      <c r="F1351" s="27" t="s">
        <v>19</v>
      </c>
      <c r="G1351" s="27" t="s">
        <v>44</v>
      </c>
      <c r="H1351" s="29">
        <v>30</v>
      </c>
      <c r="I1351" s="27" t="s">
        <v>29</v>
      </c>
      <c r="J1351" s="37">
        <v>45442</v>
      </c>
      <c r="K1351" s="27" t="s">
        <v>22</v>
      </c>
    </row>
    <row r="1352" spans="1:11" x14ac:dyDescent="0.2">
      <c r="A1352" s="24" t="s">
        <v>3493</v>
      </c>
      <c r="B1352" s="24" t="s">
        <v>3494</v>
      </c>
      <c r="C1352" s="24" t="s">
        <v>3495</v>
      </c>
      <c r="D1352" s="24" t="s">
        <v>17</v>
      </c>
      <c r="E1352" s="24" t="s">
        <v>42</v>
      </c>
      <c r="F1352" s="24" t="s">
        <v>43</v>
      </c>
      <c r="G1352" s="24" t="s">
        <v>116</v>
      </c>
      <c r="H1352" s="26">
        <v>0</v>
      </c>
      <c r="I1352" s="24" t="s">
        <v>21</v>
      </c>
      <c r="J1352" s="36">
        <v>45439</v>
      </c>
      <c r="K1352" s="24" t="s">
        <v>22</v>
      </c>
    </row>
    <row r="1353" spans="1:11" x14ac:dyDescent="0.2">
      <c r="A1353" s="27" t="s">
        <v>3496</v>
      </c>
      <c r="B1353" s="27" t="s">
        <v>3497</v>
      </c>
      <c r="C1353" s="27" t="s">
        <v>437</v>
      </c>
      <c r="D1353" s="27" t="s">
        <v>17</v>
      </c>
      <c r="E1353" s="27" t="s">
        <v>26</v>
      </c>
      <c r="F1353" s="27" t="s">
        <v>27</v>
      </c>
      <c r="G1353" s="27" t="s">
        <v>28</v>
      </c>
      <c r="H1353" s="29">
        <v>88</v>
      </c>
      <c r="I1353" s="27" t="s">
        <v>29</v>
      </c>
      <c r="J1353" s="37">
        <v>45442</v>
      </c>
      <c r="K1353" s="27" t="s">
        <v>22</v>
      </c>
    </row>
    <row r="1354" spans="1:11" x14ac:dyDescent="0.2">
      <c r="A1354" s="24" t="s">
        <v>3498</v>
      </c>
      <c r="B1354" s="24" t="s">
        <v>3499</v>
      </c>
      <c r="C1354" s="24" t="s">
        <v>106</v>
      </c>
      <c r="D1354" s="24" t="s">
        <v>17</v>
      </c>
      <c r="E1354" s="24" t="s">
        <v>18</v>
      </c>
      <c r="F1354" s="24" t="s">
        <v>19</v>
      </c>
      <c r="G1354" s="24" t="s">
        <v>20</v>
      </c>
      <c r="H1354" s="26">
        <v>42</v>
      </c>
      <c r="I1354" s="24" t="s">
        <v>21</v>
      </c>
      <c r="J1354" s="36">
        <v>45427</v>
      </c>
      <c r="K1354" s="24" t="s">
        <v>22</v>
      </c>
    </row>
    <row r="1355" spans="1:11" x14ac:dyDescent="0.2">
      <c r="A1355" s="27" t="s">
        <v>3500</v>
      </c>
      <c r="B1355" s="27" t="s">
        <v>3501</v>
      </c>
      <c r="C1355" s="27" t="s">
        <v>1588</v>
      </c>
      <c r="D1355" s="27" t="s">
        <v>17</v>
      </c>
      <c r="E1355" s="27" t="s">
        <v>18</v>
      </c>
      <c r="F1355" s="27" t="s">
        <v>19</v>
      </c>
      <c r="G1355" s="27" t="s">
        <v>44</v>
      </c>
      <c r="H1355" s="29">
        <v>240</v>
      </c>
      <c r="I1355" s="27" t="s">
        <v>29</v>
      </c>
      <c r="J1355" s="37">
        <v>45442</v>
      </c>
      <c r="K1355" s="27" t="s">
        <v>22</v>
      </c>
    </row>
    <row r="1356" spans="1:11" x14ac:dyDescent="0.2">
      <c r="A1356" s="24" t="s">
        <v>3502</v>
      </c>
      <c r="B1356" s="24" t="s">
        <v>3503</v>
      </c>
      <c r="C1356" s="24" t="s">
        <v>3504</v>
      </c>
      <c r="D1356" s="24" t="s">
        <v>17</v>
      </c>
      <c r="E1356" s="24" t="s">
        <v>81</v>
      </c>
      <c r="F1356" s="24" t="s">
        <v>82</v>
      </c>
      <c r="G1356" s="24" t="s">
        <v>20</v>
      </c>
      <c r="H1356" s="26">
        <v>200</v>
      </c>
      <c r="I1356" s="24" t="s">
        <v>21</v>
      </c>
      <c r="J1356" s="36">
        <v>45432</v>
      </c>
      <c r="K1356" s="24" t="s">
        <v>22</v>
      </c>
    </row>
    <row r="1357" spans="1:11" x14ac:dyDescent="0.2">
      <c r="A1357" s="27" t="s">
        <v>3505</v>
      </c>
      <c r="B1357" s="27" t="s">
        <v>3506</v>
      </c>
      <c r="C1357" s="27" t="s">
        <v>97</v>
      </c>
      <c r="D1357" s="27" t="s">
        <v>17</v>
      </c>
      <c r="E1357" s="27" t="s">
        <v>18</v>
      </c>
      <c r="F1357" s="27" t="s">
        <v>19</v>
      </c>
      <c r="G1357" s="27" t="s">
        <v>20</v>
      </c>
      <c r="H1357" s="29">
        <v>30</v>
      </c>
      <c r="I1357" s="27" t="s">
        <v>21</v>
      </c>
      <c r="J1357" s="37">
        <v>45414</v>
      </c>
      <c r="K1357" s="27" t="s">
        <v>22</v>
      </c>
    </row>
    <row r="1358" spans="1:11" x14ac:dyDescent="0.2">
      <c r="A1358" s="24" t="s">
        <v>3507</v>
      </c>
      <c r="B1358" s="24" t="s">
        <v>3508</v>
      </c>
      <c r="C1358" s="24" t="s">
        <v>3509</v>
      </c>
      <c r="D1358" s="24" t="s">
        <v>17</v>
      </c>
      <c r="E1358" s="24" t="s">
        <v>33</v>
      </c>
      <c r="F1358" s="24" t="s">
        <v>34</v>
      </c>
      <c r="G1358" s="24" t="s">
        <v>38</v>
      </c>
      <c r="H1358" s="26">
        <v>156</v>
      </c>
      <c r="I1358" s="24" t="s">
        <v>29</v>
      </c>
      <c r="J1358" s="36">
        <v>45421</v>
      </c>
      <c r="K1358" s="24" t="s">
        <v>22</v>
      </c>
    </row>
    <row r="1359" spans="1:11" x14ac:dyDescent="0.2">
      <c r="A1359" s="27" t="s">
        <v>3510</v>
      </c>
      <c r="B1359" s="27" t="s">
        <v>3511</v>
      </c>
      <c r="C1359" s="27" t="s">
        <v>3512</v>
      </c>
      <c r="D1359" s="27" t="s">
        <v>17</v>
      </c>
      <c r="E1359" s="27" t="s">
        <v>18</v>
      </c>
      <c r="F1359" s="27" t="s">
        <v>19</v>
      </c>
      <c r="G1359" s="27" t="s">
        <v>28</v>
      </c>
      <c r="H1359" s="29">
        <v>18</v>
      </c>
      <c r="I1359" s="27" t="s">
        <v>29</v>
      </c>
      <c r="J1359" s="37">
        <v>45433</v>
      </c>
      <c r="K1359" s="27" t="s">
        <v>22</v>
      </c>
    </row>
    <row r="1360" spans="1:11" x14ac:dyDescent="0.2">
      <c r="A1360" s="24" t="s">
        <v>3513</v>
      </c>
      <c r="B1360" s="24" t="s">
        <v>3514</v>
      </c>
      <c r="C1360" s="24" t="s">
        <v>3515</v>
      </c>
      <c r="D1360" s="24" t="s">
        <v>17</v>
      </c>
      <c r="E1360" s="24" t="s">
        <v>48</v>
      </c>
      <c r="F1360" s="24" t="s">
        <v>49</v>
      </c>
      <c r="G1360" s="24" t="s">
        <v>116</v>
      </c>
      <c r="H1360" s="26">
        <v>0</v>
      </c>
      <c r="I1360" s="24" t="s">
        <v>21</v>
      </c>
      <c r="J1360" s="36">
        <v>45442</v>
      </c>
      <c r="K1360" s="24" t="s">
        <v>22</v>
      </c>
    </row>
    <row r="1361" spans="1:11" x14ac:dyDescent="0.2">
      <c r="A1361" s="27" t="s">
        <v>3516</v>
      </c>
      <c r="B1361" s="27" t="s">
        <v>3517</v>
      </c>
      <c r="C1361" s="27" t="s">
        <v>2129</v>
      </c>
      <c r="D1361" s="27" t="s">
        <v>17</v>
      </c>
      <c r="E1361" s="27" t="s">
        <v>48</v>
      </c>
      <c r="F1361" s="27" t="s">
        <v>49</v>
      </c>
      <c r="G1361" s="27" t="s">
        <v>20</v>
      </c>
      <c r="H1361" s="29">
        <v>336</v>
      </c>
      <c r="I1361" s="27" t="s">
        <v>21</v>
      </c>
      <c r="J1361" s="37">
        <v>45440</v>
      </c>
      <c r="K1361" s="27" t="s">
        <v>22</v>
      </c>
    </row>
    <row r="1362" spans="1:11" x14ac:dyDescent="0.2">
      <c r="A1362" s="24" t="s">
        <v>3518</v>
      </c>
      <c r="B1362" s="24" t="s">
        <v>3519</v>
      </c>
      <c r="C1362" s="24" t="s">
        <v>97</v>
      </c>
      <c r="D1362" s="24" t="s">
        <v>17</v>
      </c>
      <c r="E1362" s="24" t="s">
        <v>18</v>
      </c>
      <c r="F1362" s="24" t="s">
        <v>19</v>
      </c>
      <c r="G1362" s="24" t="s">
        <v>20</v>
      </c>
      <c r="H1362" s="26">
        <v>39</v>
      </c>
      <c r="I1362" s="24" t="s">
        <v>21</v>
      </c>
      <c r="J1362" s="36">
        <v>45427</v>
      </c>
      <c r="K1362" s="24" t="s">
        <v>22</v>
      </c>
    </row>
    <row r="1363" spans="1:11" x14ac:dyDescent="0.2">
      <c r="A1363" s="27" t="s">
        <v>3520</v>
      </c>
      <c r="B1363" s="27" t="s">
        <v>3521</v>
      </c>
      <c r="C1363" s="27" t="s">
        <v>301</v>
      </c>
      <c r="D1363" s="27" t="s">
        <v>17</v>
      </c>
      <c r="E1363" s="27" t="s">
        <v>18</v>
      </c>
      <c r="F1363" s="27" t="s">
        <v>19</v>
      </c>
      <c r="G1363" s="27" t="s">
        <v>44</v>
      </c>
      <c r="H1363" s="29">
        <v>58</v>
      </c>
      <c r="I1363" s="27" t="s">
        <v>21</v>
      </c>
      <c r="J1363" s="37">
        <v>45440</v>
      </c>
      <c r="K1363" s="27" t="s">
        <v>22</v>
      </c>
    </row>
    <row r="1364" spans="1:11" x14ac:dyDescent="0.2">
      <c r="A1364" s="24" t="s">
        <v>3522</v>
      </c>
      <c r="B1364" s="24" t="s">
        <v>3523</v>
      </c>
      <c r="C1364" s="24" t="s">
        <v>331</v>
      </c>
      <c r="D1364" s="24" t="s">
        <v>17</v>
      </c>
      <c r="E1364" s="24" t="s">
        <v>18</v>
      </c>
      <c r="F1364" s="24" t="s">
        <v>19</v>
      </c>
      <c r="G1364" s="24" t="s">
        <v>20</v>
      </c>
      <c r="H1364" s="26">
        <v>5</v>
      </c>
      <c r="I1364" s="24" t="s">
        <v>21</v>
      </c>
      <c r="J1364" s="36">
        <v>45427</v>
      </c>
      <c r="K1364" s="24" t="s">
        <v>22</v>
      </c>
    </row>
    <row r="1365" spans="1:11" x14ac:dyDescent="0.2">
      <c r="A1365" s="27" t="s">
        <v>3524</v>
      </c>
      <c r="B1365" s="27" t="s">
        <v>3525</v>
      </c>
      <c r="C1365" s="27" t="s">
        <v>801</v>
      </c>
      <c r="D1365" s="27" t="s">
        <v>17</v>
      </c>
      <c r="E1365" s="27" t="s">
        <v>48</v>
      </c>
      <c r="F1365" s="27" t="s">
        <v>49</v>
      </c>
      <c r="G1365" s="27" t="s">
        <v>59</v>
      </c>
      <c r="H1365" s="29">
        <v>79</v>
      </c>
      <c r="I1365" s="27" t="s">
        <v>21</v>
      </c>
      <c r="J1365" s="37">
        <v>45413</v>
      </c>
      <c r="K1365" s="27" t="s">
        <v>22</v>
      </c>
    </row>
    <row r="1366" spans="1:11" x14ac:dyDescent="0.2">
      <c r="A1366" s="24" t="s">
        <v>3526</v>
      </c>
      <c r="B1366" s="24" t="s">
        <v>3527</v>
      </c>
      <c r="C1366" s="24" t="s">
        <v>3528</v>
      </c>
      <c r="D1366" s="24" t="s">
        <v>17</v>
      </c>
      <c r="E1366" s="24" t="s">
        <v>18</v>
      </c>
      <c r="F1366" s="24" t="s">
        <v>19</v>
      </c>
      <c r="G1366" s="24" t="s">
        <v>44</v>
      </c>
      <c r="H1366" s="26">
        <v>10</v>
      </c>
      <c r="I1366" s="24" t="s">
        <v>29</v>
      </c>
      <c r="J1366" s="36">
        <v>45413</v>
      </c>
      <c r="K1366" s="24" t="s">
        <v>22</v>
      </c>
    </row>
    <row r="1367" spans="1:11" x14ac:dyDescent="0.2">
      <c r="A1367" s="27" t="s">
        <v>3529</v>
      </c>
      <c r="B1367" s="27" t="s">
        <v>3530</v>
      </c>
      <c r="C1367" s="27" t="s">
        <v>3531</v>
      </c>
      <c r="D1367" s="27" t="s">
        <v>17</v>
      </c>
      <c r="E1367" s="27" t="s">
        <v>18</v>
      </c>
      <c r="F1367" s="27" t="s">
        <v>19</v>
      </c>
      <c r="G1367" s="27" t="s">
        <v>59</v>
      </c>
      <c r="H1367" s="29">
        <v>29</v>
      </c>
      <c r="I1367" s="27" t="s">
        <v>21</v>
      </c>
      <c r="J1367" s="37">
        <v>45426</v>
      </c>
      <c r="K1367" s="27" t="s">
        <v>22</v>
      </c>
    </row>
    <row r="1368" spans="1:11" x14ac:dyDescent="0.2">
      <c r="A1368" s="24" t="s">
        <v>3532</v>
      </c>
      <c r="B1368" s="24" t="s">
        <v>3533</v>
      </c>
      <c r="C1368" s="24" t="s">
        <v>429</v>
      </c>
      <c r="D1368" s="24" t="s">
        <v>17</v>
      </c>
      <c r="E1368" s="24" t="s">
        <v>18</v>
      </c>
      <c r="F1368" s="24" t="s">
        <v>19</v>
      </c>
      <c r="G1368" s="24" t="s">
        <v>20</v>
      </c>
      <c r="H1368" s="26">
        <v>32</v>
      </c>
      <c r="I1368" s="24" t="s">
        <v>21</v>
      </c>
      <c r="J1368" s="36">
        <v>45432</v>
      </c>
      <c r="K1368" s="24" t="s">
        <v>22</v>
      </c>
    </row>
    <row r="1369" spans="1:11" x14ac:dyDescent="0.2">
      <c r="A1369" s="27" t="s">
        <v>3534</v>
      </c>
      <c r="B1369" s="27" t="s">
        <v>3535</v>
      </c>
      <c r="C1369" s="27" t="s">
        <v>3536</v>
      </c>
      <c r="D1369" s="27" t="s">
        <v>17</v>
      </c>
      <c r="E1369" s="27" t="s">
        <v>42</v>
      </c>
      <c r="F1369" s="27" t="s">
        <v>43</v>
      </c>
      <c r="G1369" s="27" t="s">
        <v>28</v>
      </c>
      <c r="H1369" s="29">
        <v>1557</v>
      </c>
      <c r="I1369" s="27" t="s">
        <v>29</v>
      </c>
      <c r="J1369" s="37">
        <v>45418</v>
      </c>
      <c r="K1369" s="27" t="s">
        <v>22</v>
      </c>
    </row>
    <row r="1370" spans="1:11" x14ac:dyDescent="0.2">
      <c r="A1370" s="24" t="s">
        <v>3537</v>
      </c>
      <c r="B1370" s="24" t="s">
        <v>3538</v>
      </c>
      <c r="C1370" s="24" t="s">
        <v>3539</v>
      </c>
      <c r="D1370" s="24" t="s">
        <v>17</v>
      </c>
      <c r="E1370" s="24" t="s">
        <v>42</v>
      </c>
      <c r="F1370" s="24" t="s">
        <v>43</v>
      </c>
      <c r="G1370" s="24" t="s">
        <v>44</v>
      </c>
      <c r="H1370" s="26">
        <v>428</v>
      </c>
      <c r="I1370" s="24" t="s">
        <v>21</v>
      </c>
      <c r="J1370" s="36">
        <v>45423</v>
      </c>
      <c r="K1370" s="24" t="s">
        <v>22</v>
      </c>
    </row>
    <row r="1371" spans="1:11" x14ac:dyDescent="0.2">
      <c r="A1371" s="27" t="s">
        <v>3540</v>
      </c>
      <c r="B1371" s="27" t="s">
        <v>3541</v>
      </c>
      <c r="C1371" s="27" t="s">
        <v>1199</v>
      </c>
      <c r="D1371" s="27" t="s">
        <v>17</v>
      </c>
      <c r="E1371" s="27" t="s">
        <v>18</v>
      </c>
      <c r="F1371" s="27" t="s">
        <v>19</v>
      </c>
      <c r="G1371" s="27" t="s">
        <v>20</v>
      </c>
      <c r="H1371" s="29">
        <v>25</v>
      </c>
      <c r="I1371" s="27" t="s">
        <v>21</v>
      </c>
      <c r="J1371" s="37">
        <v>45432</v>
      </c>
      <c r="K1371" s="27" t="s">
        <v>22</v>
      </c>
    </row>
    <row r="1372" spans="1:11" x14ac:dyDescent="0.2">
      <c r="A1372" s="24" t="s">
        <v>3542</v>
      </c>
      <c r="B1372" s="24" t="s">
        <v>3543</v>
      </c>
      <c r="C1372" s="24" t="s">
        <v>3544</v>
      </c>
      <c r="D1372" s="24" t="s">
        <v>17</v>
      </c>
      <c r="E1372" s="24" t="s">
        <v>42</v>
      </c>
      <c r="F1372" s="24" t="s">
        <v>43</v>
      </c>
      <c r="G1372" s="24" t="s">
        <v>28</v>
      </c>
      <c r="H1372" s="26">
        <v>154</v>
      </c>
      <c r="I1372" s="24" t="s">
        <v>29</v>
      </c>
      <c r="J1372" s="36">
        <v>45442</v>
      </c>
      <c r="K1372" s="24" t="s">
        <v>22</v>
      </c>
    </row>
    <row r="1373" spans="1:11" x14ac:dyDescent="0.2">
      <c r="A1373" s="27" t="s">
        <v>3545</v>
      </c>
      <c r="B1373" s="27" t="s">
        <v>3546</v>
      </c>
      <c r="C1373" s="27" t="s">
        <v>3048</v>
      </c>
      <c r="D1373" s="27" t="s">
        <v>17</v>
      </c>
      <c r="E1373" s="27" t="s">
        <v>33</v>
      </c>
      <c r="F1373" s="27" t="s">
        <v>34</v>
      </c>
      <c r="G1373" s="27" t="s">
        <v>28</v>
      </c>
      <c r="H1373" s="29">
        <v>502</v>
      </c>
      <c r="I1373" s="27" t="s">
        <v>29</v>
      </c>
      <c r="J1373" s="37">
        <v>45420</v>
      </c>
      <c r="K1373" s="27" t="s">
        <v>22</v>
      </c>
    </row>
    <row r="1374" spans="1:11" x14ac:dyDescent="0.2">
      <c r="A1374" s="24" t="s">
        <v>3547</v>
      </c>
      <c r="B1374" s="24" t="s">
        <v>3548</v>
      </c>
      <c r="C1374" s="24" t="s">
        <v>134</v>
      </c>
      <c r="D1374" s="24" t="s">
        <v>17</v>
      </c>
      <c r="E1374" s="24" t="s">
        <v>18</v>
      </c>
      <c r="F1374" s="24" t="s">
        <v>19</v>
      </c>
      <c r="G1374" s="24" t="s">
        <v>28</v>
      </c>
      <c r="H1374" s="26">
        <v>105</v>
      </c>
      <c r="I1374" s="24" t="s">
        <v>29</v>
      </c>
      <c r="J1374" s="36">
        <v>45441</v>
      </c>
      <c r="K1374" s="24" t="s">
        <v>22</v>
      </c>
    </row>
    <row r="1375" spans="1:11" x14ac:dyDescent="0.2">
      <c r="A1375" s="27" t="s">
        <v>3549</v>
      </c>
      <c r="B1375" s="27" t="s">
        <v>3550</v>
      </c>
      <c r="C1375" s="27" t="s">
        <v>97</v>
      </c>
      <c r="D1375" s="27" t="s">
        <v>17</v>
      </c>
      <c r="E1375" s="27" t="s">
        <v>18</v>
      </c>
      <c r="F1375" s="27" t="s">
        <v>19</v>
      </c>
      <c r="G1375" s="27" t="s">
        <v>59</v>
      </c>
      <c r="H1375" s="29">
        <v>15</v>
      </c>
      <c r="I1375" s="27" t="s">
        <v>21</v>
      </c>
      <c r="J1375" s="37">
        <v>45425</v>
      </c>
      <c r="K1375" s="27" t="s">
        <v>22</v>
      </c>
    </row>
    <row r="1376" spans="1:11" x14ac:dyDescent="0.2">
      <c r="A1376" s="24" t="s">
        <v>3551</v>
      </c>
      <c r="B1376" s="24" t="s">
        <v>3552</v>
      </c>
      <c r="C1376" s="24" t="s">
        <v>1247</v>
      </c>
      <c r="D1376" s="24" t="s">
        <v>17</v>
      </c>
      <c r="E1376" s="24" t="s">
        <v>18</v>
      </c>
      <c r="F1376" s="24" t="s">
        <v>19</v>
      </c>
      <c r="G1376" s="24" t="s">
        <v>227</v>
      </c>
      <c r="H1376" s="26">
        <v>104</v>
      </c>
      <c r="I1376" s="24" t="s">
        <v>29</v>
      </c>
      <c r="J1376" s="36">
        <v>45421</v>
      </c>
      <c r="K1376" s="24" t="s">
        <v>22</v>
      </c>
    </row>
    <row r="1377" spans="1:11" x14ac:dyDescent="0.2">
      <c r="A1377" s="27" t="s">
        <v>3553</v>
      </c>
      <c r="B1377" s="27" t="s">
        <v>3554</v>
      </c>
      <c r="C1377" s="27" t="s">
        <v>494</v>
      </c>
      <c r="D1377" s="27" t="s">
        <v>17</v>
      </c>
      <c r="E1377" s="27" t="s">
        <v>26</v>
      </c>
      <c r="F1377" s="27" t="s">
        <v>27</v>
      </c>
      <c r="G1377" s="27" t="s">
        <v>59</v>
      </c>
      <c r="H1377" s="29">
        <v>21</v>
      </c>
      <c r="I1377" s="27" t="s">
        <v>21</v>
      </c>
      <c r="J1377" s="37">
        <v>45425</v>
      </c>
      <c r="K1377" s="27" t="s">
        <v>22</v>
      </c>
    </row>
    <row r="1378" spans="1:11" x14ac:dyDescent="0.2">
      <c r="A1378" s="24" t="s">
        <v>3555</v>
      </c>
      <c r="B1378" s="24" t="s">
        <v>3556</v>
      </c>
      <c r="C1378" s="24" t="s">
        <v>708</v>
      </c>
      <c r="D1378" s="24" t="s">
        <v>17</v>
      </c>
      <c r="E1378" s="24" t="s">
        <v>18</v>
      </c>
      <c r="F1378" s="24" t="s">
        <v>19</v>
      </c>
      <c r="G1378" s="24" t="s">
        <v>20</v>
      </c>
      <c r="H1378" s="26">
        <v>9</v>
      </c>
      <c r="I1378" s="24" t="s">
        <v>21</v>
      </c>
      <c r="J1378" s="36">
        <v>45433</v>
      </c>
      <c r="K1378" s="24" t="s">
        <v>22</v>
      </c>
    </row>
    <row r="1379" spans="1:11" x14ac:dyDescent="0.2">
      <c r="A1379" s="27" t="s">
        <v>3557</v>
      </c>
      <c r="B1379" s="27" t="s">
        <v>3558</v>
      </c>
      <c r="C1379" s="27" t="s">
        <v>91</v>
      </c>
      <c r="D1379" s="27" t="s">
        <v>17</v>
      </c>
      <c r="E1379" s="27" t="s">
        <v>18</v>
      </c>
      <c r="F1379" s="27" t="s">
        <v>19</v>
      </c>
      <c r="G1379" s="27" t="s">
        <v>28</v>
      </c>
      <c r="H1379" s="29">
        <v>130</v>
      </c>
      <c r="I1379" s="27" t="s">
        <v>29</v>
      </c>
      <c r="J1379" s="37">
        <v>45427</v>
      </c>
      <c r="K1379" s="27" t="s">
        <v>22</v>
      </c>
    </row>
    <row r="1380" spans="1:11" x14ac:dyDescent="0.2">
      <c r="A1380" s="24" t="s">
        <v>3559</v>
      </c>
      <c r="B1380" s="24" t="s">
        <v>3560</v>
      </c>
      <c r="C1380" s="24" t="s">
        <v>3561</v>
      </c>
      <c r="D1380" s="24" t="s">
        <v>17</v>
      </c>
      <c r="E1380" s="24" t="s">
        <v>26</v>
      </c>
      <c r="F1380" s="24" t="s">
        <v>27</v>
      </c>
      <c r="G1380" s="24" t="s">
        <v>217</v>
      </c>
      <c r="H1380" s="26">
        <v>22</v>
      </c>
      <c r="I1380" s="24" t="s">
        <v>29</v>
      </c>
      <c r="J1380" s="36">
        <v>45413</v>
      </c>
      <c r="K1380" s="24" t="s">
        <v>22</v>
      </c>
    </row>
    <row r="1381" spans="1:11" x14ac:dyDescent="0.2">
      <c r="A1381" s="27" t="s">
        <v>3562</v>
      </c>
      <c r="B1381" s="27" t="s">
        <v>3563</v>
      </c>
      <c r="C1381" s="27" t="s">
        <v>213</v>
      </c>
      <c r="D1381" s="27" t="s">
        <v>17</v>
      </c>
      <c r="E1381" s="27" t="s">
        <v>18</v>
      </c>
      <c r="F1381" s="27" t="s">
        <v>19</v>
      </c>
      <c r="G1381" s="27" t="s">
        <v>20</v>
      </c>
      <c r="H1381" s="29">
        <v>6</v>
      </c>
      <c r="I1381" s="27" t="s">
        <v>21</v>
      </c>
      <c r="J1381" s="37">
        <v>45425</v>
      </c>
      <c r="K1381" s="27" t="s">
        <v>22</v>
      </c>
    </row>
    <row r="1382" spans="1:11" x14ac:dyDescent="0.2">
      <c r="A1382" s="24" t="s">
        <v>3564</v>
      </c>
      <c r="B1382" s="24" t="s">
        <v>3565</v>
      </c>
      <c r="C1382" s="24" t="s">
        <v>242</v>
      </c>
      <c r="D1382" s="24" t="s">
        <v>17</v>
      </c>
      <c r="E1382" s="24" t="s">
        <v>42</v>
      </c>
      <c r="F1382" s="24" t="s">
        <v>43</v>
      </c>
      <c r="G1382" s="24" t="s">
        <v>38</v>
      </c>
      <c r="H1382" s="26">
        <v>750</v>
      </c>
      <c r="I1382" s="24" t="s">
        <v>29</v>
      </c>
      <c r="J1382" s="36">
        <v>45427</v>
      </c>
      <c r="K1382" s="24" t="s">
        <v>22</v>
      </c>
    </row>
    <row r="1383" spans="1:11" x14ac:dyDescent="0.2">
      <c r="A1383" s="27" t="s">
        <v>3566</v>
      </c>
      <c r="B1383" s="27" t="s">
        <v>3567</v>
      </c>
      <c r="C1383" s="27" t="s">
        <v>705</v>
      </c>
      <c r="D1383" s="27" t="s">
        <v>17</v>
      </c>
      <c r="E1383" s="27" t="s">
        <v>42</v>
      </c>
      <c r="F1383" s="27" t="s">
        <v>43</v>
      </c>
      <c r="G1383" s="27" t="s">
        <v>28</v>
      </c>
      <c r="H1383" s="29">
        <v>244</v>
      </c>
      <c r="I1383" s="27" t="s">
        <v>29</v>
      </c>
      <c r="J1383" s="37">
        <v>45419</v>
      </c>
      <c r="K1383" s="27" t="s">
        <v>22</v>
      </c>
    </row>
    <row r="1384" spans="1:11" x14ac:dyDescent="0.2">
      <c r="A1384" s="24" t="s">
        <v>3568</v>
      </c>
      <c r="B1384" s="24" t="s">
        <v>3569</v>
      </c>
      <c r="C1384" s="24" t="s">
        <v>319</v>
      </c>
      <c r="D1384" s="24" t="s">
        <v>17</v>
      </c>
      <c r="E1384" s="24" t="s">
        <v>42</v>
      </c>
      <c r="F1384" s="24" t="s">
        <v>43</v>
      </c>
      <c r="G1384" s="24" t="s">
        <v>44</v>
      </c>
      <c r="H1384" s="26">
        <v>159</v>
      </c>
      <c r="I1384" s="24" t="s">
        <v>21</v>
      </c>
      <c r="J1384" s="36">
        <v>45442</v>
      </c>
      <c r="K1384" s="24" t="s">
        <v>22</v>
      </c>
    </row>
    <row r="1385" spans="1:11" x14ac:dyDescent="0.2">
      <c r="A1385" s="27" t="s">
        <v>3570</v>
      </c>
      <c r="B1385" s="27" t="s">
        <v>3571</v>
      </c>
      <c r="C1385" s="27" t="s">
        <v>1481</v>
      </c>
      <c r="D1385" s="27" t="s">
        <v>17</v>
      </c>
      <c r="E1385" s="27" t="s">
        <v>42</v>
      </c>
      <c r="F1385" s="27" t="s">
        <v>43</v>
      </c>
      <c r="G1385" s="27" t="s">
        <v>217</v>
      </c>
      <c r="H1385" s="29">
        <v>50</v>
      </c>
      <c r="I1385" s="27" t="s">
        <v>29</v>
      </c>
      <c r="J1385" s="37">
        <v>45413</v>
      </c>
      <c r="K1385" s="27" t="s">
        <v>22</v>
      </c>
    </row>
    <row r="1386" spans="1:11" x14ac:dyDescent="0.2">
      <c r="A1386" s="24" t="s">
        <v>3572</v>
      </c>
      <c r="B1386" s="24" t="s">
        <v>3573</v>
      </c>
      <c r="C1386" s="24" t="s">
        <v>409</v>
      </c>
      <c r="D1386" s="24" t="s">
        <v>17</v>
      </c>
      <c r="E1386" s="24" t="s">
        <v>18</v>
      </c>
      <c r="F1386" s="24" t="s">
        <v>19</v>
      </c>
      <c r="G1386" s="24" t="s">
        <v>20</v>
      </c>
      <c r="H1386" s="26">
        <v>37</v>
      </c>
      <c r="I1386" s="24" t="s">
        <v>21</v>
      </c>
      <c r="J1386" s="36">
        <v>45414</v>
      </c>
      <c r="K1386" s="24" t="s">
        <v>22</v>
      </c>
    </row>
    <row r="1387" spans="1:11" x14ac:dyDescent="0.2">
      <c r="A1387" s="27" t="s">
        <v>3574</v>
      </c>
      <c r="B1387" s="27" t="s">
        <v>3575</v>
      </c>
      <c r="C1387" s="27" t="s">
        <v>3576</v>
      </c>
      <c r="D1387" s="27" t="s">
        <v>17</v>
      </c>
      <c r="E1387" s="27" t="s">
        <v>18</v>
      </c>
      <c r="F1387" s="27" t="s">
        <v>19</v>
      </c>
      <c r="G1387" s="27" t="s">
        <v>227</v>
      </c>
      <c r="H1387" s="29">
        <v>12</v>
      </c>
      <c r="I1387" s="27" t="s">
        <v>29</v>
      </c>
      <c r="J1387" s="37">
        <v>45419</v>
      </c>
      <c r="K1387" s="27" t="s">
        <v>22</v>
      </c>
    </row>
    <row r="1388" spans="1:11" x14ac:dyDescent="0.2">
      <c r="A1388" s="24" t="s">
        <v>3577</v>
      </c>
      <c r="B1388" s="24" t="s">
        <v>3578</v>
      </c>
      <c r="C1388" s="24" t="s">
        <v>3156</v>
      </c>
      <c r="D1388" s="24" t="s">
        <v>17</v>
      </c>
      <c r="E1388" s="24" t="s">
        <v>18</v>
      </c>
      <c r="F1388" s="24" t="s">
        <v>19</v>
      </c>
      <c r="G1388" s="24" t="s">
        <v>20</v>
      </c>
      <c r="H1388" s="26">
        <v>26</v>
      </c>
      <c r="I1388" s="24" t="s">
        <v>21</v>
      </c>
      <c r="J1388" s="36">
        <v>45419</v>
      </c>
      <c r="K1388" s="24" t="s">
        <v>22</v>
      </c>
    </row>
    <row r="1389" spans="1:11" x14ac:dyDescent="0.2">
      <c r="A1389" s="27" t="s">
        <v>3579</v>
      </c>
      <c r="B1389" s="27" t="s">
        <v>3580</v>
      </c>
      <c r="C1389" s="27" t="s">
        <v>251</v>
      </c>
      <c r="D1389" s="27" t="s">
        <v>17</v>
      </c>
      <c r="E1389" s="27" t="s">
        <v>42</v>
      </c>
      <c r="F1389" s="27" t="s">
        <v>43</v>
      </c>
      <c r="G1389" s="27" t="s">
        <v>28</v>
      </c>
      <c r="H1389" s="29">
        <v>125</v>
      </c>
      <c r="I1389" s="27" t="s">
        <v>29</v>
      </c>
      <c r="J1389" s="37">
        <v>45420</v>
      </c>
      <c r="K1389" s="27" t="s">
        <v>22</v>
      </c>
    </row>
    <row r="1390" spans="1:11" x14ac:dyDescent="0.2">
      <c r="A1390" s="24" t="s">
        <v>3581</v>
      </c>
      <c r="B1390" s="24" t="s">
        <v>3582</v>
      </c>
      <c r="C1390" s="24" t="s">
        <v>1199</v>
      </c>
      <c r="D1390" s="24" t="s">
        <v>17</v>
      </c>
      <c r="E1390" s="24" t="s">
        <v>18</v>
      </c>
      <c r="F1390" s="24" t="s">
        <v>19</v>
      </c>
      <c r="G1390" s="24" t="s">
        <v>20</v>
      </c>
      <c r="H1390" s="26">
        <v>76</v>
      </c>
      <c r="I1390" s="24" t="s">
        <v>21</v>
      </c>
      <c r="J1390" s="36">
        <v>45436</v>
      </c>
      <c r="K1390" s="24" t="s">
        <v>22</v>
      </c>
    </row>
    <row r="1391" spans="1:11" x14ac:dyDescent="0.2">
      <c r="A1391" s="27" t="s">
        <v>3583</v>
      </c>
      <c r="B1391" s="27" t="s">
        <v>3584</v>
      </c>
      <c r="C1391" s="27" t="s">
        <v>3585</v>
      </c>
      <c r="D1391" s="27" t="s">
        <v>17</v>
      </c>
      <c r="E1391" s="27" t="s">
        <v>18</v>
      </c>
      <c r="F1391" s="27" t="s">
        <v>19</v>
      </c>
      <c r="G1391" s="27" t="s">
        <v>28</v>
      </c>
      <c r="H1391" s="29">
        <v>150</v>
      </c>
      <c r="I1391" s="27" t="s">
        <v>29</v>
      </c>
      <c r="J1391" s="37">
        <v>45441</v>
      </c>
      <c r="K1391" s="27" t="s">
        <v>22</v>
      </c>
    </row>
    <row r="1392" spans="1:11" x14ac:dyDescent="0.2">
      <c r="A1392" s="24" t="s">
        <v>3586</v>
      </c>
      <c r="B1392" s="24" t="s">
        <v>3587</v>
      </c>
      <c r="C1392" s="24" t="s">
        <v>1895</v>
      </c>
      <c r="D1392" s="24" t="s">
        <v>17</v>
      </c>
      <c r="E1392" s="24" t="s">
        <v>18</v>
      </c>
      <c r="F1392" s="24" t="s">
        <v>19</v>
      </c>
      <c r="G1392" s="24" t="s">
        <v>28</v>
      </c>
      <c r="H1392" s="26">
        <v>144</v>
      </c>
      <c r="I1392" s="24" t="s">
        <v>29</v>
      </c>
      <c r="J1392" s="36">
        <v>45421</v>
      </c>
      <c r="K1392" s="24" t="s">
        <v>22</v>
      </c>
    </row>
    <row r="1393" spans="1:11" x14ac:dyDescent="0.2">
      <c r="A1393" s="27" t="s">
        <v>3588</v>
      </c>
      <c r="B1393" s="27" t="s">
        <v>3589</v>
      </c>
      <c r="C1393" s="27" t="s">
        <v>1737</v>
      </c>
      <c r="D1393" s="27" t="s">
        <v>17</v>
      </c>
      <c r="E1393" s="27" t="s">
        <v>26</v>
      </c>
      <c r="F1393" s="27" t="s">
        <v>27</v>
      </c>
      <c r="G1393" s="27" t="s">
        <v>28</v>
      </c>
      <c r="H1393" s="29">
        <v>93</v>
      </c>
      <c r="I1393" s="27" t="s">
        <v>29</v>
      </c>
      <c r="J1393" s="37">
        <v>45442</v>
      </c>
      <c r="K1393" s="27" t="s">
        <v>22</v>
      </c>
    </row>
    <row r="1394" spans="1:11" x14ac:dyDescent="0.2">
      <c r="A1394" s="24" t="s">
        <v>3590</v>
      </c>
      <c r="B1394" s="24" t="s">
        <v>3591</v>
      </c>
      <c r="C1394" s="24" t="s">
        <v>3592</v>
      </c>
      <c r="D1394" s="24" t="s">
        <v>17</v>
      </c>
      <c r="E1394" s="24" t="s">
        <v>26</v>
      </c>
      <c r="F1394" s="24" t="s">
        <v>27</v>
      </c>
      <c r="G1394" s="24" t="s">
        <v>28</v>
      </c>
      <c r="H1394" s="26">
        <v>31</v>
      </c>
      <c r="I1394" s="24" t="s">
        <v>29</v>
      </c>
      <c r="J1394" s="36">
        <v>45435</v>
      </c>
      <c r="K1394" s="24" t="s">
        <v>22</v>
      </c>
    </row>
    <row r="1395" spans="1:11" x14ac:dyDescent="0.2">
      <c r="A1395" s="27" t="s">
        <v>3593</v>
      </c>
      <c r="B1395" s="27" t="s">
        <v>3594</v>
      </c>
      <c r="C1395" s="27" t="s">
        <v>3595</v>
      </c>
      <c r="D1395" s="27" t="s">
        <v>17</v>
      </c>
      <c r="E1395" s="27" t="s">
        <v>42</v>
      </c>
      <c r="F1395" s="27" t="s">
        <v>43</v>
      </c>
      <c r="G1395" s="27" t="s">
        <v>44</v>
      </c>
      <c r="H1395" s="29">
        <v>255</v>
      </c>
      <c r="I1395" s="27" t="s">
        <v>21</v>
      </c>
      <c r="J1395" s="37">
        <v>45413</v>
      </c>
      <c r="K1395" s="27" t="s">
        <v>22</v>
      </c>
    </row>
    <row r="1396" spans="1:11" x14ac:dyDescent="0.2">
      <c r="A1396" s="24" t="s">
        <v>3596</v>
      </c>
      <c r="B1396" s="24" t="s">
        <v>3597</v>
      </c>
      <c r="C1396" s="24" t="s">
        <v>3598</v>
      </c>
      <c r="D1396" s="24" t="s">
        <v>17</v>
      </c>
      <c r="E1396" s="24" t="s">
        <v>26</v>
      </c>
      <c r="F1396" s="24" t="s">
        <v>27</v>
      </c>
      <c r="G1396" s="24" t="s">
        <v>28</v>
      </c>
      <c r="H1396" s="26">
        <v>18</v>
      </c>
      <c r="I1396" s="24" t="s">
        <v>29</v>
      </c>
      <c r="J1396" s="36">
        <v>45441</v>
      </c>
      <c r="K1396" s="24" t="s">
        <v>22</v>
      </c>
    </row>
    <row r="1397" spans="1:11" x14ac:dyDescent="0.2">
      <c r="A1397" s="27" t="s">
        <v>3599</v>
      </c>
      <c r="B1397" s="27" t="s">
        <v>3600</v>
      </c>
      <c r="C1397" s="27" t="s">
        <v>3601</v>
      </c>
      <c r="D1397" s="27" t="s">
        <v>17</v>
      </c>
      <c r="E1397" s="27" t="s">
        <v>48</v>
      </c>
      <c r="F1397" s="27" t="s">
        <v>49</v>
      </c>
      <c r="G1397" s="27" t="s">
        <v>116</v>
      </c>
      <c r="H1397" s="29">
        <v>0</v>
      </c>
      <c r="I1397" s="27" t="s">
        <v>21</v>
      </c>
      <c r="J1397" s="37">
        <v>45413</v>
      </c>
      <c r="K1397" s="27" t="s">
        <v>22</v>
      </c>
    </row>
    <row r="1398" spans="1:11" x14ac:dyDescent="0.2">
      <c r="A1398" s="24" t="s">
        <v>3602</v>
      </c>
      <c r="B1398" s="24" t="s">
        <v>3603</v>
      </c>
      <c r="C1398" s="24" t="s">
        <v>3604</v>
      </c>
      <c r="D1398" s="24" t="s">
        <v>17</v>
      </c>
      <c r="E1398" s="24" t="s">
        <v>18</v>
      </c>
      <c r="F1398" s="24" t="s">
        <v>19</v>
      </c>
      <c r="G1398" s="24" t="s">
        <v>20</v>
      </c>
      <c r="H1398" s="26">
        <v>40</v>
      </c>
      <c r="I1398" s="24" t="s">
        <v>21</v>
      </c>
      <c r="J1398" s="36">
        <v>45422</v>
      </c>
      <c r="K1398" s="24" t="s">
        <v>22</v>
      </c>
    </row>
    <row r="1399" spans="1:11" x14ac:dyDescent="0.2">
      <c r="A1399" s="27" t="s">
        <v>3605</v>
      </c>
      <c r="B1399" s="27" t="s">
        <v>3606</v>
      </c>
      <c r="C1399" s="27" t="s">
        <v>325</v>
      </c>
      <c r="D1399" s="27" t="s">
        <v>17</v>
      </c>
      <c r="E1399" s="27" t="s">
        <v>42</v>
      </c>
      <c r="F1399" s="27" t="s">
        <v>43</v>
      </c>
      <c r="G1399" s="27" t="s">
        <v>44</v>
      </c>
      <c r="H1399" s="29">
        <v>333</v>
      </c>
      <c r="I1399" s="27" t="s">
        <v>21</v>
      </c>
      <c r="J1399" s="37">
        <v>45441</v>
      </c>
      <c r="K1399" s="27" t="s">
        <v>22</v>
      </c>
    </row>
    <row r="1400" spans="1:11" x14ac:dyDescent="0.2">
      <c r="A1400" s="24" t="s">
        <v>3607</v>
      </c>
      <c r="B1400" s="24" t="s">
        <v>3608</v>
      </c>
      <c r="C1400" s="24" t="s">
        <v>2246</v>
      </c>
      <c r="D1400" s="24" t="s">
        <v>17</v>
      </c>
      <c r="E1400" s="24" t="s">
        <v>26</v>
      </c>
      <c r="F1400" s="24" t="s">
        <v>27</v>
      </c>
      <c r="G1400" s="24" t="s">
        <v>28</v>
      </c>
      <c r="H1400" s="26">
        <v>216</v>
      </c>
      <c r="I1400" s="24" t="s">
        <v>29</v>
      </c>
      <c r="J1400" s="36">
        <v>45420</v>
      </c>
      <c r="K1400" s="24" t="s">
        <v>22</v>
      </c>
    </row>
    <row r="1401" spans="1:11" x14ac:dyDescent="0.2">
      <c r="A1401" s="27" t="s">
        <v>3609</v>
      </c>
      <c r="B1401" s="27" t="s">
        <v>3610</v>
      </c>
      <c r="C1401" s="27" t="s">
        <v>1549</v>
      </c>
      <c r="D1401" s="27" t="s">
        <v>17</v>
      </c>
      <c r="E1401" s="27" t="s">
        <v>18</v>
      </c>
      <c r="F1401" s="27" t="s">
        <v>19</v>
      </c>
      <c r="G1401" s="27" t="s">
        <v>28</v>
      </c>
      <c r="H1401" s="29">
        <v>65</v>
      </c>
      <c r="I1401" s="27" t="s">
        <v>29</v>
      </c>
      <c r="J1401" s="37">
        <v>45427</v>
      </c>
      <c r="K1401" s="27" t="s">
        <v>22</v>
      </c>
    </row>
    <row r="1402" spans="1:11" x14ac:dyDescent="0.2">
      <c r="A1402" s="24" t="s">
        <v>3611</v>
      </c>
      <c r="B1402" s="24" t="s">
        <v>3612</v>
      </c>
      <c r="C1402" s="24" t="s">
        <v>85</v>
      </c>
      <c r="D1402" s="24" t="s">
        <v>17</v>
      </c>
      <c r="E1402" s="24" t="s">
        <v>18</v>
      </c>
      <c r="F1402" s="24" t="s">
        <v>19</v>
      </c>
      <c r="G1402" s="24" t="s">
        <v>20</v>
      </c>
      <c r="H1402" s="26">
        <v>60</v>
      </c>
      <c r="I1402" s="24" t="s">
        <v>21</v>
      </c>
      <c r="J1402" s="36">
        <v>45425</v>
      </c>
      <c r="K1402" s="24" t="s">
        <v>22</v>
      </c>
    </row>
    <row r="1403" spans="1:11" x14ac:dyDescent="0.2">
      <c r="A1403" s="27" t="s">
        <v>3613</v>
      </c>
      <c r="B1403" s="27" t="s">
        <v>3614</v>
      </c>
      <c r="C1403" s="27" t="s">
        <v>146</v>
      </c>
      <c r="D1403" s="27" t="s">
        <v>17</v>
      </c>
      <c r="E1403" s="27" t="s">
        <v>48</v>
      </c>
      <c r="F1403" s="27" t="s">
        <v>49</v>
      </c>
      <c r="G1403" s="27" t="s">
        <v>20</v>
      </c>
      <c r="H1403" s="29">
        <v>845</v>
      </c>
      <c r="I1403" s="27" t="s">
        <v>21</v>
      </c>
      <c r="J1403" s="37">
        <v>45435</v>
      </c>
      <c r="K1403" s="27" t="s">
        <v>22</v>
      </c>
    </row>
    <row r="1404" spans="1:11" x14ac:dyDescent="0.2">
      <c r="A1404" s="24" t="s">
        <v>3615</v>
      </c>
      <c r="B1404" s="24" t="s">
        <v>3616</v>
      </c>
      <c r="C1404" s="24" t="s">
        <v>331</v>
      </c>
      <c r="D1404" s="24" t="s">
        <v>17</v>
      </c>
      <c r="E1404" s="24" t="s">
        <v>18</v>
      </c>
      <c r="F1404" s="24" t="s">
        <v>19</v>
      </c>
      <c r="G1404" s="24" t="s">
        <v>20</v>
      </c>
      <c r="H1404" s="26">
        <v>24</v>
      </c>
      <c r="I1404" s="24" t="s">
        <v>21</v>
      </c>
      <c r="J1404" s="36">
        <v>45419</v>
      </c>
      <c r="K1404" s="24" t="s">
        <v>22</v>
      </c>
    </row>
    <row r="1405" spans="1:11" x14ac:dyDescent="0.2">
      <c r="A1405" s="27" t="s">
        <v>3617</v>
      </c>
      <c r="B1405" s="27" t="s">
        <v>3618</v>
      </c>
      <c r="C1405" s="27" t="s">
        <v>526</v>
      </c>
      <c r="D1405" s="27" t="s">
        <v>17</v>
      </c>
      <c r="E1405" s="27" t="s">
        <v>18</v>
      </c>
      <c r="F1405" s="27" t="s">
        <v>19</v>
      </c>
      <c r="G1405" s="27" t="s">
        <v>28</v>
      </c>
      <c r="H1405" s="29">
        <v>495</v>
      </c>
      <c r="I1405" s="27" t="s">
        <v>29</v>
      </c>
      <c r="J1405" s="37">
        <v>45432</v>
      </c>
      <c r="K1405" s="27" t="s">
        <v>22</v>
      </c>
    </row>
    <row r="1406" spans="1:11" x14ac:dyDescent="0.2">
      <c r="A1406" s="24" t="s">
        <v>3619</v>
      </c>
      <c r="B1406" s="24" t="s">
        <v>3620</v>
      </c>
      <c r="C1406" s="24" t="s">
        <v>68</v>
      </c>
      <c r="D1406" s="24" t="s">
        <v>17</v>
      </c>
      <c r="E1406" s="24" t="s">
        <v>42</v>
      </c>
      <c r="F1406" s="24" t="s">
        <v>43</v>
      </c>
      <c r="G1406" s="24" t="s">
        <v>20</v>
      </c>
      <c r="H1406" s="26">
        <v>393</v>
      </c>
      <c r="I1406" s="24" t="s">
        <v>21</v>
      </c>
      <c r="J1406" s="36">
        <v>45420</v>
      </c>
      <c r="K1406" s="24" t="s">
        <v>22</v>
      </c>
    </row>
    <row r="1407" spans="1:11" x14ac:dyDescent="0.2">
      <c r="A1407" s="27" t="s">
        <v>3621</v>
      </c>
      <c r="B1407" s="27" t="s">
        <v>3622</v>
      </c>
      <c r="C1407" s="27" t="s">
        <v>3371</v>
      </c>
      <c r="D1407" s="27" t="s">
        <v>17</v>
      </c>
      <c r="E1407" s="27" t="s">
        <v>18</v>
      </c>
      <c r="F1407" s="27" t="s">
        <v>19</v>
      </c>
      <c r="G1407" s="27" t="s">
        <v>28</v>
      </c>
      <c r="H1407" s="29">
        <v>44</v>
      </c>
      <c r="I1407" s="27" t="s">
        <v>29</v>
      </c>
      <c r="J1407" s="37">
        <v>45418</v>
      </c>
      <c r="K1407" s="27" t="s">
        <v>22</v>
      </c>
    </row>
    <row r="1408" spans="1:11" x14ac:dyDescent="0.2">
      <c r="A1408" s="24" t="s">
        <v>3623</v>
      </c>
      <c r="B1408" s="24" t="s">
        <v>3624</v>
      </c>
      <c r="C1408" s="24" t="s">
        <v>494</v>
      </c>
      <c r="D1408" s="24" t="s">
        <v>17</v>
      </c>
      <c r="E1408" s="24" t="s">
        <v>18</v>
      </c>
      <c r="F1408" s="24" t="s">
        <v>19</v>
      </c>
      <c r="G1408" s="24" t="s">
        <v>59</v>
      </c>
      <c r="H1408" s="26">
        <v>3</v>
      </c>
      <c r="I1408" s="24" t="s">
        <v>21</v>
      </c>
      <c r="J1408" s="36">
        <v>45436</v>
      </c>
      <c r="K1408" s="24" t="s">
        <v>22</v>
      </c>
    </row>
    <row r="1409" spans="1:11" x14ac:dyDescent="0.2">
      <c r="A1409" s="27" t="s">
        <v>3625</v>
      </c>
      <c r="B1409" s="27" t="s">
        <v>3626</v>
      </c>
      <c r="C1409" s="27" t="s">
        <v>3627</v>
      </c>
      <c r="D1409" s="27" t="s">
        <v>17</v>
      </c>
      <c r="E1409" s="27" t="s">
        <v>18</v>
      </c>
      <c r="F1409" s="27" t="s">
        <v>19</v>
      </c>
      <c r="G1409" s="27" t="s">
        <v>59</v>
      </c>
      <c r="H1409" s="29">
        <v>33</v>
      </c>
      <c r="I1409" s="27" t="s">
        <v>21</v>
      </c>
      <c r="J1409" s="37">
        <v>45436</v>
      </c>
      <c r="K1409" s="27" t="s">
        <v>22</v>
      </c>
    </row>
    <row r="1410" spans="1:11" x14ac:dyDescent="0.2">
      <c r="A1410" s="24" t="s">
        <v>3628</v>
      </c>
      <c r="B1410" s="24" t="s">
        <v>3629</v>
      </c>
      <c r="C1410" s="24" t="s">
        <v>3630</v>
      </c>
      <c r="D1410" s="24" t="s">
        <v>17</v>
      </c>
      <c r="E1410" s="24" t="s">
        <v>18</v>
      </c>
      <c r="F1410" s="24" t="s">
        <v>19</v>
      </c>
      <c r="G1410" s="24" t="s">
        <v>217</v>
      </c>
      <c r="H1410" s="26">
        <v>28</v>
      </c>
      <c r="I1410" s="24" t="s">
        <v>29</v>
      </c>
      <c r="J1410" s="36">
        <v>45440</v>
      </c>
      <c r="K1410" s="24" t="s">
        <v>22</v>
      </c>
    </row>
    <row r="1411" spans="1:11" x14ac:dyDescent="0.2">
      <c r="A1411" s="27" t="s">
        <v>3631</v>
      </c>
      <c r="B1411" s="27" t="s">
        <v>3632</v>
      </c>
      <c r="C1411" s="27" t="s">
        <v>213</v>
      </c>
      <c r="D1411" s="27" t="s">
        <v>17</v>
      </c>
      <c r="E1411" s="27" t="s">
        <v>18</v>
      </c>
      <c r="F1411" s="27" t="s">
        <v>19</v>
      </c>
      <c r="G1411" s="27" t="s">
        <v>20</v>
      </c>
      <c r="H1411" s="29">
        <v>12</v>
      </c>
      <c r="I1411" s="27" t="s">
        <v>21</v>
      </c>
      <c r="J1411" s="37">
        <v>45415</v>
      </c>
      <c r="K1411" s="27" t="s">
        <v>22</v>
      </c>
    </row>
    <row r="1412" spans="1:11" x14ac:dyDescent="0.2">
      <c r="A1412" s="24" t="s">
        <v>3633</v>
      </c>
      <c r="B1412" s="24" t="s">
        <v>3634</v>
      </c>
      <c r="C1412" s="24" t="s">
        <v>185</v>
      </c>
      <c r="D1412" s="24" t="s">
        <v>17</v>
      </c>
      <c r="E1412" s="24" t="s">
        <v>26</v>
      </c>
      <c r="F1412" s="24" t="s">
        <v>27</v>
      </c>
      <c r="G1412" s="24" t="s">
        <v>38</v>
      </c>
      <c r="H1412" s="26">
        <v>312</v>
      </c>
      <c r="I1412" s="24" t="s">
        <v>29</v>
      </c>
      <c r="J1412" s="36">
        <v>45413</v>
      </c>
      <c r="K1412" s="24" t="s">
        <v>22</v>
      </c>
    </row>
    <row r="1413" spans="1:11" x14ac:dyDescent="0.2">
      <c r="A1413" s="27" t="s">
        <v>3635</v>
      </c>
      <c r="B1413" s="27" t="s">
        <v>3636</v>
      </c>
      <c r="C1413" s="27" t="s">
        <v>3637</v>
      </c>
      <c r="D1413" s="27" t="s">
        <v>17</v>
      </c>
      <c r="E1413" s="27" t="s">
        <v>18</v>
      </c>
      <c r="F1413" s="27" t="s">
        <v>19</v>
      </c>
      <c r="G1413" s="27" t="s">
        <v>44</v>
      </c>
      <c r="H1413" s="29">
        <v>35</v>
      </c>
      <c r="I1413" s="27" t="s">
        <v>29</v>
      </c>
      <c r="J1413" s="37">
        <v>45419</v>
      </c>
      <c r="K1413" s="27" t="s">
        <v>22</v>
      </c>
    </row>
    <row r="1414" spans="1:11" x14ac:dyDescent="0.2">
      <c r="A1414" s="24" t="s">
        <v>3638</v>
      </c>
      <c r="B1414" s="24" t="s">
        <v>3639</v>
      </c>
      <c r="C1414" s="24" t="s">
        <v>1958</v>
      </c>
      <c r="D1414" s="24" t="s">
        <v>17</v>
      </c>
      <c r="E1414" s="24" t="s">
        <v>18</v>
      </c>
      <c r="F1414" s="24" t="s">
        <v>19</v>
      </c>
      <c r="G1414" s="24" t="s">
        <v>20</v>
      </c>
      <c r="H1414" s="26">
        <v>8</v>
      </c>
      <c r="I1414" s="24" t="s">
        <v>21</v>
      </c>
      <c r="J1414" s="36">
        <v>45441</v>
      </c>
      <c r="K1414" s="24" t="s">
        <v>22</v>
      </c>
    </row>
    <row r="1415" spans="1:11" x14ac:dyDescent="0.2">
      <c r="A1415" s="27" t="s">
        <v>3640</v>
      </c>
      <c r="B1415" s="27" t="s">
        <v>3641</v>
      </c>
      <c r="C1415" s="27" t="s">
        <v>494</v>
      </c>
      <c r="D1415" s="27" t="s">
        <v>17</v>
      </c>
      <c r="E1415" s="27" t="s">
        <v>18</v>
      </c>
      <c r="F1415" s="27" t="s">
        <v>19</v>
      </c>
      <c r="G1415" s="27" t="s">
        <v>59</v>
      </c>
      <c r="H1415" s="29">
        <v>22</v>
      </c>
      <c r="I1415" s="27" t="s">
        <v>21</v>
      </c>
      <c r="J1415" s="37">
        <v>45442</v>
      </c>
      <c r="K1415" s="27" t="s">
        <v>22</v>
      </c>
    </row>
    <row r="1416" spans="1:11" x14ac:dyDescent="0.2">
      <c r="A1416" s="24" t="s">
        <v>3642</v>
      </c>
      <c r="B1416" s="24" t="s">
        <v>3643</v>
      </c>
      <c r="C1416" s="24" t="s">
        <v>3644</v>
      </c>
      <c r="D1416" s="24" t="s">
        <v>17</v>
      </c>
      <c r="E1416" s="24" t="s">
        <v>18</v>
      </c>
      <c r="F1416" s="24" t="s">
        <v>19</v>
      </c>
      <c r="G1416" s="24" t="s">
        <v>28</v>
      </c>
      <c r="H1416" s="26">
        <v>24</v>
      </c>
      <c r="I1416" s="24" t="s">
        <v>29</v>
      </c>
      <c r="J1416" s="36">
        <v>45428</v>
      </c>
      <c r="K1416" s="24" t="s">
        <v>22</v>
      </c>
    </row>
    <row r="1417" spans="1:11" x14ac:dyDescent="0.2">
      <c r="A1417" s="27" t="s">
        <v>3645</v>
      </c>
      <c r="B1417" s="27" t="s">
        <v>3646</v>
      </c>
      <c r="C1417" s="27" t="s">
        <v>3272</v>
      </c>
      <c r="D1417" s="27" t="s">
        <v>17</v>
      </c>
      <c r="E1417" s="27" t="s">
        <v>81</v>
      </c>
      <c r="F1417" s="27" t="s">
        <v>82</v>
      </c>
      <c r="G1417" s="27" t="s">
        <v>20</v>
      </c>
      <c r="H1417" s="29">
        <v>20</v>
      </c>
      <c r="I1417" s="27" t="s">
        <v>21</v>
      </c>
      <c r="J1417" s="37">
        <v>45428</v>
      </c>
      <c r="K1417" s="27" t="s">
        <v>22</v>
      </c>
    </row>
    <row r="1418" spans="1:11" x14ac:dyDescent="0.2">
      <c r="A1418" s="24" t="s">
        <v>3647</v>
      </c>
      <c r="B1418" s="24" t="s">
        <v>3648</v>
      </c>
      <c r="C1418" s="24" t="s">
        <v>363</v>
      </c>
      <c r="D1418" s="24" t="s">
        <v>17</v>
      </c>
      <c r="E1418" s="24" t="s">
        <v>18</v>
      </c>
      <c r="F1418" s="24" t="s">
        <v>19</v>
      </c>
      <c r="G1418" s="24" t="s">
        <v>217</v>
      </c>
      <c r="H1418" s="26">
        <v>60</v>
      </c>
      <c r="I1418" s="24" t="s">
        <v>29</v>
      </c>
      <c r="J1418" s="36">
        <v>45422</v>
      </c>
      <c r="K1418" s="24" t="s">
        <v>22</v>
      </c>
    </row>
    <row r="1419" spans="1:11" x14ac:dyDescent="0.2">
      <c r="A1419" s="27" t="s">
        <v>3649</v>
      </c>
      <c r="B1419" s="27" t="s">
        <v>3650</v>
      </c>
      <c r="C1419" s="27" t="s">
        <v>1602</v>
      </c>
      <c r="D1419" s="27" t="s">
        <v>17</v>
      </c>
      <c r="E1419" s="27" t="s">
        <v>26</v>
      </c>
      <c r="F1419" s="27" t="s">
        <v>27</v>
      </c>
      <c r="G1419" s="27" t="s">
        <v>44</v>
      </c>
      <c r="H1419" s="29">
        <v>5</v>
      </c>
      <c r="I1419" s="27" t="s">
        <v>21</v>
      </c>
      <c r="J1419" s="37">
        <v>45421</v>
      </c>
      <c r="K1419" s="27" t="s">
        <v>22</v>
      </c>
    </row>
    <row r="1420" spans="1:11" x14ac:dyDescent="0.2">
      <c r="A1420" s="24" t="s">
        <v>3651</v>
      </c>
      <c r="B1420" s="24" t="s">
        <v>3652</v>
      </c>
      <c r="C1420" s="24" t="s">
        <v>1088</v>
      </c>
      <c r="D1420" s="24" t="s">
        <v>17</v>
      </c>
      <c r="E1420" s="24" t="s">
        <v>48</v>
      </c>
      <c r="F1420" s="24" t="s">
        <v>49</v>
      </c>
      <c r="G1420" s="24" t="s">
        <v>28</v>
      </c>
      <c r="H1420" s="26">
        <v>200</v>
      </c>
      <c r="I1420" s="24" t="s">
        <v>29</v>
      </c>
      <c r="J1420" s="36">
        <v>45429</v>
      </c>
      <c r="K1420" s="24" t="s">
        <v>22</v>
      </c>
    </row>
    <row r="1421" spans="1:11" x14ac:dyDescent="0.2">
      <c r="A1421" s="27" t="s">
        <v>3653</v>
      </c>
      <c r="B1421" s="27" t="s">
        <v>3654</v>
      </c>
      <c r="C1421" s="27" t="s">
        <v>3655</v>
      </c>
      <c r="D1421" s="27" t="s">
        <v>17</v>
      </c>
      <c r="E1421" s="27" t="s">
        <v>33</v>
      </c>
      <c r="F1421" s="27" t="s">
        <v>34</v>
      </c>
      <c r="G1421" s="27" t="s">
        <v>20</v>
      </c>
      <c r="H1421" s="29">
        <v>155</v>
      </c>
      <c r="I1421" s="27" t="s">
        <v>21</v>
      </c>
      <c r="J1421" s="37">
        <v>45439</v>
      </c>
      <c r="K1421" s="27" t="s">
        <v>22</v>
      </c>
    </row>
    <row r="1422" spans="1:11" x14ac:dyDescent="0.2">
      <c r="A1422" s="24" t="s">
        <v>3656</v>
      </c>
      <c r="B1422" s="24" t="s">
        <v>3657</v>
      </c>
      <c r="C1422" s="24" t="s">
        <v>3658</v>
      </c>
      <c r="D1422" s="24" t="s">
        <v>17</v>
      </c>
      <c r="E1422" s="24" t="s">
        <v>26</v>
      </c>
      <c r="F1422" s="24" t="s">
        <v>27</v>
      </c>
      <c r="G1422" s="24" t="s">
        <v>28</v>
      </c>
      <c r="H1422" s="26">
        <v>120</v>
      </c>
      <c r="I1422" s="24" t="s">
        <v>29</v>
      </c>
      <c r="J1422" s="36">
        <v>45425</v>
      </c>
      <c r="K1422" s="24" t="s">
        <v>22</v>
      </c>
    </row>
    <row r="1423" spans="1:11" x14ac:dyDescent="0.2">
      <c r="A1423" s="27" t="s">
        <v>3659</v>
      </c>
      <c r="B1423" s="27" t="s">
        <v>3660</v>
      </c>
      <c r="C1423" s="27" t="s">
        <v>242</v>
      </c>
      <c r="D1423" s="27" t="s">
        <v>17</v>
      </c>
      <c r="E1423" s="27" t="s">
        <v>48</v>
      </c>
      <c r="F1423" s="27" t="s">
        <v>49</v>
      </c>
      <c r="G1423" s="27" t="s">
        <v>28</v>
      </c>
      <c r="H1423" s="29">
        <v>120</v>
      </c>
      <c r="I1423" s="27" t="s">
        <v>29</v>
      </c>
      <c r="J1423" s="37">
        <v>45427</v>
      </c>
      <c r="K1423" s="27" t="s">
        <v>22</v>
      </c>
    </row>
    <row r="1424" spans="1:11" x14ac:dyDescent="0.2">
      <c r="A1424" s="24" t="s">
        <v>3661</v>
      </c>
      <c r="B1424" s="24" t="s">
        <v>3662</v>
      </c>
      <c r="C1424" s="24" t="s">
        <v>1116</v>
      </c>
      <c r="D1424" s="24" t="s">
        <v>17</v>
      </c>
      <c r="E1424" s="24" t="s">
        <v>48</v>
      </c>
      <c r="F1424" s="24" t="s">
        <v>49</v>
      </c>
      <c r="G1424" s="24" t="s">
        <v>28</v>
      </c>
      <c r="H1424" s="26">
        <v>172</v>
      </c>
      <c r="I1424" s="24" t="s">
        <v>29</v>
      </c>
      <c r="J1424" s="36">
        <v>45432</v>
      </c>
      <c r="K1424" s="24" t="s">
        <v>22</v>
      </c>
    </row>
    <row r="1425" spans="1:11" x14ac:dyDescent="0.2">
      <c r="A1425" s="27" t="s">
        <v>3663</v>
      </c>
      <c r="B1425" s="27" t="s">
        <v>3664</v>
      </c>
      <c r="C1425" s="27" t="s">
        <v>1307</v>
      </c>
      <c r="D1425" s="27" t="s">
        <v>17</v>
      </c>
      <c r="E1425" s="27" t="s">
        <v>48</v>
      </c>
      <c r="F1425" s="27" t="s">
        <v>49</v>
      </c>
      <c r="G1425" s="27" t="s">
        <v>20</v>
      </c>
      <c r="H1425" s="29">
        <v>155</v>
      </c>
      <c r="I1425" s="27" t="s">
        <v>21</v>
      </c>
      <c r="J1425" s="37">
        <v>45429</v>
      </c>
      <c r="K1425" s="27" t="s">
        <v>22</v>
      </c>
    </row>
    <row r="1426" spans="1:11" x14ac:dyDescent="0.2">
      <c r="A1426" s="24" t="s">
        <v>3665</v>
      </c>
      <c r="B1426" s="24" t="s">
        <v>3666</v>
      </c>
      <c r="C1426" s="24" t="s">
        <v>3667</v>
      </c>
      <c r="D1426" s="24" t="s">
        <v>17</v>
      </c>
      <c r="E1426" s="24" t="s">
        <v>48</v>
      </c>
      <c r="F1426" s="24" t="s">
        <v>49</v>
      </c>
      <c r="G1426" s="24" t="s">
        <v>28</v>
      </c>
      <c r="H1426" s="26">
        <v>64</v>
      </c>
      <c r="I1426" s="24" t="s">
        <v>29</v>
      </c>
      <c r="J1426" s="36">
        <v>45439</v>
      </c>
      <c r="K1426" s="24" t="s">
        <v>22</v>
      </c>
    </row>
    <row r="1427" spans="1:11" x14ac:dyDescent="0.2">
      <c r="A1427" s="27" t="s">
        <v>3668</v>
      </c>
      <c r="B1427" s="27" t="s">
        <v>3669</v>
      </c>
      <c r="C1427" s="27" t="s">
        <v>2705</v>
      </c>
      <c r="D1427" s="27" t="s">
        <v>17</v>
      </c>
      <c r="E1427" s="27" t="s">
        <v>26</v>
      </c>
      <c r="F1427" s="27" t="s">
        <v>27</v>
      </c>
      <c r="G1427" s="27" t="s">
        <v>28</v>
      </c>
      <c r="H1427" s="29">
        <v>21</v>
      </c>
      <c r="I1427" s="27" t="s">
        <v>29</v>
      </c>
      <c r="J1427" s="37">
        <v>45422</v>
      </c>
      <c r="K1427" s="27" t="s">
        <v>22</v>
      </c>
    </row>
    <row r="1428" spans="1:11" x14ac:dyDescent="0.2">
      <c r="A1428" s="24" t="s">
        <v>3670</v>
      </c>
      <c r="B1428" s="24" t="s">
        <v>3671</v>
      </c>
      <c r="C1428" s="24" t="s">
        <v>85</v>
      </c>
      <c r="D1428" s="24" t="s">
        <v>17</v>
      </c>
      <c r="E1428" s="24" t="s">
        <v>42</v>
      </c>
      <c r="F1428" s="24" t="s">
        <v>43</v>
      </c>
      <c r="G1428" s="24" t="s">
        <v>116</v>
      </c>
      <c r="H1428" s="26">
        <v>0</v>
      </c>
      <c r="I1428" s="24" t="s">
        <v>21</v>
      </c>
      <c r="J1428" s="36">
        <v>45435</v>
      </c>
      <c r="K1428" s="24" t="s">
        <v>22</v>
      </c>
    </row>
    <row r="1429" spans="1:11" x14ac:dyDescent="0.2">
      <c r="A1429" s="27" t="s">
        <v>3672</v>
      </c>
      <c r="B1429" s="27" t="s">
        <v>3673</v>
      </c>
      <c r="C1429" s="27" t="s">
        <v>423</v>
      </c>
      <c r="D1429" s="27" t="s">
        <v>17</v>
      </c>
      <c r="E1429" s="27" t="s">
        <v>18</v>
      </c>
      <c r="F1429" s="27" t="s">
        <v>19</v>
      </c>
      <c r="G1429" s="27" t="s">
        <v>20</v>
      </c>
      <c r="H1429" s="29">
        <v>31</v>
      </c>
      <c r="I1429" s="27" t="s">
        <v>21</v>
      </c>
      <c r="J1429" s="37">
        <v>45415</v>
      </c>
      <c r="K1429" s="27" t="s">
        <v>22</v>
      </c>
    </row>
    <row r="1430" spans="1:11" x14ac:dyDescent="0.2">
      <c r="A1430" s="24" t="s">
        <v>3674</v>
      </c>
      <c r="B1430" s="24" t="s">
        <v>3675</v>
      </c>
      <c r="C1430" s="24" t="s">
        <v>1147</v>
      </c>
      <c r="D1430" s="24" t="s">
        <v>17</v>
      </c>
      <c r="E1430" s="24" t="s">
        <v>42</v>
      </c>
      <c r="F1430" s="24" t="s">
        <v>43</v>
      </c>
      <c r="G1430" s="24" t="s">
        <v>20</v>
      </c>
      <c r="H1430" s="26">
        <v>567</v>
      </c>
      <c r="I1430" s="24" t="s">
        <v>21</v>
      </c>
      <c r="J1430" s="36">
        <v>45425</v>
      </c>
      <c r="K1430" s="24" t="s">
        <v>22</v>
      </c>
    </row>
    <row r="1431" spans="1:11" x14ac:dyDescent="0.2">
      <c r="A1431" s="27" t="s">
        <v>3676</v>
      </c>
      <c r="B1431" s="27" t="s">
        <v>3677</v>
      </c>
      <c r="C1431" s="27" t="s">
        <v>55</v>
      </c>
      <c r="D1431" s="27" t="s">
        <v>17</v>
      </c>
      <c r="E1431" s="27" t="s">
        <v>42</v>
      </c>
      <c r="F1431" s="27" t="s">
        <v>43</v>
      </c>
      <c r="G1431" s="27" t="s">
        <v>44</v>
      </c>
      <c r="H1431" s="29">
        <v>450</v>
      </c>
      <c r="I1431" s="27" t="s">
        <v>29</v>
      </c>
      <c r="J1431" s="37">
        <v>45415</v>
      </c>
      <c r="K1431" s="27" t="s">
        <v>22</v>
      </c>
    </row>
    <row r="1432" spans="1:11" x14ac:dyDescent="0.2">
      <c r="A1432" s="24" t="s">
        <v>3678</v>
      </c>
      <c r="B1432" s="24" t="s">
        <v>3679</v>
      </c>
      <c r="C1432" s="24" t="s">
        <v>3680</v>
      </c>
      <c r="D1432" s="24" t="s">
        <v>17</v>
      </c>
      <c r="E1432" s="24" t="s">
        <v>26</v>
      </c>
      <c r="F1432" s="24" t="s">
        <v>27</v>
      </c>
      <c r="G1432" s="24" t="s">
        <v>28</v>
      </c>
      <c r="H1432" s="26">
        <v>54</v>
      </c>
      <c r="I1432" s="24" t="s">
        <v>29</v>
      </c>
      <c r="J1432" s="36">
        <v>45442</v>
      </c>
      <c r="K1432" s="24" t="s">
        <v>22</v>
      </c>
    </row>
    <row r="1433" spans="1:11" x14ac:dyDescent="0.2">
      <c r="A1433" s="27" t="s">
        <v>3681</v>
      </c>
      <c r="B1433" s="27" t="s">
        <v>3682</v>
      </c>
      <c r="C1433" s="27" t="s">
        <v>687</v>
      </c>
      <c r="D1433" s="27" t="s">
        <v>17</v>
      </c>
      <c r="E1433" s="27" t="s">
        <v>18</v>
      </c>
      <c r="F1433" s="27" t="s">
        <v>19</v>
      </c>
      <c r="G1433" s="27" t="s">
        <v>20</v>
      </c>
      <c r="H1433" s="29">
        <v>16</v>
      </c>
      <c r="I1433" s="27" t="s">
        <v>21</v>
      </c>
      <c r="J1433" s="37">
        <v>45440</v>
      </c>
      <c r="K1433" s="27" t="s">
        <v>22</v>
      </c>
    </row>
    <row r="1434" spans="1:11" x14ac:dyDescent="0.2">
      <c r="A1434" s="24" t="s">
        <v>3683</v>
      </c>
      <c r="B1434" s="24" t="s">
        <v>3684</v>
      </c>
      <c r="C1434" s="24" t="s">
        <v>1053</v>
      </c>
      <c r="D1434" s="24" t="s">
        <v>17</v>
      </c>
      <c r="E1434" s="24" t="s">
        <v>18</v>
      </c>
      <c r="F1434" s="24" t="s">
        <v>19</v>
      </c>
      <c r="G1434" s="24" t="s">
        <v>20</v>
      </c>
      <c r="H1434" s="26">
        <v>24</v>
      </c>
      <c r="I1434" s="24" t="s">
        <v>21</v>
      </c>
      <c r="J1434" s="36">
        <v>45442</v>
      </c>
      <c r="K1434" s="24" t="s">
        <v>22</v>
      </c>
    </row>
    <row r="1435" spans="1:11" x14ac:dyDescent="0.2">
      <c r="A1435" s="27" t="s">
        <v>3685</v>
      </c>
      <c r="B1435" s="27" t="s">
        <v>3686</v>
      </c>
      <c r="C1435" s="27" t="s">
        <v>3687</v>
      </c>
      <c r="D1435" s="27" t="s">
        <v>17</v>
      </c>
      <c r="E1435" s="27" t="s">
        <v>48</v>
      </c>
      <c r="F1435" s="27" t="s">
        <v>49</v>
      </c>
      <c r="G1435" s="27" t="s">
        <v>20</v>
      </c>
      <c r="H1435" s="29">
        <v>62</v>
      </c>
      <c r="I1435" s="27" t="s">
        <v>21</v>
      </c>
      <c r="J1435" s="37">
        <v>45413</v>
      </c>
      <c r="K1435" s="27" t="s">
        <v>22</v>
      </c>
    </row>
    <row r="1436" spans="1:11" x14ac:dyDescent="0.2">
      <c r="A1436" s="24" t="s">
        <v>3688</v>
      </c>
      <c r="B1436" s="24" t="s">
        <v>3689</v>
      </c>
      <c r="C1436" s="24" t="s">
        <v>1110</v>
      </c>
      <c r="D1436" s="24" t="s">
        <v>17</v>
      </c>
      <c r="E1436" s="24" t="s">
        <v>81</v>
      </c>
      <c r="F1436" s="24" t="s">
        <v>82</v>
      </c>
      <c r="G1436" s="24" t="s">
        <v>28</v>
      </c>
      <c r="H1436" s="26">
        <v>28</v>
      </c>
      <c r="I1436" s="24" t="s">
        <v>29</v>
      </c>
      <c r="J1436" s="36">
        <v>45442</v>
      </c>
      <c r="K1436" s="24" t="s">
        <v>22</v>
      </c>
    </row>
    <row r="1437" spans="1:11" x14ac:dyDescent="0.2">
      <c r="A1437" s="27" t="s">
        <v>3690</v>
      </c>
      <c r="B1437" s="27" t="s">
        <v>3691</v>
      </c>
      <c r="C1437" s="27" t="s">
        <v>3692</v>
      </c>
      <c r="D1437" s="27" t="s">
        <v>17</v>
      </c>
      <c r="E1437" s="27" t="s">
        <v>26</v>
      </c>
      <c r="F1437" s="27" t="s">
        <v>27</v>
      </c>
      <c r="G1437" s="27" t="s">
        <v>28</v>
      </c>
      <c r="H1437" s="29">
        <v>60</v>
      </c>
      <c r="I1437" s="27" t="s">
        <v>29</v>
      </c>
      <c r="J1437" s="37">
        <v>45418</v>
      </c>
      <c r="K1437" s="27" t="s">
        <v>22</v>
      </c>
    </row>
    <row r="1438" spans="1:11" x14ac:dyDescent="0.2">
      <c r="A1438" s="24" t="s">
        <v>3693</v>
      </c>
      <c r="B1438" s="24" t="s">
        <v>3694</v>
      </c>
      <c r="C1438" s="24" t="s">
        <v>194</v>
      </c>
      <c r="D1438" s="24" t="s">
        <v>17</v>
      </c>
      <c r="E1438" s="24" t="s">
        <v>42</v>
      </c>
      <c r="F1438" s="24" t="s">
        <v>43</v>
      </c>
      <c r="G1438" s="24" t="s">
        <v>44</v>
      </c>
      <c r="H1438" s="26">
        <v>274</v>
      </c>
      <c r="I1438" s="24" t="s">
        <v>21</v>
      </c>
      <c r="J1438" s="36">
        <v>45420</v>
      </c>
      <c r="K1438" s="24" t="s">
        <v>22</v>
      </c>
    </row>
    <row r="1439" spans="1:11" x14ac:dyDescent="0.2">
      <c r="A1439" s="27" t="s">
        <v>3695</v>
      </c>
      <c r="B1439" s="27" t="s">
        <v>3696</v>
      </c>
      <c r="C1439" s="27" t="s">
        <v>3697</v>
      </c>
      <c r="D1439" s="27" t="s">
        <v>17</v>
      </c>
      <c r="E1439" s="27" t="s">
        <v>18</v>
      </c>
      <c r="F1439" s="27" t="s">
        <v>19</v>
      </c>
      <c r="G1439" s="27" t="s">
        <v>38</v>
      </c>
      <c r="H1439" s="29">
        <v>72</v>
      </c>
      <c r="I1439" s="27" t="s">
        <v>29</v>
      </c>
      <c r="J1439" s="37">
        <v>45432</v>
      </c>
      <c r="K1439" s="27" t="s">
        <v>22</v>
      </c>
    </row>
    <row r="1440" spans="1:11" x14ac:dyDescent="0.2">
      <c r="A1440" s="24" t="s">
        <v>3698</v>
      </c>
      <c r="B1440" s="24" t="s">
        <v>3699</v>
      </c>
      <c r="C1440" s="24" t="s">
        <v>1059</v>
      </c>
      <c r="D1440" s="24" t="s">
        <v>17</v>
      </c>
      <c r="E1440" s="24" t="s">
        <v>42</v>
      </c>
      <c r="F1440" s="24" t="s">
        <v>43</v>
      </c>
      <c r="G1440" s="24" t="s">
        <v>28</v>
      </c>
      <c r="H1440" s="26">
        <v>280</v>
      </c>
      <c r="I1440" s="24" t="s">
        <v>29</v>
      </c>
      <c r="J1440" s="36">
        <v>45432</v>
      </c>
      <c r="K1440" s="24" t="s">
        <v>22</v>
      </c>
    </row>
    <row r="1441" spans="1:11" x14ac:dyDescent="0.2">
      <c r="A1441" s="27" t="s">
        <v>3700</v>
      </c>
      <c r="B1441" s="27" t="s">
        <v>3701</v>
      </c>
      <c r="C1441" s="27" t="s">
        <v>3199</v>
      </c>
      <c r="D1441" s="27" t="s">
        <v>17</v>
      </c>
      <c r="E1441" s="27" t="s">
        <v>18</v>
      </c>
      <c r="F1441" s="27" t="s">
        <v>19</v>
      </c>
      <c r="G1441" s="27" t="s">
        <v>28</v>
      </c>
      <c r="H1441" s="29">
        <v>24</v>
      </c>
      <c r="I1441" s="27" t="s">
        <v>29</v>
      </c>
      <c r="J1441" s="37">
        <v>45420</v>
      </c>
      <c r="K1441" s="27" t="s">
        <v>22</v>
      </c>
    </row>
    <row r="1442" spans="1:11" x14ac:dyDescent="0.2">
      <c r="A1442" s="24" t="s">
        <v>3702</v>
      </c>
      <c r="B1442" s="24" t="s">
        <v>3703</v>
      </c>
      <c r="C1442" s="24" t="s">
        <v>1110</v>
      </c>
      <c r="D1442" s="24" t="s">
        <v>17</v>
      </c>
      <c r="E1442" s="24" t="s">
        <v>48</v>
      </c>
      <c r="F1442" s="24" t="s">
        <v>49</v>
      </c>
      <c r="G1442" s="24" t="s">
        <v>44</v>
      </c>
      <c r="H1442" s="26">
        <v>256</v>
      </c>
      <c r="I1442" s="24" t="s">
        <v>21</v>
      </c>
      <c r="J1442" s="36">
        <v>45414</v>
      </c>
      <c r="K1442" s="24" t="s">
        <v>22</v>
      </c>
    </row>
    <row r="1443" spans="1:11" x14ac:dyDescent="0.2">
      <c r="A1443" s="27" t="s">
        <v>3704</v>
      </c>
      <c r="B1443" s="27" t="s">
        <v>3705</v>
      </c>
      <c r="C1443" s="27" t="s">
        <v>3706</v>
      </c>
      <c r="D1443" s="27" t="s">
        <v>17</v>
      </c>
      <c r="E1443" s="27" t="s">
        <v>18</v>
      </c>
      <c r="F1443" s="27" t="s">
        <v>19</v>
      </c>
      <c r="G1443" s="27" t="s">
        <v>28</v>
      </c>
      <c r="H1443" s="29">
        <v>40</v>
      </c>
      <c r="I1443" s="27" t="s">
        <v>29</v>
      </c>
      <c r="J1443" s="37">
        <v>45413</v>
      </c>
      <c r="K1443" s="27" t="s">
        <v>22</v>
      </c>
    </row>
    <row r="1444" spans="1:11" x14ac:dyDescent="0.2">
      <c r="A1444" s="24" t="s">
        <v>3707</v>
      </c>
      <c r="B1444" s="24" t="s">
        <v>3708</v>
      </c>
      <c r="C1444" s="24" t="s">
        <v>409</v>
      </c>
      <c r="D1444" s="24" t="s">
        <v>17</v>
      </c>
      <c r="E1444" s="24" t="s">
        <v>42</v>
      </c>
      <c r="F1444" s="24" t="s">
        <v>43</v>
      </c>
      <c r="G1444" s="24" t="s">
        <v>28</v>
      </c>
      <c r="H1444" s="26">
        <v>324</v>
      </c>
      <c r="I1444" s="24" t="s">
        <v>29</v>
      </c>
      <c r="J1444" s="36">
        <v>45422</v>
      </c>
      <c r="K1444" s="24" t="s">
        <v>22</v>
      </c>
    </row>
    <row r="1445" spans="1:11" x14ac:dyDescent="0.2">
      <c r="A1445" s="27" t="s">
        <v>3709</v>
      </c>
      <c r="B1445" s="27" t="s">
        <v>3710</v>
      </c>
      <c r="C1445" s="27" t="s">
        <v>106</v>
      </c>
      <c r="D1445" s="27" t="s">
        <v>17</v>
      </c>
      <c r="E1445" s="27" t="s">
        <v>42</v>
      </c>
      <c r="F1445" s="27" t="s">
        <v>43</v>
      </c>
      <c r="G1445" s="27" t="s">
        <v>28</v>
      </c>
      <c r="H1445" s="29">
        <v>1700</v>
      </c>
      <c r="I1445" s="27" t="s">
        <v>29</v>
      </c>
      <c r="J1445" s="37">
        <v>45418</v>
      </c>
      <c r="K1445" s="27" t="s">
        <v>22</v>
      </c>
    </row>
    <row r="1446" spans="1:11" x14ac:dyDescent="0.2">
      <c r="A1446" s="24" t="s">
        <v>3711</v>
      </c>
      <c r="B1446" s="24" t="s">
        <v>3712</v>
      </c>
      <c r="C1446" s="24" t="s">
        <v>3713</v>
      </c>
      <c r="D1446" s="24" t="s">
        <v>17</v>
      </c>
      <c r="E1446" s="24" t="s">
        <v>18</v>
      </c>
      <c r="F1446" s="24" t="s">
        <v>19</v>
      </c>
      <c r="G1446" s="24" t="s">
        <v>20</v>
      </c>
      <c r="H1446" s="26">
        <v>56</v>
      </c>
      <c r="I1446" s="24" t="s">
        <v>21</v>
      </c>
      <c r="J1446" s="36">
        <v>45427</v>
      </c>
      <c r="K1446" s="24" t="s">
        <v>22</v>
      </c>
    </row>
    <row r="1447" spans="1:11" x14ac:dyDescent="0.2">
      <c r="A1447" s="27" t="s">
        <v>3714</v>
      </c>
      <c r="B1447" s="27" t="s">
        <v>3715</v>
      </c>
      <c r="C1447" s="27" t="s">
        <v>2944</v>
      </c>
      <c r="D1447" s="27" t="s">
        <v>17</v>
      </c>
      <c r="E1447" s="27" t="s">
        <v>42</v>
      </c>
      <c r="F1447" s="27" t="s">
        <v>43</v>
      </c>
      <c r="G1447" s="27" t="s">
        <v>217</v>
      </c>
      <c r="H1447" s="29">
        <v>358</v>
      </c>
      <c r="I1447" s="27" t="s">
        <v>29</v>
      </c>
      <c r="J1447" s="37">
        <v>45427</v>
      </c>
      <c r="K1447" s="27" t="s">
        <v>22</v>
      </c>
    </row>
    <row r="1448" spans="1:11" x14ac:dyDescent="0.2">
      <c r="A1448" s="24" t="s">
        <v>3716</v>
      </c>
      <c r="B1448" s="24" t="s">
        <v>3717</v>
      </c>
      <c r="C1448" s="24" t="s">
        <v>3718</v>
      </c>
      <c r="D1448" s="24" t="s">
        <v>17</v>
      </c>
      <c r="E1448" s="24" t="s">
        <v>18</v>
      </c>
      <c r="F1448" s="24" t="s">
        <v>19</v>
      </c>
      <c r="G1448" s="24" t="s">
        <v>20</v>
      </c>
      <c r="H1448" s="26">
        <v>82</v>
      </c>
      <c r="I1448" s="24" t="s">
        <v>21</v>
      </c>
      <c r="J1448" s="36">
        <v>45428</v>
      </c>
      <c r="K1448" s="24" t="s">
        <v>22</v>
      </c>
    </row>
    <row r="1449" spans="1:11" x14ac:dyDescent="0.2">
      <c r="A1449" s="27" t="s">
        <v>3719</v>
      </c>
      <c r="B1449" s="27" t="s">
        <v>3720</v>
      </c>
      <c r="C1449" s="27" t="s">
        <v>3721</v>
      </c>
      <c r="D1449" s="27" t="s">
        <v>17</v>
      </c>
      <c r="E1449" s="27" t="s">
        <v>42</v>
      </c>
      <c r="F1449" s="27" t="s">
        <v>43</v>
      </c>
      <c r="G1449" s="27" t="s">
        <v>20</v>
      </c>
      <c r="H1449" s="29">
        <v>74</v>
      </c>
      <c r="I1449" s="27" t="s">
        <v>21</v>
      </c>
      <c r="J1449" s="37">
        <v>45435</v>
      </c>
      <c r="K1449" s="27" t="s">
        <v>22</v>
      </c>
    </row>
    <row r="1450" spans="1:11" x14ac:dyDescent="0.2">
      <c r="A1450" s="24" t="s">
        <v>3722</v>
      </c>
      <c r="B1450" s="24" t="s">
        <v>3723</v>
      </c>
      <c r="C1450" s="24" t="s">
        <v>3724</v>
      </c>
      <c r="D1450" s="24" t="s">
        <v>17</v>
      </c>
      <c r="E1450" s="24" t="s">
        <v>42</v>
      </c>
      <c r="F1450" s="24" t="s">
        <v>43</v>
      </c>
      <c r="G1450" s="24" t="s">
        <v>28</v>
      </c>
      <c r="H1450" s="26">
        <v>852</v>
      </c>
      <c r="I1450" s="24" t="s">
        <v>29</v>
      </c>
      <c r="J1450" s="36">
        <v>45432</v>
      </c>
      <c r="K1450" s="24" t="s">
        <v>22</v>
      </c>
    </row>
    <row r="1451" spans="1:11" x14ac:dyDescent="0.2">
      <c r="A1451" s="27" t="s">
        <v>3725</v>
      </c>
      <c r="B1451" s="27" t="s">
        <v>3726</v>
      </c>
      <c r="C1451" s="27" t="s">
        <v>746</v>
      </c>
      <c r="D1451" s="27" t="s">
        <v>17</v>
      </c>
      <c r="E1451" s="27" t="s">
        <v>42</v>
      </c>
      <c r="F1451" s="27" t="s">
        <v>43</v>
      </c>
      <c r="G1451" s="27" t="s">
        <v>20</v>
      </c>
      <c r="H1451" s="29">
        <v>231</v>
      </c>
      <c r="I1451" s="27" t="s">
        <v>21</v>
      </c>
      <c r="J1451" s="37">
        <v>45435</v>
      </c>
      <c r="K1451" s="27" t="s">
        <v>22</v>
      </c>
    </row>
    <row r="1452" spans="1:11" x14ac:dyDescent="0.2">
      <c r="A1452" s="24" t="s">
        <v>3727</v>
      </c>
      <c r="B1452" s="24" t="s">
        <v>3728</v>
      </c>
      <c r="C1452" s="24" t="s">
        <v>3729</v>
      </c>
      <c r="D1452" s="24" t="s">
        <v>17</v>
      </c>
      <c r="E1452" s="24" t="s">
        <v>48</v>
      </c>
      <c r="F1452" s="24" t="s">
        <v>49</v>
      </c>
      <c r="G1452" s="24" t="s">
        <v>20</v>
      </c>
      <c r="H1452" s="26">
        <v>75</v>
      </c>
      <c r="I1452" s="24" t="s">
        <v>21</v>
      </c>
      <c r="J1452" s="36">
        <v>45432</v>
      </c>
      <c r="K1452" s="24" t="s">
        <v>22</v>
      </c>
    </row>
    <row r="1453" spans="1:11" x14ac:dyDescent="0.2">
      <c r="A1453" s="27" t="s">
        <v>3730</v>
      </c>
      <c r="B1453" s="27" t="s">
        <v>3731</v>
      </c>
      <c r="C1453" s="27" t="s">
        <v>3732</v>
      </c>
      <c r="D1453" s="27" t="s">
        <v>17</v>
      </c>
      <c r="E1453" s="27" t="s">
        <v>33</v>
      </c>
      <c r="F1453" s="27" t="s">
        <v>34</v>
      </c>
      <c r="G1453" s="27" t="s">
        <v>44</v>
      </c>
      <c r="H1453" s="29">
        <v>560</v>
      </c>
      <c r="I1453" s="27" t="s">
        <v>29</v>
      </c>
      <c r="J1453" s="37">
        <v>45414</v>
      </c>
      <c r="K1453" s="27" t="s">
        <v>22</v>
      </c>
    </row>
    <row r="1454" spans="1:11" x14ac:dyDescent="0.2">
      <c r="A1454" s="24" t="s">
        <v>3733</v>
      </c>
      <c r="B1454" s="24" t="s">
        <v>3734</v>
      </c>
      <c r="C1454" s="24" t="s">
        <v>1602</v>
      </c>
      <c r="D1454" s="24" t="s">
        <v>17</v>
      </c>
      <c r="E1454" s="24" t="s">
        <v>26</v>
      </c>
      <c r="F1454" s="24" t="s">
        <v>27</v>
      </c>
      <c r="G1454" s="24" t="s">
        <v>28</v>
      </c>
      <c r="H1454" s="26">
        <v>47</v>
      </c>
      <c r="I1454" s="24" t="s">
        <v>29</v>
      </c>
      <c r="J1454" s="36">
        <v>45426</v>
      </c>
      <c r="K1454" s="24" t="s">
        <v>22</v>
      </c>
    </row>
    <row r="1455" spans="1:11" x14ac:dyDescent="0.2">
      <c r="A1455" s="27" t="s">
        <v>3735</v>
      </c>
      <c r="B1455" s="27" t="s">
        <v>3736</v>
      </c>
      <c r="C1455" s="27" t="s">
        <v>2210</v>
      </c>
      <c r="D1455" s="27" t="s">
        <v>17</v>
      </c>
      <c r="E1455" s="27" t="s">
        <v>26</v>
      </c>
      <c r="F1455" s="27" t="s">
        <v>27</v>
      </c>
      <c r="G1455" s="27" t="s">
        <v>59</v>
      </c>
      <c r="H1455" s="29">
        <v>60</v>
      </c>
      <c r="I1455" s="27" t="s">
        <v>21</v>
      </c>
      <c r="J1455" s="37">
        <v>45427</v>
      </c>
      <c r="K1455" s="27" t="s">
        <v>22</v>
      </c>
    </row>
    <row r="1456" spans="1:11" x14ac:dyDescent="0.2">
      <c r="A1456" s="24" t="s">
        <v>3737</v>
      </c>
      <c r="B1456" s="24" t="s">
        <v>3738</v>
      </c>
      <c r="C1456" s="24" t="s">
        <v>3239</v>
      </c>
      <c r="D1456" s="24" t="s">
        <v>17</v>
      </c>
      <c r="E1456" s="24" t="s">
        <v>26</v>
      </c>
      <c r="F1456" s="24" t="s">
        <v>27</v>
      </c>
      <c r="G1456" s="24" t="s">
        <v>28</v>
      </c>
      <c r="H1456" s="26">
        <v>24</v>
      </c>
      <c r="I1456" s="24" t="s">
        <v>29</v>
      </c>
      <c r="J1456" s="36">
        <v>45436</v>
      </c>
      <c r="K1456" s="24" t="s">
        <v>22</v>
      </c>
    </row>
    <row r="1457" spans="1:11" x14ac:dyDescent="0.2">
      <c r="A1457" s="27" t="s">
        <v>3739</v>
      </c>
      <c r="B1457" s="27" t="s">
        <v>3740</v>
      </c>
      <c r="C1457" s="27" t="s">
        <v>55</v>
      </c>
      <c r="D1457" s="27" t="s">
        <v>17</v>
      </c>
      <c r="E1457" s="27" t="s">
        <v>42</v>
      </c>
      <c r="F1457" s="27" t="s">
        <v>43</v>
      </c>
      <c r="G1457" s="27" t="s">
        <v>28</v>
      </c>
      <c r="H1457" s="29">
        <v>400</v>
      </c>
      <c r="I1457" s="27" t="s">
        <v>29</v>
      </c>
      <c r="J1457" s="37">
        <v>45435</v>
      </c>
      <c r="K1457" s="27" t="s">
        <v>22</v>
      </c>
    </row>
    <row r="1458" spans="1:11" x14ac:dyDescent="0.2">
      <c r="A1458" s="24" t="s">
        <v>3741</v>
      </c>
      <c r="B1458" s="24" t="s">
        <v>3742</v>
      </c>
      <c r="C1458" s="24" t="s">
        <v>3048</v>
      </c>
      <c r="D1458" s="24" t="s">
        <v>17</v>
      </c>
      <c r="E1458" s="24" t="s">
        <v>18</v>
      </c>
      <c r="F1458" s="24" t="s">
        <v>19</v>
      </c>
      <c r="G1458" s="24" t="s">
        <v>28</v>
      </c>
      <c r="H1458" s="26">
        <v>132</v>
      </c>
      <c r="I1458" s="24" t="s">
        <v>29</v>
      </c>
      <c r="J1458" s="36">
        <v>45439</v>
      </c>
      <c r="K1458" s="24" t="s">
        <v>22</v>
      </c>
    </row>
    <row r="1459" spans="1:11" x14ac:dyDescent="0.2">
      <c r="A1459" s="27" t="s">
        <v>3743</v>
      </c>
      <c r="B1459" s="27" t="s">
        <v>3744</v>
      </c>
      <c r="C1459" s="27" t="s">
        <v>1199</v>
      </c>
      <c r="D1459" s="27" t="s">
        <v>17</v>
      </c>
      <c r="E1459" s="27" t="s">
        <v>42</v>
      </c>
      <c r="F1459" s="27" t="s">
        <v>43</v>
      </c>
      <c r="G1459" s="27" t="s">
        <v>28</v>
      </c>
      <c r="H1459" s="29">
        <v>440</v>
      </c>
      <c r="I1459" s="27" t="s">
        <v>29</v>
      </c>
      <c r="J1459" s="37">
        <v>45422</v>
      </c>
      <c r="K1459" s="27" t="s">
        <v>22</v>
      </c>
    </row>
    <row r="1460" spans="1:11" x14ac:dyDescent="0.2">
      <c r="A1460" s="24" t="s">
        <v>3745</v>
      </c>
      <c r="B1460" s="24" t="s">
        <v>3746</v>
      </c>
      <c r="C1460" s="24" t="s">
        <v>115</v>
      </c>
      <c r="D1460" s="24" t="s">
        <v>17</v>
      </c>
      <c r="E1460" s="24" t="s">
        <v>26</v>
      </c>
      <c r="F1460" s="24" t="s">
        <v>27</v>
      </c>
      <c r="G1460" s="24" t="s">
        <v>44</v>
      </c>
      <c r="H1460" s="26">
        <v>28</v>
      </c>
      <c r="I1460" s="24" t="s">
        <v>21</v>
      </c>
      <c r="J1460" s="36">
        <v>45432</v>
      </c>
      <c r="K1460" s="24" t="s">
        <v>22</v>
      </c>
    </row>
    <row r="1461" spans="1:11" x14ac:dyDescent="0.2">
      <c r="A1461" s="27" t="s">
        <v>3747</v>
      </c>
      <c r="B1461" s="27" t="s">
        <v>3748</v>
      </c>
      <c r="C1461" s="27" t="s">
        <v>1648</v>
      </c>
      <c r="D1461" s="27" t="s">
        <v>17</v>
      </c>
      <c r="E1461" s="27" t="s">
        <v>163</v>
      </c>
      <c r="F1461" s="27" t="s">
        <v>164</v>
      </c>
      <c r="G1461" s="27" t="s">
        <v>28</v>
      </c>
      <c r="H1461" s="29">
        <v>20</v>
      </c>
      <c r="I1461" s="27" t="s">
        <v>29</v>
      </c>
      <c r="J1461" s="37">
        <v>45419</v>
      </c>
      <c r="K1461" s="27" t="s">
        <v>22</v>
      </c>
    </row>
    <row r="1462" spans="1:11" x14ac:dyDescent="0.2">
      <c r="A1462" s="24" t="s">
        <v>3749</v>
      </c>
      <c r="B1462" s="24" t="s">
        <v>3750</v>
      </c>
      <c r="C1462" s="24" t="s">
        <v>363</v>
      </c>
      <c r="D1462" s="24" t="s">
        <v>17</v>
      </c>
      <c r="E1462" s="24" t="s">
        <v>81</v>
      </c>
      <c r="F1462" s="24" t="s">
        <v>82</v>
      </c>
      <c r="G1462" s="24" t="s">
        <v>217</v>
      </c>
      <c r="H1462" s="26">
        <v>736</v>
      </c>
      <c r="I1462" s="24" t="s">
        <v>29</v>
      </c>
      <c r="J1462" s="36">
        <v>45442</v>
      </c>
      <c r="K1462" s="24" t="s">
        <v>22</v>
      </c>
    </row>
    <row r="1463" spans="1:11" x14ac:dyDescent="0.2">
      <c r="A1463" s="27" t="s">
        <v>3751</v>
      </c>
      <c r="B1463" s="27" t="s">
        <v>3752</v>
      </c>
      <c r="C1463" s="27" t="s">
        <v>613</v>
      </c>
      <c r="D1463" s="27" t="s">
        <v>17</v>
      </c>
      <c r="E1463" s="27" t="s">
        <v>18</v>
      </c>
      <c r="F1463" s="27" t="s">
        <v>19</v>
      </c>
      <c r="G1463" s="27" t="s">
        <v>28</v>
      </c>
      <c r="H1463" s="29">
        <v>130</v>
      </c>
      <c r="I1463" s="27" t="s">
        <v>29</v>
      </c>
      <c r="J1463" s="37">
        <v>45436</v>
      </c>
      <c r="K1463" s="27" t="s">
        <v>22</v>
      </c>
    </row>
    <row r="1464" spans="1:11" x14ac:dyDescent="0.2">
      <c r="A1464" s="24" t="s">
        <v>3753</v>
      </c>
      <c r="B1464" s="24" t="s">
        <v>3754</v>
      </c>
      <c r="C1464" s="24" t="s">
        <v>3755</v>
      </c>
      <c r="D1464" s="24" t="s">
        <v>17</v>
      </c>
      <c r="E1464" s="24" t="s">
        <v>18</v>
      </c>
      <c r="F1464" s="24" t="s">
        <v>19</v>
      </c>
      <c r="G1464" s="24" t="s">
        <v>44</v>
      </c>
      <c r="H1464" s="26">
        <v>30</v>
      </c>
      <c r="I1464" s="24" t="s">
        <v>29</v>
      </c>
      <c r="J1464" s="36">
        <v>45441</v>
      </c>
      <c r="K1464" s="24" t="s">
        <v>22</v>
      </c>
    </row>
    <row r="1465" spans="1:11" x14ac:dyDescent="0.2">
      <c r="A1465" s="27" t="s">
        <v>3756</v>
      </c>
      <c r="B1465" s="27" t="s">
        <v>3757</v>
      </c>
      <c r="C1465" s="27" t="s">
        <v>203</v>
      </c>
      <c r="D1465" s="27" t="s">
        <v>17</v>
      </c>
      <c r="E1465" s="27" t="s">
        <v>18</v>
      </c>
      <c r="F1465" s="27" t="s">
        <v>19</v>
      </c>
      <c r="G1465" s="27" t="s">
        <v>44</v>
      </c>
      <c r="H1465" s="29">
        <v>31</v>
      </c>
      <c r="I1465" s="27" t="s">
        <v>29</v>
      </c>
      <c r="J1465" s="37">
        <v>45419</v>
      </c>
      <c r="K1465" s="27" t="s">
        <v>22</v>
      </c>
    </row>
    <row r="1466" spans="1:11" x14ac:dyDescent="0.2">
      <c r="A1466" s="24" t="s">
        <v>3758</v>
      </c>
      <c r="B1466" s="24" t="s">
        <v>3759</v>
      </c>
      <c r="C1466" s="24" t="s">
        <v>2669</v>
      </c>
      <c r="D1466" s="24" t="s">
        <v>17</v>
      </c>
      <c r="E1466" s="24" t="s">
        <v>18</v>
      </c>
      <c r="F1466" s="24" t="s">
        <v>19</v>
      </c>
      <c r="G1466" s="24" t="s">
        <v>20</v>
      </c>
      <c r="H1466" s="26">
        <v>62</v>
      </c>
      <c r="I1466" s="24" t="s">
        <v>21</v>
      </c>
      <c r="J1466" s="36">
        <v>45419</v>
      </c>
      <c r="K1466" s="24" t="s">
        <v>22</v>
      </c>
    </row>
    <row r="1467" spans="1:11" x14ac:dyDescent="0.2">
      <c r="A1467" s="27" t="s">
        <v>3760</v>
      </c>
      <c r="B1467" s="27" t="s">
        <v>3761</v>
      </c>
      <c r="C1467" s="27" t="s">
        <v>3762</v>
      </c>
      <c r="D1467" s="27" t="s">
        <v>17</v>
      </c>
      <c r="E1467" s="27" t="s">
        <v>42</v>
      </c>
      <c r="F1467" s="27" t="s">
        <v>43</v>
      </c>
      <c r="G1467" s="27" t="s">
        <v>20</v>
      </c>
      <c r="H1467" s="29">
        <v>146</v>
      </c>
      <c r="I1467" s="27" t="s">
        <v>21</v>
      </c>
      <c r="J1467" s="37">
        <v>45440</v>
      </c>
      <c r="K1467" s="27" t="s">
        <v>22</v>
      </c>
    </row>
    <row r="1468" spans="1:11" x14ac:dyDescent="0.2">
      <c r="A1468" s="24" t="s">
        <v>3763</v>
      </c>
      <c r="B1468" s="24" t="s">
        <v>3764</v>
      </c>
      <c r="C1468" s="24" t="s">
        <v>409</v>
      </c>
      <c r="D1468" s="24" t="s">
        <v>17</v>
      </c>
      <c r="E1468" s="24" t="s">
        <v>18</v>
      </c>
      <c r="F1468" s="24" t="s">
        <v>19</v>
      </c>
      <c r="G1468" s="24" t="s">
        <v>20</v>
      </c>
      <c r="H1468" s="26">
        <v>34</v>
      </c>
      <c r="I1468" s="24" t="s">
        <v>21</v>
      </c>
      <c r="J1468" s="36">
        <v>45429</v>
      </c>
      <c r="K1468" s="24" t="s">
        <v>22</v>
      </c>
    </row>
    <row r="1469" spans="1:11" x14ac:dyDescent="0.2">
      <c r="A1469" s="27" t="s">
        <v>3765</v>
      </c>
      <c r="B1469" s="27" t="s">
        <v>3766</v>
      </c>
      <c r="C1469" s="27" t="s">
        <v>3767</v>
      </c>
      <c r="D1469" s="27" t="s">
        <v>17</v>
      </c>
      <c r="E1469" s="27" t="s">
        <v>18</v>
      </c>
      <c r="F1469" s="27" t="s">
        <v>19</v>
      </c>
      <c r="G1469" s="27" t="s">
        <v>28</v>
      </c>
      <c r="H1469" s="29">
        <v>33</v>
      </c>
      <c r="I1469" s="27" t="s">
        <v>29</v>
      </c>
      <c r="J1469" s="37">
        <v>45434</v>
      </c>
      <c r="K1469" s="27" t="s">
        <v>22</v>
      </c>
    </row>
    <row r="1470" spans="1:11" x14ac:dyDescent="0.2">
      <c r="A1470" s="24" t="s">
        <v>3768</v>
      </c>
      <c r="B1470" s="24" t="s">
        <v>3769</v>
      </c>
      <c r="C1470" s="24" t="s">
        <v>3770</v>
      </c>
      <c r="D1470" s="24" t="s">
        <v>17</v>
      </c>
      <c r="E1470" s="24" t="s">
        <v>18</v>
      </c>
      <c r="F1470" s="24" t="s">
        <v>19</v>
      </c>
      <c r="G1470" s="24" t="s">
        <v>44</v>
      </c>
      <c r="H1470" s="26">
        <v>275</v>
      </c>
      <c r="I1470" s="24" t="s">
        <v>29</v>
      </c>
      <c r="J1470" s="36">
        <v>45442</v>
      </c>
      <c r="K1470" s="24" t="s">
        <v>22</v>
      </c>
    </row>
    <row r="1471" spans="1:11" x14ac:dyDescent="0.2">
      <c r="A1471" s="27" t="s">
        <v>3771</v>
      </c>
      <c r="B1471" s="27" t="s">
        <v>3772</v>
      </c>
      <c r="C1471" s="27" t="s">
        <v>85</v>
      </c>
      <c r="D1471" s="27" t="s">
        <v>17</v>
      </c>
      <c r="E1471" s="27" t="s">
        <v>18</v>
      </c>
      <c r="F1471" s="27" t="s">
        <v>19</v>
      </c>
      <c r="G1471" s="27" t="s">
        <v>20</v>
      </c>
      <c r="H1471" s="29">
        <v>53</v>
      </c>
      <c r="I1471" s="27" t="s">
        <v>21</v>
      </c>
      <c r="J1471" s="37">
        <v>45421</v>
      </c>
      <c r="K1471" s="27" t="s">
        <v>22</v>
      </c>
    </row>
    <row r="1472" spans="1:11" x14ac:dyDescent="0.2">
      <c r="A1472" s="24" t="s">
        <v>3773</v>
      </c>
      <c r="B1472" s="24" t="s">
        <v>3774</v>
      </c>
      <c r="C1472" s="24" t="s">
        <v>3775</v>
      </c>
      <c r="D1472" s="24" t="s">
        <v>17</v>
      </c>
      <c r="E1472" s="24" t="s">
        <v>26</v>
      </c>
      <c r="F1472" s="24" t="s">
        <v>27</v>
      </c>
      <c r="G1472" s="24" t="s">
        <v>44</v>
      </c>
      <c r="H1472" s="26">
        <v>80</v>
      </c>
      <c r="I1472" s="24" t="s">
        <v>21</v>
      </c>
      <c r="J1472" s="36">
        <v>45413</v>
      </c>
      <c r="K1472" s="24" t="s">
        <v>22</v>
      </c>
    </row>
    <row r="1473" spans="1:11" x14ac:dyDescent="0.2">
      <c r="A1473" s="27" t="s">
        <v>3776</v>
      </c>
      <c r="B1473" s="27" t="s">
        <v>3777</v>
      </c>
      <c r="C1473" s="27" t="s">
        <v>213</v>
      </c>
      <c r="D1473" s="27" t="s">
        <v>17</v>
      </c>
      <c r="E1473" s="27" t="s">
        <v>18</v>
      </c>
      <c r="F1473" s="27" t="s">
        <v>19</v>
      </c>
      <c r="G1473" s="27" t="s">
        <v>20</v>
      </c>
      <c r="H1473" s="29">
        <v>31</v>
      </c>
      <c r="I1473" s="27" t="s">
        <v>21</v>
      </c>
      <c r="J1473" s="37">
        <v>45435</v>
      </c>
      <c r="K1473" s="27" t="s">
        <v>22</v>
      </c>
    </row>
    <row r="1474" spans="1:11" x14ac:dyDescent="0.2">
      <c r="A1474" s="24" t="s">
        <v>3778</v>
      </c>
      <c r="B1474" s="24" t="s">
        <v>3779</v>
      </c>
      <c r="C1474" s="24" t="s">
        <v>25</v>
      </c>
      <c r="D1474" s="24" t="s">
        <v>17</v>
      </c>
      <c r="E1474" s="24" t="s">
        <v>163</v>
      </c>
      <c r="F1474" s="24" t="s">
        <v>164</v>
      </c>
      <c r="G1474" s="24" t="s">
        <v>28</v>
      </c>
      <c r="H1474" s="26">
        <v>111</v>
      </c>
      <c r="I1474" s="24" t="s">
        <v>29</v>
      </c>
      <c r="J1474" s="36">
        <v>45440</v>
      </c>
      <c r="K1474" s="24" t="s">
        <v>22</v>
      </c>
    </row>
    <row r="1475" spans="1:11" x14ac:dyDescent="0.2">
      <c r="A1475" s="27" t="s">
        <v>3780</v>
      </c>
      <c r="B1475" s="27" t="s">
        <v>3781</v>
      </c>
      <c r="C1475" s="27" t="s">
        <v>3782</v>
      </c>
      <c r="D1475" s="27" t="s">
        <v>17</v>
      </c>
      <c r="E1475" s="27" t="s">
        <v>18</v>
      </c>
      <c r="F1475" s="27" t="s">
        <v>19</v>
      </c>
      <c r="G1475" s="27" t="s">
        <v>28</v>
      </c>
      <c r="H1475" s="29">
        <v>31</v>
      </c>
      <c r="I1475" s="27" t="s">
        <v>29</v>
      </c>
      <c r="J1475" s="37">
        <v>45422</v>
      </c>
      <c r="K1475" s="27" t="s">
        <v>22</v>
      </c>
    </row>
    <row r="1476" spans="1:11" x14ac:dyDescent="0.2">
      <c r="A1476" s="24" t="s">
        <v>3783</v>
      </c>
      <c r="B1476" s="24" t="s">
        <v>3784</v>
      </c>
      <c r="C1476" s="24" t="s">
        <v>2850</v>
      </c>
      <c r="D1476" s="24" t="s">
        <v>17</v>
      </c>
      <c r="E1476" s="24" t="s">
        <v>18</v>
      </c>
      <c r="F1476" s="24" t="s">
        <v>19</v>
      </c>
      <c r="G1476" s="24" t="s">
        <v>217</v>
      </c>
      <c r="H1476" s="26">
        <v>16</v>
      </c>
      <c r="I1476" s="24" t="s">
        <v>29</v>
      </c>
      <c r="J1476" s="36">
        <v>45413</v>
      </c>
      <c r="K1476" s="24" t="s">
        <v>22</v>
      </c>
    </row>
    <row r="1477" spans="1:11" x14ac:dyDescent="0.2">
      <c r="A1477" s="27" t="s">
        <v>3785</v>
      </c>
      <c r="B1477" s="27" t="s">
        <v>3786</v>
      </c>
      <c r="C1477" s="27" t="s">
        <v>749</v>
      </c>
      <c r="D1477" s="27" t="s">
        <v>17</v>
      </c>
      <c r="E1477" s="27" t="s">
        <v>42</v>
      </c>
      <c r="F1477" s="27" t="s">
        <v>43</v>
      </c>
      <c r="G1477" s="27" t="s">
        <v>44</v>
      </c>
      <c r="H1477" s="29">
        <v>1456</v>
      </c>
      <c r="I1477" s="27" t="s">
        <v>21</v>
      </c>
      <c r="J1477" s="37">
        <v>45433</v>
      </c>
      <c r="K1477" s="27" t="s">
        <v>22</v>
      </c>
    </row>
    <row r="1478" spans="1:11" x14ac:dyDescent="0.2">
      <c r="A1478" s="24" t="s">
        <v>3787</v>
      </c>
      <c r="B1478" s="24" t="s">
        <v>3788</v>
      </c>
      <c r="C1478" s="24" t="s">
        <v>450</v>
      </c>
      <c r="D1478" s="24" t="s">
        <v>17</v>
      </c>
      <c r="E1478" s="24" t="s">
        <v>42</v>
      </c>
      <c r="F1478" s="24" t="s">
        <v>43</v>
      </c>
      <c r="G1478" s="24" t="s">
        <v>28</v>
      </c>
      <c r="H1478" s="26">
        <v>384</v>
      </c>
      <c r="I1478" s="24" t="s">
        <v>29</v>
      </c>
      <c r="J1478" s="36">
        <v>45425</v>
      </c>
      <c r="K1478" s="24" t="s">
        <v>22</v>
      </c>
    </row>
    <row r="1479" spans="1:11" x14ac:dyDescent="0.2">
      <c r="A1479" s="27" t="s">
        <v>3789</v>
      </c>
      <c r="B1479" s="27" t="s">
        <v>3790</v>
      </c>
      <c r="C1479" s="27" t="s">
        <v>494</v>
      </c>
      <c r="D1479" s="27" t="s">
        <v>17</v>
      </c>
      <c r="E1479" s="27" t="s">
        <v>42</v>
      </c>
      <c r="F1479" s="27" t="s">
        <v>43</v>
      </c>
      <c r="G1479" s="27" t="s">
        <v>217</v>
      </c>
      <c r="H1479" s="29">
        <v>83</v>
      </c>
      <c r="I1479" s="27" t="s">
        <v>29</v>
      </c>
      <c r="J1479" s="37">
        <v>45413</v>
      </c>
      <c r="K1479" s="27" t="s">
        <v>22</v>
      </c>
    </row>
    <row r="1480" spans="1:11" x14ac:dyDescent="0.2">
      <c r="A1480" s="24" t="s">
        <v>3791</v>
      </c>
      <c r="B1480" s="24" t="s">
        <v>3792</v>
      </c>
      <c r="C1480" s="24" t="s">
        <v>194</v>
      </c>
      <c r="D1480" s="24" t="s">
        <v>17</v>
      </c>
      <c r="E1480" s="24" t="s">
        <v>48</v>
      </c>
      <c r="F1480" s="24" t="s">
        <v>49</v>
      </c>
      <c r="G1480" s="24" t="s">
        <v>28</v>
      </c>
      <c r="H1480" s="26">
        <v>52</v>
      </c>
      <c r="I1480" s="24" t="s">
        <v>29</v>
      </c>
      <c r="J1480" s="36">
        <v>45441</v>
      </c>
      <c r="K1480" s="24" t="s">
        <v>22</v>
      </c>
    </row>
    <row r="1481" spans="1:11" x14ac:dyDescent="0.2">
      <c r="A1481" s="27" t="s">
        <v>3793</v>
      </c>
      <c r="B1481" s="27" t="s">
        <v>3794</v>
      </c>
      <c r="C1481" s="27" t="s">
        <v>2055</v>
      </c>
      <c r="D1481" s="27" t="s">
        <v>17</v>
      </c>
      <c r="E1481" s="27" t="s">
        <v>42</v>
      </c>
      <c r="F1481" s="27" t="s">
        <v>43</v>
      </c>
      <c r="G1481" s="27" t="s">
        <v>28</v>
      </c>
      <c r="H1481" s="29">
        <v>762</v>
      </c>
      <c r="I1481" s="27" t="s">
        <v>29</v>
      </c>
      <c r="J1481" s="37">
        <v>45436</v>
      </c>
      <c r="K1481" s="27" t="s">
        <v>22</v>
      </c>
    </row>
    <row r="1482" spans="1:11" x14ac:dyDescent="0.2">
      <c r="A1482" s="24" t="s">
        <v>3795</v>
      </c>
      <c r="B1482" s="24" t="s">
        <v>3796</v>
      </c>
      <c r="C1482" s="24" t="s">
        <v>687</v>
      </c>
      <c r="D1482" s="24" t="s">
        <v>17</v>
      </c>
      <c r="E1482" s="24" t="s">
        <v>18</v>
      </c>
      <c r="F1482" s="24" t="s">
        <v>19</v>
      </c>
      <c r="G1482" s="24" t="s">
        <v>20</v>
      </c>
      <c r="H1482" s="26">
        <v>158</v>
      </c>
      <c r="I1482" s="24" t="s">
        <v>21</v>
      </c>
      <c r="J1482" s="36">
        <v>45418</v>
      </c>
      <c r="K1482" s="24" t="s">
        <v>22</v>
      </c>
    </row>
    <row r="1483" spans="1:11" x14ac:dyDescent="0.2">
      <c r="A1483" s="27" t="s">
        <v>3797</v>
      </c>
      <c r="B1483" s="27" t="s">
        <v>3798</v>
      </c>
      <c r="C1483" s="27" t="s">
        <v>494</v>
      </c>
      <c r="D1483" s="27" t="s">
        <v>17</v>
      </c>
      <c r="E1483" s="27" t="s">
        <v>48</v>
      </c>
      <c r="F1483" s="27" t="s">
        <v>49</v>
      </c>
      <c r="G1483" s="27" t="s">
        <v>28</v>
      </c>
      <c r="H1483" s="29">
        <v>52</v>
      </c>
      <c r="I1483" s="27" t="s">
        <v>29</v>
      </c>
      <c r="J1483" s="37">
        <v>45419</v>
      </c>
      <c r="K1483" s="27" t="s">
        <v>22</v>
      </c>
    </row>
    <row r="1484" spans="1:11" x14ac:dyDescent="0.2">
      <c r="A1484" s="24" t="s">
        <v>3799</v>
      </c>
      <c r="B1484" s="24" t="s">
        <v>3800</v>
      </c>
      <c r="C1484" s="24" t="s">
        <v>3801</v>
      </c>
      <c r="D1484" s="24" t="s">
        <v>17</v>
      </c>
      <c r="E1484" s="24" t="s">
        <v>18</v>
      </c>
      <c r="F1484" s="24" t="s">
        <v>19</v>
      </c>
      <c r="G1484" s="24" t="s">
        <v>28</v>
      </c>
      <c r="H1484" s="26">
        <v>40</v>
      </c>
      <c r="I1484" s="24" t="s">
        <v>29</v>
      </c>
      <c r="J1484" s="36">
        <v>45440</v>
      </c>
      <c r="K1484" s="24" t="s">
        <v>22</v>
      </c>
    </row>
    <row r="1485" spans="1:11" x14ac:dyDescent="0.2">
      <c r="A1485" s="27" t="s">
        <v>3802</v>
      </c>
      <c r="B1485" s="27" t="s">
        <v>3803</v>
      </c>
      <c r="C1485" s="27" t="s">
        <v>3281</v>
      </c>
      <c r="D1485" s="27" t="s">
        <v>17</v>
      </c>
      <c r="E1485" s="27" t="s">
        <v>18</v>
      </c>
      <c r="F1485" s="27" t="s">
        <v>19</v>
      </c>
      <c r="G1485" s="27" t="s">
        <v>20</v>
      </c>
      <c r="H1485" s="29">
        <v>12</v>
      </c>
      <c r="I1485" s="27" t="s">
        <v>21</v>
      </c>
      <c r="J1485" s="37">
        <v>45428</v>
      </c>
      <c r="K1485" s="27" t="s">
        <v>22</v>
      </c>
    </row>
    <row r="1486" spans="1:11" x14ac:dyDescent="0.2">
      <c r="A1486" s="24" t="s">
        <v>3804</v>
      </c>
      <c r="B1486" s="24" t="s">
        <v>3805</v>
      </c>
      <c r="C1486" s="24" t="s">
        <v>3806</v>
      </c>
      <c r="D1486" s="24" t="s">
        <v>17</v>
      </c>
      <c r="E1486" s="24" t="s">
        <v>48</v>
      </c>
      <c r="F1486" s="24" t="s">
        <v>49</v>
      </c>
      <c r="G1486" s="24" t="s">
        <v>217</v>
      </c>
      <c r="H1486" s="26">
        <v>144</v>
      </c>
      <c r="I1486" s="24" t="s">
        <v>29</v>
      </c>
      <c r="J1486" s="36">
        <v>45413</v>
      </c>
      <c r="K1486" s="24" t="s">
        <v>22</v>
      </c>
    </row>
    <row r="1487" spans="1:11" x14ac:dyDescent="0.2">
      <c r="A1487" s="27" t="s">
        <v>3807</v>
      </c>
      <c r="B1487" s="27" t="s">
        <v>3808</v>
      </c>
      <c r="C1487" s="27" t="s">
        <v>3809</v>
      </c>
      <c r="D1487" s="27" t="s">
        <v>17</v>
      </c>
      <c r="E1487" s="27" t="s">
        <v>18</v>
      </c>
      <c r="F1487" s="27" t="s">
        <v>19</v>
      </c>
      <c r="G1487" s="27" t="s">
        <v>28</v>
      </c>
      <c r="H1487" s="29">
        <v>18</v>
      </c>
      <c r="I1487" s="27" t="s">
        <v>29</v>
      </c>
      <c r="J1487" s="37">
        <v>45427</v>
      </c>
      <c r="K1487" s="27" t="s">
        <v>22</v>
      </c>
    </row>
    <row r="1488" spans="1:11" x14ac:dyDescent="0.2">
      <c r="A1488" s="24" t="s">
        <v>3810</v>
      </c>
      <c r="B1488" s="24" t="s">
        <v>3811</v>
      </c>
      <c r="C1488" s="24" t="s">
        <v>1053</v>
      </c>
      <c r="D1488" s="24" t="s">
        <v>17</v>
      </c>
      <c r="E1488" s="24" t="s">
        <v>18</v>
      </c>
      <c r="F1488" s="24" t="s">
        <v>19</v>
      </c>
      <c r="G1488" s="24" t="s">
        <v>20</v>
      </c>
      <c r="H1488" s="26">
        <v>102</v>
      </c>
      <c r="I1488" s="24" t="s">
        <v>21</v>
      </c>
      <c r="J1488" s="36">
        <v>45440</v>
      </c>
      <c r="K1488" s="24" t="s">
        <v>22</v>
      </c>
    </row>
    <row r="1489" spans="1:11" x14ac:dyDescent="0.2">
      <c r="A1489" s="27" t="s">
        <v>3812</v>
      </c>
      <c r="B1489" s="27" t="s">
        <v>3813</v>
      </c>
      <c r="C1489" s="27" t="s">
        <v>213</v>
      </c>
      <c r="D1489" s="27" t="s">
        <v>17</v>
      </c>
      <c r="E1489" s="27" t="s">
        <v>18</v>
      </c>
      <c r="F1489" s="27" t="s">
        <v>19</v>
      </c>
      <c r="G1489" s="27" t="s">
        <v>59</v>
      </c>
      <c r="H1489" s="29">
        <v>4</v>
      </c>
      <c r="I1489" s="27" t="s">
        <v>21</v>
      </c>
      <c r="J1489" s="37">
        <v>45421</v>
      </c>
      <c r="K1489" s="27" t="s">
        <v>22</v>
      </c>
    </row>
    <row r="1490" spans="1:11" x14ac:dyDescent="0.2">
      <c r="A1490" s="24" t="s">
        <v>3814</v>
      </c>
      <c r="B1490" s="24" t="s">
        <v>3815</v>
      </c>
      <c r="C1490" s="24" t="s">
        <v>3816</v>
      </c>
      <c r="D1490" s="24" t="s">
        <v>17</v>
      </c>
      <c r="E1490" s="24" t="s">
        <v>42</v>
      </c>
      <c r="F1490" s="24" t="s">
        <v>43</v>
      </c>
      <c r="G1490" s="24" t="s">
        <v>20</v>
      </c>
      <c r="H1490" s="26">
        <v>479</v>
      </c>
      <c r="I1490" s="24" t="s">
        <v>21</v>
      </c>
      <c r="J1490" s="36">
        <v>45440</v>
      </c>
      <c r="K1490" s="24" t="s">
        <v>22</v>
      </c>
    </row>
    <row r="1491" spans="1:11" x14ac:dyDescent="0.2">
      <c r="A1491" s="27" t="s">
        <v>3817</v>
      </c>
      <c r="B1491" s="27" t="s">
        <v>3818</v>
      </c>
      <c r="C1491" s="27" t="s">
        <v>91</v>
      </c>
      <c r="D1491" s="27" t="s">
        <v>17</v>
      </c>
      <c r="E1491" s="27" t="s">
        <v>33</v>
      </c>
      <c r="F1491" s="27" t="s">
        <v>34</v>
      </c>
      <c r="G1491" s="27" t="s">
        <v>217</v>
      </c>
      <c r="H1491" s="29">
        <v>534</v>
      </c>
      <c r="I1491" s="27" t="s">
        <v>29</v>
      </c>
      <c r="J1491" s="37">
        <v>45413</v>
      </c>
      <c r="K1491" s="27" t="s">
        <v>22</v>
      </c>
    </row>
    <row r="1492" spans="1:11" x14ac:dyDescent="0.2">
      <c r="A1492" s="24" t="s">
        <v>3819</v>
      </c>
      <c r="B1492" s="24" t="s">
        <v>3820</v>
      </c>
      <c r="C1492" s="24" t="s">
        <v>3821</v>
      </c>
      <c r="D1492" s="24" t="s">
        <v>17</v>
      </c>
      <c r="E1492" s="24" t="s">
        <v>26</v>
      </c>
      <c r="F1492" s="24" t="s">
        <v>27</v>
      </c>
      <c r="G1492" s="24" t="s">
        <v>20</v>
      </c>
      <c r="H1492" s="26">
        <v>25</v>
      </c>
      <c r="I1492" s="24" t="s">
        <v>21</v>
      </c>
      <c r="J1492" s="36">
        <v>45419</v>
      </c>
      <c r="K1492" s="24" t="s">
        <v>22</v>
      </c>
    </row>
    <row r="1493" spans="1:11" x14ac:dyDescent="0.2">
      <c r="A1493" s="27" t="s">
        <v>3822</v>
      </c>
      <c r="B1493" s="27" t="s">
        <v>3823</v>
      </c>
      <c r="C1493" s="27" t="s">
        <v>41</v>
      </c>
      <c r="D1493" s="27" t="s">
        <v>17</v>
      </c>
      <c r="E1493" s="27" t="s">
        <v>42</v>
      </c>
      <c r="F1493" s="27" t="s">
        <v>43</v>
      </c>
      <c r="G1493" s="27" t="s">
        <v>44</v>
      </c>
      <c r="H1493" s="29">
        <v>30</v>
      </c>
      <c r="I1493" s="27" t="s">
        <v>21</v>
      </c>
      <c r="J1493" s="37">
        <v>45426</v>
      </c>
      <c r="K1493" s="27" t="s">
        <v>22</v>
      </c>
    </row>
    <row r="1494" spans="1:11" x14ac:dyDescent="0.2">
      <c r="A1494" s="24" t="s">
        <v>3824</v>
      </c>
      <c r="B1494" s="24" t="s">
        <v>3825</v>
      </c>
      <c r="C1494" s="24" t="s">
        <v>595</v>
      </c>
      <c r="D1494" s="24" t="s">
        <v>17</v>
      </c>
      <c r="E1494" s="24" t="s">
        <v>18</v>
      </c>
      <c r="F1494" s="24" t="s">
        <v>19</v>
      </c>
      <c r="G1494" s="24" t="s">
        <v>20</v>
      </c>
      <c r="H1494" s="26">
        <v>16</v>
      </c>
      <c r="I1494" s="24" t="s">
        <v>21</v>
      </c>
      <c r="J1494" s="36">
        <v>45420</v>
      </c>
      <c r="K1494" s="24" t="s">
        <v>22</v>
      </c>
    </row>
    <row r="1495" spans="1:11" x14ac:dyDescent="0.2">
      <c r="A1495" s="27" t="s">
        <v>3826</v>
      </c>
      <c r="B1495" s="27" t="s">
        <v>3827</v>
      </c>
      <c r="C1495" s="27" t="s">
        <v>3828</v>
      </c>
      <c r="D1495" s="27" t="s">
        <v>17</v>
      </c>
      <c r="E1495" s="27" t="s">
        <v>163</v>
      </c>
      <c r="F1495" s="27" t="s">
        <v>164</v>
      </c>
      <c r="G1495" s="27" t="s">
        <v>28</v>
      </c>
      <c r="H1495" s="29">
        <v>15</v>
      </c>
      <c r="I1495" s="27" t="s">
        <v>29</v>
      </c>
      <c r="J1495" s="37">
        <v>45434</v>
      </c>
      <c r="K1495" s="27" t="s">
        <v>22</v>
      </c>
    </row>
    <row r="1496" spans="1:11" x14ac:dyDescent="0.2">
      <c r="A1496" s="24" t="s">
        <v>3829</v>
      </c>
      <c r="B1496" s="24" t="s">
        <v>3830</v>
      </c>
      <c r="C1496" s="24" t="s">
        <v>106</v>
      </c>
      <c r="D1496" s="24" t="s">
        <v>17</v>
      </c>
      <c r="E1496" s="24" t="s">
        <v>48</v>
      </c>
      <c r="F1496" s="24" t="s">
        <v>49</v>
      </c>
      <c r="G1496" s="24" t="s">
        <v>28</v>
      </c>
      <c r="H1496" s="26">
        <v>178</v>
      </c>
      <c r="I1496" s="24" t="s">
        <v>29</v>
      </c>
      <c r="J1496" s="36">
        <v>45427</v>
      </c>
      <c r="K1496" s="24" t="s">
        <v>22</v>
      </c>
    </row>
    <row r="1497" spans="1:11" x14ac:dyDescent="0.2">
      <c r="A1497" s="27" t="s">
        <v>3831</v>
      </c>
      <c r="B1497" s="27" t="s">
        <v>3832</v>
      </c>
      <c r="C1497" s="27" t="s">
        <v>3833</v>
      </c>
      <c r="D1497" s="27" t="s">
        <v>17</v>
      </c>
      <c r="E1497" s="27" t="s">
        <v>42</v>
      </c>
      <c r="F1497" s="27" t="s">
        <v>43</v>
      </c>
      <c r="G1497" s="27" t="s">
        <v>28</v>
      </c>
      <c r="H1497" s="29">
        <v>486</v>
      </c>
      <c r="I1497" s="27" t="s">
        <v>29</v>
      </c>
      <c r="J1497" s="37">
        <v>45435</v>
      </c>
      <c r="K1497" s="27" t="s">
        <v>22</v>
      </c>
    </row>
    <row r="1498" spans="1:11" x14ac:dyDescent="0.2">
      <c r="A1498" s="24" t="s">
        <v>3834</v>
      </c>
      <c r="B1498" s="24" t="s">
        <v>3835</v>
      </c>
      <c r="C1498" s="24" t="s">
        <v>3836</v>
      </c>
      <c r="D1498" s="24" t="s">
        <v>17</v>
      </c>
      <c r="E1498" s="24" t="s">
        <v>42</v>
      </c>
      <c r="F1498" s="24" t="s">
        <v>43</v>
      </c>
      <c r="G1498" s="24" t="s">
        <v>44</v>
      </c>
      <c r="H1498" s="26">
        <v>418</v>
      </c>
      <c r="I1498" s="24" t="s">
        <v>21</v>
      </c>
      <c r="J1498" s="36">
        <v>45426</v>
      </c>
      <c r="K1498" s="24" t="s">
        <v>22</v>
      </c>
    </row>
    <row r="1499" spans="1:11" x14ac:dyDescent="0.2">
      <c r="A1499" s="27" t="s">
        <v>3837</v>
      </c>
      <c r="B1499" s="27" t="s">
        <v>3838</v>
      </c>
      <c r="C1499" s="27" t="s">
        <v>266</v>
      </c>
      <c r="D1499" s="27" t="s">
        <v>17</v>
      </c>
      <c r="E1499" s="27" t="s">
        <v>18</v>
      </c>
      <c r="F1499" s="27" t="s">
        <v>19</v>
      </c>
      <c r="G1499" s="27" t="s">
        <v>217</v>
      </c>
      <c r="H1499" s="29">
        <v>72</v>
      </c>
      <c r="I1499" s="27" t="s">
        <v>29</v>
      </c>
      <c r="J1499" s="37">
        <v>45419</v>
      </c>
      <c r="K1499" s="27" t="s">
        <v>22</v>
      </c>
    </row>
    <row r="1500" spans="1:11" x14ac:dyDescent="0.2">
      <c r="A1500" s="24" t="s">
        <v>3839</v>
      </c>
      <c r="B1500" s="24" t="s">
        <v>3840</v>
      </c>
      <c r="C1500" s="24" t="s">
        <v>3836</v>
      </c>
      <c r="D1500" s="24" t="s">
        <v>17</v>
      </c>
      <c r="E1500" s="24" t="s">
        <v>42</v>
      </c>
      <c r="F1500" s="24" t="s">
        <v>43</v>
      </c>
      <c r="G1500" s="24" t="s">
        <v>44</v>
      </c>
      <c r="H1500" s="26">
        <v>422</v>
      </c>
      <c r="I1500" s="24" t="s">
        <v>21</v>
      </c>
      <c r="J1500" s="36">
        <v>45427</v>
      </c>
      <c r="K1500" s="24" t="s">
        <v>22</v>
      </c>
    </row>
    <row r="1501" spans="1:11" x14ac:dyDescent="0.2">
      <c r="A1501" s="27" t="s">
        <v>3841</v>
      </c>
      <c r="B1501" s="27" t="s">
        <v>3842</v>
      </c>
      <c r="C1501" s="27" t="s">
        <v>1958</v>
      </c>
      <c r="D1501" s="27" t="s">
        <v>17</v>
      </c>
      <c r="E1501" s="27" t="s">
        <v>18</v>
      </c>
      <c r="F1501" s="27" t="s">
        <v>19</v>
      </c>
      <c r="G1501" s="27" t="s">
        <v>20</v>
      </c>
      <c r="H1501" s="29">
        <v>20</v>
      </c>
      <c r="I1501" s="27" t="s">
        <v>21</v>
      </c>
      <c r="J1501" s="37">
        <v>45422</v>
      </c>
      <c r="K1501" s="27" t="s">
        <v>22</v>
      </c>
    </row>
    <row r="1502" spans="1:11" x14ac:dyDescent="0.2">
      <c r="A1502" s="24" t="s">
        <v>3843</v>
      </c>
      <c r="B1502" s="24" t="s">
        <v>3844</v>
      </c>
      <c r="C1502" s="24" t="s">
        <v>97</v>
      </c>
      <c r="D1502" s="24" t="s">
        <v>17</v>
      </c>
      <c r="E1502" s="24" t="s">
        <v>81</v>
      </c>
      <c r="F1502" s="24" t="s">
        <v>82</v>
      </c>
      <c r="G1502" s="24" t="s">
        <v>44</v>
      </c>
      <c r="H1502" s="26">
        <v>1507</v>
      </c>
      <c r="I1502" s="24" t="s">
        <v>21</v>
      </c>
      <c r="J1502" s="36">
        <v>45422</v>
      </c>
      <c r="K1502" s="24" t="s">
        <v>22</v>
      </c>
    </row>
    <row r="1503" spans="1:11" x14ac:dyDescent="0.2">
      <c r="A1503" s="27" t="s">
        <v>3845</v>
      </c>
      <c r="B1503" s="27" t="s">
        <v>3846</v>
      </c>
      <c r="C1503" s="27" t="s">
        <v>3847</v>
      </c>
      <c r="D1503" s="27" t="s">
        <v>17</v>
      </c>
      <c r="E1503" s="27" t="s">
        <v>18</v>
      </c>
      <c r="F1503" s="27" t="s">
        <v>19</v>
      </c>
      <c r="G1503" s="27" t="s">
        <v>28</v>
      </c>
      <c r="H1503" s="29">
        <v>264</v>
      </c>
      <c r="I1503" s="27" t="s">
        <v>29</v>
      </c>
      <c r="J1503" s="37">
        <v>45431</v>
      </c>
      <c r="K1503" s="27" t="s">
        <v>22</v>
      </c>
    </row>
    <row r="1504" spans="1:11" x14ac:dyDescent="0.2">
      <c r="A1504" s="24" t="s">
        <v>3848</v>
      </c>
      <c r="B1504" s="24" t="s">
        <v>3849</v>
      </c>
      <c r="C1504" s="24" t="s">
        <v>354</v>
      </c>
      <c r="D1504" s="24" t="s">
        <v>17</v>
      </c>
      <c r="E1504" s="24" t="s">
        <v>18</v>
      </c>
      <c r="F1504" s="24" t="s">
        <v>19</v>
      </c>
      <c r="G1504" s="24" t="s">
        <v>20</v>
      </c>
      <c r="H1504" s="26">
        <v>88</v>
      </c>
      <c r="I1504" s="24" t="s">
        <v>21</v>
      </c>
      <c r="J1504" s="36">
        <v>45421</v>
      </c>
      <c r="K1504" s="24" t="s">
        <v>22</v>
      </c>
    </row>
    <row r="1505" spans="1:11" x14ac:dyDescent="0.2">
      <c r="A1505" s="27" t="s">
        <v>3850</v>
      </c>
      <c r="B1505" s="27" t="s">
        <v>3851</v>
      </c>
      <c r="C1505" s="27" t="s">
        <v>203</v>
      </c>
      <c r="D1505" s="27" t="s">
        <v>17</v>
      </c>
      <c r="E1505" s="27" t="s">
        <v>18</v>
      </c>
      <c r="F1505" s="27" t="s">
        <v>19</v>
      </c>
      <c r="G1505" s="27" t="s">
        <v>44</v>
      </c>
      <c r="H1505" s="29">
        <v>20</v>
      </c>
      <c r="I1505" s="27" t="s">
        <v>29</v>
      </c>
      <c r="J1505" s="37">
        <v>45429</v>
      </c>
      <c r="K1505" s="27" t="s">
        <v>22</v>
      </c>
    </row>
    <row r="1506" spans="1:11" x14ac:dyDescent="0.2">
      <c r="A1506" s="24" t="s">
        <v>3852</v>
      </c>
      <c r="B1506" s="24" t="s">
        <v>3853</v>
      </c>
      <c r="C1506" s="24" t="s">
        <v>146</v>
      </c>
      <c r="D1506" s="24" t="s">
        <v>17</v>
      </c>
      <c r="E1506" s="24" t="s">
        <v>48</v>
      </c>
      <c r="F1506" s="24" t="s">
        <v>49</v>
      </c>
      <c r="G1506" s="24" t="s">
        <v>44</v>
      </c>
      <c r="H1506" s="26">
        <v>41</v>
      </c>
      <c r="I1506" s="24" t="s">
        <v>21</v>
      </c>
      <c r="J1506" s="36">
        <v>45419</v>
      </c>
      <c r="K1506" s="24" t="s">
        <v>22</v>
      </c>
    </row>
    <row r="1507" spans="1:11" x14ac:dyDescent="0.2">
      <c r="A1507" s="27" t="s">
        <v>3854</v>
      </c>
      <c r="B1507" s="27" t="s">
        <v>3855</v>
      </c>
      <c r="C1507" s="27" t="s">
        <v>3856</v>
      </c>
      <c r="D1507" s="27" t="s">
        <v>17</v>
      </c>
      <c r="E1507" s="27" t="s">
        <v>18</v>
      </c>
      <c r="F1507" s="27" t="s">
        <v>19</v>
      </c>
      <c r="G1507" s="27" t="s">
        <v>20</v>
      </c>
      <c r="H1507" s="29">
        <v>15</v>
      </c>
      <c r="I1507" s="27" t="s">
        <v>21</v>
      </c>
      <c r="J1507" s="37">
        <v>45419</v>
      </c>
      <c r="K1507" s="27" t="s">
        <v>22</v>
      </c>
    </row>
    <row r="1508" spans="1:11" x14ac:dyDescent="0.2">
      <c r="A1508" s="24" t="s">
        <v>3857</v>
      </c>
      <c r="B1508" s="24" t="s">
        <v>3858</v>
      </c>
      <c r="C1508" s="24" t="s">
        <v>1053</v>
      </c>
      <c r="D1508" s="24" t="s">
        <v>17</v>
      </c>
      <c r="E1508" s="24" t="s">
        <v>18</v>
      </c>
      <c r="F1508" s="24" t="s">
        <v>19</v>
      </c>
      <c r="G1508" s="24" t="s">
        <v>20</v>
      </c>
      <c r="H1508" s="26">
        <v>56</v>
      </c>
      <c r="I1508" s="24" t="s">
        <v>21</v>
      </c>
      <c r="J1508" s="36">
        <v>45443</v>
      </c>
      <c r="K1508" s="24" t="s">
        <v>22</v>
      </c>
    </row>
    <row r="1509" spans="1:11" x14ac:dyDescent="0.2">
      <c r="A1509" s="27" t="s">
        <v>3859</v>
      </c>
      <c r="B1509" s="27" t="s">
        <v>3860</v>
      </c>
      <c r="C1509" s="27" t="s">
        <v>437</v>
      </c>
      <c r="D1509" s="27" t="s">
        <v>17</v>
      </c>
      <c r="E1509" s="27" t="s">
        <v>48</v>
      </c>
      <c r="F1509" s="27" t="s">
        <v>49</v>
      </c>
      <c r="G1509" s="27" t="s">
        <v>44</v>
      </c>
      <c r="H1509" s="29">
        <v>317</v>
      </c>
      <c r="I1509" s="27" t="s">
        <v>21</v>
      </c>
      <c r="J1509" s="37">
        <v>45436</v>
      </c>
      <c r="K1509" s="27" t="s">
        <v>22</v>
      </c>
    </row>
    <row r="1510" spans="1:11" x14ac:dyDescent="0.2">
      <c r="A1510" s="24" t="s">
        <v>3861</v>
      </c>
      <c r="B1510" s="24" t="s">
        <v>3862</v>
      </c>
      <c r="C1510" s="24" t="s">
        <v>1116</v>
      </c>
      <c r="D1510" s="24" t="s">
        <v>17</v>
      </c>
      <c r="E1510" s="24" t="s">
        <v>18</v>
      </c>
      <c r="F1510" s="24" t="s">
        <v>19</v>
      </c>
      <c r="G1510" s="24" t="s">
        <v>44</v>
      </c>
      <c r="H1510" s="26">
        <v>57</v>
      </c>
      <c r="I1510" s="24" t="s">
        <v>21</v>
      </c>
      <c r="J1510" s="36">
        <v>45440</v>
      </c>
      <c r="K1510" s="24" t="s">
        <v>22</v>
      </c>
    </row>
    <row r="1511" spans="1:11" x14ac:dyDescent="0.2">
      <c r="A1511" s="27" t="s">
        <v>3863</v>
      </c>
      <c r="B1511" s="27" t="s">
        <v>3864</v>
      </c>
      <c r="C1511" s="27" t="s">
        <v>2916</v>
      </c>
      <c r="D1511" s="27" t="s">
        <v>17</v>
      </c>
      <c r="E1511" s="27" t="s">
        <v>42</v>
      </c>
      <c r="F1511" s="27" t="s">
        <v>43</v>
      </c>
      <c r="G1511" s="27" t="s">
        <v>28</v>
      </c>
      <c r="H1511" s="29">
        <v>476</v>
      </c>
      <c r="I1511" s="27" t="s">
        <v>29</v>
      </c>
      <c r="J1511" s="37">
        <v>45441</v>
      </c>
      <c r="K1511" s="27" t="s">
        <v>22</v>
      </c>
    </row>
    <row r="1512" spans="1:11" x14ac:dyDescent="0.2">
      <c r="A1512" s="24" t="s">
        <v>3865</v>
      </c>
      <c r="B1512" s="24" t="s">
        <v>3866</v>
      </c>
      <c r="C1512" s="24" t="s">
        <v>3867</v>
      </c>
      <c r="D1512" s="24" t="s">
        <v>17</v>
      </c>
      <c r="E1512" s="24" t="s">
        <v>26</v>
      </c>
      <c r="F1512" s="24" t="s">
        <v>27</v>
      </c>
      <c r="G1512" s="24" t="s">
        <v>44</v>
      </c>
      <c r="H1512" s="26">
        <v>75</v>
      </c>
      <c r="I1512" s="24" t="s">
        <v>29</v>
      </c>
      <c r="J1512" s="36">
        <v>45425</v>
      </c>
      <c r="K1512" s="24" t="s">
        <v>22</v>
      </c>
    </row>
    <row r="1513" spans="1:11" x14ac:dyDescent="0.2">
      <c r="A1513" s="27" t="s">
        <v>3868</v>
      </c>
      <c r="B1513" s="27" t="s">
        <v>3869</v>
      </c>
      <c r="C1513" s="27" t="s">
        <v>1260</v>
      </c>
      <c r="D1513" s="27" t="s">
        <v>17</v>
      </c>
      <c r="E1513" s="27" t="s">
        <v>42</v>
      </c>
      <c r="F1513" s="27" t="s">
        <v>43</v>
      </c>
      <c r="G1513" s="27" t="s">
        <v>28</v>
      </c>
      <c r="H1513" s="29">
        <v>3508</v>
      </c>
      <c r="I1513" s="27" t="s">
        <v>29</v>
      </c>
      <c r="J1513" s="37">
        <v>45426</v>
      </c>
      <c r="K1513" s="27" t="s">
        <v>22</v>
      </c>
    </row>
    <row r="1514" spans="1:11" x14ac:dyDescent="0.2">
      <c r="A1514" s="24" t="s">
        <v>3870</v>
      </c>
      <c r="B1514" s="24" t="s">
        <v>3871</v>
      </c>
      <c r="C1514" s="24" t="s">
        <v>3872</v>
      </c>
      <c r="D1514" s="24" t="s">
        <v>17</v>
      </c>
      <c r="E1514" s="24" t="s">
        <v>18</v>
      </c>
      <c r="F1514" s="24" t="s">
        <v>19</v>
      </c>
      <c r="G1514" s="24" t="s">
        <v>44</v>
      </c>
      <c r="H1514" s="26">
        <v>840</v>
      </c>
      <c r="I1514" s="24" t="s">
        <v>29</v>
      </c>
      <c r="J1514" s="36">
        <v>45418</v>
      </c>
      <c r="K1514" s="24" t="s">
        <v>22</v>
      </c>
    </row>
    <row r="1515" spans="1:11" x14ac:dyDescent="0.2">
      <c r="A1515" s="27" t="s">
        <v>3873</v>
      </c>
      <c r="B1515" s="27" t="s">
        <v>3874</v>
      </c>
      <c r="C1515" s="27" t="s">
        <v>3875</v>
      </c>
      <c r="D1515" s="27" t="s">
        <v>17</v>
      </c>
      <c r="E1515" s="27" t="s">
        <v>42</v>
      </c>
      <c r="F1515" s="27" t="s">
        <v>43</v>
      </c>
      <c r="G1515" s="27" t="s">
        <v>217</v>
      </c>
      <c r="H1515" s="29">
        <v>220</v>
      </c>
      <c r="I1515" s="27" t="s">
        <v>29</v>
      </c>
      <c r="J1515" s="37">
        <v>45413</v>
      </c>
      <c r="K1515" s="27" t="s">
        <v>22</v>
      </c>
    </row>
    <row r="1516" spans="1:11" x14ac:dyDescent="0.2">
      <c r="A1516" s="24" t="s">
        <v>3876</v>
      </c>
      <c r="B1516" s="24" t="s">
        <v>3877</v>
      </c>
      <c r="C1516" s="24" t="s">
        <v>3878</v>
      </c>
      <c r="D1516" s="24" t="s">
        <v>17</v>
      </c>
      <c r="E1516" s="24" t="s">
        <v>48</v>
      </c>
      <c r="F1516" s="24" t="s">
        <v>49</v>
      </c>
      <c r="G1516" s="24" t="s">
        <v>44</v>
      </c>
      <c r="H1516" s="26">
        <v>36</v>
      </c>
      <c r="I1516" s="24" t="s">
        <v>29</v>
      </c>
      <c r="J1516" s="36">
        <v>45422</v>
      </c>
      <c r="K1516" s="24" t="s">
        <v>22</v>
      </c>
    </row>
    <row r="1517" spans="1:11" x14ac:dyDescent="0.2">
      <c r="A1517" s="27" t="s">
        <v>3879</v>
      </c>
      <c r="B1517" s="27" t="s">
        <v>3880</v>
      </c>
      <c r="C1517" s="27" t="s">
        <v>2103</v>
      </c>
      <c r="D1517" s="27" t="s">
        <v>17</v>
      </c>
      <c r="E1517" s="27" t="s">
        <v>33</v>
      </c>
      <c r="F1517" s="27" t="s">
        <v>34</v>
      </c>
      <c r="G1517" s="27" t="s">
        <v>116</v>
      </c>
      <c r="H1517" s="29">
        <v>0</v>
      </c>
      <c r="I1517" s="27" t="s">
        <v>21</v>
      </c>
      <c r="J1517" s="37">
        <v>45413</v>
      </c>
      <c r="K1517" s="27" t="s">
        <v>22</v>
      </c>
    </row>
    <row r="1518" spans="1:11" x14ac:dyDescent="0.2">
      <c r="A1518" s="24" t="s">
        <v>3881</v>
      </c>
      <c r="B1518" s="24" t="s">
        <v>3882</v>
      </c>
      <c r="C1518" s="24" t="s">
        <v>3883</v>
      </c>
      <c r="D1518" s="24" t="s">
        <v>17</v>
      </c>
      <c r="E1518" s="24" t="s">
        <v>81</v>
      </c>
      <c r="F1518" s="24" t="s">
        <v>82</v>
      </c>
      <c r="G1518" s="24" t="s">
        <v>28</v>
      </c>
      <c r="H1518" s="26">
        <v>224</v>
      </c>
      <c r="I1518" s="24" t="s">
        <v>29</v>
      </c>
      <c r="J1518" s="36">
        <v>45441</v>
      </c>
      <c r="K1518" s="24" t="s">
        <v>22</v>
      </c>
    </row>
    <row r="1519" spans="1:11" x14ac:dyDescent="0.2">
      <c r="A1519" s="27" t="s">
        <v>3884</v>
      </c>
      <c r="B1519" s="27" t="s">
        <v>3885</v>
      </c>
      <c r="C1519" s="27" t="s">
        <v>3886</v>
      </c>
      <c r="D1519" s="27" t="s">
        <v>17</v>
      </c>
      <c r="E1519" s="27" t="s">
        <v>33</v>
      </c>
      <c r="F1519" s="27" t="s">
        <v>34</v>
      </c>
      <c r="G1519" s="27" t="s">
        <v>28</v>
      </c>
      <c r="H1519" s="29">
        <v>455</v>
      </c>
      <c r="I1519" s="27" t="s">
        <v>29</v>
      </c>
      <c r="J1519" s="37">
        <v>45413</v>
      </c>
      <c r="K1519" s="27" t="s">
        <v>22</v>
      </c>
    </row>
    <row r="1520" spans="1:11" x14ac:dyDescent="0.2">
      <c r="A1520" s="24" t="s">
        <v>3887</v>
      </c>
      <c r="B1520" s="24" t="s">
        <v>3888</v>
      </c>
      <c r="C1520" s="24" t="s">
        <v>3889</v>
      </c>
      <c r="D1520" s="24" t="s">
        <v>17</v>
      </c>
      <c r="E1520" s="24" t="s">
        <v>42</v>
      </c>
      <c r="F1520" s="24" t="s">
        <v>43</v>
      </c>
      <c r="G1520" s="24" t="s">
        <v>44</v>
      </c>
      <c r="H1520" s="26">
        <v>500</v>
      </c>
      <c r="I1520" s="24" t="s">
        <v>29</v>
      </c>
      <c r="J1520" s="36">
        <v>45440</v>
      </c>
      <c r="K1520" s="24" t="s">
        <v>22</v>
      </c>
    </row>
    <row r="1521" spans="1:11" x14ac:dyDescent="0.2">
      <c r="A1521" s="27" t="s">
        <v>3890</v>
      </c>
      <c r="B1521" s="27" t="s">
        <v>3891</v>
      </c>
      <c r="C1521" s="27" t="s">
        <v>260</v>
      </c>
      <c r="D1521" s="27" t="s">
        <v>17</v>
      </c>
      <c r="E1521" s="27" t="s">
        <v>42</v>
      </c>
      <c r="F1521" s="27" t="s">
        <v>43</v>
      </c>
      <c r="G1521" s="27" t="s">
        <v>59</v>
      </c>
      <c r="H1521" s="29">
        <v>2226</v>
      </c>
      <c r="I1521" s="27" t="s">
        <v>21</v>
      </c>
      <c r="J1521" s="37">
        <v>45425</v>
      </c>
      <c r="K1521" s="27" t="s">
        <v>22</v>
      </c>
    </row>
    <row r="1522" spans="1:11" x14ac:dyDescent="0.2">
      <c r="A1522" s="24" t="s">
        <v>3892</v>
      </c>
      <c r="B1522" s="24" t="s">
        <v>3893</v>
      </c>
      <c r="C1522" s="24" t="s">
        <v>644</v>
      </c>
      <c r="D1522" s="24" t="s">
        <v>17</v>
      </c>
      <c r="E1522" s="24" t="s">
        <v>42</v>
      </c>
      <c r="F1522" s="24" t="s">
        <v>43</v>
      </c>
      <c r="G1522" s="24" t="s">
        <v>28</v>
      </c>
      <c r="H1522" s="26">
        <v>300</v>
      </c>
      <c r="I1522" s="24" t="s">
        <v>29</v>
      </c>
      <c r="J1522" s="36">
        <v>45428</v>
      </c>
      <c r="K1522" s="24" t="s">
        <v>22</v>
      </c>
    </row>
    <row r="1523" spans="1:11" x14ac:dyDescent="0.2">
      <c r="A1523" s="27" t="s">
        <v>3894</v>
      </c>
      <c r="B1523" s="27" t="s">
        <v>3895</v>
      </c>
      <c r="C1523" s="27" t="s">
        <v>1518</v>
      </c>
      <c r="D1523" s="27" t="s">
        <v>17</v>
      </c>
      <c r="E1523" s="27" t="s">
        <v>18</v>
      </c>
      <c r="F1523" s="27" t="s">
        <v>19</v>
      </c>
      <c r="G1523" s="27" t="s">
        <v>28</v>
      </c>
      <c r="H1523" s="29">
        <v>155</v>
      </c>
      <c r="I1523" s="27" t="s">
        <v>29</v>
      </c>
      <c r="J1523" s="37">
        <v>45413</v>
      </c>
      <c r="K1523" s="27" t="s">
        <v>22</v>
      </c>
    </row>
    <row r="1524" spans="1:11" x14ac:dyDescent="0.2">
      <c r="A1524" s="24" t="s">
        <v>3896</v>
      </c>
      <c r="B1524" s="24" t="s">
        <v>3897</v>
      </c>
      <c r="C1524" s="24" t="s">
        <v>106</v>
      </c>
      <c r="D1524" s="24" t="s">
        <v>17</v>
      </c>
      <c r="E1524" s="24" t="s">
        <v>33</v>
      </c>
      <c r="F1524" s="24" t="s">
        <v>34</v>
      </c>
      <c r="G1524" s="24" t="s">
        <v>59</v>
      </c>
      <c r="H1524" s="26">
        <v>39</v>
      </c>
      <c r="I1524" s="24" t="s">
        <v>21</v>
      </c>
      <c r="J1524" s="36">
        <v>45420</v>
      </c>
      <c r="K1524" s="24" t="s">
        <v>22</v>
      </c>
    </row>
    <row r="1525" spans="1:11" x14ac:dyDescent="0.2">
      <c r="A1525" s="27" t="s">
        <v>3898</v>
      </c>
      <c r="B1525" s="27" t="s">
        <v>3899</v>
      </c>
      <c r="C1525" s="27" t="s">
        <v>3900</v>
      </c>
      <c r="D1525" s="27" t="s">
        <v>17</v>
      </c>
      <c r="E1525" s="27" t="s">
        <v>26</v>
      </c>
      <c r="F1525" s="27" t="s">
        <v>27</v>
      </c>
      <c r="G1525" s="27" t="s">
        <v>28</v>
      </c>
      <c r="H1525" s="29">
        <v>62</v>
      </c>
      <c r="I1525" s="27" t="s">
        <v>29</v>
      </c>
      <c r="J1525" s="37">
        <v>45421</v>
      </c>
      <c r="K1525" s="27" t="s">
        <v>22</v>
      </c>
    </row>
    <row r="1526" spans="1:11" x14ac:dyDescent="0.2">
      <c r="A1526" s="24" t="s">
        <v>3901</v>
      </c>
      <c r="B1526" s="24" t="s">
        <v>3902</v>
      </c>
      <c r="C1526" s="24" t="s">
        <v>3903</v>
      </c>
      <c r="D1526" s="24" t="s">
        <v>17</v>
      </c>
      <c r="E1526" s="24" t="s">
        <v>18</v>
      </c>
      <c r="F1526" s="24" t="s">
        <v>19</v>
      </c>
      <c r="G1526" s="24" t="s">
        <v>20</v>
      </c>
      <c r="H1526" s="26">
        <v>12</v>
      </c>
      <c r="I1526" s="24" t="s">
        <v>21</v>
      </c>
      <c r="J1526" s="36">
        <v>45439</v>
      </c>
      <c r="K1526" s="24" t="s">
        <v>22</v>
      </c>
    </row>
    <row r="1527" spans="1:11" x14ac:dyDescent="0.2">
      <c r="A1527" s="27" t="s">
        <v>3904</v>
      </c>
      <c r="B1527" s="27" t="s">
        <v>3905</v>
      </c>
      <c r="C1527" s="27" t="s">
        <v>1488</v>
      </c>
      <c r="D1527" s="27" t="s">
        <v>17</v>
      </c>
      <c r="E1527" s="27" t="s">
        <v>48</v>
      </c>
      <c r="F1527" s="27" t="s">
        <v>49</v>
      </c>
      <c r="G1527" s="27" t="s">
        <v>20</v>
      </c>
      <c r="H1527" s="29">
        <v>143</v>
      </c>
      <c r="I1527" s="27" t="s">
        <v>21</v>
      </c>
      <c r="J1527" s="37">
        <v>45427</v>
      </c>
      <c r="K1527" s="27" t="s">
        <v>22</v>
      </c>
    </row>
    <row r="1528" spans="1:11" x14ac:dyDescent="0.2">
      <c r="A1528" s="24" t="s">
        <v>3906</v>
      </c>
      <c r="B1528" s="24" t="s">
        <v>3907</v>
      </c>
      <c r="C1528" s="24" t="s">
        <v>3585</v>
      </c>
      <c r="D1528" s="24" t="s">
        <v>17</v>
      </c>
      <c r="E1528" s="24" t="s">
        <v>18</v>
      </c>
      <c r="F1528" s="24" t="s">
        <v>19</v>
      </c>
      <c r="G1528" s="24" t="s">
        <v>20</v>
      </c>
      <c r="H1528" s="26">
        <v>104</v>
      </c>
      <c r="I1528" s="24" t="s">
        <v>21</v>
      </c>
      <c r="J1528" s="36">
        <v>45433</v>
      </c>
      <c r="K1528" s="24" t="s">
        <v>22</v>
      </c>
    </row>
    <row r="1529" spans="1:11" x14ac:dyDescent="0.2">
      <c r="A1529" s="27" t="s">
        <v>3908</v>
      </c>
      <c r="B1529" s="27" t="s">
        <v>3909</v>
      </c>
      <c r="C1529" s="27" t="s">
        <v>526</v>
      </c>
      <c r="D1529" s="27" t="s">
        <v>17</v>
      </c>
      <c r="E1529" s="27" t="s">
        <v>18</v>
      </c>
      <c r="F1529" s="27" t="s">
        <v>19</v>
      </c>
      <c r="G1529" s="27" t="s">
        <v>20</v>
      </c>
      <c r="H1529" s="29">
        <v>30</v>
      </c>
      <c r="I1529" s="27" t="s">
        <v>21</v>
      </c>
      <c r="J1529" s="37">
        <v>45418</v>
      </c>
      <c r="K1529" s="27" t="s">
        <v>22</v>
      </c>
    </row>
    <row r="1530" spans="1:11" x14ac:dyDescent="0.2">
      <c r="A1530" s="24" t="s">
        <v>3910</v>
      </c>
      <c r="B1530" s="24" t="s">
        <v>3911</v>
      </c>
      <c r="C1530" s="24" t="s">
        <v>618</v>
      </c>
      <c r="D1530" s="24" t="s">
        <v>17</v>
      </c>
      <c r="E1530" s="24" t="s">
        <v>33</v>
      </c>
      <c r="F1530" s="24" t="s">
        <v>34</v>
      </c>
      <c r="G1530" s="24" t="s">
        <v>28</v>
      </c>
      <c r="H1530" s="26">
        <v>1080</v>
      </c>
      <c r="I1530" s="24" t="s">
        <v>29</v>
      </c>
      <c r="J1530" s="36">
        <v>45440</v>
      </c>
      <c r="K1530" s="24" t="s">
        <v>22</v>
      </c>
    </row>
    <row r="1531" spans="1:11" x14ac:dyDescent="0.2">
      <c r="A1531" s="27" t="s">
        <v>3912</v>
      </c>
      <c r="B1531" s="27" t="s">
        <v>3913</v>
      </c>
      <c r="C1531" s="27" t="s">
        <v>3914</v>
      </c>
      <c r="D1531" s="27" t="s">
        <v>17</v>
      </c>
      <c r="E1531" s="27" t="s">
        <v>18</v>
      </c>
      <c r="F1531" s="27" t="s">
        <v>19</v>
      </c>
      <c r="G1531" s="27" t="s">
        <v>28</v>
      </c>
      <c r="H1531" s="29">
        <v>76</v>
      </c>
      <c r="I1531" s="27" t="s">
        <v>29</v>
      </c>
      <c r="J1531" s="37">
        <v>45433</v>
      </c>
      <c r="K1531" s="27" t="s">
        <v>22</v>
      </c>
    </row>
    <row r="1532" spans="1:11" x14ac:dyDescent="0.2">
      <c r="A1532" s="24" t="s">
        <v>3915</v>
      </c>
      <c r="B1532" s="24" t="s">
        <v>3916</v>
      </c>
      <c r="C1532" s="24" t="s">
        <v>3917</v>
      </c>
      <c r="D1532" s="24" t="s">
        <v>17</v>
      </c>
      <c r="E1532" s="24" t="s">
        <v>42</v>
      </c>
      <c r="F1532" s="24" t="s">
        <v>43</v>
      </c>
      <c r="G1532" s="24" t="s">
        <v>28</v>
      </c>
      <c r="H1532" s="26">
        <v>692</v>
      </c>
      <c r="I1532" s="24" t="s">
        <v>29</v>
      </c>
      <c r="J1532" s="36">
        <v>45432</v>
      </c>
      <c r="K1532" s="24" t="s">
        <v>22</v>
      </c>
    </row>
    <row r="1533" spans="1:11" x14ac:dyDescent="0.2">
      <c r="A1533" s="27" t="s">
        <v>3918</v>
      </c>
      <c r="B1533" s="27" t="s">
        <v>3919</v>
      </c>
      <c r="C1533" s="27" t="s">
        <v>1737</v>
      </c>
      <c r="D1533" s="27" t="s">
        <v>17</v>
      </c>
      <c r="E1533" s="27" t="s">
        <v>26</v>
      </c>
      <c r="F1533" s="27" t="s">
        <v>27</v>
      </c>
      <c r="G1533" s="27" t="s">
        <v>28</v>
      </c>
      <c r="H1533" s="29">
        <v>130</v>
      </c>
      <c r="I1533" s="27" t="s">
        <v>29</v>
      </c>
      <c r="J1533" s="37">
        <v>45422</v>
      </c>
      <c r="K1533" s="27" t="s">
        <v>22</v>
      </c>
    </row>
    <row r="1534" spans="1:11" x14ac:dyDescent="0.2">
      <c r="A1534" s="24" t="s">
        <v>3920</v>
      </c>
      <c r="B1534" s="24" t="s">
        <v>3921</v>
      </c>
      <c r="C1534" s="24" t="s">
        <v>3922</v>
      </c>
      <c r="D1534" s="24" t="s">
        <v>17</v>
      </c>
      <c r="E1534" s="24" t="s">
        <v>18</v>
      </c>
      <c r="F1534" s="24" t="s">
        <v>19</v>
      </c>
      <c r="G1534" s="24" t="s">
        <v>20</v>
      </c>
      <c r="H1534" s="26">
        <v>60</v>
      </c>
      <c r="I1534" s="24" t="s">
        <v>21</v>
      </c>
      <c r="J1534" s="36">
        <v>45414</v>
      </c>
      <c r="K1534" s="24" t="s">
        <v>22</v>
      </c>
    </row>
    <row r="1535" spans="1:11" x14ac:dyDescent="0.2">
      <c r="A1535" s="27" t="s">
        <v>3923</v>
      </c>
      <c r="B1535" s="27" t="s">
        <v>3924</v>
      </c>
      <c r="C1535" s="27" t="s">
        <v>106</v>
      </c>
      <c r="D1535" s="27" t="s">
        <v>17</v>
      </c>
      <c r="E1535" s="27" t="s">
        <v>18</v>
      </c>
      <c r="F1535" s="27" t="s">
        <v>19</v>
      </c>
      <c r="G1535" s="27" t="s">
        <v>20</v>
      </c>
      <c r="H1535" s="29">
        <v>38</v>
      </c>
      <c r="I1535" s="27" t="s">
        <v>21</v>
      </c>
      <c r="J1535" s="37">
        <v>45418</v>
      </c>
      <c r="K1535" s="27" t="s">
        <v>22</v>
      </c>
    </row>
    <row r="1536" spans="1:11" x14ac:dyDescent="0.2">
      <c r="A1536" s="24" t="s">
        <v>3925</v>
      </c>
      <c r="B1536" s="24" t="s">
        <v>3926</v>
      </c>
      <c r="C1536" s="24" t="s">
        <v>208</v>
      </c>
      <c r="D1536" s="24" t="s">
        <v>17</v>
      </c>
      <c r="E1536" s="24" t="s">
        <v>42</v>
      </c>
      <c r="F1536" s="24" t="s">
        <v>43</v>
      </c>
      <c r="G1536" s="24" t="s">
        <v>44</v>
      </c>
      <c r="H1536" s="26">
        <v>1541</v>
      </c>
      <c r="I1536" s="24" t="s">
        <v>21</v>
      </c>
      <c r="J1536" s="36">
        <v>45420</v>
      </c>
      <c r="K1536" s="24" t="s">
        <v>22</v>
      </c>
    </row>
    <row r="1537" spans="1:11" x14ac:dyDescent="0.2">
      <c r="A1537" s="27" t="s">
        <v>3927</v>
      </c>
      <c r="B1537" s="27" t="s">
        <v>3928</v>
      </c>
      <c r="C1537" s="27" t="s">
        <v>106</v>
      </c>
      <c r="D1537" s="27" t="s">
        <v>17</v>
      </c>
      <c r="E1537" s="27" t="s">
        <v>18</v>
      </c>
      <c r="F1537" s="27" t="s">
        <v>19</v>
      </c>
      <c r="G1537" s="27" t="s">
        <v>20</v>
      </c>
      <c r="H1537" s="29">
        <v>18</v>
      </c>
      <c r="I1537" s="27" t="s">
        <v>21</v>
      </c>
      <c r="J1537" s="37">
        <v>45440</v>
      </c>
      <c r="K1537" s="27" t="s">
        <v>22</v>
      </c>
    </row>
    <row r="1538" spans="1:11" x14ac:dyDescent="0.2">
      <c r="A1538" s="24" t="s">
        <v>3929</v>
      </c>
      <c r="B1538" s="24" t="s">
        <v>3930</v>
      </c>
      <c r="C1538" s="24" t="s">
        <v>97</v>
      </c>
      <c r="D1538" s="24" t="s">
        <v>17</v>
      </c>
      <c r="E1538" s="24" t="s">
        <v>48</v>
      </c>
      <c r="F1538" s="24" t="s">
        <v>49</v>
      </c>
      <c r="G1538" s="24" t="s">
        <v>20</v>
      </c>
      <c r="H1538" s="26">
        <v>324</v>
      </c>
      <c r="I1538" s="24" t="s">
        <v>21</v>
      </c>
      <c r="J1538" s="36">
        <v>45413</v>
      </c>
      <c r="K1538" s="24" t="s">
        <v>22</v>
      </c>
    </row>
    <row r="1539" spans="1:11" x14ac:dyDescent="0.2">
      <c r="A1539" s="27" t="s">
        <v>3931</v>
      </c>
      <c r="B1539" s="27" t="s">
        <v>3932</v>
      </c>
      <c r="C1539" s="27" t="s">
        <v>774</v>
      </c>
      <c r="D1539" s="27" t="s">
        <v>17</v>
      </c>
      <c r="E1539" s="27" t="s">
        <v>26</v>
      </c>
      <c r="F1539" s="27" t="s">
        <v>27</v>
      </c>
      <c r="G1539" s="27" t="s">
        <v>28</v>
      </c>
      <c r="H1539" s="29">
        <v>1130</v>
      </c>
      <c r="I1539" s="27" t="s">
        <v>29</v>
      </c>
      <c r="J1539" s="37">
        <v>45436</v>
      </c>
      <c r="K1539" s="27" t="s">
        <v>22</v>
      </c>
    </row>
    <row r="1540" spans="1:11" x14ac:dyDescent="0.2">
      <c r="A1540" s="24" t="s">
        <v>3933</v>
      </c>
      <c r="B1540" s="24" t="s">
        <v>3934</v>
      </c>
      <c r="C1540" s="24" t="s">
        <v>251</v>
      </c>
      <c r="D1540" s="24" t="s">
        <v>17</v>
      </c>
      <c r="E1540" s="24" t="s">
        <v>18</v>
      </c>
      <c r="F1540" s="24" t="s">
        <v>19</v>
      </c>
      <c r="G1540" s="24" t="s">
        <v>44</v>
      </c>
      <c r="H1540" s="26">
        <v>40</v>
      </c>
      <c r="I1540" s="24" t="s">
        <v>21</v>
      </c>
      <c r="J1540" s="36">
        <v>45427</v>
      </c>
      <c r="K1540" s="24" t="s">
        <v>22</v>
      </c>
    </row>
    <row r="1541" spans="1:11" x14ac:dyDescent="0.2">
      <c r="A1541" s="27" t="s">
        <v>3935</v>
      </c>
      <c r="B1541" s="27" t="s">
        <v>3936</v>
      </c>
      <c r="C1541" s="27" t="s">
        <v>3937</v>
      </c>
      <c r="D1541" s="27" t="s">
        <v>17</v>
      </c>
      <c r="E1541" s="27" t="s">
        <v>18</v>
      </c>
      <c r="F1541" s="27" t="s">
        <v>19</v>
      </c>
      <c r="G1541" s="27" t="s">
        <v>20</v>
      </c>
      <c r="H1541" s="29">
        <v>48</v>
      </c>
      <c r="I1541" s="27" t="s">
        <v>21</v>
      </c>
      <c r="J1541" s="37">
        <v>45429</v>
      </c>
      <c r="K1541" s="27" t="s">
        <v>22</v>
      </c>
    </row>
    <row r="1542" spans="1:11" x14ac:dyDescent="0.2">
      <c r="A1542" s="24" t="s">
        <v>3938</v>
      </c>
      <c r="B1542" s="24" t="s">
        <v>3939</v>
      </c>
      <c r="C1542" s="24" t="s">
        <v>437</v>
      </c>
      <c r="D1542" s="24" t="s">
        <v>17</v>
      </c>
      <c r="E1542" s="24" t="s">
        <v>18</v>
      </c>
      <c r="F1542" s="24" t="s">
        <v>19</v>
      </c>
      <c r="G1542" s="24" t="s">
        <v>28</v>
      </c>
      <c r="H1542" s="26">
        <v>350</v>
      </c>
      <c r="I1542" s="24" t="s">
        <v>29</v>
      </c>
      <c r="J1542" s="36">
        <v>45441</v>
      </c>
      <c r="K1542" s="24" t="s">
        <v>22</v>
      </c>
    </row>
    <row r="1543" spans="1:11" x14ac:dyDescent="0.2">
      <c r="A1543" s="27" t="s">
        <v>3940</v>
      </c>
      <c r="B1543" s="27" t="s">
        <v>3941</v>
      </c>
      <c r="C1543" s="27" t="s">
        <v>2944</v>
      </c>
      <c r="D1543" s="27" t="s">
        <v>17</v>
      </c>
      <c r="E1543" s="27" t="s">
        <v>48</v>
      </c>
      <c r="F1543" s="27" t="s">
        <v>49</v>
      </c>
      <c r="G1543" s="27" t="s">
        <v>28</v>
      </c>
      <c r="H1543" s="29">
        <v>144</v>
      </c>
      <c r="I1543" s="27" t="s">
        <v>29</v>
      </c>
      <c r="J1543" s="37">
        <v>45439</v>
      </c>
      <c r="K1543" s="27" t="s">
        <v>22</v>
      </c>
    </row>
    <row r="1544" spans="1:11" x14ac:dyDescent="0.2">
      <c r="A1544" s="24" t="s">
        <v>3942</v>
      </c>
      <c r="B1544" s="24" t="s">
        <v>3943</v>
      </c>
      <c r="C1544" s="24" t="s">
        <v>3944</v>
      </c>
      <c r="D1544" s="24" t="s">
        <v>17</v>
      </c>
      <c r="E1544" s="24" t="s">
        <v>42</v>
      </c>
      <c r="F1544" s="24" t="s">
        <v>43</v>
      </c>
      <c r="G1544" s="24" t="s">
        <v>28</v>
      </c>
      <c r="H1544" s="26">
        <v>134</v>
      </c>
      <c r="I1544" s="24" t="s">
        <v>29</v>
      </c>
      <c r="J1544" s="36">
        <v>45440</v>
      </c>
      <c r="K1544" s="24" t="s">
        <v>22</v>
      </c>
    </row>
    <row r="1545" spans="1:11" x14ac:dyDescent="0.2">
      <c r="A1545" s="27" t="s">
        <v>3945</v>
      </c>
      <c r="B1545" s="27" t="s">
        <v>3946</v>
      </c>
      <c r="C1545" s="27" t="s">
        <v>3947</v>
      </c>
      <c r="D1545" s="27" t="s">
        <v>17</v>
      </c>
      <c r="E1545" s="27" t="s">
        <v>18</v>
      </c>
      <c r="F1545" s="27" t="s">
        <v>19</v>
      </c>
      <c r="G1545" s="27" t="s">
        <v>28</v>
      </c>
      <c r="H1545" s="29">
        <v>32</v>
      </c>
      <c r="I1545" s="27" t="s">
        <v>29</v>
      </c>
      <c r="J1545" s="37">
        <v>45441</v>
      </c>
      <c r="K1545" s="27" t="s">
        <v>22</v>
      </c>
    </row>
    <row r="1546" spans="1:11" x14ac:dyDescent="0.2">
      <c r="A1546" s="24" t="s">
        <v>3948</v>
      </c>
      <c r="B1546" s="24" t="s">
        <v>3949</v>
      </c>
      <c r="C1546" s="24" t="s">
        <v>3299</v>
      </c>
      <c r="D1546" s="24" t="s">
        <v>17</v>
      </c>
      <c r="E1546" s="24" t="s">
        <v>18</v>
      </c>
      <c r="F1546" s="24" t="s">
        <v>19</v>
      </c>
      <c r="G1546" s="24" t="s">
        <v>44</v>
      </c>
      <c r="H1546" s="26">
        <v>322</v>
      </c>
      <c r="I1546" s="24" t="s">
        <v>21</v>
      </c>
      <c r="J1546" s="36">
        <v>45427</v>
      </c>
      <c r="K1546" s="24" t="s">
        <v>22</v>
      </c>
    </row>
    <row r="1547" spans="1:11" x14ac:dyDescent="0.2">
      <c r="A1547" s="27" t="s">
        <v>3950</v>
      </c>
      <c r="B1547" s="27" t="s">
        <v>3951</v>
      </c>
      <c r="C1547" s="27" t="s">
        <v>687</v>
      </c>
      <c r="D1547" s="27" t="s">
        <v>17</v>
      </c>
      <c r="E1547" s="27" t="s">
        <v>48</v>
      </c>
      <c r="F1547" s="27" t="s">
        <v>49</v>
      </c>
      <c r="G1547" s="27" t="s">
        <v>20</v>
      </c>
      <c r="H1547" s="29">
        <v>270</v>
      </c>
      <c r="I1547" s="27" t="s">
        <v>21</v>
      </c>
      <c r="J1547" s="37">
        <v>45432</v>
      </c>
      <c r="K1547" s="27" t="s">
        <v>22</v>
      </c>
    </row>
    <row r="1548" spans="1:11" x14ac:dyDescent="0.2">
      <c r="A1548" s="24" t="s">
        <v>3952</v>
      </c>
      <c r="B1548" s="24" t="s">
        <v>3953</v>
      </c>
      <c r="C1548" s="24" t="s">
        <v>354</v>
      </c>
      <c r="D1548" s="24" t="s">
        <v>17</v>
      </c>
      <c r="E1548" s="24" t="s">
        <v>18</v>
      </c>
      <c r="F1548" s="24" t="s">
        <v>19</v>
      </c>
      <c r="G1548" s="24" t="s">
        <v>20</v>
      </c>
      <c r="H1548" s="26">
        <v>92</v>
      </c>
      <c r="I1548" s="24" t="s">
        <v>21</v>
      </c>
      <c r="J1548" s="36">
        <v>45433</v>
      </c>
      <c r="K1548" s="24" t="s">
        <v>22</v>
      </c>
    </row>
    <row r="1549" spans="1:11" x14ac:dyDescent="0.2">
      <c r="A1549" s="27" t="s">
        <v>3954</v>
      </c>
      <c r="B1549" s="27" t="s">
        <v>3955</v>
      </c>
      <c r="C1549" s="27" t="s">
        <v>434</v>
      </c>
      <c r="D1549" s="27" t="s">
        <v>17</v>
      </c>
      <c r="E1549" s="27" t="s">
        <v>26</v>
      </c>
      <c r="F1549" s="27" t="s">
        <v>27</v>
      </c>
      <c r="G1549" s="27" t="s">
        <v>28</v>
      </c>
      <c r="H1549" s="29">
        <v>144</v>
      </c>
      <c r="I1549" s="27" t="s">
        <v>29</v>
      </c>
      <c r="J1549" s="37">
        <v>45419</v>
      </c>
      <c r="K1549" s="27" t="s">
        <v>22</v>
      </c>
    </row>
    <row r="1550" spans="1:11" x14ac:dyDescent="0.2">
      <c r="A1550" s="24" t="s">
        <v>3956</v>
      </c>
      <c r="B1550" s="24" t="s">
        <v>3957</v>
      </c>
      <c r="C1550" s="24" t="s">
        <v>1014</v>
      </c>
      <c r="D1550" s="24" t="s">
        <v>17</v>
      </c>
      <c r="E1550" s="24" t="s">
        <v>18</v>
      </c>
      <c r="F1550" s="24" t="s">
        <v>19</v>
      </c>
      <c r="G1550" s="24" t="s">
        <v>38</v>
      </c>
      <c r="H1550" s="26">
        <v>40</v>
      </c>
      <c r="I1550" s="24" t="s">
        <v>29</v>
      </c>
      <c r="J1550" s="36">
        <v>45418</v>
      </c>
      <c r="K1550" s="24" t="s">
        <v>22</v>
      </c>
    </row>
    <row r="1551" spans="1:11" x14ac:dyDescent="0.2">
      <c r="A1551" s="27" t="s">
        <v>3958</v>
      </c>
      <c r="B1551" s="27" t="s">
        <v>3959</v>
      </c>
      <c r="C1551" s="27" t="s">
        <v>197</v>
      </c>
      <c r="D1551" s="27" t="s">
        <v>17</v>
      </c>
      <c r="E1551" s="27" t="s">
        <v>18</v>
      </c>
      <c r="F1551" s="27" t="s">
        <v>19</v>
      </c>
      <c r="G1551" s="27" t="s">
        <v>59</v>
      </c>
      <c r="H1551" s="29">
        <v>15</v>
      </c>
      <c r="I1551" s="27" t="s">
        <v>21</v>
      </c>
      <c r="J1551" s="37">
        <v>45427</v>
      </c>
      <c r="K1551" s="27" t="s">
        <v>22</v>
      </c>
    </row>
    <row r="1552" spans="1:11" x14ac:dyDescent="0.2">
      <c r="A1552" s="24" t="s">
        <v>3960</v>
      </c>
      <c r="B1552" s="24" t="s">
        <v>3961</v>
      </c>
      <c r="C1552" s="24" t="s">
        <v>1053</v>
      </c>
      <c r="D1552" s="24" t="s">
        <v>17</v>
      </c>
      <c r="E1552" s="24" t="s">
        <v>42</v>
      </c>
      <c r="F1552" s="24" t="s">
        <v>43</v>
      </c>
      <c r="G1552" s="24" t="s">
        <v>116</v>
      </c>
      <c r="H1552" s="26">
        <v>0</v>
      </c>
      <c r="I1552" s="24" t="s">
        <v>21</v>
      </c>
      <c r="J1552" s="36">
        <v>45415</v>
      </c>
      <c r="K1552" s="24" t="s">
        <v>22</v>
      </c>
    </row>
    <row r="1553" spans="1:11" x14ac:dyDescent="0.2">
      <c r="A1553" s="27" t="s">
        <v>3962</v>
      </c>
      <c r="B1553" s="27" t="s">
        <v>3963</v>
      </c>
      <c r="C1553" s="27" t="s">
        <v>3964</v>
      </c>
      <c r="D1553" s="27" t="s">
        <v>17</v>
      </c>
      <c r="E1553" s="27" t="s">
        <v>26</v>
      </c>
      <c r="F1553" s="27" t="s">
        <v>27</v>
      </c>
      <c r="G1553" s="27" t="s">
        <v>28</v>
      </c>
      <c r="H1553" s="29">
        <v>117</v>
      </c>
      <c r="I1553" s="27" t="s">
        <v>29</v>
      </c>
      <c r="J1553" s="37">
        <v>45421</v>
      </c>
      <c r="K1553" s="27" t="s">
        <v>22</v>
      </c>
    </row>
    <row r="1554" spans="1:11" x14ac:dyDescent="0.2">
      <c r="A1554" s="24" t="s">
        <v>3965</v>
      </c>
      <c r="B1554" s="24" t="s">
        <v>3966</v>
      </c>
      <c r="C1554" s="24" t="s">
        <v>3967</v>
      </c>
      <c r="D1554" s="24" t="s">
        <v>17</v>
      </c>
      <c r="E1554" s="24" t="s">
        <v>18</v>
      </c>
      <c r="F1554" s="24" t="s">
        <v>19</v>
      </c>
      <c r="G1554" s="24" t="s">
        <v>28</v>
      </c>
      <c r="H1554" s="26">
        <v>15</v>
      </c>
      <c r="I1554" s="24" t="s">
        <v>29</v>
      </c>
      <c r="J1554" s="36">
        <v>45439</v>
      </c>
      <c r="K1554" s="24" t="s">
        <v>22</v>
      </c>
    </row>
    <row r="1555" spans="1:11" x14ac:dyDescent="0.2">
      <c r="A1555" s="27" t="s">
        <v>3968</v>
      </c>
      <c r="B1555" s="27" t="s">
        <v>3969</v>
      </c>
      <c r="C1555" s="27" t="s">
        <v>106</v>
      </c>
      <c r="D1555" s="27" t="s">
        <v>17</v>
      </c>
      <c r="E1555" s="27" t="s">
        <v>18</v>
      </c>
      <c r="F1555" s="27" t="s">
        <v>19</v>
      </c>
      <c r="G1555" s="27" t="s">
        <v>20</v>
      </c>
      <c r="H1555" s="29">
        <v>15</v>
      </c>
      <c r="I1555" s="27" t="s">
        <v>21</v>
      </c>
      <c r="J1555" s="37">
        <v>45434</v>
      </c>
      <c r="K1555" s="27" t="s">
        <v>22</v>
      </c>
    </row>
    <row r="1556" spans="1:11" x14ac:dyDescent="0.2">
      <c r="A1556" s="24" t="s">
        <v>3970</v>
      </c>
      <c r="B1556" s="24" t="s">
        <v>3971</v>
      </c>
      <c r="C1556" s="24" t="s">
        <v>3972</v>
      </c>
      <c r="D1556" s="24" t="s">
        <v>17</v>
      </c>
      <c r="E1556" s="24" t="s">
        <v>18</v>
      </c>
      <c r="F1556" s="24" t="s">
        <v>19</v>
      </c>
      <c r="G1556" s="24" t="s">
        <v>28</v>
      </c>
      <c r="H1556" s="26">
        <v>18</v>
      </c>
      <c r="I1556" s="24" t="s">
        <v>29</v>
      </c>
      <c r="J1556" s="36">
        <v>45441</v>
      </c>
      <c r="K1556" s="24" t="s">
        <v>22</v>
      </c>
    </row>
    <row r="1557" spans="1:11" x14ac:dyDescent="0.2">
      <c r="A1557" s="27" t="s">
        <v>3973</v>
      </c>
      <c r="B1557" s="27" t="s">
        <v>3974</v>
      </c>
      <c r="C1557" s="27" t="s">
        <v>1161</v>
      </c>
      <c r="D1557" s="27" t="s">
        <v>17</v>
      </c>
      <c r="E1557" s="27" t="s">
        <v>18</v>
      </c>
      <c r="F1557" s="27" t="s">
        <v>19</v>
      </c>
      <c r="G1557" s="27" t="s">
        <v>28</v>
      </c>
      <c r="H1557" s="29">
        <v>924</v>
      </c>
      <c r="I1557" s="27" t="s">
        <v>29</v>
      </c>
      <c r="J1557" s="37">
        <v>45441</v>
      </c>
      <c r="K1557" s="27" t="s">
        <v>22</v>
      </c>
    </row>
    <row r="1558" spans="1:11" x14ac:dyDescent="0.2">
      <c r="A1558" s="24" t="s">
        <v>3975</v>
      </c>
      <c r="B1558" s="24" t="s">
        <v>3976</v>
      </c>
      <c r="C1558" s="24" t="s">
        <v>3977</v>
      </c>
      <c r="D1558" s="24" t="s">
        <v>17</v>
      </c>
      <c r="E1558" s="24" t="s">
        <v>18</v>
      </c>
      <c r="F1558" s="24" t="s">
        <v>19</v>
      </c>
      <c r="G1558" s="24" t="s">
        <v>28</v>
      </c>
      <c r="H1558" s="26">
        <v>10</v>
      </c>
      <c r="I1558" s="24" t="s">
        <v>29</v>
      </c>
      <c r="J1558" s="36">
        <v>45425</v>
      </c>
      <c r="K1558" s="24" t="s">
        <v>22</v>
      </c>
    </row>
    <row r="1559" spans="1:11" x14ac:dyDescent="0.2">
      <c r="A1559" s="27" t="s">
        <v>3978</v>
      </c>
      <c r="B1559" s="27" t="s">
        <v>3979</v>
      </c>
      <c r="C1559" s="27" t="s">
        <v>194</v>
      </c>
      <c r="D1559" s="27" t="s">
        <v>17</v>
      </c>
      <c r="E1559" s="27" t="s">
        <v>42</v>
      </c>
      <c r="F1559" s="27" t="s">
        <v>43</v>
      </c>
      <c r="G1559" s="27" t="s">
        <v>28</v>
      </c>
      <c r="H1559" s="29">
        <v>680</v>
      </c>
      <c r="I1559" s="27" t="s">
        <v>29</v>
      </c>
      <c r="J1559" s="37">
        <v>45429</v>
      </c>
      <c r="K1559" s="27" t="s">
        <v>22</v>
      </c>
    </row>
    <row r="1560" spans="1:11" x14ac:dyDescent="0.2">
      <c r="A1560" s="24" t="s">
        <v>3980</v>
      </c>
      <c r="B1560" s="24" t="s">
        <v>3981</v>
      </c>
      <c r="C1560" s="24" t="s">
        <v>937</v>
      </c>
      <c r="D1560" s="24" t="s">
        <v>17</v>
      </c>
      <c r="E1560" s="24" t="s">
        <v>48</v>
      </c>
      <c r="F1560" s="24" t="s">
        <v>49</v>
      </c>
      <c r="G1560" s="24" t="s">
        <v>28</v>
      </c>
      <c r="H1560" s="26">
        <v>14</v>
      </c>
      <c r="I1560" s="24" t="s">
        <v>29</v>
      </c>
      <c r="J1560" s="36">
        <v>45440</v>
      </c>
      <c r="K1560" s="24" t="s">
        <v>22</v>
      </c>
    </row>
    <row r="1561" spans="1:11" x14ac:dyDescent="0.2">
      <c r="A1561" s="27" t="s">
        <v>3982</v>
      </c>
      <c r="B1561" s="27" t="s">
        <v>3983</v>
      </c>
      <c r="C1561" s="27" t="s">
        <v>792</v>
      </c>
      <c r="D1561" s="27" t="s">
        <v>17</v>
      </c>
      <c r="E1561" s="27" t="s">
        <v>42</v>
      </c>
      <c r="F1561" s="27" t="s">
        <v>43</v>
      </c>
      <c r="G1561" s="27" t="s">
        <v>28</v>
      </c>
      <c r="H1561" s="29">
        <v>540</v>
      </c>
      <c r="I1561" s="27" t="s">
        <v>29</v>
      </c>
      <c r="J1561" s="37">
        <v>45433</v>
      </c>
      <c r="K1561" s="27" t="s">
        <v>22</v>
      </c>
    </row>
    <row r="1562" spans="1:11" x14ac:dyDescent="0.2">
      <c r="A1562" s="24" t="s">
        <v>3984</v>
      </c>
      <c r="B1562" s="24" t="s">
        <v>3985</v>
      </c>
      <c r="C1562" s="24" t="s">
        <v>3986</v>
      </c>
      <c r="D1562" s="24" t="s">
        <v>17</v>
      </c>
      <c r="E1562" s="24" t="s">
        <v>26</v>
      </c>
      <c r="F1562" s="24" t="s">
        <v>27</v>
      </c>
      <c r="G1562" s="24" t="s">
        <v>28</v>
      </c>
      <c r="H1562" s="26">
        <v>36</v>
      </c>
      <c r="I1562" s="24" t="s">
        <v>29</v>
      </c>
      <c r="J1562" s="36">
        <v>45427</v>
      </c>
      <c r="K1562" s="24" t="s">
        <v>22</v>
      </c>
    </row>
    <row r="1563" spans="1:11" x14ac:dyDescent="0.2">
      <c r="A1563" s="27" t="s">
        <v>3987</v>
      </c>
      <c r="B1563" s="27" t="s">
        <v>3988</v>
      </c>
      <c r="C1563" s="27" t="s">
        <v>3989</v>
      </c>
      <c r="D1563" s="27" t="s">
        <v>17</v>
      </c>
      <c r="E1563" s="27" t="s">
        <v>26</v>
      </c>
      <c r="F1563" s="27" t="s">
        <v>27</v>
      </c>
      <c r="G1563" s="27" t="s">
        <v>28</v>
      </c>
      <c r="H1563" s="29">
        <v>108</v>
      </c>
      <c r="I1563" s="27" t="s">
        <v>29</v>
      </c>
      <c r="J1563" s="37">
        <v>45415</v>
      </c>
      <c r="K1563" s="27" t="s">
        <v>22</v>
      </c>
    </row>
    <row r="1564" spans="1:11" x14ac:dyDescent="0.2">
      <c r="A1564" s="24" t="s">
        <v>3990</v>
      </c>
      <c r="B1564" s="24" t="s">
        <v>3991</v>
      </c>
      <c r="C1564" s="24" t="s">
        <v>194</v>
      </c>
      <c r="D1564" s="24" t="s">
        <v>17</v>
      </c>
      <c r="E1564" s="24" t="s">
        <v>42</v>
      </c>
      <c r="F1564" s="24" t="s">
        <v>43</v>
      </c>
      <c r="G1564" s="24" t="s">
        <v>44</v>
      </c>
      <c r="H1564" s="26">
        <v>432</v>
      </c>
      <c r="I1564" s="24" t="s">
        <v>21</v>
      </c>
      <c r="J1564" s="36">
        <v>45434</v>
      </c>
      <c r="K1564" s="24" t="s">
        <v>22</v>
      </c>
    </row>
    <row r="1565" spans="1:11" x14ac:dyDescent="0.2">
      <c r="A1565" s="27" t="s">
        <v>3992</v>
      </c>
      <c r="B1565" s="27" t="s">
        <v>3993</v>
      </c>
      <c r="C1565" s="27" t="s">
        <v>3205</v>
      </c>
      <c r="D1565" s="27" t="s">
        <v>17</v>
      </c>
      <c r="E1565" s="27" t="s">
        <v>42</v>
      </c>
      <c r="F1565" s="27" t="s">
        <v>43</v>
      </c>
      <c r="G1565" s="27" t="s">
        <v>28</v>
      </c>
      <c r="H1565" s="29">
        <v>177</v>
      </c>
      <c r="I1565" s="27" t="s">
        <v>29</v>
      </c>
      <c r="J1565" s="37">
        <v>45432</v>
      </c>
      <c r="K1565" s="27" t="s">
        <v>22</v>
      </c>
    </row>
    <row r="1566" spans="1:11" x14ac:dyDescent="0.2">
      <c r="A1566" s="24" t="s">
        <v>3994</v>
      </c>
      <c r="B1566" s="24" t="s">
        <v>3995</v>
      </c>
      <c r="C1566" s="24" t="s">
        <v>968</v>
      </c>
      <c r="D1566" s="24" t="s">
        <v>17</v>
      </c>
      <c r="E1566" s="24" t="s">
        <v>18</v>
      </c>
      <c r="F1566" s="24" t="s">
        <v>19</v>
      </c>
      <c r="G1566" s="24" t="s">
        <v>20</v>
      </c>
      <c r="H1566" s="26">
        <v>18</v>
      </c>
      <c r="I1566" s="24" t="s">
        <v>21</v>
      </c>
      <c r="J1566" s="36">
        <v>45441</v>
      </c>
      <c r="K1566" s="24" t="s">
        <v>22</v>
      </c>
    </row>
    <row r="1567" spans="1:11" x14ac:dyDescent="0.2">
      <c r="A1567" s="27" t="s">
        <v>3996</v>
      </c>
      <c r="B1567" s="27" t="s">
        <v>3997</v>
      </c>
      <c r="C1567" s="27" t="s">
        <v>3998</v>
      </c>
      <c r="D1567" s="27" t="s">
        <v>17</v>
      </c>
      <c r="E1567" s="27" t="s">
        <v>163</v>
      </c>
      <c r="F1567" s="27" t="s">
        <v>164</v>
      </c>
      <c r="G1567" s="27" t="s">
        <v>28</v>
      </c>
      <c r="H1567" s="29">
        <v>10</v>
      </c>
      <c r="I1567" s="27" t="s">
        <v>29</v>
      </c>
      <c r="J1567" s="37">
        <v>45413</v>
      </c>
      <c r="K1567" s="27" t="s">
        <v>22</v>
      </c>
    </row>
    <row r="1568" spans="1:11" x14ac:dyDescent="0.2">
      <c r="A1568" s="24" t="s">
        <v>3999</v>
      </c>
      <c r="B1568" s="24" t="s">
        <v>4000</v>
      </c>
      <c r="C1568" s="24" t="s">
        <v>4001</v>
      </c>
      <c r="D1568" s="24" t="s">
        <v>17</v>
      </c>
      <c r="E1568" s="24" t="s">
        <v>18</v>
      </c>
      <c r="F1568" s="24" t="s">
        <v>19</v>
      </c>
      <c r="G1568" s="24" t="s">
        <v>28</v>
      </c>
      <c r="H1568" s="26">
        <v>27</v>
      </c>
      <c r="I1568" s="24" t="s">
        <v>29</v>
      </c>
      <c r="J1568" s="36">
        <v>45440</v>
      </c>
      <c r="K1568" s="24" t="s">
        <v>22</v>
      </c>
    </row>
    <row r="1569" spans="1:11" x14ac:dyDescent="0.2">
      <c r="A1569" s="27" t="s">
        <v>4002</v>
      </c>
      <c r="B1569" s="27" t="s">
        <v>4003</v>
      </c>
      <c r="C1569" s="27" t="s">
        <v>4004</v>
      </c>
      <c r="D1569" s="27" t="s">
        <v>17</v>
      </c>
      <c r="E1569" s="27" t="s">
        <v>48</v>
      </c>
      <c r="F1569" s="27" t="s">
        <v>49</v>
      </c>
      <c r="G1569" s="27" t="s">
        <v>44</v>
      </c>
      <c r="H1569" s="29">
        <v>60</v>
      </c>
      <c r="I1569" s="27" t="s">
        <v>29</v>
      </c>
      <c r="J1569" s="37">
        <v>45439</v>
      </c>
      <c r="K1569" s="27" t="s">
        <v>22</v>
      </c>
    </row>
    <row r="1570" spans="1:11" x14ac:dyDescent="0.2">
      <c r="A1570" s="24" t="s">
        <v>4005</v>
      </c>
      <c r="B1570" s="24" t="s">
        <v>4006</v>
      </c>
      <c r="C1570" s="24" t="s">
        <v>208</v>
      </c>
      <c r="D1570" s="24" t="s">
        <v>17</v>
      </c>
      <c r="E1570" s="24" t="s">
        <v>42</v>
      </c>
      <c r="F1570" s="24" t="s">
        <v>43</v>
      </c>
      <c r="G1570" s="24" t="s">
        <v>28</v>
      </c>
      <c r="H1570" s="26">
        <v>18</v>
      </c>
      <c r="I1570" s="24" t="s">
        <v>29</v>
      </c>
      <c r="J1570" s="36">
        <v>45427</v>
      </c>
      <c r="K1570" s="24" t="s">
        <v>22</v>
      </c>
    </row>
    <row r="1571" spans="1:11" x14ac:dyDescent="0.2">
      <c r="A1571" s="27" t="s">
        <v>4007</v>
      </c>
      <c r="B1571" s="27" t="s">
        <v>4008</v>
      </c>
      <c r="C1571" s="27" t="s">
        <v>4009</v>
      </c>
      <c r="D1571" s="27" t="s">
        <v>17</v>
      </c>
      <c r="E1571" s="27" t="s">
        <v>18</v>
      </c>
      <c r="F1571" s="27" t="s">
        <v>19</v>
      </c>
      <c r="G1571" s="27" t="s">
        <v>28</v>
      </c>
      <c r="H1571" s="29">
        <v>250</v>
      </c>
      <c r="I1571" s="27" t="s">
        <v>29</v>
      </c>
      <c r="J1571" s="37">
        <v>45434</v>
      </c>
      <c r="K1571" s="27" t="s">
        <v>22</v>
      </c>
    </row>
    <row r="1572" spans="1:11" x14ac:dyDescent="0.2">
      <c r="A1572" s="24" t="s">
        <v>4010</v>
      </c>
      <c r="B1572" s="24" t="s">
        <v>4011</v>
      </c>
      <c r="C1572" s="24" t="s">
        <v>4012</v>
      </c>
      <c r="D1572" s="24" t="s">
        <v>17</v>
      </c>
      <c r="E1572" s="24" t="s">
        <v>18</v>
      </c>
      <c r="F1572" s="24" t="s">
        <v>19</v>
      </c>
      <c r="G1572" s="24" t="s">
        <v>20</v>
      </c>
      <c r="H1572" s="26">
        <v>71</v>
      </c>
      <c r="I1572" s="24" t="s">
        <v>21</v>
      </c>
      <c r="J1572" s="36">
        <v>45428</v>
      </c>
      <c r="K1572" s="24" t="s">
        <v>22</v>
      </c>
    </row>
    <row r="1573" spans="1:11" x14ac:dyDescent="0.2">
      <c r="A1573" s="27" t="s">
        <v>4013</v>
      </c>
      <c r="B1573" s="27" t="s">
        <v>4014</v>
      </c>
      <c r="C1573" s="27" t="s">
        <v>68</v>
      </c>
      <c r="D1573" s="27" t="s">
        <v>17</v>
      </c>
      <c r="E1573" s="27" t="s">
        <v>18</v>
      </c>
      <c r="F1573" s="27" t="s">
        <v>19</v>
      </c>
      <c r="G1573" s="27" t="s">
        <v>28</v>
      </c>
      <c r="H1573" s="29">
        <v>30</v>
      </c>
      <c r="I1573" s="27" t="s">
        <v>29</v>
      </c>
      <c r="J1573" s="37">
        <v>45413</v>
      </c>
      <c r="K1573" s="27" t="s">
        <v>22</v>
      </c>
    </row>
    <row r="1574" spans="1:11" x14ac:dyDescent="0.2">
      <c r="A1574" s="24" t="s">
        <v>4015</v>
      </c>
      <c r="B1574" s="24" t="s">
        <v>4016</v>
      </c>
      <c r="C1574" s="24" t="s">
        <v>4017</v>
      </c>
      <c r="D1574" s="24" t="s">
        <v>17</v>
      </c>
      <c r="E1574" s="24" t="s">
        <v>26</v>
      </c>
      <c r="F1574" s="24" t="s">
        <v>27</v>
      </c>
      <c r="G1574" s="24" t="s">
        <v>217</v>
      </c>
      <c r="H1574" s="26">
        <v>48</v>
      </c>
      <c r="I1574" s="24" t="s">
        <v>29</v>
      </c>
      <c r="J1574" s="36">
        <v>45413</v>
      </c>
      <c r="K1574" s="24" t="s">
        <v>22</v>
      </c>
    </row>
    <row r="1575" spans="1:11" x14ac:dyDescent="0.2">
      <c r="A1575" s="27" t="s">
        <v>4018</v>
      </c>
      <c r="B1575" s="27" t="s">
        <v>4019</v>
      </c>
      <c r="C1575" s="27" t="s">
        <v>4020</v>
      </c>
      <c r="D1575" s="27" t="s">
        <v>17</v>
      </c>
      <c r="E1575" s="27" t="s">
        <v>48</v>
      </c>
      <c r="F1575" s="27" t="s">
        <v>49</v>
      </c>
      <c r="G1575" s="27" t="s">
        <v>28</v>
      </c>
      <c r="H1575" s="29">
        <v>96</v>
      </c>
      <c r="I1575" s="27" t="s">
        <v>29</v>
      </c>
      <c r="J1575" s="37">
        <v>45413</v>
      </c>
      <c r="K1575" s="27" t="s">
        <v>22</v>
      </c>
    </row>
    <row r="1576" spans="1:11" x14ac:dyDescent="0.2">
      <c r="A1576" s="24" t="s">
        <v>4021</v>
      </c>
      <c r="B1576" s="24" t="s">
        <v>4022</v>
      </c>
      <c r="C1576" s="24" t="s">
        <v>1147</v>
      </c>
      <c r="D1576" s="24" t="s">
        <v>17</v>
      </c>
      <c r="E1576" s="24" t="s">
        <v>48</v>
      </c>
      <c r="F1576" s="24" t="s">
        <v>49</v>
      </c>
      <c r="G1576" s="24" t="s">
        <v>44</v>
      </c>
      <c r="H1576" s="26">
        <v>203</v>
      </c>
      <c r="I1576" s="24" t="s">
        <v>21</v>
      </c>
      <c r="J1576" s="36">
        <v>45418</v>
      </c>
      <c r="K1576" s="24" t="s">
        <v>22</v>
      </c>
    </row>
    <row r="1577" spans="1:11" x14ac:dyDescent="0.2">
      <c r="A1577" s="27" t="s">
        <v>4023</v>
      </c>
      <c r="B1577" s="27" t="s">
        <v>4024</v>
      </c>
      <c r="C1577" s="27" t="s">
        <v>4025</v>
      </c>
      <c r="D1577" s="27" t="s">
        <v>17</v>
      </c>
      <c r="E1577" s="27" t="s">
        <v>42</v>
      </c>
      <c r="F1577" s="27" t="s">
        <v>43</v>
      </c>
      <c r="G1577" s="27" t="s">
        <v>28</v>
      </c>
      <c r="H1577" s="29">
        <v>170</v>
      </c>
      <c r="I1577" s="27" t="s">
        <v>29</v>
      </c>
      <c r="J1577" s="37">
        <v>45442</v>
      </c>
      <c r="K1577" s="27" t="s">
        <v>22</v>
      </c>
    </row>
    <row r="1578" spans="1:11" x14ac:dyDescent="0.2">
      <c r="A1578" s="24" t="s">
        <v>4026</v>
      </c>
      <c r="B1578" s="24" t="s">
        <v>4027</v>
      </c>
      <c r="C1578" s="24" t="s">
        <v>85</v>
      </c>
      <c r="D1578" s="24" t="s">
        <v>17</v>
      </c>
      <c r="E1578" s="24" t="s">
        <v>42</v>
      </c>
      <c r="F1578" s="24" t="s">
        <v>43</v>
      </c>
      <c r="G1578" s="24" t="s">
        <v>116</v>
      </c>
      <c r="H1578" s="26">
        <v>0</v>
      </c>
      <c r="I1578" s="24" t="s">
        <v>21</v>
      </c>
      <c r="J1578" s="36">
        <v>45443</v>
      </c>
      <c r="K1578" s="24" t="s">
        <v>22</v>
      </c>
    </row>
    <row r="1579" spans="1:11" x14ac:dyDescent="0.2">
      <c r="A1579" s="27" t="s">
        <v>4028</v>
      </c>
      <c r="B1579" s="27" t="s">
        <v>4029</v>
      </c>
      <c r="C1579" s="27" t="s">
        <v>404</v>
      </c>
      <c r="D1579" s="27" t="s">
        <v>17</v>
      </c>
      <c r="E1579" s="27" t="s">
        <v>18</v>
      </c>
      <c r="F1579" s="27" t="s">
        <v>19</v>
      </c>
      <c r="G1579" s="27" t="s">
        <v>28</v>
      </c>
      <c r="H1579" s="29">
        <v>108</v>
      </c>
      <c r="I1579" s="27" t="s">
        <v>29</v>
      </c>
      <c r="J1579" s="37">
        <v>45436</v>
      </c>
      <c r="K1579" s="27" t="s">
        <v>22</v>
      </c>
    </row>
    <row r="1580" spans="1:11" x14ac:dyDescent="0.2">
      <c r="A1580" s="24" t="s">
        <v>4030</v>
      </c>
      <c r="B1580" s="24" t="s">
        <v>4031</v>
      </c>
      <c r="C1580" s="24" t="s">
        <v>85</v>
      </c>
      <c r="D1580" s="24" t="s">
        <v>17</v>
      </c>
      <c r="E1580" s="24" t="s">
        <v>81</v>
      </c>
      <c r="F1580" s="24" t="s">
        <v>82</v>
      </c>
      <c r="G1580" s="24" t="s">
        <v>44</v>
      </c>
      <c r="H1580" s="26">
        <v>393</v>
      </c>
      <c r="I1580" s="24" t="s">
        <v>21</v>
      </c>
      <c r="J1580" s="36">
        <v>45422</v>
      </c>
      <c r="K1580" s="24" t="s">
        <v>22</v>
      </c>
    </row>
    <row r="1581" spans="1:11" x14ac:dyDescent="0.2">
      <c r="A1581" s="27" t="s">
        <v>4032</v>
      </c>
      <c r="B1581" s="27" t="s">
        <v>4033</v>
      </c>
      <c r="C1581" s="27" t="s">
        <v>409</v>
      </c>
      <c r="D1581" s="27" t="s">
        <v>17</v>
      </c>
      <c r="E1581" s="27" t="s">
        <v>18</v>
      </c>
      <c r="F1581" s="27" t="s">
        <v>19</v>
      </c>
      <c r="G1581" s="27" t="s">
        <v>20</v>
      </c>
      <c r="H1581" s="29">
        <v>74</v>
      </c>
      <c r="I1581" s="27" t="s">
        <v>21</v>
      </c>
      <c r="J1581" s="37">
        <v>45440</v>
      </c>
      <c r="K1581" s="27" t="s">
        <v>22</v>
      </c>
    </row>
    <row r="1582" spans="1:11" x14ac:dyDescent="0.2">
      <c r="A1582" s="24" t="s">
        <v>4034</v>
      </c>
      <c r="B1582" s="24" t="s">
        <v>4035</v>
      </c>
      <c r="C1582" s="24" t="s">
        <v>4036</v>
      </c>
      <c r="D1582" s="24" t="s">
        <v>17</v>
      </c>
      <c r="E1582" s="24" t="s">
        <v>18</v>
      </c>
      <c r="F1582" s="24" t="s">
        <v>19</v>
      </c>
      <c r="G1582" s="24" t="s">
        <v>20</v>
      </c>
      <c r="H1582" s="26">
        <v>32</v>
      </c>
      <c r="I1582" s="24" t="s">
        <v>21</v>
      </c>
      <c r="J1582" s="36">
        <v>45414</v>
      </c>
      <c r="K1582" s="24" t="s">
        <v>22</v>
      </c>
    </row>
    <row r="1583" spans="1:11" x14ac:dyDescent="0.2">
      <c r="A1583" s="27" t="s">
        <v>4037</v>
      </c>
      <c r="B1583" s="27" t="s">
        <v>4038</v>
      </c>
      <c r="C1583" s="27" t="s">
        <v>4039</v>
      </c>
      <c r="D1583" s="27" t="s">
        <v>17</v>
      </c>
      <c r="E1583" s="27" t="s">
        <v>42</v>
      </c>
      <c r="F1583" s="27" t="s">
        <v>43</v>
      </c>
      <c r="G1583" s="27" t="s">
        <v>28</v>
      </c>
      <c r="H1583" s="29">
        <v>528</v>
      </c>
      <c r="I1583" s="27" t="s">
        <v>29</v>
      </c>
      <c r="J1583" s="37">
        <v>45413</v>
      </c>
      <c r="K1583" s="27" t="s">
        <v>22</v>
      </c>
    </row>
    <row r="1584" spans="1:11" x14ac:dyDescent="0.2">
      <c r="A1584" s="24" t="s">
        <v>4040</v>
      </c>
      <c r="B1584" s="24" t="s">
        <v>4041</v>
      </c>
      <c r="C1584" s="24" t="s">
        <v>437</v>
      </c>
      <c r="D1584" s="24" t="s">
        <v>17</v>
      </c>
      <c r="E1584" s="24" t="s">
        <v>48</v>
      </c>
      <c r="F1584" s="24" t="s">
        <v>49</v>
      </c>
      <c r="G1584" s="24" t="s">
        <v>44</v>
      </c>
      <c r="H1584" s="26">
        <v>209</v>
      </c>
      <c r="I1584" s="24" t="s">
        <v>21</v>
      </c>
      <c r="J1584" s="36">
        <v>45421</v>
      </c>
      <c r="K1584" s="24" t="s">
        <v>22</v>
      </c>
    </row>
    <row r="1585" spans="1:11" x14ac:dyDescent="0.2">
      <c r="A1585" s="27" t="s">
        <v>4042</v>
      </c>
      <c r="B1585" s="27" t="s">
        <v>4043</v>
      </c>
      <c r="C1585" s="27" t="s">
        <v>705</v>
      </c>
      <c r="D1585" s="27" t="s">
        <v>17</v>
      </c>
      <c r="E1585" s="27" t="s">
        <v>33</v>
      </c>
      <c r="F1585" s="27" t="s">
        <v>34</v>
      </c>
      <c r="G1585" s="27" t="s">
        <v>28</v>
      </c>
      <c r="H1585" s="29">
        <v>226</v>
      </c>
      <c r="I1585" s="27" t="s">
        <v>29</v>
      </c>
      <c r="J1585" s="37">
        <v>45427</v>
      </c>
      <c r="K1585" s="27" t="s">
        <v>22</v>
      </c>
    </row>
    <row r="1586" spans="1:11" x14ac:dyDescent="0.2">
      <c r="A1586" s="24" t="s">
        <v>4044</v>
      </c>
      <c r="B1586" s="24" t="s">
        <v>4045</v>
      </c>
      <c r="C1586" s="24" t="s">
        <v>325</v>
      </c>
      <c r="D1586" s="24" t="s">
        <v>17</v>
      </c>
      <c r="E1586" s="24" t="s">
        <v>18</v>
      </c>
      <c r="F1586" s="24" t="s">
        <v>19</v>
      </c>
      <c r="G1586" s="24" t="s">
        <v>20</v>
      </c>
      <c r="H1586" s="26">
        <v>24</v>
      </c>
      <c r="I1586" s="24" t="s">
        <v>21</v>
      </c>
      <c r="J1586" s="36">
        <v>45429</v>
      </c>
      <c r="K1586" s="24" t="s">
        <v>22</v>
      </c>
    </row>
    <row r="1587" spans="1:11" x14ac:dyDescent="0.2">
      <c r="A1587" s="27" t="s">
        <v>4046</v>
      </c>
      <c r="B1587" s="27" t="s">
        <v>4047</v>
      </c>
      <c r="C1587" s="27" t="s">
        <v>140</v>
      </c>
      <c r="D1587" s="27" t="s">
        <v>17</v>
      </c>
      <c r="E1587" s="27" t="s">
        <v>42</v>
      </c>
      <c r="F1587" s="27" t="s">
        <v>43</v>
      </c>
      <c r="G1587" s="27" t="s">
        <v>217</v>
      </c>
      <c r="H1587" s="29">
        <v>408</v>
      </c>
      <c r="I1587" s="27" t="s">
        <v>29</v>
      </c>
      <c r="J1587" s="37">
        <v>45442</v>
      </c>
      <c r="K1587" s="27" t="s">
        <v>22</v>
      </c>
    </row>
    <row r="1588" spans="1:11" x14ac:dyDescent="0.2">
      <c r="A1588" s="24" t="s">
        <v>4048</v>
      </c>
      <c r="B1588" s="24" t="s">
        <v>4049</v>
      </c>
      <c r="C1588" s="24" t="s">
        <v>4050</v>
      </c>
      <c r="D1588" s="24" t="s">
        <v>17</v>
      </c>
      <c r="E1588" s="24" t="s">
        <v>42</v>
      </c>
      <c r="F1588" s="24" t="s">
        <v>43</v>
      </c>
      <c r="G1588" s="24" t="s">
        <v>44</v>
      </c>
      <c r="H1588" s="26">
        <v>25</v>
      </c>
      <c r="I1588" s="24" t="s">
        <v>21</v>
      </c>
      <c r="J1588" s="36">
        <v>45433</v>
      </c>
      <c r="K1588" s="24" t="s">
        <v>22</v>
      </c>
    </row>
    <row r="1589" spans="1:11" x14ac:dyDescent="0.2">
      <c r="A1589" s="27" t="s">
        <v>4051</v>
      </c>
      <c r="B1589" s="27" t="s">
        <v>4052</v>
      </c>
      <c r="C1589" s="27" t="s">
        <v>301</v>
      </c>
      <c r="D1589" s="27" t="s">
        <v>17</v>
      </c>
      <c r="E1589" s="27" t="s">
        <v>48</v>
      </c>
      <c r="F1589" s="27" t="s">
        <v>49</v>
      </c>
      <c r="G1589" s="27" t="s">
        <v>28</v>
      </c>
      <c r="H1589" s="29">
        <v>320</v>
      </c>
      <c r="I1589" s="27" t="s">
        <v>29</v>
      </c>
      <c r="J1589" s="37">
        <v>45442</v>
      </c>
      <c r="K1589" s="27" t="s">
        <v>22</v>
      </c>
    </row>
    <row r="1590" spans="1:11" x14ac:dyDescent="0.2">
      <c r="A1590" s="24" t="s">
        <v>4053</v>
      </c>
      <c r="B1590" s="24" t="s">
        <v>4054</v>
      </c>
      <c r="C1590" s="24" t="s">
        <v>97</v>
      </c>
      <c r="D1590" s="24" t="s">
        <v>17</v>
      </c>
      <c r="E1590" s="24" t="s">
        <v>42</v>
      </c>
      <c r="F1590" s="24" t="s">
        <v>43</v>
      </c>
      <c r="G1590" s="24" t="s">
        <v>28</v>
      </c>
      <c r="H1590" s="26">
        <v>440</v>
      </c>
      <c r="I1590" s="24" t="s">
        <v>29</v>
      </c>
      <c r="J1590" s="36">
        <v>45432</v>
      </c>
      <c r="K1590" s="24" t="s">
        <v>22</v>
      </c>
    </row>
    <row r="1591" spans="1:11" x14ac:dyDescent="0.2">
      <c r="A1591" s="27" t="s">
        <v>4055</v>
      </c>
      <c r="B1591" s="27" t="s">
        <v>4056</v>
      </c>
      <c r="C1591" s="27" t="s">
        <v>4057</v>
      </c>
      <c r="D1591" s="27" t="s">
        <v>17</v>
      </c>
      <c r="E1591" s="27" t="s">
        <v>163</v>
      </c>
      <c r="F1591" s="27" t="s">
        <v>164</v>
      </c>
      <c r="G1591" s="27" t="s">
        <v>217</v>
      </c>
      <c r="H1591" s="29">
        <v>400</v>
      </c>
      <c r="I1591" s="27" t="s">
        <v>29</v>
      </c>
      <c r="J1591" s="37">
        <v>45427</v>
      </c>
      <c r="K1591" s="27" t="s">
        <v>22</v>
      </c>
    </row>
    <row r="1592" spans="1:11" x14ac:dyDescent="0.2">
      <c r="A1592" s="24" t="s">
        <v>4058</v>
      </c>
      <c r="B1592" s="24" t="s">
        <v>4059</v>
      </c>
      <c r="C1592" s="24" t="s">
        <v>4060</v>
      </c>
      <c r="D1592" s="24" t="s">
        <v>17</v>
      </c>
      <c r="E1592" s="24" t="s">
        <v>48</v>
      </c>
      <c r="F1592" s="24" t="s">
        <v>49</v>
      </c>
      <c r="G1592" s="24" t="s">
        <v>28</v>
      </c>
      <c r="H1592" s="26">
        <v>150</v>
      </c>
      <c r="I1592" s="24" t="s">
        <v>29</v>
      </c>
      <c r="J1592" s="36">
        <v>45425</v>
      </c>
      <c r="K1592" s="24" t="s">
        <v>22</v>
      </c>
    </row>
    <row r="1593" spans="1:11" x14ac:dyDescent="0.2">
      <c r="A1593" s="27" t="s">
        <v>4061</v>
      </c>
      <c r="B1593" s="27" t="s">
        <v>4062</v>
      </c>
      <c r="C1593" s="27" t="s">
        <v>708</v>
      </c>
      <c r="D1593" s="27" t="s">
        <v>17</v>
      </c>
      <c r="E1593" s="27" t="s">
        <v>18</v>
      </c>
      <c r="F1593" s="27" t="s">
        <v>19</v>
      </c>
      <c r="G1593" s="27" t="s">
        <v>28</v>
      </c>
      <c r="H1593" s="29">
        <v>6</v>
      </c>
      <c r="I1593" s="27" t="s">
        <v>29</v>
      </c>
      <c r="J1593" s="37">
        <v>45429</v>
      </c>
      <c r="K1593" s="27" t="s">
        <v>22</v>
      </c>
    </row>
    <row r="1594" spans="1:11" x14ac:dyDescent="0.2">
      <c r="A1594" s="24" t="s">
        <v>4063</v>
      </c>
      <c r="B1594" s="24" t="s">
        <v>4064</v>
      </c>
      <c r="C1594" s="24" t="s">
        <v>1678</v>
      </c>
      <c r="D1594" s="24" t="s">
        <v>17</v>
      </c>
      <c r="E1594" s="24" t="s">
        <v>26</v>
      </c>
      <c r="F1594" s="24" t="s">
        <v>27</v>
      </c>
      <c r="G1594" s="24" t="s">
        <v>28</v>
      </c>
      <c r="H1594" s="26">
        <v>132</v>
      </c>
      <c r="I1594" s="24" t="s">
        <v>29</v>
      </c>
      <c r="J1594" s="36">
        <v>45420</v>
      </c>
      <c r="K1594" s="24" t="s">
        <v>22</v>
      </c>
    </row>
    <row r="1595" spans="1:11" x14ac:dyDescent="0.2">
      <c r="A1595" s="27" t="s">
        <v>4065</v>
      </c>
      <c r="B1595" s="27" t="s">
        <v>4066</v>
      </c>
      <c r="C1595" s="27" t="s">
        <v>106</v>
      </c>
      <c r="D1595" s="27" t="s">
        <v>17</v>
      </c>
      <c r="E1595" s="27" t="s">
        <v>18</v>
      </c>
      <c r="F1595" s="27" t="s">
        <v>19</v>
      </c>
      <c r="G1595" s="27" t="s">
        <v>20</v>
      </c>
      <c r="H1595" s="29">
        <v>18</v>
      </c>
      <c r="I1595" s="27" t="s">
        <v>21</v>
      </c>
      <c r="J1595" s="37">
        <v>45427</v>
      </c>
      <c r="K1595" s="27" t="s">
        <v>22</v>
      </c>
    </row>
    <row r="1596" spans="1:11" x14ac:dyDescent="0.2">
      <c r="A1596" s="24" t="s">
        <v>4067</v>
      </c>
      <c r="B1596" s="24" t="s">
        <v>4068</v>
      </c>
      <c r="C1596" s="24" t="s">
        <v>4069</v>
      </c>
      <c r="D1596" s="24" t="s">
        <v>17</v>
      </c>
      <c r="E1596" s="24" t="s">
        <v>48</v>
      </c>
      <c r="F1596" s="24" t="s">
        <v>49</v>
      </c>
      <c r="G1596" s="24" t="s">
        <v>28</v>
      </c>
      <c r="H1596" s="26">
        <v>60</v>
      </c>
      <c r="I1596" s="24" t="s">
        <v>29</v>
      </c>
      <c r="J1596" s="36">
        <v>45423</v>
      </c>
      <c r="K1596" s="24" t="s">
        <v>22</v>
      </c>
    </row>
    <row r="1597" spans="1:11" x14ac:dyDescent="0.2">
      <c r="A1597" s="27" t="s">
        <v>4070</v>
      </c>
      <c r="B1597" s="27" t="s">
        <v>4071</v>
      </c>
      <c r="C1597" s="27" t="s">
        <v>4072</v>
      </c>
      <c r="D1597" s="27" t="s">
        <v>17</v>
      </c>
      <c r="E1597" s="27" t="s">
        <v>48</v>
      </c>
      <c r="F1597" s="27" t="s">
        <v>49</v>
      </c>
      <c r="G1597" s="27" t="s">
        <v>116</v>
      </c>
      <c r="H1597" s="29">
        <v>0</v>
      </c>
      <c r="I1597" s="27" t="s">
        <v>21</v>
      </c>
      <c r="J1597" s="37">
        <v>45413</v>
      </c>
      <c r="K1597" s="27" t="s">
        <v>22</v>
      </c>
    </row>
    <row r="1598" spans="1:11" x14ac:dyDescent="0.2">
      <c r="A1598" s="24" t="s">
        <v>4073</v>
      </c>
      <c r="B1598" s="24" t="s">
        <v>4074</v>
      </c>
      <c r="C1598" s="24" t="s">
        <v>4075</v>
      </c>
      <c r="D1598" s="24" t="s">
        <v>17</v>
      </c>
      <c r="E1598" s="24" t="s">
        <v>18</v>
      </c>
      <c r="F1598" s="24" t="s">
        <v>19</v>
      </c>
      <c r="G1598" s="24" t="s">
        <v>28</v>
      </c>
      <c r="H1598" s="26">
        <v>12</v>
      </c>
      <c r="I1598" s="24" t="s">
        <v>29</v>
      </c>
      <c r="J1598" s="36">
        <v>45442</v>
      </c>
      <c r="K1598" s="24" t="s">
        <v>22</v>
      </c>
    </row>
    <row r="1599" spans="1:11" x14ac:dyDescent="0.2">
      <c r="A1599" s="27" t="s">
        <v>4076</v>
      </c>
      <c r="B1599" s="27" t="s">
        <v>4077</v>
      </c>
      <c r="C1599" s="27" t="s">
        <v>4078</v>
      </c>
      <c r="D1599" s="27" t="s">
        <v>17</v>
      </c>
      <c r="E1599" s="27" t="s">
        <v>18</v>
      </c>
      <c r="F1599" s="27" t="s">
        <v>19</v>
      </c>
      <c r="G1599" s="27" t="s">
        <v>44</v>
      </c>
      <c r="H1599" s="29">
        <v>30</v>
      </c>
      <c r="I1599" s="27" t="s">
        <v>29</v>
      </c>
      <c r="J1599" s="37">
        <v>45433</v>
      </c>
      <c r="K1599" s="27" t="s">
        <v>22</v>
      </c>
    </row>
    <row r="1600" spans="1:11" x14ac:dyDescent="0.2">
      <c r="A1600" s="24" t="s">
        <v>4079</v>
      </c>
      <c r="B1600" s="24" t="s">
        <v>4080</v>
      </c>
      <c r="C1600" s="24" t="s">
        <v>4081</v>
      </c>
      <c r="D1600" s="24" t="s">
        <v>17</v>
      </c>
      <c r="E1600" s="24" t="s">
        <v>42</v>
      </c>
      <c r="F1600" s="24" t="s">
        <v>43</v>
      </c>
      <c r="G1600" s="24" t="s">
        <v>59</v>
      </c>
      <c r="H1600" s="26">
        <v>13</v>
      </c>
      <c r="I1600" s="24" t="s">
        <v>21</v>
      </c>
      <c r="J1600" s="36">
        <v>45432</v>
      </c>
      <c r="K1600" s="24" t="s">
        <v>22</v>
      </c>
    </row>
    <row r="1601" spans="1:11" x14ac:dyDescent="0.2">
      <c r="A1601" s="27" t="s">
        <v>4082</v>
      </c>
      <c r="B1601" s="27" t="s">
        <v>4083</v>
      </c>
      <c r="C1601" s="27" t="s">
        <v>4084</v>
      </c>
      <c r="D1601" s="27" t="s">
        <v>17</v>
      </c>
      <c r="E1601" s="27" t="s">
        <v>18</v>
      </c>
      <c r="F1601" s="27" t="s">
        <v>19</v>
      </c>
      <c r="G1601" s="27" t="s">
        <v>59</v>
      </c>
      <c r="H1601" s="29">
        <v>11</v>
      </c>
      <c r="I1601" s="27" t="s">
        <v>21</v>
      </c>
      <c r="J1601" s="37">
        <v>45413</v>
      </c>
      <c r="K1601" s="27" t="s">
        <v>22</v>
      </c>
    </row>
    <row r="1602" spans="1:11" x14ac:dyDescent="0.2">
      <c r="A1602" s="24" t="s">
        <v>4085</v>
      </c>
      <c r="B1602" s="24" t="s">
        <v>4086</v>
      </c>
      <c r="C1602" s="24" t="s">
        <v>4087</v>
      </c>
      <c r="D1602" s="24" t="s">
        <v>17</v>
      </c>
      <c r="E1602" s="24" t="s">
        <v>18</v>
      </c>
      <c r="F1602" s="24" t="s">
        <v>19</v>
      </c>
      <c r="G1602" s="24" t="s">
        <v>20</v>
      </c>
      <c r="H1602" s="26">
        <v>72</v>
      </c>
      <c r="I1602" s="24" t="s">
        <v>21</v>
      </c>
      <c r="J1602" s="36">
        <v>45422</v>
      </c>
      <c r="K1602" s="24" t="s">
        <v>22</v>
      </c>
    </row>
    <row r="1603" spans="1:11" x14ac:dyDescent="0.2">
      <c r="A1603" s="27" t="s">
        <v>4088</v>
      </c>
      <c r="B1603" s="27" t="s">
        <v>4089</v>
      </c>
      <c r="C1603" s="27" t="s">
        <v>4090</v>
      </c>
      <c r="D1603" s="27" t="s">
        <v>17</v>
      </c>
      <c r="E1603" s="27" t="s">
        <v>18</v>
      </c>
      <c r="F1603" s="27" t="s">
        <v>19</v>
      </c>
      <c r="G1603" s="27" t="s">
        <v>20</v>
      </c>
      <c r="H1603" s="29">
        <v>21</v>
      </c>
      <c r="I1603" s="27" t="s">
        <v>21</v>
      </c>
      <c r="J1603" s="37">
        <v>45443</v>
      </c>
      <c r="K1603" s="27" t="s">
        <v>22</v>
      </c>
    </row>
    <row r="1604" spans="1:11" x14ac:dyDescent="0.2">
      <c r="A1604" s="24" t="s">
        <v>4091</v>
      </c>
      <c r="B1604" s="24" t="s">
        <v>4092</v>
      </c>
      <c r="C1604" s="24" t="s">
        <v>4093</v>
      </c>
      <c r="D1604" s="24" t="s">
        <v>17</v>
      </c>
      <c r="E1604" s="24" t="s">
        <v>48</v>
      </c>
      <c r="F1604" s="24" t="s">
        <v>49</v>
      </c>
      <c r="G1604" s="24" t="s">
        <v>20</v>
      </c>
      <c r="H1604" s="26">
        <v>40</v>
      </c>
      <c r="I1604" s="24" t="s">
        <v>21</v>
      </c>
      <c r="J1604" s="36">
        <v>45432</v>
      </c>
      <c r="K1604" s="24" t="s">
        <v>22</v>
      </c>
    </row>
    <row r="1605" spans="1:11" x14ac:dyDescent="0.2">
      <c r="A1605" s="27" t="s">
        <v>4094</v>
      </c>
      <c r="B1605" s="27" t="s">
        <v>4095</v>
      </c>
      <c r="C1605" s="27" t="s">
        <v>3475</v>
      </c>
      <c r="D1605" s="27" t="s">
        <v>17</v>
      </c>
      <c r="E1605" s="27" t="s">
        <v>18</v>
      </c>
      <c r="F1605" s="27" t="s">
        <v>19</v>
      </c>
      <c r="G1605" s="27" t="s">
        <v>217</v>
      </c>
      <c r="H1605" s="29">
        <v>24</v>
      </c>
      <c r="I1605" s="27" t="s">
        <v>29</v>
      </c>
      <c r="J1605" s="37">
        <v>45427</v>
      </c>
      <c r="K1605" s="27" t="s">
        <v>22</v>
      </c>
    </row>
    <row r="1606" spans="1:11" x14ac:dyDescent="0.2">
      <c r="A1606" s="24" t="s">
        <v>4096</v>
      </c>
      <c r="B1606" s="24" t="s">
        <v>4097</v>
      </c>
      <c r="C1606" s="24" t="s">
        <v>4098</v>
      </c>
      <c r="D1606" s="24" t="s">
        <v>17</v>
      </c>
      <c r="E1606" s="24" t="s">
        <v>18</v>
      </c>
      <c r="F1606" s="24" t="s">
        <v>19</v>
      </c>
      <c r="G1606" s="24" t="s">
        <v>20</v>
      </c>
      <c r="H1606" s="26">
        <v>48</v>
      </c>
      <c r="I1606" s="24" t="s">
        <v>21</v>
      </c>
      <c r="J1606" s="36">
        <v>45421</v>
      </c>
      <c r="K1606" s="24" t="s">
        <v>22</v>
      </c>
    </row>
    <row r="1607" spans="1:11" x14ac:dyDescent="0.2">
      <c r="A1607" s="27" t="s">
        <v>4099</v>
      </c>
      <c r="B1607" s="27" t="s">
        <v>4100</v>
      </c>
      <c r="C1607" s="27" t="s">
        <v>4101</v>
      </c>
      <c r="D1607" s="27" t="s">
        <v>17</v>
      </c>
      <c r="E1607" s="27" t="s">
        <v>42</v>
      </c>
      <c r="F1607" s="27" t="s">
        <v>43</v>
      </c>
      <c r="G1607" s="27" t="s">
        <v>257</v>
      </c>
      <c r="H1607" s="29">
        <v>750</v>
      </c>
      <c r="I1607" s="27" t="s">
        <v>29</v>
      </c>
      <c r="J1607" s="37">
        <v>45413</v>
      </c>
      <c r="K1607" s="27" t="s">
        <v>22</v>
      </c>
    </row>
    <row r="1608" spans="1:11" x14ac:dyDescent="0.2">
      <c r="A1608" s="24" t="s">
        <v>4102</v>
      </c>
      <c r="B1608" s="24" t="s">
        <v>4103</v>
      </c>
      <c r="C1608" s="24" t="s">
        <v>106</v>
      </c>
      <c r="D1608" s="24" t="s">
        <v>17</v>
      </c>
      <c r="E1608" s="24" t="s">
        <v>18</v>
      </c>
      <c r="F1608" s="24" t="s">
        <v>19</v>
      </c>
      <c r="G1608" s="24" t="s">
        <v>59</v>
      </c>
      <c r="H1608" s="26">
        <v>4</v>
      </c>
      <c r="I1608" s="24" t="s">
        <v>21</v>
      </c>
      <c r="J1608" s="36">
        <v>45415</v>
      </c>
      <c r="K1608" s="24" t="s">
        <v>22</v>
      </c>
    </row>
    <row r="1609" spans="1:11" x14ac:dyDescent="0.2">
      <c r="A1609" s="27" t="s">
        <v>4104</v>
      </c>
      <c r="B1609" s="27" t="s">
        <v>4105</v>
      </c>
      <c r="C1609" s="27" t="s">
        <v>4106</v>
      </c>
      <c r="D1609" s="27" t="s">
        <v>17</v>
      </c>
      <c r="E1609" s="27" t="s">
        <v>26</v>
      </c>
      <c r="F1609" s="27" t="s">
        <v>27</v>
      </c>
      <c r="G1609" s="27" t="s">
        <v>28</v>
      </c>
      <c r="H1609" s="29">
        <v>135</v>
      </c>
      <c r="I1609" s="27" t="s">
        <v>29</v>
      </c>
      <c r="J1609" s="37">
        <v>45427</v>
      </c>
      <c r="K1609" s="27" t="s">
        <v>22</v>
      </c>
    </row>
    <row r="1610" spans="1:11" x14ac:dyDescent="0.2">
      <c r="A1610" s="24" t="s">
        <v>4107</v>
      </c>
      <c r="B1610" s="24" t="s">
        <v>4108</v>
      </c>
      <c r="C1610" s="24" t="s">
        <v>4109</v>
      </c>
      <c r="D1610" s="24" t="s">
        <v>17</v>
      </c>
      <c r="E1610" s="24" t="s">
        <v>18</v>
      </c>
      <c r="F1610" s="24" t="s">
        <v>19</v>
      </c>
      <c r="G1610" s="24" t="s">
        <v>28</v>
      </c>
      <c r="H1610" s="26">
        <v>42</v>
      </c>
      <c r="I1610" s="24" t="s">
        <v>29</v>
      </c>
      <c r="J1610" s="36">
        <v>45436</v>
      </c>
      <c r="K1610" s="24" t="s">
        <v>22</v>
      </c>
    </row>
    <row r="1611" spans="1:11" x14ac:dyDescent="0.2">
      <c r="A1611" s="27" t="s">
        <v>4110</v>
      </c>
      <c r="B1611" s="27" t="s">
        <v>4111</v>
      </c>
      <c r="C1611" s="27" t="s">
        <v>4112</v>
      </c>
      <c r="D1611" s="27" t="s">
        <v>17</v>
      </c>
      <c r="E1611" s="27" t="s">
        <v>42</v>
      </c>
      <c r="F1611" s="27" t="s">
        <v>43</v>
      </c>
      <c r="G1611" s="27" t="s">
        <v>28</v>
      </c>
      <c r="H1611" s="29">
        <v>519</v>
      </c>
      <c r="I1611" s="27" t="s">
        <v>29</v>
      </c>
      <c r="J1611" s="37">
        <v>45428</v>
      </c>
      <c r="K1611" s="27" t="s">
        <v>22</v>
      </c>
    </row>
    <row r="1612" spans="1:11" x14ac:dyDescent="0.2">
      <c r="A1612" s="24" t="s">
        <v>4113</v>
      </c>
      <c r="B1612" s="24" t="s">
        <v>4114</v>
      </c>
      <c r="C1612" s="24" t="s">
        <v>500</v>
      </c>
      <c r="D1612" s="24" t="s">
        <v>17</v>
      </c>
      <c r="E1612" s="24" t="s">
        <v>18</v>
      </c>
      <c r="F1612" s="24" t="s">
        <v>19</v>
      </c>
      <c r="G1612" s="24" t="s">
        <v>20</v>
      </c>
      <c r="H1612" s="26">
        <v>30</v>
      </c>
      <c r="I1612" s="24" t="s">
        <v>21</v>
      </c>
      <c r="J1612" s="36">
        <v>45422</v>
      </c>
      <c r="K1612" s="24" t="s">
        <v>22</v>
      </c>
    </row>
    <row r="1613" spans="1:11" x14ac:dyDescent="0.2">
      <c r="A1613" s="27" t="s">
        <v>4115</v>
      </c>
      <c r="B1613" s="27" t="s">
        <v>4116</v>
      </c>
      <c r="C1613" s="27" t="s">
        <v>134</v>
      </c>
      <c r="D1613" s="27" t="s">
        <v>17</v>
      </c>
      <c r="E1613" s="27" t="s">
        <v>81</v>
      </c>
      <c r="F1613" s="27" t="s">
        <v>82</v>
      </c>
      <c r="G1613" s="27" t="s">
        <v>44</v>
      </c>
      <c r="H1613" s="29">
        <v>84</v>
      </c>
      <c r="I1613" s="27" t="s">
        <v>29</v>
      </c>
      <c r="J1613" s="37">
        <v>45427</v>
      </c>
      <c r="K1613" s="27" t="s">
        <v>22</v>
      </c>
    </row>
    <row r="1614" spans="1:11" x14ac:dyDescent="0.2">
      <c r="A1614" s="24" t="s">
        <v>4117</v>
      </c>
      <c r="B1614" s="24" t="s">
        <v>4118</v>
      </c>
      <c r="C1614" s="24" t="s">
        <v>4119</v>
      </c>
      <c r="D1614" s="24" t="s">
        <v>17</v>
      </c>
      <c r="E1614" s="24" t="s">
        <v>18</v>
      </c>
      <c r="F1614" s="24" t="s">
        <v>19</v>
      </c>
      <c r="G1614" s="24" t="s">
        <v>59</v>
      </c>
      <c r="H1614" s="26">
        <v>2</v>
      </c>
      <c r="I1614" s="24" t="s">
        <v>21</v>
      </c>
      <c r="J1614" s="36">
        <v>45441</v>
      </c>
      <c r="K1614" s="24" t="s">
        <v>22</v>
      </c>
    </row>
    <row r="1615" spans="1:11" x14ac:dyDescent="0.2">
      <c r="A1615" s="27" t="s">
        <v>4120</v>
      </c>
      <c r="B1615" s="27" t="s">
        <v>4121</v>
      </c>
      <c r="C1615" s="27" t="s">
        <v>1975</v>
      </c>
      <c r="D1615" s="27" t="s">
        <v>17</v>
      </c>
      <c r="E1615" s="27" t="s">
        <v>18</v>
      </c>
      <c r="F1615" s="27" t="s">
        <v>19</v>
      </c>
      <c r="G1615" s="27" t="s">
        <v>44</v>
      </c>
      <c r="H1615" s="29">
        <v>6</v>
      </c>
      <c r="I1615" s="27" t="s">
        <v>21</v>
      </c>
      <c r="J1615" s="37">
        <v>45442</v>
      </c>
      <c r="K1615" s="27" t="s">
        <v>22</v>
      </c>
    </row>
    <row r="1616" spans="1:11" x14ac:dyDescent="0.2">
      <c r="A1616" s="24" t="s">
        <v>4122</v>
      </c>
      <c r="B1616" s="24" t="s">
        <v>4123</v>
      </c>
      <c r="C1616" s="24" t="s">
        <v>185</v>
      </c>
      <c r="D1616" s="24" t="s">
        <v>17</v>
      </c>
      <c r="E1616" s="24" t="s">
        <v>18</v>
      </c>
      <c r="F1616" s="24" t="s">
        <v>19</v>
      </c>
      <c r="G1616" s="24" t="s">
        <v>217</v>
      </c>
      <c r="H1616" s="26">
        <v>116</v>
      </c>
      <c r="I1616" s="24" t="s">
        <v>29</v>
      </c>
      <c r="J1616" s="36">
        <v>45443</v>
      </c>
      <c r="K1616" s="24" t="s">
        <v>22</v>
      </c>
    </row>
    <row r="1617" spans="1:11" x14ac:dyDescent="0.2">
      <c r="A1617" s="27" t="s">
        <v>4124</v>
      </c>
      <c r="B1617" s="27" t="s">
        <v>4125</v>
      </c>
      <c r="C1617" s="27" t="s">
        <v>494</v>
      </c>
      <c r="D1617" s="27" t="s">
        <v>17</v>
      </c>
      <c r="E1617" s="27" t="s">
        <v>18</v>
      </c>
      <c r="F1617" s="27" t="s">
        <v>19</v>
      </c>
      <c r="G1617" s="27" t="s">
        <v>20</v>
      </c>
      <c r="H1617" s="29">
        <v>60</v>
      </c>
      <c r="I1617" s="27" t="s">
        <v>21</v>
      </c>
      <c r="J1617" s="37">
        <v>45434</v>
      </c>
      <c r="K1617" s="27" t="s">
        <v>22</v>
      </c>
    </row>
    <row r="1618" spans="1:11" x14ac:dyDescent="0.2">
      <c r="A1618" s="24" t="s">
        <v>4126</v>
      </c>
      <c r="B1618" s="24" t="s">
        <v>4127</v>
      </c>
      <c r="C1618" s="24" t="s">
        <v>4128</v>
      </c>
      <c r="D1618" s="24" t="s">
        <v>17</v>
      </c>
      <c r="E1618" s="24" t="s">
        <v>48</v>
      </c>
      <c r="F1618" s="24" t="s">
        <v>49</v>
      </c>
      <c r="G1618" s="24" t="s">
        <v>28</v>
      </c>
      <c r="H1618" s="26">
        <v>90</v>
      </c>
      <c r="I1618" s="24" t="s">
        <v>29</v>
      </c>
      <c r="J1618" s="36">
        <v>45434</v>
      </c>
      <c r="K1618" s="24" t="s">
        <v>22</v>
      </c>
    </row>
    <row r="1619" spans="1:11" x14ac:dyDescent="0.2">
      <c r="A1619" s="27" t="s">
        <v>4129</v>
      </c>
      <c r="B1619" s="27" t="s">
        <v>4130</v>
      </c>
      <c r="C1619" s="27" t="s">
        <v>4131</v>
      </c>
      <c r="D1619" s="27" t="s">
        <v>17</v>
      </c>
      <c r="E1619" s="27" t="s">
        <v>18</v>
      </c>
      <c r="F1619" s="27" t="s">
        <v>19</v>
      </c>
      <c r="G1619" s="27" t="s">
        <v>20</v>
      </c>
      <c r="H1619" s="29">
        <v>64</v>
      </c>
      <c r="I1619" s="27" t="s">
        <v>21</v>
      </c>
      <c r="J1619" s="37">
        <v>45434</v>
      </c>
      <c r="K1619" s="27" t="s">
        <v>22</v>
      </c>
    </row>
    <row r="1620" spans="1:11" x14ac:dyDescent="0.2">
      <c r="A1620" s="24" t="s">
        <v>4132</v>
      </c>
      <c r="B1620" s="24" t="s">
        <v>4133</v>
      </c>
      <c r="C1620" s="24" t="s">
        <v>4134</v>
      </c>
      <c r="D1620" s="24" t="s">
        <v>17</v>
      </c>
      <c r="E1620" s="24" t="s">
        <v>18</v>
      </c>
      <c r="F1620" s="24" t="s">
        <v>19</v>
      </c>
      <c r="G1620" s="24" t="s">
        <v>28</v>
      </c>
      <c r="H1620" s="26">
        <v>60</v>
      </c>
      <c r="I1620" s="24" t="s">
        <v>29</v>
      </c>
      <c r="J1620" s="36">
        <v>45420</v>
      </c>
      <c r="K1620" s="24" t="s">
        <v>22</v>
      </c>
    </row>
    <row r="1621" spans="1:11" x14ac:dyDescent="0.2">
      <c r="A1621" s="27" t="s">
        <v>4135</v>
      </c>
      <c r="B1621" s="27" t="s">
        <v>4136</v>
      </c>
      <c r="C1621" s="27" t="s">
        <v>4137</v>
      </c>
      <c r="D1621" s="27" t="s">
        <v>17</v>
      </c>
      <c r="E1621" s="27" t="s">
        <v>26</v>
      </c>
      <c r="F1621" s="27" t="s">
        <v>27</v>
      </c>
      <c r="G1621" s="27" t="s">
        <v>28</v>
      </c>
      <c r="H1621" s="29">
        <v>260</v>
      </c>
      <c r="I1621" s="27" t="s">
        <v>29</v>
      </c>
      <c r="J1621" s="37">
        <v>45435</v>
      </c>
      <c r="K1621" s="27" t="s">
        <v>22</v>
      </c>
    </row>
    <row r="1622" spans="1:11" x14ac:dyDescent="0.2">
      <c r="A1622" s="24" t="s">
        <v>4138</v>
      </c>
      <c r="B1622" s="24" t="s">
        <v>4139</v>
      </c>
      <c r="C1622" s="24" t="s">
        <v>1523</v>
      </c>
      <c r="D1622" s="24" t="s">
        <v>17</v>
      </c>
      <c r="E1622" s="24" t="s">
        <v>18</v>
      </c>
      <c r="F1622" s="24" t="s">
        <v>19</v>
      </c>
      <c r="G1622" s="24" t="s">
        <v>28</v>
      </c>
      <c r="H1622" s="26">
        <v>56</v>
      </c>
      <c r="I1622" s="24" t="s">
        <v>29</v>
      </c>
      <c r="J1622" s="36">
        <v>45440</v>
      </c>
      <c r="K1622" s="24" t="s">
        <v>22</v>
      </c>
    </row>
    <row r="1623" spans="1:11" x14ac:dyDescent="0.2">
      <c r="A1623" s="27" t="s">
        <v>4140</v>
      </c>
      <c r="B1623" s="27" t="s">
        <v>4141</v>
      </c>
      <c r="C1623" s="27" t="s">
        <v>55</v>
      </c>
      <c r="D1623" s="27" t="s">
        <v>17</v>
      </c>
      <c r="E1623" s="27" t="s">
        <v>18</v>
      </c>
      <c r="F1623" s="27" t="s">
        <v>19</v>
      </c>
      <c r="G1623" s="27" t="s">
        <v>20</v>
      </c>
      <c r="H1623" s="29">
        <v>28</v>
      </c>
      <c r="I1623" s="27" t="s">
        <v>21</v>
      </c>
      <c r="J1623" s="37">
        <v>45432</v>
      </c>
      <c r="K1623" s="27" t="s">
        <v>22</v>
      </c>
    </row>
    <row r="1624" spans="1:11" x14ac:dyDescent="0.2">
      <c r="A1624" s="24" t="s">
        <v>4142</v>
      </c>
      <c r="B1624" s="24" t="s">
        <v>4143</v>
      </c>
      <c r="C1624" s="24" t="s">
        <v>687</v>
      </c>
      <c r="D1624" s="24" t="s">
        <v>17</v>
      </c>
      <c r="E1624" s="24" t="s">
        <v>18</v>
      </c>
      <c r="F1624" s="24" t="s">
        <v>19</v>
      </c>
      <c r="G1624" s="24" t="s">
        <v>20</v>
      </c>
      <c r="H1624" s="26">
        <v>48</v>
      </c>
      <c r="I1624" s="24" t="s">
        <v>21</v>
      </c>
      <c r="J1624" s="36">
        <v>45432</v>
      </c>
      <c r="K1624" s="24" t="s">
        <v>22</v>
      </c>
    </row>
    <row r="1625" spans="1:11" x14ac:dyDescent="0.2">
      <c r="A1625" s="27" t="s">
        <v>4144</v>
      </c>
      <c r="B1625" s="27" t="s">
        <v>4145</v>
      </c>
      <c r="C1625" s="27" t="s">
        <v>68</v>
      </c>
      <c r="D1625" s="27" t="s">
        <v>17</v>
      </c>
      <c r="E1625" s="27" t="s">
        <v>81</v>
      </c>
      <c r="F1625" s="27" t="s">
        <v>82</v>
      </c>
      <c r="G1625" s="27" t="s">
        <v>28</v>
      </c>
      <c r="H1625" s="29">
        <v>232</v>
      </c>
      <c r="I1625" s="27" t="s">
        <v>29</v>
      </c>
      <c r="J1625" s="37">
        <v>45433</v>
      </c>
      <c r="K1625" s="27" t="s">
        <v>22</v>
      </c>
    </row>
    <row r="1626" spans="1:11" x14ac:dyDescent="0.2">
      <c r="A1626" s="24" t="s">
        <v>4146</v>
      </c>
      <c r="B1626" s="24" t="s">
        <v>4147</v>
      </c>
      <c r="C1626" s="24" t="s">
        <v>2109</v>
      </c>
      <c r="D1626" s="24" t="s">
        <v>17</v>
      </c>
      <c r="E1626" s="24" t="s">
        <v>18</v>
      </c>
      <c r="F1626" s="24" t="s">
        <v>19</v>
      </c>
      <c r="G1626" s="24" t="s">
        <v>20</v>
      </c>
      <c r="H1626" s="26">
        <v>6</v>
      </c>
      <c r="I1626" s="24" t="s">
        <v>21</v>
      </c>
      <c r="J1626" s="36">
        <v>45442</v>
      </c>
      <c r="K1626" s="24" t="s">
        <v>22</v>
      </c>
    </row>
    <row r="1627" spans="1:11" x14ac:dyDescent="0.2">
      <c r="A1627" s="27" t="s">
        <v>4148</v>
      </c>
      <c r="B1627" s="27" t="s">
        <v>4149</v>
      </c>
      <c r="C1627" s="27" t="s">
        <v>4150</v>
      </c>
      <c r="D1627" s="27" t="s">
        <v>17</v>
      </c>
      <c r="E1627" s="27" t="s">
        <v>48</v>
      </c>
      <c r="F1627" s="27" t="s">
        <v>49</v>
      </c>
      <c r="G1627" s="27" t="s">
        <v>20</v>
      </c>
      <c r="H1627" s="29">
        <v>18</v>
      </c>
      <c r="I1627" s="27" t="s">
        <v>21</v>
      </c>
      <c r="J1627" s="37">
        <v>45425</v>
      </c>
      <c r="K1627" s="27" t="s">
        <v>22</v>
      </c>
    </row>
    <row r="1628" spans="1:11" x14ac:dyDescent="0.2">
      <c r="A1628" s="24" t="s">
        <v>4151</v>
      </c>
      <c r="B1628" s="24" t="s">
        <v>4152</v>
      </c>
      <c r="C1628" s="24" t="s">
        <v>213</v>
      </c>
      <c r="D1628" s="24" t="s">
        <v>17</v>
      </c>
      <c r="E1628" s="24" t="s">
        <v>48</v>
      </c>
      <c r="F1628" s="24" t="s">
        <v>49</v>
      </c>
      <c r="G1628" s="24" t="s">
        <v>20</v>
      </c>
      <c r="H1628" s="26">
        <v>1202</v>
      </c>
      <c r="I1628" s="24" t="s">
        <v>21</v>
      </c>
      <c r="J1628" s="36">
        <v>45435</v>
      </c>
      <c r="K1628" s="24" t="s">
        <v>22</v>
      </c>
    </row>
    <row r="1629" spans="1:11" x14ac:dyDescent="0.2">
      <c r="A1629" s="27" t="s">
        <v>4153</v>
      </c>
      <c r="B1629" s="27" t="s">
        <v>4154</v>
      </c>
      <c r="C1629" s="27" t="s">
        <v>450</v>
      </c>
      <c r="D1629" s="27" t="s">
        <v>17</v>
      </c>
      <c r="E1629" s="27" t="s">
        <v>18</v>
      </c>
      <c r="F1629" s="27" t="s">
        <v>19</v>
      </c>
      <c r="G1629" s="27" t="s">
        <v>28</v>
      </c>
      <c r="H1629" s="29">
        <v>26</v>
      </c>
      <c r="I1629" s="27" t="s">
        <v>29</v>
      </c>
      <c r="J1629" s="37">
        <v>45422</v>
      </c>
      <c r="K1629" s="27" t="s">
        <v>22</v>
      </c>
    </row>
    <row r="1630" spans="1:11" x14ac:dyDescent="0.2">
      <c r="A1630" s="24" t="s">
        <v>4155</v>
      </c>
      <c r="B1630" s="24" t="s">
        <v>4156</v>
      </c>
      <c r="C1630" s="24" t="s">
        <v>1161</v>
      </c>
      <c r="D1630" s="24" t="s">
        <v>17</v>
      </c>
      <c r="E1630" s="24" t="s">
        <v>26</v>
      </c>
      <c r="F1630" s="24" t="s">
        <v>27</v>
      </c>
      <c r="G1630" s="24" t="s">
        <v>28</v>
      </c>
      <c r="H1630" s="26">
        <v>80</v>
      </c>
      <c r="I1630" s="24" t="s">
        <v>29</v>
      </c>
      <c r="J1630" s="36">
        <v>45425</v>
      </c>
      <c r="K1630" s="24" t="s">
        <v>22</v>
      </c>
    </row>
    <row r="1631" spans="1:11" x14ac:dyDescent="0.2">
      <c r="A1631" s="27" t="s">
        <v>4157</v>
      </c>
      <c r="B1631" s="27" t="s">
        <v>4158</v>
      </c>
      <c r="C1631" s="27" t="s">
        <v>4159</v>
      </c>
      <c r="D1631" s="27" t="s">
        <v>17</v>
      </c>
      <c r="E1631" s="27" t="s">
        <v>48</v>
      </c>
      <c r="F1631" s="27" t="s">
        <v>49</v>
      </c>
      <c r="G1631" s="27" t="s">
        <v>28</v>
      </c>
      <c r="H1631" s="29">
        <v>84</v>
      </c>
      <c r="I1631" s="27" t="s">
        <v>29</v>
      </c>
      <c r="J1631" s="37">
        <v>45428</v>
      </c>
      <c r="K1631" s="27" t="s">
        <v>22</v>
      </c>
    </row>
    <row r="1632" spans="1:11" x14ac:dyDescent="0.2">
      <c r="A1632" s="24" t="s">
        <v>4160</v>
      </c>
      <c r="B1632" s="24" t="s">
        <v>4161</v>
      </c>
      <c r="C1632" s="24" t="s">
        <v>592</v>
      </c>
      <c r="D1632" s="24" t="s">
        <v>17</v>
      </c>
      <c r="E1632" s="24" t="s">
        <v>26</v>
      </c>
      <c r="F1632" s="24" t="s">
        <v>27</v>
      </c>
      <c r="G1632" s="24" t="s">
        <v>28</v>
      </c>
      <c r="H1632" s="26">
        <v>24</v>
      </c>
      <c r="I1632" s="24" t="s">
        <v>29</v>
      </c>
      <c r="J1632" s="36">
        <v>45457</v>
      </c>
      <c r="K1632" s="24" t="s">
        <v>22</v>
      </c>
    </row>
    <row r="1633" spans="1:11" x14ac:dyDescent="0.2">
      <c r="A1633" s="27" t="s">
        <v>4162</v>
      </c>
      <c r="B1633" s="27" t="s">
        <v>4163</v>
      </c>
      <c r="C1633" s="27" t="s">
        <v>3086</v>
      </c>
      <c r="D1633" s="27" t="s">
        <v>17</v>
      </c>
      <c r="E1633" s="27" t="s">
        <v>18</v>
      </c>
      <c r="F1633" s="27" t="s">
        <v>19</v>
      </c>
      <c r="G1633" s="27" t="s">
        <v>20</v>
      </c>
      <c r="H1633" s="29">
        <v>18</v>
      </c>
      <c r="I1633" s="27" t="s">
        <v>21</v>
      </c>
      <c r="J1633" s="37">
        <v>45446</v>
      </c>
      <c r="K1633" s="27" t="s">
        <v>22</v>
      </c>
    </row>
    <row r="1634" spans="1:11" x14ac:dyDescent="0.2">
      <c r="A1634" s="24" t="s">
        <v>4164</v>
      </c>
      <c r="B1634" s="24" t="s">
        <v>4165</v>
      </c>
      <c r="C1634" s="24" t="s">
        <v>1014</v>
      </c>
      <c r="D1634" s="24" t="s">
        <v>17</v>
      </c>
      <c r="E1634" s="24" t="s">
        <v>18</v>
      </c>
      <c r="F1634" s="24" t="s">
        <v>19</v>
      </c>
      <c r="G1634" s="24" t="s">
        <v>38</v>
      </c>
      <c r="H1634" s="26">
        <v>34</v>
      </c>
      <c r="I1634" s="24" t="s">
        <v>29</v>
      </c>
      <c r="J1634" s="36">
        <v>45447</v>
      </c>
      <c r="K1634" s="24" t="s">
        <v>22</v>
      </c>
    </row>
    <row r="1635" spans="1:11" x14ac:dyDescent="0.2">
      <c r="A1635" s="27" t="s">
        <v>4166</v>
      </c>
      <c r="B1635" s="27" t="s">
        <v>4167</v>
      </c>
      <c r="C1635" s="27" t="s">
        <v>106</v>
      </c>
      <c r="D1635" s="27" t="s">
        <v>17</v>
      </c>
      <c r="E1635" s="27" t="s">
        <v>18</v>
      </c>
      <c r="F1635" s="27" t="s">
        <v>19</v>
      </c>
      <c r="G1635" s="27" t="s">
        <v>20</v>
      </c>
      <c r="H1635" s="29">
        <v>64</v>
      </c>
      <c r="I1635" s="27" t="s">
        <v>21</v>
      </c>
      <c r="J1635" s="37">
        <v>45447</v>
      </c>
      <c r="K1635" s="27" t="s">
        <v>22</v>
      </c>
    </row>
    <row r="1636" spans="1:11" x14ac:dyDescent="0.2">
      <c r="A1636" s="24" t="s">
        <v>4168</v>
      </c>
      <c r="B1636" s="24" t="s">
        <v>4169</v>
      </c>
      <c r="C1636" s="24" t="s">
        <v>4170</v>
      </c>
      <c r="D1636" s="24" t="s">
        <v>17</v>
      </c>
      <c r="E1636" s="24" t="s">
        <v>18</v>
      </c>
      <c r="F1636" s="24" t="s">
        <v>19</v>
      </c>
      <c r="G1636" s="24" t="s">
        <v>28</v>
      </c>
      <c r="H1636" s="26">
        <v>148</v>
      </c>
      <c r="I1636" s="24" t="s">
        <v>29</v>
      </c>
      <c r="J1636" s="36">
        <v>45467</v>
      </c>
      <c r="K1636" s="24" t="s">
        <v>22</v>
      </c>
    </row>
    <row r="1637" spans="1:11" x14ac:dyDescent="0.2">
      <c r="A1637" s="27" t="s">
        <v>4171</v>
      </c>
      <c r="B1637" s="27" t="s">
        <v>4172</v>
      </c>
      <c r="C1637" s="27" t="s">
        <v>1158</v>
      </c>
      <c r="D1637" s="27" t="s">
        <v>17</v>
      </c>
      <c r="E1637" s="27" t="s">
        <v>33</v>
      </c>
      <c r="F1637" s="27" t="s">
        <v>34</v>
      </c>
      <c r="G1637" s="27" t="s">
        <v>28</v>
      </c>
      <c r="H1637" s="29">
        <v>12</v>
      </c>
      <c r="I1637" s="27" t="s">
        <v>29</v>
      </c>
      <c r="J1637" s="37">
        <v>45471</v>
      </c>
      <c r="K1637" s="27" t="s">
        <v>22</v>
      </c>
    </row>
    <row r="1638" spans="1:11" x14ac:dyDescent="0.2">
      <c r="A1638" s="24" t="s">
        <v>4173</v>
      </c>
      <c r="B1638" s="24" t="s">
        <v>4174</v>
      </c>
      <c r="C1638" s="24" t="s">
        <v>2862</v>
      </c>
      <c r="D1638" s="24" t="s">
        <v>17</v>
      </c>
      <c r="E1638" s="24" t="s">
        <v>18</v>
      </c>
      <c r="F1638" s="24" t="s">
        <v>19</v>
      </c>
      <c r="G1638" s="24" t="s">
        <v>217</v>
      </c>
      <c r="H1638" s="26">
        <v>50</v>
      </c>
      <c r="I1638" s="24" t="s">
        <v>29</v>
      </c>
      <c r="J1638" s="36">
        <v>45458</v>
      </c>
      <c r="K1638" s="24" t="s">
        <v>22</v>
      </c>
    </row>
    <row r="1639" spans="1:11" x14ac:dyDescent="0.2">
      <c r="A1639" s="27" t="s">
        <v>4175</v>
      </c>
      <c r="B1639" s="27" t="s">
        <v>4176</v>
      </c>
      <c r="C1639" s="27" t="s">
        <v>4177</v>
      </c>
      <c r="D1639" s="27" t="s">
        <v>17</v>
      </c>
      <c r="E1639" s="27" t="s">
        <v>42</v>
      </c>
      <c r="F1639" s="27" t="s">
        <v>43</v>
      </c>
      <c r="G1639" s="27" t="s">
        <v>59</v>
      </c>
      <c r="H1639" s="29">
        <v>509</v>
      </c>
      <c r="I1639" s="27" t="s">
        <v>21</v>
      </c>
      <c r="J1639" s="37">
        <v>45455</v>
      </c>
      <c r="K1639" s="27" t="s">
        <v>22</v>
      </c>
    </row>
    <row r="1640" spans="1:11" x14ac:dyDescent="0.2">
      <c r="A1640" s="24" t="s">
        <v>4178</v>
      </c>
      <c r="B1640" s="24" t="s">
        <v>4179</v>
      </c>
      <c r="C1640" s="24" t="s">
        <v>208</v>
      </c>
      <c r="D1640" s="24" t="s">
        <v>17</v>
      </c>
      <c r="E1640" s="24" t="s">
        <v>48</v>
      </c>
      <c r="F1640" s="24" t="s">
        <v>49</v>
      </c>
      <c r="G1640" s="24" t="s">
        <v>44</v>
      </c>
      <c r="H1640" s="26">
        <v>166</v>
      </c>
      <c r="I1640" s="24" t="s">
        <v>21</v>
      </c>
      <c r="J1640" s="36">
        <v>45449</v>
      </c>
      <c r="K1640" s="24" t="s">
        <v>22</v>
      </c>
    </row>
    <row r="1641" spans="1:11" x14ac:dyDescent="0.2">
      <c r="A1641" s="27" t="s">
        <v>4180</v>
      </c>
      <c r="B1641" s="27" t="s">
        <v>4181</v>
      </c>
      <c r="C1641" s="27" t="s">
        <v>526</v>
      </c>
      <c r="D1641" s="27" t="s">
        <v>17</v>
      </c>
      <c r="E1641" s="27" t="s">
        <v>18</v>
      </c>
      <c r="F1641" s="27" t="s">
        <v>19</v>
      </c>
      <c r="G1641" s="27" t="s">
        <v>20</v>
      </c>
      <c r="H1641" s="29">
        <v>498</v>
      </c>
      <c r="I1641" s="27" t="s">
        <v>21</v>
      </c>
      <c r="J1641" s="37">
        <v>45467</v>
      </c>
      <c r="K1641" s="27" t="s">
        <v>22</v>
      </c>
    </row>
    <row r="1642" spans="1:11" x14ac:dyDescent="0.2">
      <c r="A1642" s="24" t="s">
        <v>4182</v>
      </c>
      <c r="B1642" s="24" t="s">
        <v>4183</v>
      </c>
      <c r="C1642" s="24" t="s">
        <v>2547</v>
      </c>
      <c r="D1642" s="24" t="s">
        <v>17</v>
      </c>
      <c r="E1642" s="24" t="s">
        <v>18</v>
      </c>
      <c r="F1642" s="24" t="s">
        <v>19</v>
      </c>
      <c r="G1642" s="24" t="s">
        <v>20</v>
      </c>
      <c r="H1642" s="26">
        <v>22</v>
      </c>
      <c r="I1642" s="24" t="s">
        <v>21</v>
      </c>
      <c r="J1642" s="36">
        <v>45463</v>
      </c>
      <c r="K1642" s="24" t="s">
        <v>22</v>
      </c>
    </row>
    <row r="1643" spans="1:11" x14ac:dyDescent="0.2">
      <c r="A1643" s="27" t="s">
        <v>4184</v>
      </c>
      <c r="B1643" s="27" t="s">
        <v>4185</v>
      </c>
      <c r="C1643" s="27" t="s">
        <v>4186</v>
      </c>
      <c r="D1643" s="27" t="s">
        <v>17</v>
      </c>
      <c r="E1643" s="27" t="s">
        <v>26</v>
      </c>
      <c r="F1643" s="27" t="s">
        <v>27</v>
      </c>
      <c r="G1643" s="27" t="s">
        <v>44</v>
      </c>
      <c r="H1643" s="29">
        <v>117</v>
      </c>
      <c r="I1643" s="27" t="s">
        <v>29</v>
      </c>
      <c r="J1643" s="37">
        <v>45455</v>
      </c>
      <c r="K1643" s="27" t="s">
        <v>22</v>
      </c>
    </row>
    <row r="1644" spans="1:11" x14ac:dyDescent="0.2">
      <c r="A1644" s="24" t="s">
        <v>4187</v>
      </c>
      <c r="B1644" s="24" t="s">
        <v>4188</v>
      </c>
      <c r="C1644" s="24" t="s">
        <v>106</v>
      </c>
      <c r="D1644" s="24" t="s">
        <v>17</v>
      </c>
      <c r="E1644" s="24" t="s">
        <v>18</v>
      </c>
      <c r="F1644" s="24" t="s">
        <v>19</v>
      </c>
      <c r="G1644" s="24" t="s">
        <v>20</v>
      </c>
      <c r="H1644" s="26">
        <v>64</v>
      </c>
      <c r="I1644" s="24" t="s">
        <v>21</v>
      </c>
      <c r="J1644" s="36">
        <v>45449</v>
      </c>
      <c r="K1644" s="24" t="s">
        <v>22</v>
      </c>
    </row>
    <row r="1645" spans="1:11" x14ac:dyDescent="0.2">
      <c r="A1645" s="27" t="s">
        <v>4189</v>
      </c>
      <c r="B1645" s="27" t="s">
        <v>4190</v>
      </c>
      <c r="C1645" s="27" t="s">
        <v>71</v>
      </c>
      <c r="D1645" s="27" t="s">
        <v>17</v>
      </c>
      <c r="E1645" s="27" t="s">
        <v>48</v>
      </c>
      <c r="F1645" s="27" t="s">
        <v>49</v>
      </c>
      <c r="G1645" s="27" t="s">
        <v>217</v>
      </c>
      <c r="H1645" s="29">
        <v>360</v>
      </c>
      <c r="I1645" s="27" t="s">
        <v>29</v>
      </c>
      <c r="J1645" s="37">
        <v>45473</v>
      </c>
      <c r="K1645" s="27" t="s">
        <v>22</v>
      </c>
    </row>
    <row r="1646" spans="1:11" x14ac:dyDescent="0.2">
      <c r="A1646" s="24" t="s">
        <v>4191</v>
      </c>
      <c r="B1646" s="24" t="s">
        <v>4192</v>
      </c>
      <c r="C1646" s="24" t="s">
        <v>4193</v>
      </c>
      <c r="D1646" s="24" t="s">
        <v>17</v>
      </c>
      <c r="E1646" s="24" t="s">
        <v>48</v>
      </c>
      <c r="F1646" s="24" t="s">
        <v>49</v>
      </c>
      <c r="G1646" s="24" t="s">
        <v>59</v>
      </c>
      <c r="H1646" s="26">
        <v>19</v>
      </c>
      <c r="I1646" s="24" t="s">
        <v>21</v>
      </c>
      <c r="J1646" s="36">
        <v>45456</v>
      </c>
      <c r="K1646" s="24" t="s">
        <v>22</v>
      </c>
    </row>
    <row r="1647" spans="1:11" x14ac:dyDescent="0.2">
      <c r="A1647" s="27" t="s">
        <v>4194</v>
      </c>
      <c r="B1647" s="27" t="s">
        <v>4195</v>
      </c>
      <c r="C1647" s="27" t="s">
        <v>68</v>
      </c>
      <c r="D1647" s="27" t="s">
        <v>17</v>
      </c>
      <c r="E1647" s="27" t="s">
        <v>42</v>
      </c>
      <c r="F1647" s="27" t="s">
        <v>43</v>
      </c>
      <c r="G1647" s="27" t="s">
        <v>217</v>
      </c>
      <c r="H1647" s="29">
        <v>434</v>
      </c>
      <c r="I1647" s="27" t="s">
        <v>29</v>
      </c>
      <c r="J1647" s="37">
        <v>45444</v>
      </c>
      <c r="K1647" s="27" t="s">
        <v>22</v>
      </c>
    </row>
    <row r="1648" spans="1:11" x14ac:dyDescent="0.2">
      <c r="A1648" s="24" t="s">
        <v>4196</v>
      </c>
      <c r="B1648" s="24" t="s">
        <v>4197</v>
      </c>
      <c r="C1648" s="24" t="s">
        <v>4198</v>
      </c>
      <c r="D1648" s="24" t="s">
        <v>17</v>
      </c>
      <c r="E1648" s="24" t="s">
        <v>48</v>
      </c>
      <c r="F1648" s="24" t="s">
        <v>49</v>
      </c>
      <c r="G1648" s="24" t="s">
        <v>20</v>
      </c>
      <c r="H1648" s="26">
        <v>652</v>
      </c>
      <c r="I1648" s="24" t="s">
        <v>21</v>
      </c>
      <c r="J1648" s="36">
        <v>45471</v>
      </c>
      <c r="K1648" s="24" t="s">
        <v>22</v>
      </c>
    </row>
    <row r="1649" spans="1:11" x14ac:dyDescent="0.2">
      <c r="A1649" s="27" t="s">
        <v>4199</v>
      </c>
      <c r="B1649" s="27" t="s">
        <v>4200</v>
      </c>
      <c r="C1649" s="27" t="s">
        <v>4060</v>
      </c>
      <c r="D1649" s="27" t="s">
        <v>17</v>
      </c>
      <c r="E1649" s="27" t="s">
        <v>42</v>
      </c>
      <c r="F1649" s="27" t="s">
        <v>43</v>
      </c>
      <c r="G1649" s="27" t="s">
        <v>20</v>
      </c>
      <c r="H1649" s="29">
        <v>86</v>
      </c>
      <c r="I1649" s="27" t="s">
        <v>21</v>
      </c>
      <c r="J1649" s="37">
        <v>45462</v>
      </c>
      <c r="K1649" s="27" t="s">
        <v>22</v>
      </c>
    </row>
    <row r="1650" spans="1:11" x14ac:dyDescent="0.2">
      <c r="A1650" s="24" t="s">
        <v>4201</v>
      </c>
      <c r="B1650" s="24" t="s">
        <v>4202</v>
      </c>
      <c r="C1650" s="24" t="s">
        <v>494</v>
      </c>
      <c r="D1650" s="24" t="s">
        <v>17</v>
      </c>
      <c r="E1650" s="24" t="s">
        <v>26</v>
      </c>
      <c r="F1650" s="24" t="s">
        <v>27</v>
      </c>
      <c r="G1650" s="24" t="s">
        <v>217</v>
      </c>
      <c r="H1650" s="26">
        <v>162</v>
      </c>
      <c r="I1650" s="24" t="s">
        <v>29</v>
      </c>
      <c r="J1650" s="36">
        <v>45444</v>
      </c>
      <c r="K1650" s="24" t="s">
        <v>22</v>
      </c>
    </row>
    <row r="1651" spans="1:11" x14ac:dyDescent="0.2">
      <c r="A1651" s="27" t="s">
        <v>4203</v>
      </c>
      <c r="B1651" s="27" t="s">
        <v>4204</v>
      </c>
      <c r="C1651" s="27" t="s">
        <v>1883</v>
      </c>
      <c r="D1651" s="27" t="s">
        <v>17</v>
      </c>
      <c r="E1651" s="27" t="s">
        <v>48</v>
      </c>
      <c r="F1651" s="27" t="s">
        <v>49</v>
      </c>
      <c r="G1651" s="27" t="s">
        <v>20</v>
      </c>
      <c r="H1651" s="29">
        <v>324</v>
      </c>
      <c r="I1651" s="27" t="s">
        <v>21</v>
      </c>
      <c r="J1651" s="37">
        <v>45470</v>
      </c>
      <c r="K1651" s="27" t="s">
        <v>22</v>
      </c>
    </row>
    <row r="1652" spans="1:11" x14ac:dyDescent="0.2">
      <c r="A1652" s="24" t="s">
        <v>4205</v>
      </c>
      <c r="B1652" s="24" t="s">
        <v>4206</v>
      </c>
      <c r="C1652" s="24" t="s">
        <v>4207</v>
      </c>
      <c r="D1652" s="24" t="s">
        <v>17</v>
      </c>
      <c r="E1652" s="24" t="s">
        <v>18</v>
      </c>
      <c r="F1652" s="24" t="s">
        <v>19</v>
      </c>
      <c r="G1652" s="24" t="s">
        <v>116</v>
      </c>
      <c r="H1652" s="26">
        <v>0</v>
      </c>
      <c r="I1652" s="24" t="s">
        <v>21</v>
      </c>
      <c r="J1652" s="36">
        <v>45444</v>
      </c>
      <c r="K1652" s="24" t="s">
        <v>22</v>
      </c>
    </row>
    <row r="1653" spans="1:11" x14ac:dyDescent="0.2">
      <c r="A1653" s="27" t="s">
        <v>4208</v>
      </c>
      <c r="B1653" s="27" t="s">
        <v>4209</v>
      </c>
      <c r="C1653" s="27" t="s">
        <v>4210</v>
      </c>
      <c r="D1653" s="27" t="s">
        <v>17</v>
      </c>
      <c r="E1653" s="27" t="s">
        <v>26</v>
      </c>
      <c r="F1653" s="27" t="s">
        <v>27</v>
      </c>
      <c r="G1653" s="27" t="s">
        <v>28</v>
      </c>
      <c r="H1653" s="29">
        <v>21</v>
      </c>
      <c r="I1653" s="27" t="s">
        <v>29</v>
      </c>
      <c r="J1653" s="37">
        <v>45444</v>
      </c>
      <c r="K1653" s="27" t="s">
        <v>22</v>
      </c>
    </row>
    <row r="1654" spans="1:11" x14ac:dyDescent="0.2">
      <c r="A1654" s="24" t="s">
        <v>4211</v>
      </c>
      <c r="B1654" s="24" t="s">
        <v>4212</v>
      </c>
      <c r="C1654" s="24" t="s">
        <v>4213</v>
      </c>
      <c r="D1654" s="24" t="s">
        <v>17</v>
      </c>
      <c r="E1654" s="24" t="s">
        <v>163</v>
      </c>
      <c r="F1654" s="24" t="s">
        <v>164</v>
      </c>
      <c r="G1654" s="24" t="s">
        <v>20</v>
      </c>
      <c r="H1654" s="26">
        <v>6</v>
      </c>
      <c r="I1654" s="24" t="s">
        <v>21</v>
      </c>
      <c r="J1654" s="36">
        <v>45448</v>
      </c>
      <c r="K1654" s="24" t="s">
        <v>22</v>
      </c>
    </row>
    <row r="1655" spans="1:11" x14ac:dyDescent="0.2">
      <c r="A1655" s="27" t="s">
        <v>4214</v>
      </c>
      <c r="B1655" s="27" t="s">
        <v>4215</v>
      </c>
      <c r="C1655" s="27" t="s">
        <v>494</v>
      </c>
      <c r="D1655" s="27" t="s">
        <v>17</v>
      </c>
      <c r="E1655" s="27" t="s">
        <v>18</v>
      </c>
      <c r="F1655" s="27" t="s">
        <v>19</v>
      </c>
      <c r="G1655" s="27" t="s">
        <v>217</v>
      </c>
      <c r="H1655" s="29">
        <v>59</v>
      </c>
      <c r="I1655" s="27" t="s">
        <v>29</v>
      </c>
      <c r="J1655" s="37">
        <v>45444</v>
      </c>
      <c r="K1655" s="27" t="s">
        <v>22</v>
      </c>
    </row>
    <row r="1656" spans="1:11" x14ac:dyDescent="0.2">
      <c r="A1656" s="24" t="s">
        <v>4216</v>
      </c>
      <c r="B1656" s="24" t="s">
        <v>4217</v>
      </c>
      <c r="C1656" s="24" t="s">
        <v>2569</v>
      </c>
      <c r="D1656" s="24" t="s">
        <v>17</v>
      </c>
      <c r="E1656" s="24" t="s">
        <v>42</v>
      </c>
      <c r="F1656" s="24" t="s">
        <v>43</v>
      </c>
      <c r="G1656" s="24" t="s">
        <v>20</v>
      </c>
      <c r="H1656" s="26">
        <v>116</v>
      </c>
      <c r="I1656" s="24" t="s">
        <v>21</v>
      </c>
      <c r="J1656" s="36">
        <v>45467</v>
      </c>
      <c r="K1656" s="24" t="s">
        <v>22</v>
      </c>
    </row>
    <row r="1657" spans="1:11" x14ac:dyDescent="0.2">
      <c r="A1657" s="27" t="s">
        <v>4218</v>
      </c>
      <c r="B1657" s="27" t="s">
        <v>4219</v>
      </c>
      <c r="C1657" s="27" t="s">
        <v>134</v>
      </c>
      <c r="D1657" s="27" t="s">
        <v>17</v>
      </c>
      <c r="E1657" s="27" t="s">
        <v>18</v>
      </c>
      <c r="F1657" s="27" t="s">
        <v>19</v>
      </c>
      <c r="G1657" s="27" t="s">
        <v>20</v>
      </c>
      <c r="H1657" s="29">
        <v>20</v>
      </c>
      <c r="I1657" s="27" t="s">
        <v>21</v>
      </c>
      <c r="J1657" s="37">
        <v>45470</v>
      </c>
      <c r="K1657" s="27" t="s">
        <v>22</v>
      </c>
    </row>
    <row r="1658" spans="1:11" x14ac:dyDescent="0.2">
      <c r="A1658" s="24" t="s">
        <v>4220</v>
      </c>
      <c r="B1658" s="24" t="s">
        <v>4221</v>
      </c>
      <c r="C1658" s="24" t="s">
        <v>4222</v>
      </c>
      <c r="D1658" s="24" t="s">
        <v>17</v>
      </c>
      <c r="E1658" s="24" t="s">
        <v>48</v>
      </c>
      <c r="F1658" s="24" t="s">
        <v>49</v>
      </c>
      <c r="G1658" s="24" t="s">
        <v>20</v>
      </c>
      <c r="H1658" s="26">
        <v>35</v>
      </c>
      <c r="I1658" s="24" t="s">
        <v>21</v>
      </c>
      <c r="J1658" s="36">
        <v>45462</v>
      </c>
      <c r="K1658" s="24" t="s">
        <v>22</v>
      </c>
    </row>
    <row r="1659" spans="1:11" x14ac:dyDescent="0.2">
      <c r="A1659" s="27" t="s">
        <v>4223</v>
      </c>
      <c r="B1659" s="27" t="s">
        <v>4224</v>
      </c>
      <c r="C1659" s="27" t="s">
        <v>134</v>
      </c>
      <c r="D1659" s="27" t="s">
        <v>17</v>
      </c>
      <c r="E1659" s="27" t="s">
        <v>18</v>
      </c>
      <c r="F1659" s="27" t="s">
        <v>19</v>
      </c>
      <c r="G1659" s="27" t="s">
        <v>20</v>
      </c>
      <c r="H1659" s="29">
        <v>37</v>
      </c>
      <c r="I1659" s="27" t="s">
        <v>21</v>
      </c>
      <c r="J1659" s="37">
        <v>45453</v>
      </c>
      <c r="K1659" s="27" t="s">
        <v>22</v>
      </c>
    </row>
    <row r="1660" spans="1:11" x14ac:dyDescent="0.2">
      <c r="A1660" s="24" t="s">
        <v>4225</v>
      </c>
      <c r="B1660" s="24" t="s">
        <v>4226</v>
      </c>
      <c r="C1660" s="24" t="s">
        <v>4227</v>
      </c>
      <c r="D1660" s="24" t="s">
        <v>17</v>
      </c>
      <c r="E1660" s="24" t="s">
        <v>48</v>
      </c>
      <c r="F1660" s="24" t="s">
        <v>49</v>
      </c>
      <c r="G1660" s="24" t="s">
        <v>20</v>
      </c>
      <c r="H1660" s="26">
        <v>84</v>
      </c>
      <c r="I1660" s="24" t="s">
        <v>21</v>
      </c>
      <c r="J1660" s="36">
        <v>45457</v>
      </c>
      <c r="K1660" s="24" t="s">
        <v>22</v>
      </c>
    </row>
    <row r="1661" spans="1:11" x14ac:dyDescent="0.2">
      <c r="A1661" s="27" t="s">
        <v>4228</v>
      </c>
      <c r="B1661" s="27" t="s">
        <v>4229</v>
      </c>
      <c r="C1661" s="27" t="s">
        <v>731</v>
      </c>
      <c r="D1661" s="27" t="s">
        <v>17</v>
      </c>
      <c r="E1661" s="27" t="s">
        <v>48</v>
      </c>
      <c r="F1661" s="27" t="s">
        <v>49</v>
      </c>
      <c r="G1661" s="27" t="s">
        <v>38</v>
      </c>
      <c r="H1661" s="29">
        <v>142</v>
      </c>
      <c r="I1661" s="27" t="s">
        <v>29</v>
      </c>
      <c r="J1661" s="37">
        <v>45444</v>
      </c>
      <c r="K1661" s="27" t="s">
        <v>22</v>
      </c>
    </row>
    <row r="1662" spans="1:11" x14ac:dyDescent="0.2">
      <c r="A1662" s="24" t="s">
        <v>4230</v>
      </c>
      <c r="B1662" s="24" t="s">
        <v>4231</v>
      </c>
      <c r="C1662" s="24" t="s">
        <v>827</v>
      </c>
      <c r="D1662" s="24" t="s">
        <v>17</v>
      </c>
      <c r="E1662" s="24" t="s">
        <v>42</v>
      </c>
      <c r="F1662" s="24" t="s">
        <v>43</v>
      </c>
      <c r="G1662" s="24" t="s">
        <v>28</v>
      </c>
      <c r="H1662" s="26">
        <v>506</v>
      </c>
      <c r="I1662" s="24" t="s">
        <v>29</v>
      </c>
      <c r="J1662" s="36">
        <v>45462</v>
      </c>
      <c r="K1662" s="24" t="s">
        <v>22</v>
      </c>
    </row>
    <row r="1663" spans="1:11" x14ac:dyDescent="0.2">
      <c r="A1663" s="27" t="s">
        <v>4232</v>
      </c>
      <c r="B1663" s="27" t="s">
        <v>4233</v>
      </c>
      <c r="C1663" s="27" t="s">
        <v>2669</v>
      </c>
      <c r="D1663" s="27" t="s">
        <v>17</v>
      </c>
      <c r="E1663" s="27" t="s">
        <v>42</v>
      </c>
      <c r="F1663" s="27" t="s">
        <v>43</v>
      </c>
      <c r="G1663" s="27" t="s">
        <v>44</v>
      </c>
      <c r="H1663" s="29">
        <v>652</v>
      </c>
      <c r="I1663" s="27" t="s">
        <v>21</v>
      </c>
      <c r="J1663" s="37">
        <v>45457</v>
      </c>
      <c r="K1663" s="27" t="s">
        <v>22</v>
      </c>
    </row>
    <row r="1664" spans="1:11" x14ac:dyDescent="0.2">
      <c r="A1664" s="24" t="s">
        <v>4234</v>
      </c>
      <c r="B1664" s="24" t="s">
        <v>4235</v>
      </c>
      <c r="C1664" s="24" t="s">
        <v>4236</v>
      </c>
      <c r="D1664" s="24" t="s">
        <v>17</v>
      </c>
      <c r="E1664" s="24" t="s">
        <v>163</v>
      </c>
      <c r="F1664" s="24" t="s">
        <v>164</v>
      </c>
      <c r="G1664" s="24" t="s">
        <v>28</v>
      </c>
      <c r="H1664" s="26">
        <v>30</v>
      </c>
      <c r="I1664" s="24" t="s">
        <v>29</v>
      </c>
      <c r="J1664" s="36">
        <v>45446</v>
      </c>
      <c r="K1664" s="24" t="s">
        <v>22</v>
      </c>
    </row>
    <row r="1665" spans="1:11" x14ac:dyDescent="0.2">
      <c r="A1665" s="27" t="s">
        <v>4237</v>
      </c>
      <c r="B1665" s="27" t="s">
        <v>4238</v>
      </c>
      <c r="C1665" s="27" t="s">
        <v>4239</v>
      </c>
      <c r="D1665" s="27" t="s">
        <v>17</v>
      </c>
      <c r="E1665" s="27" t="s">
        <v>18</v>
      </c>
      <c r="F1665" s="27" t="s">
        <v>19</v>
      </c>
      <c r="G1665" s="27" t="s">
        <v>28</v>
      </c>
      <c r="H1665" s="29">
        <v>144</v>
      </c>
      <c r="I1665" s="27" t="s">
        <v>29</v>
      </c>
      <c r="J1665" s="37">
        <v>45459</v>
      </c>
      <c r="K1665" s="27" t="s">
        <v>22</v>
      </c>
    </row>
    <row r="1666" spans="1:11" x14ac:dyDescent="0.2">
      <c r="A1666" s="24" t="s">
        <v>4240</v>
      </c>
      <c r="B1666" s="24" t="s">
        <v>4241</v>
      </c>
      <c r="C1666" s="24" t="s">
        <v>3371</v>
      </c>
      <c r="D1666" s="24" t="s">
        <v>17</v>
      </c>
      <c r="E1666" s="24" t="s">
        <v>18</v>
      </c>
      <c r="F1666" s="24" t="s">
        <v>19</v>
      </c>
      <c r="G1666" s="24" t="s">
        <v>20</v>
      </c>
      <c r="H1666" s="26">
        <v>49</v>
      </c>
      <c r="I1666" s="24" t="s">
        <v>21</v>
      </c>
      <c r="J1666" s="36">
        <v>45456</v>
      </c>
      <c r="K1666" s="24" t="s">
        <v>22</v>
      </c>
    </row>
    <row r="1667" spans="1:11" x14ac:dyDescent="0.2">
      <c r="A1667" s="27" t="s">
        <v>4242</v>
      </c>
      <c r="B1667" s="27" t="s">
        <v>4243</v>
      </c>
      <c r="C1667" s="27" t="s">
        <v>4244</v>
      </c>
      <c r="D1667" s="27" t="s">
        <v>17</v>
      </c>
      <c r="E1667" s="27" t="s">
        <v>18</v>
      </c>
      <c r="F1667" s="27" t="s">
        <v>19</v>
      </c>
      <c r="G1667" s="27" t="s">
        <v>28</v>
      </c>
      <c r="H1667" s="29">
        <v>12</v>
      </c>
      <c r="I1667" s="27" t="s">
        <v>29</v>
      </c>
      <c r="J1667" s="37">
        <v>45456</v>
      </c>
      <c r="K1667" s="27" t="s">
        <v>22</v>
      </c>
    </row>
    <row r="1668" spans="1:11" x14ac:dyDescent="0.2">
      <c r="A1668" s="24" t="s">
        <v>4245</v>
      </c>
      <c r="B1668" s="24" t="s">
        <v>4246</v>
      </c>
      <c r="C1668" s="24" t="s">
        <v>437</v>
      </c>
      <c r="D1668" s="24" t="s">
        <v>17</v>
      </c>
      <c r="E1668" s="24" t="s">
        <v>42</v>
      </c>
      <c r="F1668" s="24" t="s">
        <v>43</v>
      </c>
      <c r="G1668" s="24" t="s">
        <v>44</v>
      </c>
      <c r="H1668" s="26">
        <v>563</v>
      </c>
      <c r="I1668" s="24" t="s">
        <v>21</v>
      </c>
      <c r="J1668" s="36">
        <v>45448</v>
      </c>
      <c r="K1668" s="24" t="s">
        <v>22</v>
      </c>
    </row>
    <row r="1669" spans="1:11" x14ac:dyDescent="0.2">
      <c r="A1669" s="27" t="s">
        <v>4247</v>
      </c>
      <c r="B1669" s="27" t="s">
        <v>4248</v>
      </c>
      <c r="C1669" s="27" t="s">
        <v>55</v>
      </c>
      <c r="D1669" s="27" t="s">
        <v>17</v>
      </c>
      <c r="E1669" s="27" t="s">
        <v>26</v>
      </c>
      <c r="F1669" s="27" t="s">
        <v>27</v>
      </c>
      <c r="G1669" s="27" t="s">
        <v>28</v>
      </c>
      <c r="H1669" s="29">
        <v>220</v>
      </c>
      <c r="I1669" s="27" t="s">
        <v>29</v>
      </c>
      <c r="J1669" s="37">
        <v>45463</v>
      </c>
      <c r="K1669" s="27" t="s">
        <v>22</v>
      </c>
    </row>
    <row r="1670" spans="1:11" x14ac:dyDescent="0.2">
      <c r="A1670" s="24" t="s">
        <v>4249</v>
      </c>
      <c r="B1670" s="24" t="s">
        <v>4250</v>
      </c>
      <c r="C1670" s="24" t="s">
        <v>85</v>
      </c>
      <c r="D1670" s="24" t="s">
        <v>17</v>
      </c>
      <c r="E1670" s="24" t="s">
        <v>42</v>
      </c>
      <c r="F1670" s="24" t="s">
        <v>43</v>
      </c>
      <c r="G1670" s="24" t="s">
        <v>28</v>
      </c>
      <c r="H1670" s="26">
        <v>1280</v>
      </c>
      <c r="I1670" s="24" t="s">
        <v>29</v>
      </c>
      <c r="J1670" s="36">
        <v>45470</v>
      </c>
      <c r="K1670" s="24" t="s">
        <v>22</v>
      </c>
    </row>
    <row r="1671" spans="1:11" x14ac:dyDescent="0.2">
      <c r="A1671" s="27" t="s">
        <v>4251</v>
      </c>
      <c r="B1671" s="27" t="s">
        <v>4252</v>
      </c>
      <c r="C1671" s="27" t="s">
        <v>4253</v>
      </c>
      <c r="D1671" s="27" t="s">
        <v>17</v>
      </c>
      <c r="E1671" s="27" t="s">
        <v>18</v>
      </c>
      <c r="F1671" s="27" t="s">
        <v>19</v>
      </c>
      <c r="G1671" s="27" t="s">
        <v>44</v>
      </c>
      <c r="H1671" s="29">
        <v>12</v>
      </c>
      <c r="I1671" s="27" t="s">
        <v>29</v>
      </c>
      <c r="J1671" s="37">
        <v>45457</v>
      </c>
      <c r="K1671" s="27" t="s">
        <v>22</v>
      </c>
    </row>
    <row r="1672" spans="1:11" x14ac:dyDescent="0.2">
      <c r="A1672" s="24" t="s">
        <v>4254</v>
      </c>
      <c r="B1672" s="24" t="s">
        <v>4255</v>
      </c>
      <c r="C1672" s="24" t="s">
        <v>4256</v>
      </c>
      <c r="D1672" s="24" t="s">
        <v>17</v>
      </c>
      <c r="E1672" s="24" t="s">
        <v>42</v>
      </c>
      <c r="F1672" s="24" t="s">
        <v>43</v>
      </c>
      <c r="G1672" s="24" t="s">
        <v>28</v>
      </c>
      <c r="H1672" s="26">
        <v>360</v>
      </c>
      <c r="I1672" s="24" t="s">
        <v>29</v>
      </c>
      <c r="J1672" s="36">
        <v>45454</v>
      </c>
      <c r="K1672" s="24" t="s">
        <v>22</v>
      </c>
    </row>
    <row r="1673" spans="1:11" x14ac:dyDescent="0.2">
      <c r="A1673" s="27" t="s">
        <v>4257</v>
      </c>
      <c r="B1673" s="27" t="s">
        <v>4258</v>
      </c>
      <c r="C1673" s="27" t="s">
        <v>122</v>
      </c>
      <c r="D1673" s="27" t="s">
        <v>17</v>
      </c>
      <c r="E1673" s="27" t="s">
        <v>33</v>
      </c>
      <c r="F1673" s="27" t="s">
        <v>34</v>
      </c>
      <c r="G1673" s="27" t="s">
        <v>44</v>
      </c>
      <c r="H1673" s="29">
        <v>600</v>
      </c>
      <c r="I1673" s="27" t="s">
        <v>29</v>
      </c>
      <c r="J1673" s="37">
        <v>45450</v>
      </c>
      <c r="K1673" s="27" t="s">
        <v>22</v>
      </c>
    </row>
    <row r="1674" spans="1:11" x14ac:dyDescent="0.2">
      <c r="A1674" s="24" t="s">
        <v>4259</v>
      </c>
      <c r="B1674" s="24" t="s">
        <v>4260</v>
      </c>
      <c r="C1674" s="24" t="s">
        <v>4261</v>
      </c>
      <c r="D1674" s="24" t="s">
        <v>17</v>
      </c>
      <c r="E1674" s="24" t="s">
        <v>18</v>
      </c>
      <c r="F1674" s="24" t="s">
        <v>19</v>
      </c>
      <c r="G1674" s="24" t="s">
        <v>28</v>
      </c>
      <c r="H1674" s="26">
        <v>160</v>
      </c>
      <c r="I1674" s="24" t="s">
        <v>29</v>
      </c>
      <c r="J1674" s="36">
        <v>45468</v>
      </c>
      <c r="K1674" s="24" t="s">
        <v>22</v>
      </c>
    </row>
    <row r="1675" spans="1:11" x14ac:dyDescent="0.2">
      <c r="A1675" s="27" t="s">
        <v>4262</v>
      </c>
      <c r="B1675" s="27" t="s">
        <v>4263</v>
      </c>
      <c r="C1675" s="27" t="s">
        <v>4264</v>
      </c>
      <c r="D1675" s="27" t="s">
        <v>17</v>
      </c>
      <c r="E1675" s="27" t="s">
        <v>18</v>
      </c>
      <c r="F1675" s="27" t="s">
        <v>19</v>
      </c>
      <c r="G1675" s="27" t="s">
        <v>28</v>
      </c>
      <c r="H1675" s="29">
        <v>56</v>
      </c>
      <c r="I1675" s="27" t="s">
        <v>29</v>
      </c>
      <c r="J1675" s="37">
        <v>45464</v>
      </c>
      <c r="K1675" s="27" t="s">
        <v>22</v>
      </c>
    </row>
    <row r="1676" spans="1:11" x14ac:dyDescent="0.2">
      <c r="A1676" s="24" t="s">
        <v>4265</v>
      </c>
      <c r="B1676" s="24" t="s">
        <v>4266</v>
      </c>
      <c r="C1676" s="24" t="s">
        <v>301</v>
      </c>
      <c r="D1676" s="24" t="s">
        <v>17</v>
      </c>
      <c r="E1676" s="24" t="s">
        <v>42</v>
      </c>
      <c r="F1676" s="24" t="s">
        <v>43</v>
      </c>
      <c r="G1676" s="24" t="s">
        <v>59</v>
      </c>
      <c r="H1676" s="26">
        <v>101</v>
      </c>
      <c r="I1676" s="24" t="s">
        <v>21</v>
      </c>
      <c r="J1676" s="36">
        <v>45469</v>
      </c>
      <c r="K1676" s="24" t="s">
        <v>22</v>
      </c>
    </row>
    <row r="1677" spans="1:11" x14ac:dyDescent="0.2">
      <c r="A1677" s="27" t="s">
        <v>4267</v>
      </c>
      <c r="B1677" s="27" t="s">
        <v>4268</v>
      </c>
      <c r="C1677" s="27" t="s">
        <v>4269</v>
      </c>
      <c r="D1677" s="27" t="s">
        <v>17</v>
      </c>
      <c r="E1677" s="27" t="s">
        <v>18</v>
      </c>
      <c r="F1677" s="27" t="s">
        <v>19</v>
      </c>
      <c r="G1677" s="27" t="s">
        <v>20</v>
      </c>
      <c r="H1677" s="29">
        <v>60</v>
      </c>
      <c r="I1677" s="27" t="s">
        <v>21</v>
      </c>
      <c r="J1677" s="37">
        <v>45464</v>
      </c>
      <c r="K1677" s="27" t="s">
        <v>22</v>
      </c>
    </row>
    <row r="1678" spans="1:11" x14ac:dyDescent="0.2">
      <c r="A1678" s="24" t="s">
        <v>4270</v>
      </c>
      <c r="B1678" s="24" t="s">
        <v>4271</v>
      </c>
      <c r="C1678" s="24" t="s">
        <v>4272</v>
      </c>
      <c r="D1678" s="24" t="s">
        <v>17</v>
      </c>
      <c r="E1678" s="24" t="s">
        <v>48</v>
      </c>
      <c r="F1678" s="24" t="s">
        <v>49</v>
      </c>
      <c r="G1678" s="24" t="s">
        <v>44</v>
      </c>
      <c r="H1678" s="26">
        <v>200</v>
      </c>
      <c r="I1678" s="24" t="s">
        <v>29</v>
      </c>
      <c r="J1678" s="36">
        <v>45447</v>
      </c>
      <c r="K1678" s="24" t="s">
        <v>22</v>
      </c>
    </row>
    <row r="1679" spans="1:11" x14ac:dyDescent="0.2">
      <c r="A1679" s="27" t="s">
        <v>4273</v>
      </c>
      <c r="B1679" s="27" t="s">
        <v>4274</v>
      </c>
      <c r="C1679" s="27" t="s">
        <v>3687</v>
      </c>
      <c r="D1679" s="27" t="s">
        <v>17</v>
      </c>
      <c r="E1679" s="27" t="s">
        <v>26</v>
      </c>
      <c r="F1679" s="27" t="s">
        <v>27</v>
      </c>
      <c r="G1679" s="27" t="s">
        <v>28</v>
      </c>
      <c r="H1679" s="29">
        <v>100</v>
      </c>
      <c r="I1679" s="27" t="s">
        <v>29</v>
      </c>
      <c r="J1679" s="37">
        <v>45461</v>
      </c>
      <c r="K1679" s="27" t="s">
        <v>22</v>
      </c>
    </row>
    <row r="1680" spans="1:11" x14ac:dyDescent="0.2">
      <c r="A1680" s="24" t="s">
        <v>4275</v>
      </c>
      <c r="B1680" s="24" t="s">
        <v>4276</v>
      </c>
      <c r="C1680" s="24" t="s">
        <v>4277</v>
      </c>
      <c r="D1680" s="24" t="s">
        <v>17</v>
      </c>
      <c r="E1680" s="24" t="s">
        <v>42</v>
      </c>
      <c r="F1680" s="24" t="s">
        <v>43</v>
      </c>
      <c r="G1680" s="24" t="s">
        <v>20</v>
      </c>
      <c r="H1680" s="26">
        <v>105</v>
      </c>
      <c r="I1680" s="24" t="s">
        <v>21</v>
      </c>
      <c r="J1680" s="36">
        <v>45467</v>
      </c>
      <c r="K1680" s="24" t="s">
        <v>22</v>
      </c>
    </row>
    <row r="1681" spans="1:11" x14ac:dyDescent="0.2">
      <c r="A1681" s="27" t="s">
        <v>4278</v>
      </c>
      <c r="B1681" s="27" t="s">
        <v>4279</v>
      </c>
      <c r="C1681" s="27" t="s">
        <v>55</v>
      </c>
      <c r="D1681" s="27" t="s">
        <v>17</v>
      </c>
      <c r="E1681" s="27" t="s">
        <v>42</v>
      </c>
      <c r="F1681" s="27" t="s">
        <v>43</v>
      </c>
      <c r="G1681" s="27" t="s">
        <v>28</v>
      </c>
      <c r="H1681" s="29">
        <v>1200</v>
      </c>
      <c r="I1681" s="27" t="s">
        <v>29</v>
      </c>
      <c r="J1681" s="37">
        <v>45448</v>
      </c>
      <c r="K1681" s="27" t="s">
        <v>22</v>
      </c>
    </row>
    <row r="1682" spans="1:11" x14ac:dyDescent="0.2">
      <c r="A1682" s="24" t="s">
        <v>4280</v>
      </c>
      <c r="B1682" s="24" t="s">
        <v>4281</v>
      </c>
      <c r="C1682" s="24" t="s">
        <v>4282</v>
      </c>
      <c r="D1682" s="24" t="s">
        <v>17</v>
      </c>
      <c r="E1682" s="24" t="s">
        <v>26</v>
      </c>
      <c r="F1682" s="24" t="s">
        <v>27</v>
      </c>
      <c r="G1682" s="24" t="s">
        <v>28</v>
      </c>
      <c r="H1682" s="26">
        <v>120</v>
      </c>
      <c r="I1682" s="24" t="s">
        <v>29</v>
      </c>
      <c r="J1682" s="36">
        <v>45467</v>
      </c>
      <c r="K1682" s="24" t="s">
        <v>22</v>
      </c>
    </row>
    <row r="1683" spans="1:11" x14ac:dyDescent="0.2">
      <c r="A1683" s="27" t="s">
        <v>4283</v>
      </c>
      <c r="B1683" s="27" t="s">
        <v>4284</v>
      </c>
      <c r="C1683" s="27" t="s">
        <v>4285</v>
      </c>
      <c r="D1683" s="27" t="s">
        <v>17</v>
      </c>
      <c r="E1683" s="27" t="s">
        <v>42</v>
      </c>
      <c r="F1683" s="27" t="s">
        <v>43</v>
      </c>
      <c r="G1683" s="27" t="s">
        <v>38</v>
      </c>
      <c r="H1683" s="29">
        <v>150</v>
      </c>
      <c r="I1683" s="27" t="s">
        <v>29</v>
      </c>
      <c r="J1683" s="37">
        <v>45444</v>
      </c>
      <c r="K1683" s="27" t="s">
        <v>22</v>
      </c>
    </row>
    <row r="1684" spans="1:11" x14ac:dyDescent="0.2">
      <c r="A1684" s="24" t="s">
        <v>4286</v>
      </c>
      <c r="B1684" s="24" t="s">
        <v>4287</v>
      </c>
      <c r="C1684" s="24" t="s">
        <v>4288</v>
      </c>
      <c r="D1684" s="24" t="s">
        <v>17</v>
      </c>
      <c r="E1684" s="24" t="s">
        <v>26</v>
      </c>
      <c r="F1684" s="24" t="s">
        <v>27</v>
      </c>
      <c r="G1684" s="24" t="s">
        <v>28</v>
      </c>
      <c r="H1684" s="26">
        <v>150</v>
      </c>
      <c r="I1684" s="24" t="s">
        <v>29</v>
      </c>
      <c r="J1684" s="36">
        <v>45448</v>
      </c>
      <c r="K1684" s="24" t="s">
        <v>22</v>
      </c>
    </row>
    <row r="1685" spans="1:11" x14ac:dyDescent="0.2">
      <c r="A1685" s="27" t="s">
        <v>4289</v>
      </c>
      <c r="B1685" s="27" t="s">
        <v>4290</v>
      </c>
      <c r="C1685" s="27" t="s">
        <v>4291</v>
      </c>
      <c r="D1685" s="27" t="s">
        <v>17</v>
      </c>
      <c r="E1685" s="27" t="s">
        <v>42</v>
      </c>
      <c r="F1685" s="27" t="s">
        <v>43</v>
      </c>
      <c r="G1685" s="27" t="s">
        <v>28</v>
      </c>
      <c r="H1685" s="29">
        <v>500</v>
      </c>
      <c r="I1685" s="27" t="s">
        <v>29</v>
      </c>
      <c r="J1685" s="37">
        <v>45468</v>
      </c>
      <c r="K1685" s="27" t="s">
        <v>22</v>
      </c>
    </row>
    <row r="1686" spans="1:11" x14ac:dyDescent="0.2">
      <c r="A1686" s="24" t="s">
        <v>4292</v>
      </c>
      <c r="B1686" s="24" t="s">
        <v>4293</v>
      </c>
      <c r="C1686" s="24" t="s">
        <v>4294</v>
      </c>
      <c r="D1686" s="24" t="s">
        <v>17</v>
      </c>
      <c r="E1686" s="24" t="s">
        <v>48</v>
      </c>
      <c r="F1686" s="24" t="s">
        <v>49</v>
      </c>
      <c r="G1686" s="24" t="s">
        <v>28</v>
      </c>
      <c r="H1686" s="26">
        <v>127</v>
      </c>
      <c r="I1686" s="24" t="s">
        <v>29</v>
      </c>
      <c r="J1686" s="36">
        <v>45454</v>
      </c>
      <c r="K1686" s="24" t="s">
        <v>22</v>
      </c>
    </row>
    <row r="1687" spans="1:11" x14ac:dyDescent="0.2">
      <c r="A1687" s="27" t="s">
        <v>4295</v>
      </c>
      <c r="B1687" s="27" t="s">
        <v>4296</v>
      </c>
      <c r="C1687" s="27" t="s">
        <v>4297</v>
      </c>
      <c r="D1687" s="27" t="s">
        <v>17</v>
      </c>
      <c r="E1687" s="27" t="s">
        <v>42</v>
      </c>
      <c r="F1687" s="27" t="s">
        <v>43</v>
      </c>
      <c r="G1687" s="27" t="s">
        <v>20</v>
      </c>
      <c r="H1687" s="29">
        <v>36</v>
      </c>
      <c r="I1687" s="27" t="s">
        <v>21</v>
      </c>
      <c r="J1687" s="37">
        <v>45467</v>
      </c>
      <c r="K1687" s="27" t="s">
        <v>22</v>
      </c>
    </row>
    <row r="1688" spans="1:11" x14ac:dyDescent="0.2">
      <c r="A1688" s="24" t="s">
        <v>4298</v>
      </c>
      <c r="B1688" s="24" t="s">
        <v>4299</v>
      </c>
      <c r="C1688" s="24" t="s">
        <v>4300</v>
      </c>
      <c r="D1688" s="24" t="s">
        <v>17</v>
      </c>
      <c r="E1688" s="24" t="s">
        <v>48</v>
      </c>
      <c r="F1688" s="24" t="s">
        <v>49</v>
      </c>
      <c r="G1688" s="24" t="s">
        <v>20</v>
      </c>
      <c r="H1688" s="26">
        <v>78</v>
      </c>
      <c r="I1688" s="24" t="s">
        <v>21</v>
      </c>
      <c r="J1688" s="36">
        <v>45448</v>
      </c>
      <c r="K1688" s="24" t="s">
        <v>22</v>
      </c>
    </row>
    <row r="1689" spans="1:11" x14ac:dyDescent="0.2">
      <c r="A1689" s="27" t="s">
        <v>4301</v>
      </c>
      <c r="B1689" s="27" t="s">
        <v>4302</v>
      </c>
      <c r="C1689" s="27" t="s">
        <v>1161</v>
      </c>
      <c r="D1689" s="27" t="s">
        <v>17</v>
      </c>
      <c r="E1689" s="27" t="s">
        <v>26</v>
      </c>
      <c r="F1689" s="27" t="s">
        <v>27</v>
      </c>
      <c r="G1689" s="27" t="s">
        <v>217</v>
      </c>
      <c r="H1689" s="29">
        <v>156</v>
      </c>
      <c r="I1689" s="27" t="s">
        <v>29</v>
      </c>
      <c r="J1689" s="37">
        <v>45444</v>
      </c>
      <c r="K1689" s="27" t="s">
        <v>22</v>
      </c>
    </row>
    <row r="1690" spans="1:11" x14ac:dyDescent="0.2">
      <c r="A1690" s="24" t="s">
        <v>4303</v>
      </c>
      <c r="B1690" s="24" t="s">
        <v>4304</v>
      </c>
      <c r="C1690" s="24" t="s">
        <v>2669</v>
      </c>
      <c r="D1690" s="24" t="s">
        <v>17</v>
      </c>
      <c r="E1690" s="24" t="s">
        <v>18</v>
      </c>
      <c r="F1690" s="24" t="s">
        <v>19</v>
      </c>
      <c r="G1690" s="24" t="s">
        <v>20</v>
      </c>
      <c r="H1690" s="26">
        <v>64</v>
      </c>
      <c r="I1690" s="24" t="s">
        <v>21</v>
      </c>
      <c r="J1690" s="36">
        <v>45469</v>
      </c>
      <c r="K1690" s="24" t="s">
        <v>22</v>
      </c>
    </row>
    <row r="1691" spans="1:11" x14ac:dyDescent="0.2">
      <c r="A1691" s="27" t="s">
        <v>4305</v>
      </c>
      <c r="B1691" s="27" t="s">
        <v>4306</v>
      </c>
      <c r="C1691" s="27" t="s">
        <v>4307</v>
      </c>
      <c r="D1691" s="27" t="s">
        <v>17</v>
      </c>
      <c r="E1691" s="27" t="s">
        <v>48</v>
      </c>
      <c r="F1691" s="27" t="s">
        <v>49</v>
      </c>
      <c r="G1691" s="27" t="s">
        <v>20</v>
      </c>
      <c r="H1691" s="29">
        <v>57</v>
      </c>
      <c r="I1691" s="27" t="s">
        <v>21</v>
      </c>
      <c r="J1691" s="37">
        <v>45469</v>
      </c>
      <c r="K1691" s="27" t="s">
        <v>22</v>
      </c>
    </row>
    <row r="1692" spans="1:11" x14ac:dyDescent="0.2">
      <c r="A1692" s="24" t="s">
        <v>4308</v>
      </c>
      <c r="B1692" s="24" t="s">
        <v>4309</v>
      </c>
      <c r="C1692" s="24" t="s">
        <v>3687</v>
      </c>
      <c r="D1692" s="24" t="s">
        <v>17</v>
      </c>
      <c r="E1692" s="24" t="s">
        <v>18</v>
      </c>
      <c r="F1692" s="24" t="s">
        <v>19</v>
      </c>
      <c r="G1692" s="24" t="s">
        <v>28</v>
      </c>
      <c r="H1692" s="26">
        <v>100</v>
      </c>
      <c r="I1692" s="24" t="s">
        <v>29</v>
      </c>
      <c r="J1692" s="36">
        <v>45447</v>
      </c>
      <c r="K1692" s="24" t="s">
        <v>22</v>
      </c>
    </row>
    <row r="1693" spans="1:11" x14ac:dyDescent="0.2">
      <c r="A1693" s="27" t="s">
        <v>4310</v>
      </c>
      <c r="B1693" s="27" t="s">
        <v>4311</v>
      </c>
      <c r="C1693" s="27" t="s">
        <v>4312</v>
      </c>
      <c r="D1693" s="27" t="s">
        <v>17</v>
      </c>
      <c r="E1693" s="27" t="s">
        <v>18</v>
      </c>
      <c r="F1693" s="27" t="s">
        <v>19</v>
      </c>
      <c r="G1693" s="27" t="s">
        <v>20</v>
      </c>
      <c r="H1693" s="29">
        <v>18</v>
      </c>
      <c r="I1693" s="27" t="s">
        <v>21</v>
      </c>
      <c r="J1693" s="37">
        <v>45458</v>
      </c>
      <c r="K1693" s="27" t="s">
        <v>22</v>
      </c>
    </row>
    <row r="1694" spans="1:11" x14ac:dyDescent="0.2">
      <c r="A1694" s="24" t="s">
        <v>4313</v>
      </c>
      <c r="B1694" s="24" t="s">
        <v>4314</v>
      </c>
      <c r="C1694" s="24" t="s">
        <v>4315</v>
      </c>
      <c r="D1694" s="24" t="s">
        <v>17</v>
      </c>
      <c r="E1694" s="24" t="s">
        <v>163</v>
      </c>
      <c r="F1694" s="24" t="s">
        <v>164</v>
      </c>
      <c r="G1694" s="24" t="s">
        <v>227</v>
      </c>
      <c r="H1694" s="26">
        <v>5</v>
      </c>
      <c r="I1694" s="24" t="s">
        <v>29</v>
      </c>
      <c r="J1694" s="36">
        <v>45456</v>
      </c>
      <c r="K1694" s="24" t="s">
        <v>22</v>
      </c>
    </row>
    <row r="1695" spans="1:11" x14ac:dyDescent="0.2">
      <c r="A1695" s="27" t="s">
        <v>4316</v>
      </c>
      <c r="B1695" s="27" t="s">
        <v>4317</v>
      </c>
      <c r="C1695" s="27" t="s">
        <v>653</v>
      </c>
      <c r="D1695" s="27" t="s">
        <v>17</v>
      </c>
      <c r="E1695" s="27" t="s">
        <v>18</v>
      </c>
      <c r="F1695" s="27" t="s">
        <v>19</v>
      </c>
      <c r="G1695" s="27" t="s">
        <v>217</v>
      </c>
      <c r="H1695" s="29">
        <v>15</v>
      </c>
      <c r="I1695" s="27" t="s">
        <v>29</v>
      </c>
      <c r="J1695" s="37">
        <v>45473</v>
      </c>
      <c r="K1695" s="27" t="s">
        <v>22</v>
      </c>
    </row>
    <row r="1696" spans="1:11" x14ac:dyDescent="0.2">
      <c r="A1696" s="24" t="s">
        <v>4318</v>
      </c>
      <c r="B1696" s="24" t="s">
        <v>4319</v>
      </c>
      <c r="C1696" s="24" t="s">
        <v>146</v>
      </c>
      <c r="D1696" s="24" t="s">
        <v>17</v>
      </c>
      <c r="E1696" s="24" t="s">
        <v>42</v>
      </c>
      <c r="F1696" s="24" t="s">
        <v>43</v>
      </c>
      <c r="G1696" s="24" t="s">
        <v>44</v>
      </c>
      <c r="H1696" s="26">
        <v>88</v>
      </c>
      <c r="I1696" s="24" t="s">
        <v>21</v>
      </c>
      <c r="J1696" s="36">
        <v>45453</v>
      </c>
      <c r="K1696" s="24" t="s">
        <v>22</v>
      </c>
    </row>
    <row r="1697" spans="1:11" x14ac:dyDescent="0.2">
      <c r="A1697" s="27" t="s">
        <v>4320</v>
      </c>
      <c r="B1697" s="27" t="s">
        <v>4321</v>
      </c>
      <c r="C1697" s="27" t="s">
        <v>194</v>
      </c>
      <c r="D1697" s="27" t="s">
        <v>17</v>
      </c>
      <c r="E1697" s="27" t="s">
        <v>48</v>
      </c>
      <c r="F1697" s="27" t="s">
        <v>49</v>
      </c>
      <c r="G1697" s="27" t="s">
        <v>28</v>
      </c>
      <c r="H1697" s="29">
        <v>46</v>
      </c>
      <c r="I1697" s="27" t="s">
        <v>29</v>
      </c>
      <c r="J1697" s="37">
        <v>45450</v>
      </c>
      <c r="K1697" s="27" t="s">
        <v>22</v>
      </c>
    </row>
    <row r="1698" spans="1:11" x14ac:dyDescent="0.2">
      <c r="A1698" s="24" t="s">
        <v>4322</v>
      </c>
      <c r="B1698" s="24" t="s">
        <v>4323</v>
      </c>
      <c r="C1698" s="24" t="s">
        <v>1518</v>
      </c>
      <c r="D1698" s="24" t="s">
        <v>17</v>
      </c>
      <c r="E1698" s="24" t="s">
        <v>26</v>
      </c>
      <c r="F1698" s="24" t="s">
        <v>27</v>
      </c>
      <c r="G1698" s="24" t="s">
        <v>28</v>
      </c>
      <c r="H1698" s="26">
        <v>252</v>
      </c>
      <c r="I1698" s="24" t="s">
        <v>29</v>
      </c>
      <c r="J1698" s="36">
        <v>45447</v>
      </c>
      <c r="K1698" s="24" t="s">
        <v>22</v>
      </c>
    </row>
    <row r="1699" spans="1:11" x14ac:dyDescent="0.2">
      <c r="A1699" s="27" t="s">
        <v>4324</v>
      </c>
      <c r="B1699" s="27" t="s">
        <v>4325</v>
      </c>
      <c r="C1699" s="27" t="s">
        <v>4326</v>
      </c>
      <c r="D1699" s="27" t="s">
        <v>17</v>
      </c>
      <c r="E1699" s="27" t="s">
        <v>48</v>
      </c>
      <c r="F1699" s="27" t="s">
        <v>49</v>
      </c>
      <c r="G1699" s="27" t="s">
        <v>257</v>
      </c>
      <c r="H1699" s="29">
        <v>68</v>
      </c>
      <c r="I1699" s="27" t="s">
        <v>29</v>
      </c>
      <c r="J1699" s="37">
        <v>45473</v>
      </c>
      <c r="K1699" s="27" t="s">
        <v>22</v>
      </c>
    </row>
    <row r="1700" spans="1:11" x14ac:dyDescent="0.2">
      <c r="A1700" s="24" t="s">
        <v>4327</v>
      </c>
      <c r="B1700" s="24" t="s">
        <v>4328</v>
      </c>
      <c r="C1700" s="24" t="s">
        <v>4329</v>
      </c>
      <c r="D1700" s="24" t="s">
        <v>17</v>
      </c>
      <c r="E1700" s="24" t="s">
        <v>26</v>
      </c>
      <c r="F1700" s="24" t="s">
        <v>27</v>
      </c>
      <c r="G1700" s="24" t="s">
        <v>28</v>
      </c>
      <c r="H1700" s="26">
        <v>115</v>
      </c>
      <c r="I1700" s="24" t="s">
        <v>29</v>
      </c>
      <c r="J1700" s="36">
        <v>45455</v>
      </c>
      <c r="K1700" s="24" t="s">
        <v>22</v>
      </c>
    </row>
    <row r="1701" spans="1:11" x14ac:dyDescent="0.2">
      <c r="A1701" s="27" t="s">
        <v>4330</v>
      </c>
      <c r="B1701" s="27" t="s">
        <v>4331</v>
      </c>
      <c r="C1701" s="27" t="s">
        <v>4332</v>
      </c>
      <c r="D1701" s="27" t="s">
        <v>17</v>
      </c>
      <c r="E1701" s="27" t="s">
        <v>48</v>
      </c>
      <c r="F1701" s="27" t="s">
        <v>49</v>
      </c>
      <c r="G1701" s="27" t="s">
        <v>20</v>
      </c>
      <c r="H1701" s="29">
        <v>120</v>
      </c>
      <c r="I1701" s="27" t="s">
        <v>21</v>
      </c>
      <c r="J1701" s="37">
        <v>45467</v>
      </c>
      <c r="K1701" s="27" t="s">
        <v>22</v>
      </c>
    </row>
    <row r="1702" spans="1:11" x14ac:dyDescent="0.2">
      <c r="A1702" s="24" t="s">
        <v>4333</v>
      </c>
      <c r="B1702" s="24" t="s">
        <v>4334</v>
      </c>
      <c r="C1702" s="24" t="s">
        <v>4335</v>
      </c>
      <c r="D1702" s="24" t="s">
        <v>17</v>
      </c>
      <c r="E1702" s="24" t="s">
        <v>33</v>
      </c>
      <c r="F1702" s="24" t="s">
        <v>34</v>
      </c>
      <c r="G1702" s="24" t="s">
        <v>28</v>
      </c>
      <c r="H1702" s="26">
        <v>336</v>
      </c>
      <c r="I1702" s="24" t="s">
        <v>29</v>
      </c>
      <c r="J1702" s="36">
        <v>45471</v>
      </c>
      <c r="K1702" s="24" t="s">
        <v>22</v>
      </c>
    </row>
    <row r="1703" spans="1:11" x14ac:dyDescent="0.2">
      <c r="A1703" s="27" t="s">
        <v>4336</v>
      </c>
      <c r="B1703" s="27" t="s">
        <v>4337</v>
      </c>
      <c r="C1703" s="27" t="s">
        <v>1155</v>
      </c>
      <c r="D1703" s="27" t="s">
        <v>17</v>
      </c>
      <c r="E1703" s="27" t="s">
        <v>42</v>
      </c>
      <c r="F1703" s="27" t="s">
        <v>43</v>
      </c>
      <c r="G1703" s="27" t="s">
        <v>28</v>
      </c>
      <c r="H1703" s="29">
        <v>194</v>
      </c>
      <c r="I1703" s="27" t="s">
        <v>29</v>
      </c>
      <c r="J1703" s="37">
        <v>45461</v>
      </c>
      <c r="K1703" s="27" t="s">
        <v>22</v>
      </c>
    </row>
    <row r="1704" spans="1:11" x14ac:dyDescent="0.2">
      <c r="A1704" s="24" t="s">
        <v>4338</v>
      </c>
      <c r="B1704" s="24" t="s">
        <v>4339</v>
      </c>
      <c r="C1704" s="24" t="s">
        <v>242</v>
      </c>
      <c r="D1704" s="24" t="s">
        <v>17</v>
      </c>
      <c r="E1704" s="24" t="s">
        <v>42</v>
      </c>
      <c r="F1704" s="24" t="s">
        <v>43</v>
      </c>
      <c r="G1704" s="24" t="s">
        <v>28</v>
      </c>
      <c r="H1704" s="26">
        <v>480</v>
      </c>
      <c r="I1704" s="24" t="s">
        <v>29</v>
      </c>
      <c r="J1704" s="36">
        <v>45467</v>
      </c>
      <c r="K1704" s="24" t="s">
        <v>22</v>
      </c>
    </row>
    <row r="1705" spans="1:11" x14ac:dyDescent="0.2">
      <c r="A1705" s="27" t="s">
        <v>4340</v>
      </c>
      <c r="B1705" s="27" t="s">
        <v>4341</v>
      </c>
      <c r="C1705" s="27" t="s">
        <v>4342</v>
      </c>
      <c r="D1705" s="27" t="s">
        <v>17</v>
      </c>
      <c r="E1705" s="27" t="s">
        <v>26</v>
      </c>
      <c r="F1705" s="27" t="s">
        <v>27</v>
      </c>
      <c r="G1705" s="27" t="s">
        <v>28</v>
      </c>
      <c r="H1705" s="29">
        <v>40</v>
      </c>
      <c r="I1705" s="27" t="s">
        <v>29</v>
      </c>
      <c r="J1705" s="37">
        <v>45448</v>
      </c>
      <c r="K1705" s="27" t="s">
        <v>22</v>
      </c>
    </row>
    <row r="1706" spans="1:11" x14ac:dyDescent="0.2">
      <c r="A1706" s="24" t="s">
        <v>4343</v>
      </c>
      <c r="B1706" s="24" t="s">
        <v>4344</v>
      </c>
      <c r="C1706" s="24" t="s">
        <v>4345</v>
      </c>
      <c r="D1706" s="24" t="s">
        <v>17</v>
      </c>
      <c r="E1706" s="24" t="s">
        <v>18</v>
      </c>
      <c r="F1706" s="24" t="s">
        <v>19</v>
      </c>
      <c r="G1706" s="24" t="s">
        <v>28</v>
      </c>
      <c r="H1706" s="26">
        <v>96</v>
      </c>
      <c r="I1706" s="24" t="s">
        <v>29</v>
      </c>
      <c r="J1706" s="36">
        <v>45456</v>
      </c>
      <c r="K1706" s="24" t="s">
        <v>22</v>
      </c>
    </row>
    <row r="1707" spans="1:11" x14ac:dyDescent="0.2">
      <c r="A1707" s="27" t="s">
        <v>4346</v>
      </c>
      <c r="B1707" s="27" t="s">
        <v>4347</v>
      </c>
      <c r="C1707" s="27" t="s">
        <v>55</v>
      </c>
      <c r="D1707" s="27" t="s">
        <v>17</v>
      </c>
      <c r="E1707" s="27" t="s">
        <v>42</v>
      </c>
      <c r="F1707" s="27" t="s">
        <v>43</v>
      </c>
      <c r="G1707" s="27" t="s">
        <v>28</v>
      </c>
      <c r="H1707" s="29">
        <v>851</v>
      </c>
      <c r="I1707" s="27" t="s">
        <v>29</v>
      </c>
      <c r="J1707" s="37">
        <v>45453</v>
      </c>
      <c r="K1707" s="27" t="s">
        <v>22</v>
      </c>
    </row>
    <row r="1708" spans="1:11" x14ac:dyDescent="0.2">
      <c r="A1708" s="24" t="s">
        <v>4348</v>
      </c>
      <c r="B1708" s="24" t="s">
        <v>4349</v>
      </c>
      <c r="C1708" s="24" t="s">
        <v>4350</v>
      </c>
      <c r="D1708" s="24" t="s">
        <v>17</v>
      </c>
      <c r="E1708" s="24" t="s">
        <v>42</v>
      </c>
      <c r="F1708" s="24" t="s">
        <v>43</v>
      </c>
      <c r="G1708" s="24" t="s">
        <v>20</v>
      </c>
      <c r="H1708" s="26">
        <v>20</v>
      </c>
      <c r="I1708" s="24" t="s">
        <v>21</v>
      </c>
      <c r="J1708" s="36">
        <v>45454</v>
      </c>
      <c r="K1708" s="24" t="s">
        <v>22</v>
      </c>
    </row>
    <row r="1709" spans="1:11" x14ac:dyDescent="0.2">
      <c r="A1709" s="27" t="s">
        <v>4351</v>
      </c>
      <c r="B1709" s="27" t="s">
        <v>4352</v>
      </c>
      <c r="C1709" s="27" t="s">
        <v>687</v>
      </c>
      <c r="D1709" s="27" t="s">
        <v>17</v>
      </c>
      <c r="E1709" s="27" t="s">
        <v>18</v>
      </c>
      <c r="F1709" s="27" t="s">
        <v>19</v>
      </c>
      <c r="G1709" s="27" t="s">
        <v>20</v>
      </c>
      <c r="H1709" s="29">
        <v>133</v>
      </c>
      <c r="I1709" s="27" t="s">
        <v>21</v>
      </c>
      <c r="J1709" s="37">
        <v>45470</v>
      </c>
      <c r="K1709" s="27" t="s">
        <v>22</v>
      </c>
    </row>
    <row r="1710" spans="1:11" x14ac:dyDescent="0.2">
      <c r="A1710" s="24" t="s">
        <v>4353</v>
      </c>
      <c r="B1710" s="24" t="s">
        <v>4354</v>
      </c>
      <c r="C1710" s="24" t="s">
        <v>194</v>
      </c>
      <c r="D1710" s="24" t="s">
        <v>17</v>
      </c>
      <c r="E1710" s="24" t="s">
        <v>48</v>
      </c>
      <c r="F1710" s="24" t="s">
        <v>49</v>
      </c>
      <c r="G1710" s="24" t="s">
        <v>28</v>
      </c>
      <c r="H1710" s="26">
        <v>570</v>
      </c>
      <c r="I1710" s="24" t="s">
        <v>29</v>
      </c>
      <c r="J1710" s="36">
        <v>45468</v>
      </c>
      <c r="K1710" s="24" t="s">
        <v>22</v>
      </c>
    </row>
    <row r="1711" spans="1:11" x14ac:dyDescent="0.2">
      <c r="A1711" s="27" t="s">
        <v>4355</v>
      </c>
      <c r="B1711" s="27" t="s">
        <v>4356</v>
      </c>
      <c r="C1711" s="27" t="s">
        <v>526</v>
      </c>
      <c r="D1711" s="27" t="s">
        <v>17</v>
      </c>
      <c r="E1711" s="27" t="s">
        <v>18</v>
      </c>
      <c r="F1711" s="27" t="s">
        <v>19</v>
      </c>
      <c r="G1711" s="27" t="s">
        <v>20</v>
      </c>
      <c r="H1711" s="29">
        <v>140</v>
      </c>
      <c r="I1711" s="27" t="s">
        <v>21</v>
      </c>
      <c r="J1711" s="37">
        <v>45450</v>
      </c>
      <c r="K1711" s="27" t="s">
        <v>22</v>
      </c>
    </row>
    <row r="1712" spans="1:11" x14ac:dyDescent="0.2">
      <c r="A1712" s="24" t="s">
        <v>4357</v>
      </c>
      <c r="B1712" s="24" t="s">
        <v>4358</v>
      </c>
      <c r="C1712" s="24" t="s">
        <v>4359</v>
      </c>
      <c r="D1712" s="24" t="s">
        <v>17</v>
      </c>
      <c r="E1712" s="24" t="s">
        <v>42</v>
      </c>
      <c r="F1712" s="24" t="s">
        <v>43</v>
      </c>
      <c r="G1712" s="24" t="s">
        <v>28</v>
      </c>
      <c r="H1712" s="26">
        <v>100</v>
      </c>
      <c r="I1712" s="24" t="s">
        <v>29</v>
      </c>
      <c r="J1712" s="36">
        <v>45454</v>
      </c>
      <c r="K1712" s="24" t="s">
        <v>22</v>
      </c>
    </row>
    <row r="1713" spans="1:11" x14ac:dyDescent="0.2">
      <c r="A1713" s="27" t="s">
        <v>4360</v>
      </c>
      <c r="B1713" s="27" t="s">
        <v>4361</v>
      </c>
      <c r="C1713" s="27" t="s">
        <v>3847</v>
      </c>
      <c r="D1713" s="27" t="s">
        <v>17</v>
      </c>
      <c r="E1713" s="27" t="s">
        <v>18</v>
      </c>
      <c r="F1713" s="27" t="s">
        <v>19</v>
      </c>
      <c r="G1713" s="27" t="s">
        <v>28</v>
      </c>
      <c r="H1713" s="29">
        <v>63</v>
      </c>
      <c r="I1713" s="27" t="s">
        <v>29</v>
      </c>
      <c r="J1713" s="37">
        <v>45467</v>
      </c>
      <c r="K1713" s="27" t="s">
        <v>22</v>
      </c>
    </row>
    <row r="1714" spans="1:11" x14ac:dyDescent="0.2">
      <c r="A1714" s="24" t="s">
        <v>4362</v>
      </c>
      <c r="B1714" s="24" t="s">
        <v>4363</v>
      </c>
      <c r="C1714" s="24" t="s">
        <v>4364</v>
      </c>
      <c r="D1714" s="24" t="s">
        <v>17</v>
      </c>
      <c r="E1714" s="24" t="s">
        <v>42</v>
      </c>
      <c r="F1714" s="24" t="s">
        <v>43</v>
      </c>
      <c r="G1714" s="24" t="s">
        <v>20</v>
      </c>
      <c r="H1714" s="26">
        <v>367</v>
      </c>
      <c r="I1714" s="24" t="s">
        <v>21</v>
      </c>
      <c r="J1714" s="36">
        <v>45447</v>
      </c>
      <c r="K1714" s="24" t="s">
        <v>22</v>
      </c>
    </row>
    <row r="1715" spans="1:11" x14ac:dyDescent="0.2">
      <c r="A1715" s="27" t="s">
        <v>4365</v>
      </c>
      <c r="B1715" s="27" t="s">
        <v>4366</v>
      </c>
      <c r="C1715" s="27" t="s">
        <v>4367</v>
      </c>
      <c r="D1715" s="27" t="s">
        <v>17</v>
      </c>
      <c r="E1715" s="27" t="s">
        <v>48</v>
      </c>
      <c r="F1715" s="27" t="s">
        <v>49</v>
      </c>
      <c r="G1715" s="27" t="s">
        <v>28</v>
      </c>
      <c r="H1715" s="29">
        <v>252</v>
      </c>
      <c r="I1715" s="27" t="s">
        <v>29</v>
      </c>
      <c r="J1715" s="37">
        <v>45455</v>
      </c>
      <c r="K1715" s="27" t="s">
        <v>22</v>
      </c>
    </row>
    <row r="1716" spans="1:11" x14ac:dyDescent="0.2">
      <c r="A1716" s="24" t="s">
        <v>4368</v>
      </c>
      <c r="B1716" s="24" t="s">
        <v>4369</v>
      </c>
      <c r="C1716" s="24" t="s">
        <v>4370</v>
      </c>
      <c r="D1716" s="24" t="s">
        <v>17</v>
      </c>
      <c r="E1716" s="24" t="s">
        <v>18</v>
      </c>
      <c r="F1716" s="24" t="s">
        <v>19</v>
      </c>
      <c r="G1716" s="24" t="s">
        <v>20</v>
      </c>
      <c r="H1716" s="26">
        <v>5</v>
      </c>
      <c r="I1716" s="24" t="s">
        <v>21</v>
      </c>
      <c r="J1716" s="36">
        <v>45467</v>
      </c>
      <c r="K1716" s="24" t="s">
        <v>22</v>
      </c>
    </row>
    <row r="1717" spans="1:11" x14ac:dyDescent="0.2">
      <c r="A1717" s="27" t="s">
        <v>4371</v>
      </c>
      <c r="B1717" s="27" t="s">
        <v>4372</v>
      </c>
      <c r="C1717" s="27" t="s">
        <v>146</v>
      </c>
      <c r="D1717" s="27" t="s">
        <v>17</v>
      </c>
      <c r="E1717" s="27" t="s">
        <v>18</v>
      </c>
      <c r="F1717" s="27" t="s">
        <v>19</v>
      </c>
      <c r="G1717" s="27" t="s">
        <v>20</v>
      </c>
      <c r="H1717" s="29">
        <v>60</v>
      </c>
      <c r="I1717" s="27" t="s">
        <v>21</v>
      </c>
      <c r="J1717" s="37">
        <v>45447</v>
      </c>
      <c r="K1717" s="27" t="s">
        <v>22</v>
      </c>
    </row>
    <row r="1718" spans="1:11" x14ac:dyDescent="0.2">
      <c r="A1718" s="24" t="s">
        <v>4373</v>
      </c>
      <c r="B1718" s="24" t="s">
        <v>4374</v>
      </c>
      <c r="C1718" s="24" t="s">
        <v>1161</v>
      </c>
      <c r="D1718" s="24" t="s">
        <v>17</v>
      </c>
      <c r="E1718" s="24" t="s">
        <v>26</v>
      </c>
      <c r="F1718" s="24" t="s">
        <v>27</v>
      </c>
      <c r="G1718" s="24" t="s">
        <v>28</v>
      </c>
      <c r="H1718" s="26">
        <v>148</v>
      </c>
      <c r="I1718" s="24" t="s">
        <v>29</v>
      </c>
      <c r="J1718" s="36">
        <v>45463</v>
      </c>
      <c r="K1718" s="24" t="s">
        <v>22</v>
      </c>
    </row>
    <row r="1719" spans="1:11" x14ac:dyDescent="0.2">
      <c r="A1719" s="27" t="s">
        <v>4375</v>
      </c>
      <c r="B1719" s="27" t="s">
        <v>4376</v>
      </c>
      <c r="C1719" s="27" t="s">
        <v>213</v>
      </c>
      <c r="D1719" s="27" t="s">
        <v>17</v>
      </c>
      <c r="E1719" s="27" t="s">
        <v>18</v>
      </c>
      <c r="F1719" s="27" t="s">
        <v>19</v>
      </c>
      <c r="G1719" s="27" t="s">
        <v>28</v>
      </c>
      <c r="H1719" s="29">
        <v>330</v>
      </c>
      <c r="I1719" s="27" t="s">
        <v>29</v>
      </c>
      <c r="J1719" s="37">
        <v>45470</v>
      </c>
      <c r="K1719" s="27" t="s">
        <v>22</v>
      </c>
    </row>
    <row r="1720" spans="1:11" x14ac:dyDescent="0.2">
      <c r="A1720" s="24" t="s">
        <v>4377</v>
      </c>
      <c r="B1720" s="24" t="s">
        <v>4378</v>
      </c>
      <c r="C1720" s="24" t="s">
        <v>4379</v>
      </c>
      <c r="D1720" s="24" t="s">
        <v>17</v>
      </c>
      <c r="E1720" s="24" t="s">
        <v>18</v>
      </c>
      <c r="F1720" s="24" t="s">
        <v>19</v>
      </c>
      <c r="G1720" s="24" t="s">
        <v>28</v>
      </c>
      <c r="H1720" s="26">
        <v>30</v>
      </c>
      <c r="I1720" s="24" t="s">
        <v>29</v>
      </c>
      <c r="J1720" s="36">
        <v>45462</v>
      </c>
      <c r="K1720" s="24" t="s">
        <v>22</v>
      </c>
    </row>
    <row r="1721" spans="1:11" x14ac:dyDescent="0.2">
      <c r="A1721" s="27" t="s">
        <v>4380</v>
      </c>
      <c r="B1721" s="27" t="s">
        <v>4381</v>
      </c>
      <c r="C1721" s="27" t="s">
        <v>4382</v>
      </c>
      <c r="D1721" s="27" t="s">
        <v>17</v>
      </c>
      <c r="E1721" s="27" t="s">
        <v>48</v>
      </c>
      <c r="F1721" s="27" t="s">
        <v>49</v>
      </c>
      <c r="G1721" s="27" t="s">
        <v>28</v>
      </c>
      <c r="H1721" s="29">
        <v>24</v>
      </c>
      <c r="I1721" s="27" t="s">
        <v>29</v>
      </c>
      <c r="J1721" s="37">
        <v>45467</v>
      </c>
      <c r="K1721" s="27" t="s">
        <v>22</v>
      </c>
    </row>
    <row r="1722" spans="1:11" x14ac:dyDescent="0.2">
      <c r="A1722" s="24" t="s">
        <v>4383</v>
      </c>
      <c r="B1722" s="24" t="s">
        <v>4384</v>
      </c>
      <c r="C1722" s="24" t="s">
        <v>2116</v>
      </c>
      <c r="D1722" s="24" t="s">
        <v>17</v>
      </c>
      <c r="E1722" s="24" t="s">
        <v>18</v>
      </c>
      <c r="F1722" s="24" t="s">
        <v>19</v>
      </c>
      <c r="G1722" s="24" t="s">
        <v>20</v>
      </c>
      <c r="H1722" s="26">
        <v>40</v>
      </c>
      <c r="I1722" s="24" t="s">
        <v>21</v>
      </c>
      <c r="J1722" s="36">
        <v>45448</v>
      </c>
      <c r="K1722" s="24" t="s">
        <v>22</v>
      </c>
    </row>
    <row r="1723" spans="1:11" x14ac:dyDescent="0.2">
      <c r="A1723" s="27" t="s">
        <v>4385</v>
      </c>
      <c r="B1723" s="27" t="s">
        <v>4386</v>
      </c>
      <c r="C1723" s="27" t="s">
        <v>1199</v>
      </c>
      <c r="D1723" s="27" t="s">
        <v>17</v>
      </c>
      <c r="E1723" s="27" t="s">
        <v>18</v>
      </c>
      <c r="F1723" s="27" t="s">
        <v>19</v>
      </c>
      <c r="G1723" s="27" t="s">
        <v>28</v>
      </c>
      <c r="H1723" s="29">
        <v>80</v>
      </c>
      <c r="I1723" s="27" t="s">
        <v>29</v>
      </c>
      <c r="J1723" s="37">
        <v>45469</v>
      </c>
      <c r="K1723" s="27" t="s">
        <v>22</v>
      </c>
    </row>
    <row r="1724" spans="1:11" x14ac:dyDescent="0.2">
      <c r="A1724" s="24" t="s">
        <v>4387</v>
      </c>
      <c r="B1724" s="24" t="s">
        <v>4388</v>
      </c>
      <c r="C1724" s="24" t="s">
        <v>52</v>
      </c>
      <c r="D1724" s="24" t="s">
        <v>17</v>
      </c>
      <c r="E1724" s="24" t="s">
        <v>81</v>
      </c>
      <c r="F1724" s="24" t="s">
        <v>82</v>
      </c>
      <c r="G1724" s="24" t="s">
        <v>44</v>
      </c>
      <c r="H1724" s="26">
        <v>3011</v>
      </c>
      <c r="I1724" s="24" t="s">
        <v>21</v>
      </c>
      <c r="J1724" s="36">
        <v>45455</v>
      </c>
      <c r="K1724" s="24" t="s">
        <v>22</v>
      </c>
    </row>
    <row r="1725" spans="1:11" x14ac:dyDescent="0.2">
      <c r="A1725" s="27" t="s">
        <v>4389</v>
      </c>
      <c r="B1725" s="27" t="s">
        <v>4390</v>
      </c>
      <c r="C1725" s="27" t="s">
        <v>4391</v>
      </c>
      <c r="D1725" s="27" t="s">
        <v>17</v>
      </c>
      <c r="E1725" s="27" t="s">
        <v>48</v>
      </c>
      <c r="F1725" s="27" t="s">
        <v>49</v>
      </c>
      <c r="G1725" s="27" t="s">
        <v>28</v>
      </c>
      <c r="H1725" s="29">
        <v>33</v>
      </c>
      <c r="I1725" s="27" t="s">
        <v>29</v>
      </c>
      <c r="J1725" s="37">
        <v>45460</v>
      </c>
      <c r="K1725" s="27" t="s">
        <v>22</v>
      </c>
    </row>
    <row r="1726" spans="1:11" x14ac:dyDescent="0.2">
      <c r="A1726" s="24" t="s">
        <v>4392</v>
      </c>
      <c r="B1726" s="24" t="s">
        <v>4393</v>
      </c>
      <c r="C1726" s="24" t="s">
        <v>1617</v>
      </c>
      <c r="D1726" s="24" t="s">
        <v>17</v>
      </c>
      <c r="E1726" s="24" t="s">
        <v>42</v>
      </c>
      <c r="F1726" s="24" t="s">
        <v>43</v>
      </c>
      <c r="G1726" s="24" t="s">
        <v>38</v>
      </c>
      <c r="H1726" s="26">
        <v>358</v>
      </c>
      <c r="I1726" s="24" t="s">
        <v>29</v>
      </c>
      <c r="J1726" s="36">
        <v>45444</v>
      </c>
      <c r="K1726" s="24" t="s">
        <v>22</v>
      </c>
    </row>
    <row r="1727" spans="1:11" x14ac:dyDescent="0.2">
      <c r="A1727" s="27" t="s">
        <v>4394</v>
      </c>
      <c r="B1727" s="27" t="s">
        <v>4395</v>
      </c>
      <c r="C1727" s="27" t="s">
        <v>978</v>
      </c>
      <c r="D1727" s="27" t="s">
        <v>17</v>
      </c>
      <c r="E1727" s="27" t="s">
        <v>18</v>
      </c>
      <c r="F1727" s="27" t="s">
        <v>19</v>
      </c>
      <c r="G1727" s="27" t="s">
        <v>20</v>
      </c>
      <c r="H1727" s="29">
        <v>28</v>
      </c>
      <c r="I1727" s="27" t="s">
        <v>21</v>
      </c>
      <c r="J1727" s="37">
        <v>45468</v>
      </c>
      <c r="K1727" s="27" t="s">
        <v>22</v>
      </c>
    </row>
    <row r="1728" spans="1:11" x14ac:dyDescent="0.2">
      <c r="A1728" s="24" t="s">
        <v>4396</v>
      </c>
      <c r="B1728" s="24" t="s">
        <v>4397</v>
      </c>
      <c r="C1728" s="24" t="s">
        <v>4398</v>
      </c>
      <c r="D1728" s="24" t="s">
        <v>17</v>
      </c>
      <c r="E1728" s="24" t="s">
        <v>18</v>
      </c>
      <c r="F1728" s="24" t="s">
        <v>19</v>
      </c>
      <c r="G1728" s="24" t="s">
        <v>28</v>
      </c>
      <c r="H1728" s="26">
        <v>127</v>
      </c>
      <c r="I1728" s="24" t="s">
        <v>29</v>
      </c>
      <c r="J1728" s="36">
        <v>45456</v>
      </c>
      <c r="K1728" s="24" t="s">
        <v>22</v>
      </c>
    </row>
    <row r="1729" spans="1:11" x14ac:dyDescent="0.2">
      <c r="A1729" s="27" t="s">
        <v>4399</v>
      </c>
      <c r="B1729" s="27" t="s">
        <v>4400</v>
      </c>
      <c r="C1729" s="27" t="s">
        <v>4401</v>
      </c>
      <c r="D1729" s="27" t="s">
        <v>17</v>
      </c>
      <c r="E1729" s="27" t="s">
        <v>18</v>
      </c>
      <c r="F1729" s="27" t="s">
        <v>19</v>
      </c>
      <c r="G1729" s="27" t="s">
        <v>44</v>
      </c>
      <c r="H1729" s="29">
        <v>11</v>
      </c>
      <c r="I1729" s="27" t="s">
        <v>21</v>
      </c>
      <c r="J1729" s="37">
        <v>45461</v>
      </c>
      <c r="K1729" s="27" t="s">
        <v>22</v>
      </c>
    </row>
    <row r="1730" spans="1:11" x14ac:dyDescent="0.2">
      <c r="A1730" s="24" t="s">
        <v>4402</v>
      </c>
      <c r="B1730" s="24" t="s">
        <v>4403</v>
      </c>
      <c r="C1730" s="24" t="s">
        <v>1147</v>
      </c>
      <c r="D1730" s="24" t="s">
        <v>17</v>
      </c>
      <c r="E1730" s="24" t="s">
        <v>48</v>
      </c>
      <c r="F1730" s="24" t="s">
        <v>49</v>
      </c>
      <c r="G1730" s="24" t="s">
        <v>28</v>
      </c>
      <c r="H1730" s="26">
        <v>369</v>
      </c>
      <c r="I1730" s="24" t="s">
        <v>29</v>
      </c>
      <c r="J1730" s="36">
        <v>45449</v>
      </c>
      <c r="K1730" s="24" t="s">
        <v>22</v>
      </c>
    </row>
    <row r="1731" spans="1:11" x14ac:dyDescent="0.2">
      <c r="A1731" s="27" t="s">
        <v>4404</v>
      </c>
      <c r="B1731" s="27" t="s">
        <v>4405</v>
      </c>
      <c r="C1731" s="27" t="s">
        <v>526</v>
      </c>
      <c r="D1731" s="27" t="s">
        <v>17</v>
      </c>
      <c r="E1731" s="27" t="s">
        <v>42</v>
      </c>
      <c r="F1731" s="27" t="s">
        <v>43</v>
      </c>
      <c r="G1731" s="27" t="s">
        <v>28</v>
      </c>
      <c r="H1731" s="29">
        <v>300</v>
      </c>
      <c r="I1731" s="27" t="s">
        <v>29</v>
      </c>
      <c r="J1731" s="37">
        <v>45446</v>
      </c>
      <c r="K1731" s="27" t="s">
        <v>22</v>
      </c>
    </row>
    <row r="1732" spans="1:11" x14ac:dyDescent="0.2">
      <c r="A1732" s="24" t="s">
        <v>4406</v>
      </c>
      <c r="B1732" s="24" t="s">
        <v>4407</v>
      </c>
      <c r="C1732" s="24" t="s">
        <v>4408</v>
      </c>
      <c r="D1732" s="24" t="s">
        <v>17</v>
      </c>
      <c r="E1732" s="24" t="s">
        <v>48</v>
      </c>
      <c r="F1732" s="24" t="s">
        <v>49</v>
      </c>
      <c r="G1732" s="24" t="s">
        <v>44</v>
      </c>
      <c r="H1732" s="26">
        <v>67</v>
      </c>
      <c r="I1732" s="24" t="s">
        <v>21</v>
      </c>
      <c r="J1732" s="36">
        <v>45456</v>
      </c>
      <c r="K1732" s="24" t="s">
        <v>22</v>
      </c>
    </row>
    <row r="1733" spans="1:11" x14ac:dyDescent="0.2">
      <c r="A1733" s="27" t="s">
        <v>4409</v>
      </c>
      <c r="B1733" s="27" t="s">
        <v>4410</v>
      </c>
      <c r="C1733" s="27" t="s">
        <v>97</v>
      </c>
      <c r="D1733" s="27" t="s">
        <v>17</v>
      </c>
      <c r="E1733" s="27" t="s">
        <v>42</v>
      </c>
      <c r="F1733" s="27" t="s">
        <v>43</v>
      </c>
      <c r="G1733" s="27" t="s">
        <v>28</v>
      </c>
      <c r="H1733" s="29">
        <v>302</v>
      </c>
      <c r="I1733" s="27" t="s">
        <v>29</v>
      </c>
      <c r="J1733" s="37">
        <v>45472</v>
      </c>
      <c r="K1733" s="27" t="s">
        <v>22</v>
      </c>
    </row>
    <row r="1734" spans="1:11" x14ac:dyDescent="0.2">
      <c r="A1734" s="24" t="s">
        <v>4411</v>
      </c>
      <c r="B1734" s="24" t="s">
        <v>4412</v>
      </c>
      <c r="C1734" s="24" t="s">
        <v>194</v>
      </c>
      <c r="D1734" s="24" t="s">
        <v>17</v>
      </c>
      <c r="E1734" s="24" t="s">
        <v>48</v>
      </c>
      <c r="F1734" s="24" t="s">
        <v>49</v>
      </c>
      <c r="G1734" s="24" t="s">
        <v>28</v>
      </c>
      <c r="H1734" s="26">
        <v>66</v>
      </c>
      <c r="I1734" s="24" t="s">
        <v>29</v>
      </c>
      <c r="J1734" s="36">
        <v>45456</v>
      </c>
      <c r="K1734" s="24" t="s">
        <v>22</v>
      </c>
    </row>
    <row r="1735" spans="1:11" x14ac:dyDescent="0.2">
      <c r="A1735" s="27" t="s">
        <v>4413</v>
      </c>
      <c r="B1735" s="27" t="s">
        <v>4414</v>
      </c>
      <c r="C1735" s="27" t="s">
        <v>2048</v>
      </c>
      <c r="D1735" s="27" t="s">
        <v>17</v>
      </c>
      <c r="E1735" s="27" t="s">
        <v>48</v>
      </c>
      <c r="F1735" s="27" t="s">
        <v>49</v>
      </c>
      <c r="G1735" s="27" t="s">
        <v>44</v>
      </c>
      <c r="H1735" s="29">
        <v>69</v>
      </c>
      <c r="I1735" s="27" t="s">
        <v>21</v>
      </c>
      <c r="J1735" s="37">
        <v>45462</v>
      </c>
      <c r="K1735" s="27" t="s">
        <v>22</v>
      </c>
    </row>
    <row r="1736" spans="1:11" x14ac:dyDescent="0.2">
      <c r="A1736" s="24" t="s">
        <v>4415</v>
      </c>
      <c r="B1736" s="24" t="s">
        <v>4416</v>
      </c>
      <c r="C1736" s="24" t="s">
        <v>2944</v>
      </c>
      <c r="D1736" s="24" t="s">
        <v>17</v>
      </c>
      <c r="E1736" s="24" t="s">
        <v>42</v>
      </c>
      <c r="F1736" s="24" t="s">
        <v>43</v>
      </c>
      <c r="G1736" s="24" t="s">
        <v>217</v>
      </c>
      <c r="H1736" s="26">
        <v>330</v>
      </c>
      <c r="I1736" s="24" t="s">
        <v>29</v>
      </c>
      <c r="J1736" s="36">
        <v>45473</v>
      </c>
      <c r="K1736" s="24" t="s">
        <v>22</v>
      </c>
    </row>
    <row r="1737" spans="1:11" x14ac:dyDescent="0.2">
      <c r="A1737" s="27" t="s">
        <v>4417</v>
      </c>
      <c r="B1737" s="27" t="s">
        <v>4418</v>
      </c>
      <c r="C1737" s="27" t="s">
        <v>1895</v>
      </c>
      <c r="D1737" s="27" t="s">
        <v>17</v>
      </c>
      <c r="E1737" s="27" t="s">
        <v>42</v>
      </c>
      <c r="F1737" s="27" t="s">
        <v>43</v>
      </c>
      <c r="G1737" s="27" t="s">
        <v>20</v>
      </c>
      <c r="H1737" s="29">
        <v>1200</v>
      </c>
      <c r="I1737" s="27" t="s">
        <v>21</v>
      </c>
      <c r="J1737" s="37">
        <v>45471</v>
      </c>
      <c r="K1737" s="27" t="s">
        <v>22</v>
      </c>
    </row>
    <row r="1738" spans="1:11" x14ac:dyDescent="0.2">
      <c r="A1738" s="24" t="s">
        <v>4419</v>
      </c>
      <c r="B1738" s="24" t="s">
        <v>4420</v>
      </c>
      <c r="C1738" s="24" t="s">
        <v>4421</v>
      </c>
      <c r="D1738" s="24" t="s">
        <v>17</v>
      </c>
      <c r="E1738" s="24" t="s">
        <v>48</v>
      </c>
      <c r="F1738" s="24" t="s">
        <v>49</v>
      </c>
      <c r="G1738" s="24" t="s">
        <v>28</v>
      </c>
      <c r="H1738" s="26">
        <v>90</v>
      </c>
      <c r="I1738" s="24" t="s">
        <v>29</v>
      </c>
      <c r="J1738" s="36">
        <v>45454</v>
      </c>
      <c r="K1738" s="24" t="s">
        <v>22</v>
      </c>
    </row>
    <row r="1739" spans="1:11" x14ac:dyDescent="0.2">
      <c r="A1739" s="27" t="s">
        <v>4422</v>
      </c>
      <c r="B1739" s="27" t="s">
        <v>4423</v>
      </c>
      <c r="C1739" s="27" t="s">
        <v>1307</v>
      </c>
      <c r="D1739" s="27" t="s">
        <v>17</v>
      </c>
      <c r="E1739" s="27" t="s">
        <v>18</v>
      </c>
      <c r="F1739" s="27" t="s">
        <v>19</v>
      </c>
      <c r="G1739" s="27" t="s">
        <v>20</v>
      </c>
      <c r="H1739" s="29">
        <v>71</v>
      </c>
      <c r="I1739" s="27" t="s">
        <v>21</v>
      </c>
      <c r="J1739" s="37">
        <v>45456</v>
      </c>
      <c r="K1739" s="27" t="s">
        <v>22</v>
      </c>
    </row>
    <row r="1740" spans="1:11" x14ac:dyDescent="0.2">
      <c r="A1740" s="24" t="s">
        <v>4424</v>
      </c>
      <c r="B1740" s="24" t="s">
        <v>4425</v>
      </c>
      <c r="C1740" s="24" t="s">
        <v>4426</v>
      </c>
      <c r="D1740" s="24" t="s">
        <v>17</v>
      </c>
      <c r="E1740" s="24" t="s">
        <v>18</v>
      </c>
      <c r="F1740" s="24" t="s">
        <v>19</v>
      </c>
      <c r="G1740" s="24" t="s">
        <v>59</v>
      </c>
      <c r="H1740" s="26">
        <v>1</v>
      </c>
      <c r="I1740" s="24" t="s">
        <v>21</v>
      </c>
      <c r="J1740" s="36">
        <v>45446</v>
      </c>
      <c r="K1740" s="24" t="s">
        <v>22</v>
      </c>
    </row>
    <row r="1741" spans="1:11" x14ac:dyDescent="0.2">
      <c r="A1741" s="27" t="s">
        <v>4427</v>
      </c>
      <c r="B1741" s="27" t="s">
        <v>4428</v>
      </c>
      <c r="C1741" s="27" t="s">
        <v>1053</v>
      </c>
      <c r="D1741" s="27" t="s">
        <v>17</v>
      </c>
      <c r="E1741" s="27" t="s">
        <v>42</v>
      </c>
      <c r="F1741" s="27" t="s">
        <v>43</v>
      </c>
      <c r="G1741" s="27" t="s">
        <v>44</v>
      </c>
      <c r="H1741" s="29">
        <v>850</v>
      </c>
      <c r="I1741" s="27" t="s">
        <v>29</v>
      </c>
      <c r="J1741" s="37">
        <v>45462</v>
      </c>
      <c r="K1741" s="27" t="s">
        <v>22</v>
      </c>
    </row>
    <row r="1742" spans="1:11" x14ac:dyDescent="0.2">
      <c r="A1742" s="24" t="s">
        <v>4429</v>
      </c>
      <c r="B1742" s="24" t="s">
        <v>4430</v>
      </c>
      <c r="C1742" s="24" t="s">
        <v>4431</v>
      </c>
      <c r="D1742" s="24" t="s">
        <v>17</v>
      </c>
      <c r="E1742" s="24" t="s">
        <v>33</v>
      </c>
      <c r="F1742" s="24" t="s">
        <v>34</v>
      </c>
      <c r="G1742" s="24" t="s">
        <v>59</v>
      </c>
      <c r="H1742" s="26">
        <v>2</v>
      </c>
      <c r="I1742" s="24" t="s">
        <v>21</v>
      </c>
      <c r="J1742" s="36">
        <v>45473</v>
      </c>
      <c r="K1742" s="24" t="s">
        <v>22</v>
      </c>
    </row>
    <row r="1743" spans="1:11" x14ac:dyDescent="0.2">
      <c r="A1743" s="27" t="s">
        <v>4432</v>
      </c>
      <c r="B1743" s="27" t="s">
        <v>4433</v>
      </c>
      <c r="C1743" s="27" t="s">
        <v>494</v>
      </c>
      <c r="D1743" s="27" t="s">
        <v>17</v>
      </c>
      <c r="E1743" s="27" t="s">
        <v>18</v>
      </c>
      <c r="F1743" s="27" t="s">
        <v>19</v>
      </c>
      <c r="G1743" s="27" t="s">
        <v>28</v>
      </c>
      <c r="H1743" s="29">
        <v>140</v>
      </c>
      <c r="I1743" s="27" t="s">
        <v>29</v>
      </c>
      <c r="J1743" s="37">
        <v>45470</v>
      </c>
      <c r="K1743" s="27" t="s">
        <v>22</v>
      </c>
    </row>
    <row r="1744" spans="1:11" x14ac:dyDescent="0.2">
      <c r="A1744" s="24" t="s">
        <v>4434</v>
      </c>
      <c r="B1744" s="24" t="s">
        <v>4435</v>
      </c>
      <c r="C1744" s="24" t="s">
        <v>4436</v>
      </c>
      <c r="D1744" s="24" t="s">
        <v>17</v>
      </c>
      <c r="E1744" s="24" t="s">
        <v>81</v>
      </c>
      <c r="F1744" s="24" t="s">
        <v>82</v>
      </c>
      <c r="G1744" s="24" t="s">
        <v>20</v>
      </c>
      <c r="H1744" s="26">
        <v>31</v>
      </c>
      <c r="I1744" s="24" t="s">
        <v>21</v>
      </c>
      <c r="J1744" s="36">
        <v>45454</v>
      </c>
      <c r="K1744" s="24" t="s">
        <v>22</v>
      </c>
    </row>
    <row r="1745" spans="1:11" x14ac:dyDescent="0.2">
      <c r="A1745" s="27" t="s">
        <v>4437</v>
      </c>
      <c r="B1745" s="27" t="s">
        <v>4438</v>
      </c>
      <c r="C1745" s="27" t="s">
        <v>4439</v>
      </c>
      <c r="D1745" s="27" t="s">
        <v>17</v>
      </c>
      <c r="E1745" s="27" t="s">
        <v>48</v>
      </c>
      <c r="F1745" s="27" t="s">
        <v>49</v>
      </c>
      <c r="G1745" s="27" t="s">
        <v>28</v>
      </c>
      <c r="H1745" s="29">
        <v>64</v>
      </c>
      <c r="I1745" s="27" t="s">
        <v>29</v>
      </c>
      <c r="J1745" s="37">
        <v>45464</v>
      </c>
      <c r="K1745" s="27" t="s">
        <v>22</v>
      </c>
    </row>
    <row r="1746" spans="1:11" x14ac:dyDescent="0.2">
      <c r="A1746" s="24" t="s">
        <v>4440</v>
      </c>
      <c r="B1746" s="24" t="s">
        <v>4441</v>
      </c>
      <c r="C1746" s="24" t="s">
        <v>4442</v>
      </c>
      <c r="D1746" s="24" t="s">
        <v>17</v>
      </c>
      <c r="E1746" s="24" t="s">
        <v>26</v>
      </c>
      <c r="F1746" s="24" t="s">
        <v>27</v>
      </c>
      <c r="G1746" s="24" t="s">
        <v>28</v>
      </c>
      <c r="H1746" s="26">
        <v>250</v>
      </c>
      <c r="I1746" s="24" t="s">
        <v>29</v>
      </c>
      <c r="J1746" s="36">
        <v>45455</v>
      </c>
      <c r="K1746" s="24" t="s">
        <v>22</v>
      </c>
    </row>
    <row r="1747" spans="1:11" x14ac:dyDescent="0.2">
      <c r="A1747" s="27" t="s">
        <v>4443</v>
      </c>
      <c r="B1747" s="27" t="s">
        <v>4444</v>
      </c>
      <c r="C1747" s="27" t="s">
        <v>4445</v>
      </c>
      <c r="D1747" s="27" t="s">
        <v>17</v>
      </c>
      <c r="E1747" s="27" t="s">
        <v>26</v>
      </c>
      <c r="F1747" s="27" t="s">
        <v>27</v>
      </c>
      <c r="G1747" s="27" t="s">
        <v>28</v>
      </c>
      <c r="H1747" s="29">
        <v>44</v>
      </c>
      <c r="I1747" s="27" t="s">
        <v>29</v>
      </c>
      <c r="J1747" s="37">
        <v>45471</v>
      </c>
      <c r="K1747" s="27" t="s">
        <v>22</v>
      </c>
    </row>
    <row r="1748" spans="1:11" x14ac:dyDescent="0.2">
      <c r="A1748" s="24" t="s">
        <v>4446</v>
      </c>
      <c r="B1748" s="24" t="s">
        <v>4447</v>
      </c>
      <c r="C1748" s="24" t="s">
        <v>4448</v>
      </c>
      <c r="D1748" s="24" t="s">
        <v>17</v>
      </c>
      <c r="E1748" s="24" t="s">
        <v>48</v>
      </c>
      <c r="F1748" s="24" t="s">
        <v>49</v>
      </c>
      <c r="G1748" s="24" t="s">
        <v>20</v>
      </c>
      <c r="H1748" s="26">
        <v>24</v>
      </c>
      <c r="I1748" s="24" t="s">
        <v>21</v>
      </c>
      <c r="J1748" s="36">
        <v>45458</v>
      </c>
      <c r="K1748" s="24" t="s">
        <v>22</v>
      </c>
    </row>
    <row r="1749" spans="1:11" x14ac:dyDescent="0.2">
      <c r="A1749" s="27" t="s">
        <v>4449</v>
      </c>
      <c r="B1749" s="27" t="s">
        <v>4450</v>
      </c>
      <c r="C1749" s="27" t="s">
        <v>4451</v>
      </c>
      <c r="D1749" s="27" t="s">
        <v>17</v>
      </c>
      <c r="E1749" s="27" t="s">
        <v>81</v>
      </c>
      <c r="F1749" s="27" t="s">
        <v>82</v>
      </c>
      <c r="G1749" s="27" t="s">
        <v>38</v>
      </c>
      <c r="H1749" s="29">
        <v>96</v>
      </c>
      <c r="I1749" s="27" t="s">
        <v>29</v>
      </c>
      <c r="J1749" s="37">
        <v>45444</v>
      </c>
      <c r="K1749" s="27" t="s">
        <v>22</v>
      </c>
    </row>
    <row r="1750" spans="1:11" x14ac:dyDescent="0.2">
      <c r="A1750" s="24" t="s">
        <v>4452</v>
      </c>
      <c r="B1750" s="24" t="s">
        <v>4453</v>
      </c>
      <c r="C1750" s="24" t="s">
        <v>4454</v>
      </c>
      <c r="D1750" s="24" t="s">
        <v>17</v>
      </c>
      <c r="E1750" s="24" t="s">
        <v>18</v>
      </c>
      <c r="F1750" s="24" t="s">
        <v>19</v>
      </c>
      <c r="G1750" s="24" t="s">
        <v>59</v>
      </c>
      <c r="H1750" s="26">
        <v>16</v>
      </c>
      <c r="I1750" s="24" t="s">
        <v>21</v>
      </c>
      <c r="J1750" s="36">
        <v>45446</v>
      </c>
      <c r="K1750" s="24" t="s">
        <v>22</v>
      </c>
    </row>
    <row r="1751" spans="1:11" x14ac:dyDescent="0.2">
      <c r="A1751" s="27" t="s">
        <v>4455</v>
      </c>
      <c r="B1751" s="27" t="s">
        <v>4456</v>
      </c>
      <c r="C1751" s="27" t="s">
        <v>2367</v>
      </c>
      <c r="D1751" s="27" t="s">
        <v>17</v>
      </c>
      <c r="E1751" s="27" t="s">
        <v>42</v>
      </c>
      <c r="F1751" s="27" t="s">
        <v>43</v>
      </c>
      <c r="G1751" s="27" t="s">
        <v>28</v>
      </c>
      <c r="H1751" s="29">
        <v>264</v>
      </c>
      <c r="I1751" s="27" t="s">
        <v>29</v>
      </c>
      <c r="J1751" s="37">
        <v>45468</v>
      </c>
      <c r="K1751" s="27" t="s">
        <v>22</v>
      </c>
    </row>
    <row r="1752" spans="1:11" x14ac:dyDescent="0.2">
      <c r="A1752" s="24" t="s">
        <v>4457</v>
      </c>
      <c r="B1752" s="24" t="s">
        <v>4458</v>
      </c>
      <c r="C1752" s="24" t="s">
        <v>4459</v>
      </c>
      <c r="D1752" s="24" t="s">
        <v>17</v>
      </c>
      <c r="E1752" s="24" t="s">
        <v>26</v>
      </c>
      <c r="F1752" s="24" t="s">
        <v>27</v>
      </c>
      <c r="G1752" s="24" t="s">
        <v>28</v>
      </c>
      <c r="H1752" s="26">
        <v>15</v>
      </c>
      <c r="I1752" s="24" t="s">
        <v>29</v>
      </c>
      <c r="J1752" s="36">
        <v>45454</v>
      </c>
      <c r="K1752" s="24" t="s">
        <v>22</v>
      </c>
    </row>
    <row r="1753" spans="1:11" x14ac:dyDescent="0.2">
      <c r="A1753" s="27" t="s">
        <v>4460</v>
      </c>
      <c r="B1753" s="27" t="s">
        <v>4461</v>
      </c>
      <c r="C1753" s="27" t="s">
        <v>4462</v>
      </c>
      <c r="D1753" s="27" t="s">
        <v>17</v>
      </c>
      <c r="E1753" s="27" t="s">
        <v>26</v>
      </c>
      <c r="F1753" s="27" t="s">
        <v>27</v>
      </c>
      <c r="G1753" s="27" t="s">
        <v>20</v>
      </c>
      <c r="H1753" s="29">
        <v>150</v>
      </c>
      <c r="I1753" s="27" t="s">
        <v>21</v>
      </c>
      <c r="J1753" s="37">
        <v>45468</v>
      </c>
      <c r="K1753" s="27" t="s">
        <v>22</v>
      </c>
    </row>
    <row r="1754" spans="1:11" x14ac:dyDescent="0.2">
      <c r="A1754" s="24" t="s">
        <v>4463</v>
      </c>
      <c r="B1754" s="24" t="s">
        <v>4464</v>
      </c>
      <c r="C1754" s="24" t="s">
        <v>4465</v>
      </c>
      <c r="D1754" s="24" t="s">
        <v>17</v>
      </c>
      <c r="E1754" s="24" t="s">
        <v>18</v>
      </c>
      <c r="F1754" s="24" t="s">
        <v>19</v>
      </c>
      <c r="G1754" s="24" t="s">
        <v>20</v>
      </c>
      <c r="H1754" s="26">
        <v>40</v>
      </c>
      <c r="I1754" s="24" t="s">
        <v>21</v>
      </c>
      <c r="J1754" s="36">
        <v>45464</v>
      </c>
      <c r="K1754" s="24" t="s">
        <v>22</v>
      </c>
    </row>
    <row r="1755" spans="1:11" x14ac:dyDescent="0.2">
      <c r="A1755" s="27" t="s">
        <v>4466</v>
      </c>
      <c r="B1755" s="27" t="s">
        <v>4467</v>
      </c>
      <c r="C1755" s="27" t="s">
        <v>2129</v>
      </c>
      <c r="D1755" s="27" t="s">
        <v>17</v>
      </c>
      <c r="E1755" s="27" t="s">
        <v>48</v>
      </c>
      <c r="F1755" s="27" t="s">
        <v>49</v>
      </c>
      <c r="G1755" s="27" t="s">
        <v>59</v>
      </c>
      <c r="H1755" s="29">
        <v>94</v>
      </c>
      <c r="I1755" s="27" t="s">
        <v>21</v>
      </c>
      <c r="J1755" s="37">
        <v>45467</v>
      </c>
      <c r="K1755" s="27" t="s">
        <v>22</v>
      </c>
    </row>
    <row r="1756" spans="1:11" x14ac:dyDescent="0.2">
      <c r="A1756" s="24" t="s">
        <v>4468</v>
      </c>
      <c r="B1756" s="24" t="s">
        <v>4469</v>
      </c>
      <c r="C1756" s="24" t="s">
        <v>4470</v>
      </c>
      <c r="D1756" s="24" t="s">
        <v>17</v>
      </c>
      <c r="E1756" s="24" t="s">
        <v>26</v>
      </c>
      <c r="F1756" s="24" t="s">
        <v>27</v>
      </c>
      <c r="G1756" s="24" t="s">
        <v>28</v>
      </c>
      <c r="H1756" s="26">
        <v>115</v>
      </c>
      <c r="I1756" s="24" t="s">
        <v>29</v>
      </c>
      <c r="J1756" s="36">
        <v>45457</v>
      </c>
      <c r="K1756" s="24" t="s">
        <v>22</v>
      </c>
    </row>
    <row r="1757" spans="1:11" x14ac:dyDescent="0.2">
      <c r="A1757" s="27" t="s">
        <v>4471</v>
      </c>
      <c r="B1757" s="27" t="s">
        <v>4472</v>
      </c>
      <c r="C1757" s="27" t="s">
        <v>1663</v>
      </c>
      <c r="D1757" s="27" t="s">
        <v>17</v>
      </c>
      <c r="E1757" s="27" t="s">
        <v>18</v>
      </c>
      <c r="F1757" s="27" t="s">
        <v>19</v>
      </c>
      <c r="G1757" s="27" t="s">
        <v>217</v>
      </c>
      <c r="H1757" s="29">
        <v>30</v>
      </c>
      <c r="I1757" s="27" t="s">
        <v>29</v>
      </c>
      <c r="J1757" s="37">
        <v>45444</v>
      </c>
      <c r="K1757" s="27" t="s">
        <v>22</v>
      </c>
    </row>
    <row r="1758" spans="1:11" x14ac:dyDescent="0.2">
      <c r="A1758" s="24" t="s">
        <v>4473</v>
      </c>
      <c r="B1758" s="24" t="s">
        <v>4474</v>
      </c>
      <c r="C1758" s="24" t="s">
        <v>4475</v>
      </c>
      <c r="D1758" s="24" t="s">
        <v>17</v>
      </c>
      <c r="E1758" s="24" t="s">
        <v>18</v>
      </c>
      <c r="F1758" s="24" t="s">
        <v>19</v>
      </c>
      <c r="G1758" s="24" t="s">
        <v>28</v>
      </c>
      <c r="H1758" s="26">
        <v>28</v>
      </c>
      <c r="I1758" s="24" t="s">
        <v>29</v>
      </c>
      <c r="J1758" s="36">
        <v>45462</v>
      </c>
      <c r="K1758" s="24" t="s">
        <v>22</v>
      </c>
    </row>
    <row r="1759" spans="1:11" x14ac:dyDescent="0.2">
      <c r="A1759" s="27" t="s">
        <v>4476</v>
      </c>
      <c r="B1759" s="27" t="s">
        <v>4477</v>
      </c>
      <c r="C1759" s="27" t="s">
        <v>3630</v>
      </c>
      <c r="D1759" s="27" t="s">
        <v>17</v>
      </c>
      <c r="E1759" s="27" t="s">
        <v>18</v>
      </c>
      <c r="F1759" s="27" t="s">
        <v>19</v>
      </c>
      <c r="G1759" s="27" t="s">
        <v>217</v>
      </c>
      <c r="H1759" s="29">
        <v>44</v>
      </c>
      <c r="I1759" s="27" t="s">
        <v>29</v>
      </c>
      <c r="J1759" s="37">
        <v>45453</v>
      </c>
      <c r="K1759" s="27" t="s">
        <v>22</v>
      </c>
    </row>
    <row r="1760" spans="1:11" x14ac:dyDescent="0.2">
      <c r="A1760" s="24" t="s">
        <v>4478</v>
      </c>
      <c r="B1760" s="24" t="s">
        <v>4479</v>
      </c>
      <c r="C1760" s="24" t="s">
        <v>55</v>
      </c>
      <c r="D1760" s="24" t="s">
        <v>17</v>
      </c>
      <c r="E1760" s="24" t="s">
        <v>18</v>
      </c>
      <c r="F1760" s="24" t="s">
        <v>19</v>
      </c>
      <c r="G1760" s="24" t="s">
        <v>20</v>
      </c>
      <c r="H1760" s="26">
        <v>18</v>
      </c>
      <c r="I1760" s="24" t="s">
        <v>21</v>
      </c>
      <c r="J1760" s="36">
        <v>45463</v>
      </c>
      <c r="K1760" s="24" t="s">
        <v>22</v>
      </c>
    </row>
    <row r="1761" spans="1:11" x14ac:dyDescent="0.2">
      <c r="A1761" s="27" t="s">
        <v>4480</v>
      </c>
      <c r="B1761" s="27" t="s">
        <v>4481</v>
      </c>
      <c r="C1761" s="27" t="s">
        <v>4482</v>
      </c>
      <c r="D1761" s="27" t="s">
        <v>17</v>
      </c>
      <c r="E1761" s="27" t="s">
        <v>42</v>
      </c>
      <c r="F1761" s="27" t="s">
        <v>43</v>
      </c>
      <c r="G1761" s="27" t="s">
        <v>28</v>
      </c>
      <c r="H1761" s="29">
        <v>195</v>
      </c>
      <c r="I1761" s="27" t="s">
        <v>29</v>
      </c>
      <c r="J1761" s="37">
        <v>45453</v>
      </c>
      <c r="K1761" s="27" t="s">
        <v>22</v>
      </c>
    </row>
    <row r="1762" spans="1:11" x14ac:dyDescent="0.2">
      <c r="A1762" s="24" t="s">
        <v>4483</v>
      </c>
      <c r="B1762" s="24" t="s">
        <v>4484</v>
      </c>
      <c r="C1762" s="24" t="s">
        <v>4485</v>
      </c>
      <c r="D1762" s="24" t="s">
        <v>17</v>
      </c>
      <c r="E1762" s="24" t="s">
        <v>26</v>
      </c>
      <c r="F1762" s="24" t="s">
        <v>27</v>
      </c>
      <c r="G1762" s="24" t="s">
        <v>28</v>
      </c>
      <c r="H1762" s="26">
        <v>764</v>
      </c>
      <c r="I1762" s="24" t="s">
        <v>29</v>
      </c>
      <c r="J1762" s="36">
        <v>45460</v>
      </c>
      <c r="K1762" s="24" t="s">
        <v>22</v>
      </c>
    </row>
    <row r="1763" spans="1:11" x14ac:dyDescent="0.2">
      <c r="A1763" s="27" t="s">
        <v>4486</v>
      </c>
      <c r="B1763" s="27" t="s">
        <v>4487</v>
      </c>
      <c r="C1763" s="27" t="s">
        <v>154</v>
      </c>
      <c r="D1763" s="27" t="s">
        <v>17</v>
      </c>
      <c r="E1763" s="27" t="s">
        <v>42</v>
      </c>
      <c r="F1763" s="27" t="s">
        <v>43</v>
      </c>
      <c r="G1763" s="27" t="s">
        <v>44</v>
      </c>
      <c r="H1763" s="29">
        <v>80</v>
      </c>
      <c r="I1763" s="27" t="s">
        <v>29</v>
      </c>
      <c r="J1763" s="37">
        <v>45460</v>
      </c>
      <c r="K1763" s="27" t="s">
        <v>22</v>
      </c>
    </row>
    <row r="1764" spans="1:11" x14ac:dyDescent="0.2">
      <c r="A1764" s="24" t="s">
        <v>4488</v>
      </c>
      <c r="B1764" s="24" t="s">
        <v>4489</v>
      </c>
      <c r="C1764" s="24" t="s">
        <v>4490</v>
      </c>
      <c r="D1764" s="24" t="s">
        <v>17</v>
      </c>
      <c r="E1764" s="24" t="s">
        <v>42</v>
      </c>
      <c r="F1764" s="24" t="s">
        <v>43</v>
      </c>
      <c r="G1764" s="24" t="s">
        <v>28</v>
      </c>
      <c r="H1764" s="26">
        <v>176</v>
      </c>
      <c r="I1764" s="24" t="s">
        <v>29</v>
      </c>
      <c r="J1764" s="36">
        <v>45449</v>
      </c>
      <c r="K1764" s="24" t="s">
        <v>22</v>
      </c>
    </row>
    <row r="1765" spans="1:11" x14ac:dyDescent="0.2">
      <c r="A1765" s="27" t="s">
        <v>4491</v>
      </c>
      <c r="B1765" s="27" t="s">
        <v>4492</v>
      </c>
      <c r="C1765" s="27" t="s">
        <v>4493</v>
      </c>
      <c r="D1765" s="27" t="s">
        <v>17</v>
      </c>
      <c r="E1765" s="27" t="s">
        <v>18</v>
      </c>
      <c r="F1765" s="27" t="s">
        <v>19</v>
      </c>
      <c r="G1765" s="27" t="s">
        <v>116</v>
      </c>
      <c r="H1765" s="29">
        <v>0</v>
      </c>
      <c r="I1765" s="27" t="s">
        <v>21</v>
      </c>
      <c r="J1765" s="37">
        <v>45450</v>
      </c>
      <c r="K1765" s="27" t="s">
        <v>22</v>
      </c>
    </row>
    <row r="1766" spans="1:11" x14ac:dyDescent="0.2">
      <c r="A1766" s="24" t="s">
        <v>4494</v>
      </c>
      <c r="B1766" s="24" t="s">
        <v>4495</v>
      </c>
      <c r="C1766" s="24" t="s">
        <v>1147</v>
      </c>
      <c r="D1766" s="24" t="s">
        <v>17</v>
      </c>
      <c r="E1766" s="24" t="s">
        <v>18</v>
      </c>
      <c r="F1766" s="24" t="s">
        <v>19</v>
      </c>
      <c r="G1766" s="24" t="s">
        <v>20</v>
      </c>
      <c r="H1766" s="26">
        <v>72</v>
      </c>
      <c r="I1766" s="24" t="s">
        <v>21</v>
      </c>
      <c r="J1766" s="36">
        <v>45447</v>
      </c>
      <c r="K1766" s="24" t="s">
        <v>22</v>
      </c>
    </row>
    <row r="1767" spans="1:11" x14ac:dyDescent="0.2">
      <c r="A1767" s="27" t="s">
        <v>4496</v>
      </c>
      <c r="B1767" s="27" t="s">
        <v>4497</v>
      </c>
      <c r="C1767" s="27" t="s">
        <v>4498</v>
      </c>
      <c r="D1767" s="27" t="s">
        <v>17</v>
      </c>
      <c r="E1767" s="27" t="s">
        <v>163</v>
      </c>
      <c r="F1767" s="27" t="s">
        <v>164</v>
      </c>
      <c r="G1767" s="27" t="s">
        <v>44</v>
      </c>
      <c r="H1767" s="29">
        <v>9</v>
      </c>
      <c r="I1767" s="27" t="s">
        <v>29</v>
      </c>
      <c r="J1767" s="37">
        <v>45468</v>
      </c>
      <c r="K1767" s="27" t="s">
        <v>22</v>
      </c>
    </row>
    <row r="1768" spans="1:11" x14ac:dyDescent="0.2">
      <c r="A1768" s="24" t="s">
        <v>4499</v>
      </c>
      <c r="B1768" s="24" t="s">
        <v>4500</v>
      </c>
      <c r="C1768" s="24" t="s">
        <v>4501</v>
      </c>
      <c r="D1768" s="24" t="s">
        <v>17</v>
      </c>
      <c r="E1768" s="24" t="s">
        <v>18</v>
      </c>
      <c r="F1768" s="24" t="s">
        <v>19</v>
      </c>
      <c r="G1768" s="24" t="s">
        <v>28</v>
      </c>
      <c r="H1768" s="26">
        <v>76</v>
      </c>
      <c r="I1768" s="24" t="s">
        <v>29</v>
      </c>
      <c r="J1768" s="36">
        <v>45448</v>
      </c>
      <c r="K1768" s="24" t="s">
        <v>22</v>
      </c>
    </row>
    <row r="1769" spans="1:11" x14ac:dyDescent="0.2">
      <c r="A1769" s="27" t="s">
        <v>4502</v>
      </c>
      <c r="B1769" s="27" t="s">
        <v>4503</v>
      </c>
      <c r="C1769" s="27" t="s">
        <v>429</v>
      </c>
      <c r="D1769" s="27" t="s">
        <v>17</v>
      </c>
      <c r="E1769" s="27" t="s">
        <v>42</v>
      </c>
      <c r="F1769" s="27" t="s">
        <v>43</v>
      </c>
      <c r="G1769" s="27" t="s">
        <v>28</v>
      </c>
      <c r="H1769" s="29">
        <v>450</v>
      </c>
      <c r="I1769" s="27" t="s">
        <v>29</v>
      </c>
      <c r="J1769" s="37">
        <v>45473</v>
      </c>
      <c r="K1769" s="27" t="s">
        <v>22</v>
      </c>
    </row>
    <row r="1770" spans="1:11" x14ac:dyDescent="0.2">
      <c r="A1770" s="24" t="s">
        <v>4504</v>
      </c>
      <c r="B1770" s="24" t="s">
        <v>4505</v>
      </c>
      <c r="C1770" s="24" t="s">
        <v>1093</v>
      </c>
      <c r="D1770" s="24" t="s">
        <v>17</v>
      </c>
      <c r="E1770" s="24" t="s">
        <v>81</v>
      </c>
      <c r="F1770" s="24" t="s">
        <v>82</v>
      </c>
      <c r="G1770" s="24" t="s">
        <v>20</v>
      </c>
      <c r="H1770" s="26">
        <v>89</v>
      </c>
      <c r="I1770" s="24" t="s">
        <v>21</v>
      </c>
      <c r="J1770" s="36">
        <v>45464</v>
      </c>
      <c r="K1770" s="24" t="s">
        <v>22</v>
      </c>
    </row>
    <row r="1771" spans="1:11" x14ac:dyDescent="0.2">
      <c r="A1771" s="27" t="s">
        <v>4506</v>
      </c>
      <c r="B1771" s="27" t="s">
        <v>4507</v>
      </c>
      <c r="C1771" s="27" t="s">
        <v>434</v>
      </c>
      <c r="D1771" s="27" t="s">
        <v>17</v>
      </c>
      <c r="E1771" s="27" t="s">
        <v>163</v>
      </c>
      <c r="F1771" s="27" t="s">
        <v>164</v>
      </c>
      <c r="G1771" s="27" t="s">
        <v>28</v>
      </c>
      <c r="H1771" s="29">
        <v>24</v>
      </c>
      <c r="I1771" s="27" t="s">
        <v>29</v>
      </c>
      <c r="J1771" s="37">
        <v>45461</v>
      </c>
      <c r="K1771" s="27" t="s">
        <v>22</v>
      </c>
    </row>
    <row r="1772" spans="1:11" x14ac:dyDescent="0.2">
      <c r="A1772" s="24" t="s">
        <v>4508</v>
      </c>
      <c r="B1772" s="24" t="s">
        <v>4509</v>
      </c>
      <c r="C1772" s="24" t="s">
        <v>4510</v>
      </c>
      <c r="D1772" s="24" t="s">
        <v>17</v>
      </c>
      <c r="E1772" s="24" t="s">
        <v>18</v>
      </c>
      <c r="F1772" s="24" t="s">
        <v>19</v>
      </c>
      <c r="G1772" s="24" t="s">
        <v>44</v>
      </c>
      <c r="H1772" s="26">
        <v>96</v>
      </c>
      <c r="I1772" s="24" t="s">
        <v>21</v>
      </c>
      <c r="J1772" s="36">
        <v>45449</v>
      </c>
      <c r="K1772" s="24" t="s">
        <v>22</v>
      </c>
    </row>
    <row r="1773" spans="1:11" x14ac:dyDescent="0.2">
      <c r="A1773" s="27" t="s">
        <v>4511</v>
      </c>
      <c r="B1773" s="27" t="s">
        <v>4512</v>
      </c>
      <c r="C1773" s="27" t="s">
        <v>4513</v>
      </c>
      <c r="D1773" s="27" t="s">
        <v>17</v>
      </c>
      <c r="E1773" s="27" t="s">
        <v>18</v>
      </c>
      <c r="F1773" s="27" t="s">
        <v>19</v>
      </c>
      <c r="G1773" s="27" t="s">
        <v>28</v>
      </c>
      <c r="H1773" s="29">
        <v>90</v>
      </c>
      <c r="I1773" s="27" t="s">
        <v>29</v>
      </c>
      <c r="J1773" s="37">
        <v>45456</v>
      </c>
      <c r="K1773" s="27" t="s">
        <v>22</v>
      </c>
    </row>
    <row r="1774" spans="1:11" x14ac:dyDescent="0.2">
      <c r="A1774" s="24" t="s">
        <v>4514</v>
      </c>
      <c r="B1774" s="24" t="s">
        <v>4515</v>
      </c>
      <c r="C1774" s="24" t="s">
        <v>4516</v>
      </c>
      <c r="D1774" s="24" t="s">
        <v>17</v>
      </c>
      <c r="E1774" s="24" t="s">
        <v>18</v>
      </c>
      <c r="F1774" s="24" t="s">
        <v>19</v>
      </c>
      <c r="G1774" s="24" t="s">
        <v>217</v>
      </c>
      <c r="H1774" s="26">
        <v>8</v>
      </c>
      <c r="I1774" s="24" t="s">
        <v>29</v>
      </c>
      <c r="J1774" s="36">
        <v>45473</v>
      </c>
      <c r="K1774" s="24" t="s">
        <v>22</v>
      </c>
    </row>
    <row r="1775" spans="1:11" x14ac:dyDescent="0.2">
      <c r="A1775" s="27" t="s">
        <v>4517</v>
      </c>
      <c r="B1775" s="27" t="s">
        <v>4518</v>
      </c>
      <c r="C1775" s="27" t="s">
        <v>4519</v>
      </c>
      <c r="D1775" s="27" t="s">
        <v>17</v>
      </c>
      <c r="E1775" s="27" t="s">
        <v>26</v>
      </c>
      <c r="F1775" s="27" t="s">
        <v>27</v>
      </c>
      <c r="G1775" s="27" t="s">
        <v>28</v>
      </c>
      <c r="H1775" s="29">
        <v>12</v>
      </c>
      <c r="I1775" s="27" t="s">
        <v>29</v>
      </c>
      <c r="J1775" s="37">
        <v>45448</v>
      </c>
      <c r="K1775" s="27" t="s">
        <v>22</v>
      </c>
    </row>
    <row r="1776" spans="1:11" x14ac:dyDescent="0.2">
      <c r="A1776" s="24" t="s">
        <v>4520</v>
      </c>
      <c r="B1776" s="24" t="s">
        <v>4521</v>
      </c>
      <c r="C1776" s="24" t="s">
        <v>1307</v>
      </c>
      <c r="D1776" s="24" t="s">
        <v>17</v>
      </c>
      <c r="E1776" s="24" t="s">
        <v>48</v>
      </c>
      <c r="F1776" s="24" t="s">
        <v>49</v>
      </c>
      <c r="G1776" s="24" t="s">
        <v>20</v>
      </c>
      <c r="H1776" s="26">
        <v>281</v>
      </c>
      <c r="I1776" s="24" t="s">
        <v>21</v>
      </c>
      <c r="J1776" s="36">
        <v>45464</v>
      </c>
      <c r="K1776" s="24" t="s">
        <v>22</v>
      </c>
    </row>
    <row r="1777" spans="1:11" x14ac:dyDescent="0.2">
      <c r="A1777" s="27" t="s">
        <v>4522</v>
      </c>
      <c r="B1777" s="27" t="s">
        <v>4523</v>
      </c>
      <c r="C1777" s="27" t="s">
        <v>4524</v>
      </c>
      <c r="D1777" s="27" t="s">
        <v>17</v>
      </c>
      <c r="E1777" s="27" t="s">
        <v>18</v>
      </c>
      <c r="F1777" s="27" t="s">
        <v>19</v>
      </c>
      <c r="G1777" s="27" t="s">
        <v>28</v>
      </c>
      <c r="H1777" s="29">
        <v>70</v>
      </c>
      <c r="I1777" s="27" t="s">
        <v>29</v>
      </c>
      <c r="J1777" s="37">
        <v>45457</v>
      </c>
      <c r="K1777" s="27" t="s">
        <v>22</v>
      </c>
    </row>
    <row r="1778" spans="1:11" x14ac:dyDescent="0.2">
      <c r="A1778" s="24" t="s">
        <v>4525</v>
      </c>
      <c r="B1778" s="24" t="s">
        <v>4526</v>
      </c>
      <c r="C1778" s="24" t="s">
        <v>2129</v>
      </c>
      <c r="D1778" s="24" t="s">
        <v>17</v>
      </c>
      <c r="E1778" s="24" t="s">
        <v>33</v>
      </c>
      <c r="F1778" s="24" t="s">
        <v>34</v>
      </c>
      <c r="G1778" s="24" t="s">
        <v>44</v>
      </c>
      <c r="H1778" s="26">
        <v>242</v>
      </c>
      <c r="I1778" s="24" t="s">
        <v>29</v>
      </c>
      <c r="J1778" s="36">
        <v>45463</v>
      </c>
      <c r="K1778" s="24" t="s">
        <v>22</v>
      </c>
    </row>
    <row r="1779" spans="1:11" x14ac:dyDescent="0.2">
      <c r="A1779" s="27" t="s">
        <v>4527</v>
      </c>
      <c r="B1779" s="27" t="s">
        <v>4528</v>
      </c>
      <c r="C1779" s="27" t="s">
        <v>4529</v>
      </c>
      <c r="D1779" s="27" t="s">
        <v>17</v>
      </c>
      <c r="E1779" s="27" t="s">
        <v>18</v>
      </c>
      <c r="F1779" s="27" t="s">
        <v>19</v>
      </c>
      <c r="G1779" s="27" t="s">
        <v>20</v>
      </c>
      <c r="H1779" s="29">
        <v>57</v>
      </c>
      <c r="I1779" s="27" t="s">
        <v>21</v>
      </c>
      <c r="J1779" s="37">
        <v>45467</v>
      </c>
      <c r="K1779" s="27" t="s">
        <v>22</v>
      </c>
    </row>
    <row r="1780" spans="1:11" x14ac:dyDescent="0.2">
      <c r="A1780" s="24" t="s">
        <v>4530</v>
      </c>
      <c r="B1780" s="24" t="s">
        <v>4531</v>
      </c>
      <c r="C1780" s="24" t="s">
        <v>2469</v>
      </c>
      <c r="D1780" s="24" t="s">
        <v>17</v>
      </c>
      <c r="E1780" s="24" t="s">
        <v>18</v>
      </c>
      <c r="F1780" s="24" t="s">
        <v>19</v>
      </c>
      <c r="G1780" s="24" t="s">
        <v>20</v>
      </c>
      <c r="H1780" s="26">
        <v>225</v>
      </c>
      <c r="I1780" s="24" t="s">
        <v>21</v>
      </c>
      <c r="J1780" s="36">
        <v>45448</v>
      </c>
      <c r="K1780" s="24" t="s">
        <v>22</v>
      </c>
    </row>
    <row r="1781" spans="1:11" x14ac:dyDescent="0.2">
      <c r="A1781" s="27" t="s">
        <v>4532</v>
      </c>
      <c r="B1781" s="27" t="s">
        <v>4533</v>
      </c>
      <c r="C1781" s="27" t="s">
        <v>1921</v>
      </c>
      <c r="D1781" s="27" t="s">
        <v>17</v>
      </c>
      <c r="E1781" s="27" t="s">
        <v>18</v>
      </c>
      <c r="F1781" s="27" t="s">
        <v>19</v>
      </c>
      <c r="G1781" s="27" t="s">
        <v>28</v>
      </c>
      <c r="H1781" s="29">
        <v>190</v>
      </c>
      <c r="I1781" s="27" t="s">
        <v>29</v>
      </c>
      <c r="J1781" s="37">
        <v>45455</v>
      </c>
      <c r="K1781" s="27" t="s">
        <v>22</v>
      </c>
    </row>
    <row r="1782" spans="1:11" x14ac:dyDescent="0.2">
      <c r="A1782" s="24" t="s">
        <v>4534</v>
      </c>
      <c r="B1782" s="24" t="s">
        <v>4535</v>
      </c>
      <c r="C1782" s="24" t="s">
        <v>4536</v>
      </c>
      <c r="D1782" s="24" t="s">
        <v>17</v>
      </c>
      <c r="E1782" s="24" t="s">
        <v>18</v>
      </c>
      <c r="F1782" s="24" t="s">
        <v>19</v>
      </c>
      <c r="G1782" s="24" t="s">
        <v>28</v>
      </c>
      <c r="H1782" s="26">
        <v>56</v>
      </c>
      <c r="I1782" s="24" t="s">
        <v>29</v>
      </c>
      <c r="J1782" s="36">
        <v>45463</v>
      </c>
      <c r="K1782" s="24" t="s">
        <v>22</v>
      </c>
    </row>
    <row r="1783" spans="1:11" x14ac:dyDescent="0.2">
      <c r="A1783" s="27" t="s">
        <v>4537</v>
      </c>
      <c r="B1783" s="27" t="s">
        <v>4538</v>
      </c>
      <c r="C1783" s="27" t="s">
        <v>4539</v>
      </c>
      <c r="D1783" s="27" t="s">
        <v>17</v>
      </c>
      <c r="E1783" s="27" t="s">
        <v>26</v>
      </c>
      <c r="F1783" s="27" t="s">
        <v>27</v>
      </c>
      <c r="G1783" s="27" t="s">
        <v>20</v>
      </c>
      <c r="H1783" s="29">
        <v>43</v>
      </c>
      <c r="I1783" s="27" t="s">
        <v>21</v>
      </c>
      <c r="J1783" s="37">
        <v>45467</v>
      </c>
      <c r="K1783" s="27" t="s">
        <v>22</v>
      </c>
    </row>
    <row r="1784" spans="1:11" x14ac:dyDescent="0.2">
      <c r="A1784" s="24" t="s">
        <v>4540</v>
      </c>
      <c r="B1784" s="24" t="s">
        <v>4541</v>
      </c>
      <c r="C1784" s="24" t="s">
        <v>4542</v>
      </c>
      <c r="D1784" s="24" t="s">
        <v>17</v>
      </c>
      <c r="E1784" s="24" t="s">
        <v>48</v>
      </c>
      <c r="F1784" s="24" t="s">
        <v>49</v>
      </c>
      <c r="G1784" s="24" t="s">
        <v>28</v>
      </c>
      <c r="H1784" s="26">
        <v>39</v>
      </c>
      <c r="I1784" s="24" t="s">
        <v>29</v>
      </c>
      <c r="J1784" s="36">
        <v>45463</v>
      </c>
      <c r="K1784" s="24" t="s">
        <v>22</v>
      </c>
    </row>
    <row r="1785" spans="1:11" x14ac:dyDescent="0.2">
      <c r="A1785" s="27" t="s">
        <v>4543</v>
      </c>
      <c r="B1785" s="27" t="s">
        <v>4544</v>
      </c>
      <c r="C1785" s="27" t="s">
        <v>494</v>
      </c>
      <c r="D1785" s="27" t="s">
        <v>17</v>
      </c>
      <c r="E1785" s="27" t="s">
        <v>18</v>
      </c>
      <c r="F1785" s="27" t="s">
        <v>19</v>
      </c>
      <c r="G1785" s="27" t="s">
        <v>44</v>
      </c>
      <c r="H1785" s="29">
        <v>186</v>
      </c>
      <c r="I1785" s="27" t="s">
        <v>21</v>
      </c>
      <c r="J1785" s="37">
        <v>45453</v>
      </c>
      <c r="K1785" s="27" t="s">
        <v>22</v>
      </c>
    </row>
    <row r="1786" spans="1:11" x14ac:dyDescent="0.2">
      <c r="A1786" s="24" t="s">
        <v>4545</v>
      </c>
      <c r="B1786" s="24" t="s">
        <v>4546</v>
      </c>
      <c r="C1786" s="24" t="s">
        <v>4547</v>
      </c>
      <c r="D1786" s="24" t="s">
        <v>17</v>
      </c>
      <c r="E1786" s="24" t="s">
        <v>48</v>
      </c>
      <c r="F1786" s="24" t="s">
        <v>49</v>
      </c>
      <c r="G1786" s="24" t="s">
        <v>20</v>
      </c>
      <c r="H1786" s="26">
        <v>116</v>
      </c>
      <c r="I1786" s="24" t="s">
        <v>21</v>
      </c>
      <c r="J1786" s="36">
        <v>45471</v>
      </c>
      <c r="K1786" s="24" t="s">
        <v>22</v>
      </c>
    </row>
    <row r="1787" spans="1:11" x14ac:dyDescent="0.2">
      <c r="A1787" s="27" t="s">
        <v>4548</v>
      </c>
      <c r="B1787" s="27" t="s">
        <v>4549</v>
      </c>
      <c r="C1787" s="27" t="s">
        <v>687</v>
      </c>
      <c r="D1787" s="27" t="s">
        <v>17</v>
      </c>
      <c r="E1787" s="27" t="s">
        <v>18</v>
      </c>
      <c r="F1787" s="27" t="s">
        <v>19</v>
      </c>
      <c r="G1787" s="27" t="s">
        <v>20</v>
      </c>
      <c r="H1787" s="29">
        <v>43</v>
      </c>
      <c r="I1787" s="27" t="s">
        <v>21</v>
      </c>
      <c r="J1787" s="37">
        <v>45457</v>
      </c>
      <c r="K1787" s="27" t="s">
        <v>22</v>
      </c>
    </row>
    <row r="1788" spans="1:11" x14ac:dyDescent="0.2">
      <c r="A1788" s="24" t="s">
        <v>4550</v>
      </c>
      <c r="B1788" s="24" t="s">
        <v>4551</v>
      </c>
      <c r="C1788" s="24" t="s">
        <v>194</v>
      </c>
      <c r="D1788" s="24" t="s">
        <v>17</v>
      </c>
      <c r="E1788" s="24" t="s">
        <v>48</v>
      </c>
      <c r="F1788" s="24" t="s">
        <v>49</v>
      </c>
      <c r="G1788" s="24" t="s">
        <v>28</v>
      </c>
      <c r="H1788" s="26">
        <v>120</v>
      </c>
      <c r="I1788" s="24" t="s">
        <v>29</v>
      </c>
      <c r="J1788" s="36">
        <v>45462</v>
      </c>
      <c r="K1788" s="24" t="s">
        <v>22</v>
      </c>
    </row>
    <row r="1789" spans="1:11" x14ac:dyDescent="0.2">
      <c r="A1789" s="27" t="s">
        <v>4552</v>
      </c>
      <c r="B1789" s="27" t="s">
        <v>4553</v>
      </c>
      <c r="C1789" s="27" t="s">
        <v>106</v>
      </c>
      <c r="D1789" s="27" t="s">
        <v>17</v>
      </c>
      <c r="E1789" s="27" t="s">
        <v>42</v>
      </c>
      <c r="F1789" s="27" t="s">
        <v>43</v>
      </c>
      <c r="G1789" s="27" t="s">
        <v>28</v>
      </c>
      <c r="H1789" s="29">
        <v>6000</v>
      </c>
      <c r="I1789" s="27" t="s">
        <v>29</v>
      </c>
      <c r="J1789" s="37">
        <v>45460</v>
      </c>
      <c r="K1789" s="27" t="s">
        <v>22</v>
      </c>
    </row>
    <row r="1790" spans="1:11" x14ac:dyDescent="0.2">
      <c r="A1790" s="24" t="s">
        <v>4554</v>
      </c>
      <c r="B1790" s="24" t="s">
        <v>4555</v>
      </c>
      <c r="C1790" s="24" t="s">
        <v>55</v>
      </c>
      <c r="D1790" s="24" t="s">
        <v>17</v>
      </c>
      <c r="E1790" s="24" t="s">
        <v>18</v>
      </c>
      <c r="F1790" s="24" t="s">
        <v>19</v>
      </c>
      <c r="G1790" s="24" t="s">
        <v>20</v>
      </c>
      <c r="H1790" s="26">
        <v>14</v>
      </c>
      <c r="I1790" s="24" t="s">
        <v>21</v>
      </c>
      <c r="J1790" s="36">
        <v>45456</v>
      </c>
      <c r="K1790" s="24" t="s">
        <v>22</v>
      </c>
    </row>
    <row r="1791" spans="1:11" x14ac:dyDescent="0.2">
      <c r="A1791" s="27" t="s">
        <v>4556</v>
      </c>
      <c r="B1791" s="27" t="s">
        <v>4557</v>
      </c>
      <c r="C1791" s="27" t="s">
        <v>2397</v>
      </c>
      <c r="D1791" s="27" t="s">
        <v>17</v>
      </c>
      <c r="E1791" s="27" t="s">
        <v>18</v>
      </c>
      <c r="F1791" s="27" t="s">
        <v>19</v>
      </c>
      <c r="G1791" s="27" t="s">
        <v>44</v>
      </c>
      <c r="H1791" s="29">
        <v>16</v>
      </c>
      <c r="I1791" s="27" t="s">
        <v>21</v>
      </c>
      <c r="J1791" s="37">
        <v>45446</v>
      </c>
      <c r="K1791" s="27" t="s">
        <v>22</v>
      </c>
    </row>
    <row r="1792" spans="1:11" x14ac:dyDescent="0.2">
      <c r="A1792" s="24" t="s">
        <v>4558</v>
      </c>
      <c r="B1792" s="24" t="s">
        <v>4559</v>
      </c>
      <c r="C1792" s="24" t="s">
        <v>146</v>
      </c>
      <c r="D1792" s="24" t="s">
        <v>17</v>
      </c>
      <c r="E1792" s="24" t="s">
        <v>18</v>
      </c>
      <c r="F1792" s="24" t="s">
        <v>19</v>
      </c>
      <c r="G1792" s="24" t="s">
        <v>116</v>
      </c>
      <c r="H1792" s="26">
        <v>0</v>
      </c>
      <c r="I1792" s="24" t="s">
        <v>21</v>
      </c>
      <c r="J1792" s="36">
        <v>45446</v>
      </c>
      <c r="K1792" s="24" t="s">
        <v>22</v>
      </c>
    </row>
    <row r="1793" spans="1:11" x14ac:dyDescent="0.2">
      <c r="A1793" s="27" t="s">
        <v>4560</v>
      </c>
      <c r="B1793" s="27" t="s">
        <v>4561</v>
      </c>
      <c r="C1793" s="27" t="s">
        <v>1161</v>
      </c>
      <c r="D1793" s="27" t="s">
        <v>17</v>
      </c>
      <c r="E1793" s="27" t="s">
        <v>26</v>
      </c>
      <c r="F1793" s="27" t="s">
        <v>27</v>
      </c>
      <c r="G1793" s="27" t="s">
        <v>28</v>
      </c>
      <c r="H1793" s="29">
        <v>88</v>
      </c>
      <c r="I1793" s="27" t="s">
        <v>29</v>
      </c>
      <c r="J1793" s="37">
        <v>45455</v>
      </c>
      <c r="K1793" s="27" t="s">
        <v>22</v>
      </c>
    </row>
    <row r="1794" spans="1:11" x14ac:dyDescent="0.2">
      <c r="A1794" s="24" t="s">
        <v>4562</v>
      </c>
      <c r="B1794" s="24" t="s">
        <v>4563</v>
      </c>
      <c r="C1794" s="24" t="s">
        <v>4564</v>
      </c>
      <c r="D1794" s="24" t="s">
        <v>17</v>
      </c>
      <c r="E1794" s="24" t="s">
        <v>42</v>
      </c>
      <c r="F1794" s="24" t="s">
        <v>43</v>
      </c>
      <c r="G1794" s="24" t="s">
        <v>28</v>
      </c>
      <c r="H1794" s="26">
        <v>150</v>
      </c>
      <c r="I1794" s="24" t="s">
        <v>29</v>
      </c>
      <c r="J1794" s="36">
        <v>45457</v>
      </c>
      <c r="K1794" s="24" t="s">
        <v>22</v>
      </c>
    </row>
    <row r="1795" spans="1:11" x14ac:dyDescent="0.2">
      <c r="A1795" s="27" t="s">
        <v>4565</v>
      </c>
      <c r="B1795" s="27" t="s">
        <v>4566</v>
      </c>
      <c r="C1795" s="27" t="s">
        <v>68</v>
      </c>
      <c r="D1795" s="27" t="s">
        <v>17</v>
      </c>
      <c r="E1795" s="27" t="s">
        <v>48</v>
      </c>
      <c r="F1795" s="27" t="s">
        <v>49</v>
      </c>
      <c r="G1795" s="27" t="s">
        <v>28</v>
      </c>
      <c r="H1795" s="29">
        <v>65</v>
      </c>
      <c r="I1795" s="27" t="s">
        <v>29</v>
      </c>
      <c r="J1795" s="37">
        <v>45447</v>
      </c>
      <c r="K1795" s="27" t="s">
        <v>22</v>
      </c>
    </row>
    <row r="1796" spans="1:11" x14ac:dyDescent="0.2">
      <c r="A1796" s="24" t="s">
        <v>4567</v>
      </c>
      <c r="B1796" s="24" t="s">
        <v>4568</v>
      </c>
      <c r="C1796" s="24" t="s">
        <v>2190</v>
      </c>
      <c r="D1796" s="24" t="s">
        <v>17</v>
      </c>
      <c r="E1796" s="24" t="s">
        <v>48</v>
      </c>
      <c r="F1796" s="24" t="s">
        <v>49</v>
      </c>
      <c r="G1796" s="24" t="s">
        <v>28</v>
      </c>
      <c r="H1796" s="26">
        <v>138</v>
      </c>
      <c r="I1796" s="24" t="s">
        <v>29</v>
      </c>
      <c r="J1796" s="36">
        <v>45470</v>
      </c>
      <c r="K1796" s="24" t="s">
        <v>22</v>
      </c>
    </row>
    <row r="1797" spans="1:11" x14ac:dyDescent="0.2">
      <c r="A1797" s="27" t="s">
        <v>4569</v>
      </c>
      <c r="B1797" s="27" t="s">
        <v>4570</v>
      </c>
      <c r="C1797" s="27" t="s">
        <v>68</v>
      </c>
      <c r="D1797" s="27" t="s">
        <v>17</v>
      </c>
      <c r="E1797" s="27" t="s">
        <v>18</v>
      </c>
      <c r="F1797" s="27" t="s">
        <v>19</v>
      </c>
      <c r="G1797" s="27" t="s">
        <v>20</v>
      </c>
      <c r="H1797" s="29">
        <v>6</v>
      </c>
      <c r="I1797" s="27" t="s">
        <v>21</v>
      </c>
      <c r="J1797" s="37">
        <v>45450</v>
      </c>
      <c r="K1797" s="27" t="s">
        <v>22</v>
      </c>
    </row>
    <row r="1798" spans="1:11" x14ac:dyDescent="0.2">
      <c r="A1798" s="24" t="s">
        <v>4571</v>
      </c>
      <c r="B1798" s="24" t="s">
        <v>4572</v>
      </c>
      <c r="C1798" s="24" t="s">
        <v>4573</v>
      </c>
      <c r="D1798" s="24" t="s">
        <v>17</v>
      </c>
      <c r="E1798" s="24" t="s">
        <v>42</v>
      </c>
      <c r="F1798" s="24" t="s">
        <v>43</v>
      </c>
      <c r="G1798" s="24" t="s">
        <v>28</v>
      </c>
      <c r="H1798" s="26">
        <v>600</v>
      </c>
      <c r="I1798" s="24" t="s">
        <v>29</v>
      </c>
      <c r="J1798" s="36">
        <v>45446</v>
      </c>
      <c r="K1798" s="24" t="s">
        <v>22</v>
      </c>
    </row>
    <row r="1799" spans="1:11" x14ac:dyDescent="0.2">
      <c r="A1799" s="27" t="s">
        <v>4574</v>
      </c>
      <c r="B1799" s="27" t="s">
        <v>4575</v>
      </c>
      <c r="C1799" s="27" t="s">
        <v>112</v>
      </c>
      <c r="D1799" s="27" t="s">
        <v>17</v>
      </c>
      <c r="E1799" s="27" t="s">
        <v>18</v>
      </c>
      <c r="F1799" s="27" t="s">
        <v>19</v>
      </c>
      <c r="G1799" s="27" t="s">
        <v>44</v>
      </c>
      <c r="H1799" s="29">
        <v>60</v>
      </c>
      <c r="I1799" s="27" t="s">
        <v>21</v>
      </c>
      <c r="J1799" s="37">
        <v>45453</v>
      </c>
      <c r="K1799" s="27" t="s">
        <v>22</v>
      </c>
    </row>
    <row r="1800" spans="1:11" x14ac:dyDescent="0.2">
      <c r="A1800" s="24" t="s">
        <v>4576</v>
      </c>
      <c r="B1800" s="24" t="s">
        <v>4577</v>
      </c>
      <c r="C1800" s="24" t="s">
        <v>2999</v>
      </c>
      <c r="D1800" s="24" t="s">
        <v>17</v>
      </c>
      <c r="E1800" s="24" t="s">
        <v>42</v>
      </c>
      <c r="F1800" s="24" t="s">
        <v>43</v>
      </c>
      <c r="G1800" s="24" t="s">
        <v>38</v>
      </c>
      <c r="H1800" s="26">
        <v>120</v>
      </c>
      <c r="I1800" s="24" t="s">
        <v>29</v>
      </c>
      <c r="J1800" s="36">
        <v>45451</v>
      </c>
      <c r="K1800" s="24" t="s">
        <v>22</v>
      </c>
    </row>
    <row r="1801" spans="1:11" x14ac:dyDescent="0.2">
      <c r="A1801" s="27" t="s">
        <v>4578</v>
      </c>
      <c r="B1801" s="27" t="s">
        <v>4579</v>
      </c>
      <c r="C1801" s="27" t="s">
        <v>4580</v>
      </c>
      <c r="D1801" s="27" t="s">
        <v>17</v>
      </c>
      <c r="E1801" s="27" t="s">
        <v>26</v>
      </c>
      <c r="F1801" s="27" t="s">
        <v>27</v>
      </c>
      <c r="G1801" s="27" t="s">
        <v>44</v>
      </c>
      <c r="H1801" s="29">
        <v>10</v>
      </c>
      <c r="I1801" s="27" t="s">
        <v>21</v>
      </c>
      <c r="J1801" s="37">
        <v>45460</v>
      </c>
      <c r="K1801" s="27" t="s">
        <v>22</v>
      </c>
    </row>
    <row r="1802" spans="1:11" x14ac:dyDescent="0.2">
      <c r="A1802" s="24" t="s">
        <v>4581</v>
      </c>
      <c r="B1802" s="24" t="s">
        <v>4582</v>
      </c>
      <c r="C1802" s="24" t="s">
        <v>4583</v>
      </c>
      <c r="D1802" s="24" t="s">
        <v>17</v>
      </c>
      <c r="E1802" s="24" t="s">
        <v>18</v>
      </c>
      <c r="F1802" s="24" t="s">
        <v>19</v>
      </c>
      <c r="G1802" s="24" t="s">
        <v>28</v>
      </c>
      <c r="H1802" s="26">
        <v>52</v>
      </c>
      <c r="I1802" s="24" t="s">
        <v>29</v>
      </c>
      <c r="J1802" s="36">
        <v>45461</v>
      </c>
      <c r="K1802" s="24" t="s">
        <v>22</v>
      </c>
    </row>
    <row r="1803" spans="1:11" x14ac:dyDescent="0.2">
      <c r="A1803" s="27" t="s">
        <v>4584</v>
      </c>
      <c r="B1803" s="27" t="s">
        <v>4585</v>
      </c>
      <c r="C1803" s="27" t="s">
        <v>2451</v>
      </c>
      <c r="D1803" s="27" t="s">
        <v>17</v>
      </c>
      <c r="E1803" s="27" t="s">
        <v>48</v>
      </c>
      <c r="F1803" s="27" t="s">
        <v>49</v>
      </c>
      <c r="G1803" s="27" t="s">
        <v>28</v>
      </c>
      <c r="H1803" s="29">
        <v>82</v>
      </c>
      <c r="I1803" s="27" t="s">
        <v>29</v>
      </c>
      <c r="J1803" s="37">
        <v>45454</v>
      </c>
      <c r="K1803" s="27" t="s">
        <v>22</v>
      </c>
    </row>
    <row r="1804" spans="1:11" x14ac:dyDescent="0.2">
      <c r="A1804" s="24" t="s">
        <v>4586</v>
      </c>
      <c r="B1804" s="24" t="s">
        <v>4587</v>
      </c>
      <c r="C1804" s="24" t="s">
        <v>1307</v>
      </c>
      <c r="D1804" s="24" t="s">
        <v>17</v>
      </c>
      <c r="E1804" s="24" t="s">
        <v>18</v>
      </c>
      <c r="F1804" s="24" t="s">
        <v>19</v>
      </c>
      <c r="G1804" s="24" t="s">
        <v>28</v>
      </c>
      <c r="H1804" s="26">
        <v>233</v>
      </c>
      <c r="I1804" s="24" t="s">
        <v>29</v>
      </c>
      <c r="J1804" s="36">
        <v>45449</v>
      </c>
      <c r="K1804" s="24" t="s">
        <v>22</v>
      </c>
    </row>
    <row r="1805" spans="1:11" x14ac:dyDescent="0.2">
      <c r="A1805" s="27" t="s">
        <v>4588</v>
      </c>
      <c r="B1805" s="27" t="s">
        <v>4589</v>
      </c>
      <c r="C1805" s="27" t="s">
        <v>55</v>
      </c>
      <c r="D1805" s="27" t="s">
        <v>17</v>
      </c>
      <c r="E1805" s="27" t="s">
        <v>18</v>
      </c>
      <c r="F1805" s="27" t="s">
        <v>19</v>
      </c>
      <c r="G1805" s="27" t="s">
        <v>20</v>
      </c>
      <c r="H1805" s="29">
        <v>48</v>
      </c>
      <c r="I1805" s="27" t="s">
        <v>21</v>
      </c>
      <c r="J1805" s="37">
        <v>45456</v>
      </c>
      <c r="K1805" s="27" t="s">
        <v>22</v>
      </c>
    </row>
    <row r="1806" spans="1:11" x14ac:dyDescent="0.2">
      <c r="A1806" s="24" t="s">
        <v>4590</v>
      </c>
      <c r="B1806" s="24" t="s">
        <v>4591</v>
      </c>
      <c r="C1806" s="24" t="s">
        <v>4592</v>
      </c>
      <c r="D1806" s="24" t="s">
        <v>17</v>
      </c>
      <c r="E1806" s="24" t="s">
        <v>42</v>
      </c>
      <c r="F1806" s="24" t="s">
        <v>43</v>
      </c>
      <c r="G1806" s="24" t="s">
        <v>28</v>
      </c>
      <c r="H1806" s="26">
        <v>312</v>
      </c>
      <c r="I1806" s="24" t="s">
        <v>29</v>
      </c>
      <c r="J1806" s="36">
        <v>45463</v>
      </c>
      <c r="K1806" s="24" t="s">
        <v>22</v>
      </c>
    </row>
    <row r="1807" spans="1:11" x14ac:dyDescent="0.2">
      <c r="A1807" s="27" t="s">
        <v>4593</v>
      </c>
      <c r="B1807" s="27" t="s">
        <v>4594</v>
      </c>
      <c r="C1807" s="27" t="s">
        <v>4595</v>
      </c>
      <c r="D1807" s="27" t="s">
        <v>17</v>
      </c>
      <c r="E1807" s="27" t="s">
        <v>18</v>
      </c>
      <c r="F1807" s="27" t="s">
        <v>19</v>
      </c>
      <c r="G1807" s="27" t="s">
        <v>28</v>
      </c>
      <c r="H1807" s="29">
        <v>103</v>
      </c>
      <c r="I1807" s="27" t="s">
        <v>29</v>
      </c>
      <c r="J1807" s="37">
        <v>45470</v>
      </c>
      <c r="K1807" s="27" t="s">
        <v>22</v>
      </c>
    </row>
    <row r="1808" spans="1:11" x14ac:dyDescent="0.2">
      <c r="A1808" s="24" t="s">
        <v>4596</v>
      </c>
      <c r="B1808" s="24" t="s">
        <v>4597</v>
      </c>
      <c r="C1808" s="24" t="s">
        <v>4598</v>
      </c>
      <c r="D1808" s="24" t="s">
        <v>17</v>
      </c>
      <c r="E1808" s="24" t="s">
        <v>26</v>
      </c>
      <c r="F1808" s="24" t="s">
        <v>27</v>
      </c>
      <c r="G1808" s="24" t="s">
        <v>20</v>
      </c>
      <c r="H1808" s="26">
        <v>24</v>
      </c>
      <c r="I1808" s="24" t="s">
        <v>21</v>
      </c>
      <c r="J1808" s="36">
        <v>45447</v>
      </c>
      <c r="K1808" s="24" t="s">
        <v>22</v>
      </c>
    </row>
    <row r="1809" spans="1:11" x14ac:dyDescent="0.2">
      <c r="A1809" s="27" t="s">
        <v>4599</v>
      </c>
      <c r="B1809" s="27" t="s">
        <v>4600</v>
      </c>
      <c r="C1809" s="27" t="s">
        <v>4601</v>
      </c>
      <c r="D1809" s="27" t="s">
        <v>17</v>
      </c>
      <c r="E1809" s="27" t="s">
        <v>48</v>
      </c>
      <c r="F1809" s="27" t="s">
        <v>49</v>
      </c>
      <c r="G1809" s="27" t="s">
        <v>44</v>
      </c>
      <c r="H1809" s="29">
        <v>356</v>
      </c>
      <c r="I1809" s="27" t="s">
        <v>29</v>
      </c>
      <c r="J1809" s="37">
        <v>45453</v>
      </c>
      <c r="K1809" s="27" t="s">
        <v>22</v>
      </c>
    </row>
    <row r="1810" spans="1:11" x14ac:dyDescent="0.2">
      <c r="A1810" s="24" t="s">
        <v>4602</v>
      </c>
      <c r="B1810" s="24" t="s">
        <v>4603</v>
      </c>
      <c r="C1810" s="24" t="s">
        <v>4604</v>
      </c>
      <c r="D1810" s="24" t="s">
        <v>17</v>
      </c>
      <c r="E1810" s="24" t="s">
        <v>42</v>
      </c>
      <c r="F1810" s="24" t="s">
        <v>43</v>
      </c>
      <c r="G1810" s="24" t="s">
        <v>44</v>
      </c>
      <c r="H1810" s="26">
        <v>387</v>
      </c>
      <c r="I1810" s="24" t="s">
        <v>21</v>
      </c>
      <c r="J1810" s="36">
        <v>45467</v>
      </c>
      <c r="K1810" s="24" t="s">
        <v>22</v>
      </c>
    </row>
    <row r="1811" spans="1:11" x14ac:dyDescent="0.2">
      <c r="A1811" s="27" t="s">
        <v>4605</v>
      </c>
      <c r="B1811" s="27" t="s">
        <v>4606</v>
      </c>
      <c r="C1811" s="27" t="s">
        <v>4607</v>
      </c>
      <c r="D1811" s="27" t="s">
        <v>17</v>
      </c>
      <c r="E1811" s="27" t="s">
        <v>18</v>
      </c>
      <c r="F1811" s="27" t="s">
        <v>19</v>
      </c>
      <c r="G1811" s="27" t="s">
        <v>28</v>
      </c>
      <c r="H1811" s="29">
        <v>26</v>
      </c>
      <c r="I1811" s="27" t="s">
        <v>29</v>
      </c>
      <c r="J1811" s="37">
        <v>45454</v>
      </c>
      <c r="K1811" s="27" t="s">
        <v>22</v>
      </c>
    </row>
    <row r="1812" spans="1:11" x14ac:dyDescent="0.2">
      <c r="A1812" s="24" t="s">
        <v>4608</v>
      </c>
      <c r="B1812" s="24" t="s">
        <v>4609</v>
      </c>
      <c r="C1812" s="24" t="s">
        <v>4421</v>
      </c>
      <c r="D1812" s="24" t="s">
        <v>17</v>
      </c>
      <c r="E1812" s="24" t="s">
        <v>26</v>
      </c>
      <c r="F1812" s="24" t="s">
        <v>27</v>
      </c>
      <c r="G1812" s="24" t="s">
        <v>44</v>
      </c>
      <c r="H1812" s="26">
        <v>66</v>
      </c>
      <c r="I1812" s="24" t="s">
        <v>21</v>
      </c>
      <c r="J1812" s="36">
        <v>45446</v>
      </c>
      <c r="K1812" s="24" t="s">
        <v>22</v>
      </c>
    </row>
    <row r="1813" spans="1:11" x14ac:dyDescent="0.2">
      <c r="A1813" s="27" t="s">
        <v>4610</v>
      </c>
      <c r="B1813" s="27" t="s">
        <v>4611</v>
      </c>
      <c r="C1813" s="27" t="s">
        <v>97</v>
      </c>
      <c r="D1813" s="27" t="s">
        <v>17</v>
      </c>
      <c r="E1813" s="27" t="s">
        <v>48</v>
      </c>
      <c r="F1813" s="27" t="s">
        <v>49</v>
      </c>
      <c r="G1813" s="27" t="s">
        <v>20</v>
      </c>
      <c r="H1813" s="29">
        <v>375</v>
      </c>
      <c r="I1813" s="27" t="s">
        <v>21</v>
      </c>
      <c r="J1813" s="37">
        <v>45447</v>
      </c>
      <c r="K1813" s="27" t="s">
        <v>22</v>
      </c>
    </row>
    <row r="1814" spans="1:11" x14ac:dyDescent="0.2">
      <c r="A1814" s="24" t="s">
        <v>4612</v>
      </c>
      <c r="B1814" s="24" t="s">
        <v>4613</v>
      </c>
      <c r="C1814" s="24" t="s">
        <v>2892</v>
      </c>
      <c r="D1814" s="24" t="s">
        <v>17</v>
      </c>
      <c r="E1814" s="24" t="s">
        <v>18</v>
      </c>
      <c r="F1814" s="24" t="s">
        <v>19</v>
      </c>
      <c r="G1814" s="24" t="s">
        <v>20</v>
      </c>
      <c r="H1814" s="26">
        <v>12</v>
      </c>
      <c r="I1814" s="24" t="s">
        <v>21</v>
      </c>
      <c r="J1814" s="36">
        <v>45467</v>
      </c>
      <c r="K1814" s="24" t="s">
        <v>22</v>
      </c>
    </row>
    <row r="1815" spans="1:11" x14ac:dyDescent="0.2">
      <c r="A1815" s="27" t="s">
        <v>4614</v>
      </c>
      <c r="B1815" s="27" t="s">
        <v>4615</v>
      </c>
      <c r="C1815" s="27" t="s">
        <v>4616</v>
      </c>
      <c r="D1815" s="27" t="s">
        <v>17</v>
      </c>
      <c r="E1815" s="27" t="s">
        <v>18</v>
      </c>
      <c r="F1815" s="27" t="s">
        <v>19</v>
      </c>
      <c r="G1815" s="27" t="s">
        <v>28</v>
      </c>
      <c r="H1815" s="29">
        <v>100</v>
      </c>
      <c r="I1815" s="27" t="s">
        <v>29</v>
      </c>
      <c r="J1815" s="37">
        <v>45446</v>
      </c>
      <c r="K1815" s="27" t="s">
        <v>22</v>
      </c>
    </row>
    <row r="1816" spans="1:11" x14ac:dyDescent="0.2">
      <c r="A1816" s="24" t="s">
        <v>4617</v>
      </c>
      <c r="B1816" s="24" t="s">
        <v>4618</v>
      </c>
      <c r="C1816" s="24" t="s">
        <v>526</v>
      </c>
      <c r="D1816" s="24" t="s">
        <v>17</v>
      </c>
      <c r="E1816" s="24" t="s">
        <v>42</v>
      </c>
      <c r="F1816" s="24" t="s">
        <v>43</v>
      </c>
      <c r="G1816" s="24" t="s">
        <v>20</v>
      </c>
      <c r="H1816" s="26">
        <v>55</v>
      </c>
      <c r="I1816" s="24" t="s">
        <v>21</v>
      </c>
      <c r="J1816" s="36">
        <v>45447</v>
      </c>
      <c r="K1816" s="24" t="s">
        <v>22</v>
      </c>
    </row>
    <row r="1817" spans="1:11" x14ac:dyDescent="0.2">
      <c r="A1817" s="27" t="s">
        <v>4619</v>
      </c>
      <c r="B1817" s="27" t="s">
        <v>4620</v>
      </c>
      <c r="C1817" s="27" t="s">
        <v>97</v>
      </c>
      <c r="D1817" s="27" t="s">
        <v>17</v>
      </c>
      <c r="E1817" s="27" t="s">
        <v>42</v>
      </c>
      <c r="F1817" s="27" t="s">
        <v>43</v>
      </c>
      <c r="G1817" s="27" t="s">
        <v>28</v>
      </c>
      <c r="H1817" s="29">
        <v>790</v>
      </c>
      <c r="I1817" s="27" t="s">
        <v>29</v>
      </c>
      <c r="J1817" s="37">
        <v>45460</v>
      </c>
      <c r="K1817" s="27" t="s">
        <v>22</v>
      </c>
    </row>
    <row r="1818" spans="1:11" x14ac:dyDescent="0.2">
      <c r="A1818" s="24" t="s">
        <v>4621</v>
      </c>
      <c r="B1818" s="24" t="s">
        <v>4622</v>
      </c>
      <c r="C1818" s="24" t="s">
        <v>554</v>
      </c>
      <c r="D1818" s="24" t="s">
        <v>17</v>
      </c>
      <c r="E1818" s="24" t="s">
        <v>18</v>
      </c>
      <c r="F1818" s="24" t="s">
        <v>19</v>
      </c>
      <c r="G1818" s="24" t="s">
        <v>28</v>
      </c>
      <c r="H1818" s="26">
        <v>12</v>
      </c>
      <c r="I1818" s="24" t="s">
        <v>29</v>
      </c>
      <c r="J1818" s="36">
        <v>45462</v>
      </c>
      <c r="K1818" s="24" t="s">
        <v>22</v>
      </c>
    </row>
    <row r="1819" spans="1:11" x14ac:dyDescent="0.2">
      <c r="A1819" s="27" t="s">
        <v>4623</v>
      </c>
      <c r="B1819" s="27" t="s">
        <v>4624</v>
      </c>
      <c r="C1819" s="27" t="s">
        <v>4625</v>
      </c>
      <c r="D1819" s="27" t="s">
        <v>17</v>
      </c>
      <c r="E1819" s="27" t="s">
        <v>18</v>
      </c>
      <c r="F1819" s="27" t="s">
        <v>19</v>
      </c>
      <c r="G1819" s="27" t="s">
        <v>20</v>
      </c>
      <c r="H1819" s="29">
        <v>16</v>
      </c>
      <c r="I1819" s="27" t="s">
        <v>21</v>
      </c>
      <c r="J1819" s="37">
        <v>45455</v>
      </c>
      <c r="K1819" s="27" t="s">
        <v>22</v>
      </c>
    </row>
    <row r="1820" spans="1:11" x14ac:dyDescent="0.2">
      <c r="A1820" s="24" t="s">
        <v>4626</v>
      </c>
      <c r="B1820" s="24" t="s">
        <v>4627</v>
      </c>
      <c r="C1820" s="24" t="s">
        <v>4628</v>
      </c>
      <c r="D1820" s="24" t="s">
        <v>17</v>
      </c>
      <c r="E1820" s="24" t="s">
        <v>42</v>
      </c>
      <c r="F1820" s="24" t="s">
        <v>43</v>
      </c>
      <c r="G1820" s="24" t="s">
        <v>44</v>
      </c>
      <c r="H1820" s="26">
        <v>750</v>
      </c>
      <c r="I1820" s="24" t="s">
        <v>29</v>
      </c>
      <c r="J1820" s="36">
        <v>45469</v>
      </c>
      <c r="K1820" s="24" t="s">
        <v>22</v>
      </c>
    </row>
    <row r="1821" spans="1:11" x14ac:dyDescent="0.2">
      <c r="A1821" s="27" t="s">
        <v>4629</v>
      </c>
      <c r="B1821" s="27" t="s">
        <v>4630</v>
      </c>
      <c r="C1821" s="27" t="s">
        <v>4631</v>
      </c>
      <c r="D1821" s="27" t="s">
        <v>17</v>
      </c>
      <c r="E1821" s="27" t="s">
        <v>18</v>
      </c>
      <c r="F1821" s="27" t="s">
        <v>19</v>
      </c>
      <c r="G1821" s="27" t="s">
        <v>20</v>
      </c>
      <c r="H1821" s="29">
        <v>55</v>
      </c>
      <c r="I1821" s="27" t="s">
        <v>21</v>
      </c>
      <c r="J1821" s="37">
        <v>45463</v>
      </c>
      <c r="K1821" s="27" t="s">
        <v>22</v>
      </c>
    </row>
    <row r="1822" spans="1:11" x14ac:dyDescent="0.2">
      <c r="A1822" s="24" t="s">
        <v>4632</v>
      </c>
      <c r="B1822" s="24" t="s">
        <v>4633</v>
      </c>
      <c r="C1822" s="24" t="s">
        <v>2591</v>
      </c>
      <c r="D1822" s="24" t="s">
        <v>17</v>
      </c>
      <c r="E1822" s="24" t="s">
        <v>26</v>
      </c>
      <c r="F1822" s="24" t="s">
        <v>27</v>
      </c>
      <c r="G1822" s="24" t="s">
        <v>20</v>
      </c>
      <c r="H1822" s="26">
        <v>20</v>
      </c>
      <c r="I1822" s="24" t="s">
        <v>21</v>
      </c>
      <c r="J1822" s="36">
        <v>45447</v>
      </c>
      <c r="K1822" s="24" t="s">
        <v>22</v>
      </c>
    </row>
    <row r="1823" spans="1:11" x14ac:dyDescent="0.2">
      <c r="A1823" s="27" t="s">
        <v>4634</v>
      </c>
      <c r="B1823" s="27" t="s">
        <v>4635</v>
      </c>
      <c r="C1823" s="27" t="s">
        <v>4636</v>
      </c>
      <c r="D1823" s="27" t="s">
        <v>17</v>
      </c>
      <c r="E1823" s="27" t="s">
        <v>48</v>
      </c>
      <c r="F1823" s="27" t="s">
        <v>49</v>
      </c>
      <c r="G1823" s="27" t="s">
        <v>59</v>
      </c>
      <c r="H1823" s="29">
        <v>204</v>
      </c>
      <c r="I1823" s="27" t="s">
        <v>21</v>
      </c>
      <c r="J1823" s="37">
        <v>45470</v>
      </c>
      <c r="K1823" s="27" t="s">
        <v>22</v>
      </c>
    </row>
    <row r="1824" spans="1:11" x14ac:dyDescent="0.2">
      <c r="A1824" s="24" t="s">
        <v>4637</v>
      </c>
      <c r="B1824" s="24" t="s">
        <v>4638</v>
      </c>
      <c r="C1824" s="24" t="s">
        <v>4639</v>
      </c>
      <c r="D1824" s="24" t="s">
        <v>17</v>
      </c>
      <c r="E1824" s="24" t="s">
        <v>42</v>
      </c>
      <c r="F1824" s="24" t="s">
        <v>43</v>
      </c>
      <c r="G1824" s="24" t="s">
        <v>59</v>
      </c>
      <c r="H1824" s="26">
        <v>2</v>
      </c>
      <c r="I1824" s="24" t="s">
        <v>21</v>
      </c>
      <c r="J1824" s="36">
        <v>45450</v>
      </c>
      <c r="K1824" s="24" t="s">
        <v>22</v>
      </c>
    </row>
    <row r="1825" spans="1:11" x14ac:dyDescent="0.2">
      <c r="A1825" s="27" t="s">
        <v>4640</v>
      </c>
      <c r="B1825" s="27" t="s">
        <v>4641</v>
      </c>
      <c r="C1825" s="27" t="s">
        <v>4285</v>
      </c>
      <c r="D1825" s="27" t="s">
        <v>17</v>
      </c>
      <c r="E1825" s="27" t="s">
        <v>18</v>
      </c>
      <c r="F1825" s="27" t="s">
        <v>19</v>
      </c>
      <c r="G1825" s="27" t="s">
        <v>44</v>
      </c>
      <c r="H1825" s="29">
        <v>10</v>
      </c>
      <c r="I1825" s="27" t="s">
        <v>29</v>
      </c>
      <c r="J1825" s="37">
        <v>45452</v>
      </c>
      <c r="K1825" s="27" t="s">
        <v>22</v>
      </c>
    </row>
    <row r="1826" spans="1:11" x14ac:dyDescent="0.2">
      <c r="A1826" s="24" t="s">
        <v>4642</v>
      </c>
      <c r="B1826" s="24" t="s">
        <v>4643</v>
      </c>
      <c r="C1826" s="24" t="s">
        <v>4644</v>
      </c>
      <c r="D1826" s="24" t="s">
        <v>17</v>
      </c>
      <c r="E1826" s="24" t="s">
        <v>26</v>
      </c>
      <c r="F1826" s="24" t="s">
        <v>27</v>
      </c>
      <c r="G1826" s="24" t="s">
        <v>28</v>
      </c>
      <c r="H1826" s="26">
        <v>54</v>
      </c>
      <c r="I1826" s="24" t="s">
        <v>29</v>
      </c>
      <c r="J1826" s="36">
        <v>45447</v>
      </c>
      <c r="K1826" s="24" t="s">
        <v>22</v>
      </c>
    </row>
    <row r="1827" spans="1:11" x14ac:dyDescent="0.2">
      <c r="A1827" s="27" t="s">
        <v>4645</v>
      </c>
      <c r="B1827" s="27" t="s">
        <v>4646</v>
      </c>
      <c r="C1827" s="27" t="s">
        <v>115</v>
      </c>
      <c r="D1827" s="27" t="s">
        <v>17</v>
      </c>
      <c r="E1827" s="27" t="s">
        <v>18</v>
      </c>
      <c r="F1827" s="27" t="s">
        <v>19</v>
      </c>
      <c r="G1827" s="27" t="s">
        <v>20</v>
      </c>
      <c r="H1827" s="29">
        <v>24</v>
      </c>
      <c r="I1827" s="27" t="s">
        <v>21</v>
      </c>
      <c r="J1827" s="37">
        <v>45467</v>
      </c>
      <c r="K1827" s="27" t="s">
        <v>22</v>
      </c>
    </row>
    <row r="1828" spans="1:11" x14ac:dyDescent="0.2">
      <c r="A1828" s="24" t="s">
        <v>4647</v>
      </c>
      <c r="B1828" s="24" t="s">
        <v>4648</v>
      </c>
      <c r="C1828" s="24" t="s">
        <v>429</v>
      </c>
      <c r="D1828" s="24" t="s">
        <v>17</v>
      </c>
      <c r="E1828" s="24" t="s">
        <v>18</v>
      </c>
      <c r="F1828" s="24" t="s">
        <v>19</v>
      </c>
      <c r="G1828" s="24" t="s">
        <v>28</v>
      </c>
      <c r="H1828" s="26">
        <v>556</v>
      </c>
      <c r="I1828" s="24" t="s">
        <v>29</v>
      </c>
      <c r="J1828" s="36">
        <v>45458</v>
      </c>
      <c r="K1828" s="24" t="s">
        <v>22</v>
      </c>
    </row>
    <row r="1829" spans="1:11" x14ac:dyDescent="0.2">
      <c r="A1829" s="27" t="s">
        <v>4649</v>
      </c>
      <c r="B1829" s="27" t="s">
        <v>4650</v>
      </c>
      <c r="C1829" s="27" t="s">
        <v>1088</v>
      </c>
      <c r="D1829" s="27" t="s">
        <v>17</v>
      </c>
      <c r="E1829" s="27" t="s">
        <v>26</v>
      </c>
      <c r="F1829" s="27" t="s">
        <v>27</v>
      </c>
      <c r="G1829" s="27" t="s">
        <v>20</v>
      </c>
      <c r="H1829" s="29">
        <v>36</v>
      </c>
      <c r="I1829" s="27" t="s">
        <v>21</v>
      </c>
      <c r="J1829" s="37">
        <v>45448</v>
      </c>
      <c r="K1829" s="27" t="s">
        <v>22</v>
      </c>
    </row>
    <row r="1830" spans="1:11" x14ac:dyDescent="0.2">
      <c r="A1830" s="24" t="s">
        <v>4651</v>
      </c>
      <c r="B1830" s="24" t="s">
        <v>4652</v>
      </c>
      <c r="C1830" s="24" t="s">
        <v>97</v>
      </c>
      <c r="D1830" s="24" t="s">
        <v>17</v>
      </c>
      <c r="E1830" s="24" t="s">
        <v>42</v>
      </c>
      <c r="F1830" s="24" t="s">
        <v>43</v>
      </c>
      <c r="G1830" s="24" t="s">
        <v>28</v>
      </c>
      <c r="H1830" s="26">
        <v>240</v>
      </c>
      <c r="I1830" s="24" t="s">
        <v>29</v>
      </c>
      <c r="J1830" s="36">
        <v>45463</v>
      </c>
      <c r="K1830" s="24" t="s">
        <v>22</v>
      </c>
    </row>
    <row r="1831" spans="1:11" x14ac:dyDescent="0.2">
      <c r="A1831" s="27" t="s">
        <v>4653</v>
      </c>
      <c r="B1831" s="27" t="s">
        <v>4654</v>
      </c>
      <c r="C1831" s="27" t="s">
        <v>68</v>
      </c>
      <c r="D1831" s="27" t="s">
        <v>17</v>
      </c>
      <c r="E1831" s="27" t="s">
        <v>18</v>
      </c>
      <c r="F1831" s="27" t="s">
        <v>19</v>
      </c>
      <c r="G1831" s="27" t="s">
        <v>20</v>
      </c>
      <c r="H1831" s="29">
        <v>32</v>
      </c>
      <c r="I1831" s="27" t="s">
        <v>21</v>
      </c>
      <c r="J1831" s="37">
        <v>45462</v>
      </c>
      <c r="K1831" s="27" t="s">
        <v>22</v>
      </c>
    </row>
    <row r="1832" spans="1:11" x14ac:dyDescent="0.2">
      <c r="A1832" s="24" t="s">
        <v>4655</v>
      </c>
      <c r="B1832" s="24" t="s">
        <v>4656</v>
      </c>
      <c r="C1832" s="24" t="s">
        <v>1526</v>
      </c>
      <c r="D1832" s="24" t="s">
        <v>17</v>
      </c>
      <c r="E1832" s="24" t="s">
        <v>18</v>
      </c>
      <c r="F1832" s="24" t="s">
        <v>19</v>
      </c>
      <c r="G1832" s="24" t="s">
        <v>20</v>
      </c>
      <c r="H1832" s="26">
        <v>27</v>
      </c>
      <c r="I1832" s="24" t="s">
        <v>21</v>
      </c>
      <c r="J1832" s="36">
        <v>45469</v>
      </c>
      <c r="K1832" s="24" t="s">
        <v>22</v>
      </c>
    </row>
    <row r="1833" spans="1:11" x14ac:dyDescent="0.2">
      <c r="A1833" s="27" t="s">
        <v>4657</v>
      </c>
      <c r="B1833" s="27" t="s">
        <v>4658</v>
      </c>
      <c r="C1833" s="27" t="s">
        <v>4659</v>
      </c>
      <c r="D1833" s="27" t="s">
        <v>17</v>
      </c>
      <c r="E1833" s="27" t="s">
        <v>18</v>
      </c>
      <c r="F1833" s="27" t="s">
        <v>19</v>
      </c>
      <c r="G1833" s="27" t="s">
        <v>20</v>
      </c>
      <c r="H1833" s="29">
        <v>41</v>
      </c>
      <c r="I1833" s="27" t="s">
        <v>21</v>
      </c>
      <c r="J1833" s="37">
        <v>45457</v>
      </c>
      <c r="K1833" s="27" t="s">
        <v>22</v>
      </c>
    </row>
    <row r="1834" spans="1:11" x14ac:dyDescent="0.2">
      <c r="A1834" s="24" t="s">
        <v>4660</v>
      </c>
      <c r="B1834" s="24" t="s">
        <v>4661</v>
      </c>
      <c r="C1834" s="24" t="s">
        <v>4662</v>
      </c>
      <c r="D1834" s="24" t="s">
        <v>17</v>
      </c>
      <c r="E1834" s="24" t="s">
        <v>18</v>
      </c>
      <c r="F1834" s="24" t="s">
        <v>19</v>
      </c>
      <c r="G1834" s="24" t="s">
        <v>28</v>
      </c>
      <c r="H1834" s="26">
        <v>170</v>
      </c>
      <c r="I1834" s="24" t="s">
        <v>29</v>
      </c>
      <c r="J1834" s="36">
        <v>45462</v>
      </c>
      <c r="K1834" s="24" t="s">
        <v>22</v>
      </c>
    </row>
    <row r="1835" spans="1:11" x14ac:dyDescent="0.2">
      <c r="A1835" s="27" t="s">
        <v>4663</v>
      </c>
      <c r="B1835" s="27" t="s">
        <v>4664</v>
      </c>
      <c r="C1835" s="27" t="s">
        <v>140</v>
      </c>
      <c r="D1835" s="27" t="s">
        <v>17</v>
      </c>
      <c r="E1835" s="27" t="s">
        <v>18</v>
      </c>
      <c r="F1835" s="27" t="s">
        <v>19</v>
      </c>
      <c r="G1835" s="27" t="s">
        <v>28</v>
      </c>
      <c r="H1835" s="29">
        <v>316</v>
      </c>
      <c r="I1835" s="27" t="s">
        <v>29</v>
      </c>
      <c r="J1835" s="37">
        <v>45468</v>
      </c>
      <c r="K1835" s="27" t="s">
        <v>22</v>
      </c>
    </row>
    <row r="1836" spans="1:11" x14ac:dyDescent="0.2">
      <c r="A1836" s="24" t="s">
        <v>4665</v>
      </c>
      <c r="B1836" s="24" t="s">
        <v>4666</v>
      </c>
      <c r="C1836" s="24" t="s">
        <v>4667</v>
      </c>
      <c r="D1836" s="24" t="s">
        <v>17</v>
      </c>
      <c r="E1836" s="24" t="s">
        <v>42</v>
      </c>
      <c r="F1836" s="24" t="s">
        <v>43</v>
      </c>
      <c r="G1836" s="24" t="s">
        <v>28</v>
      </c>
      <c r="H1836" s="26">
        <v>84</v>
      </c>
      <c r="I1836" s="24" t="s">
        <v>29</v>
      </c>
      <c r="J1836" s="36">
        <v>45444</v>
      </c>
      <c r="K1836" s="24" t="s">
        <v>22</v>
      </c>
    </row>
    <row r="1837" spans="1:11" x14ac:dyDescent="0.2">
      <c r="A1837" s="27" t="s">
        <v>4668</v>
      </c>
      <c r="B1837" s="27" t="s">
        <v>4669</v>
      </c>
      <c r="C1837" s="27" t="s">
        <v>1535</v>
      </c>
      <c r="D1837" s="27" t="s">
        <v>17</v>
      </c>
      <c r="E1837" s="27" t="s">
        <v>42</v>
      </c>
      <c r="F1837" s="27" t="s">
        <v>43</v>
      </c>
      <c r="G1837" s="27" t="s">
        <v>28</v>
      </c>
      <c r="H1837" s="29">
        <v>486</v>
      </c>
      <c r="I1837" s="27" t="s">
        <v>29</v>
      </c>
      <c r="J1837" s="37">
        <v>45454</v>
      </c>
      <c r="K1837" s="27" t="s">
        <v>22</v>
      </c>
    </row>
    <row r="1838" spans="1:11" x14ac:dyDescent="0.2">
      <c r="A1838" s="24" t="s">
        <v>4670</v>
      </c>
      <c r="B1838" s="24" t="s">
        <v>4671</v>
      </c>
      <c r="C1838" s="24" t="s">
        <v>55</v>
      </c>
      <c r="D1838" s="24" t="s">
        <v>17</v>
      </c>
      <c r="E1838" s="24" t="s">
        <v>18</v>
      </c>
      <c r="F1838" s="24" t="s">
        <v>19</v>
      </c>
      <c r="G1838" s="24" t="s">
        <v>20</v>
      </c>
      <c r="H1838" s="26">
        <v>48</v>
      </c>
      <c r="I1838" s="24" t="s">
        <v>21</v>
      </c>
      <c r="J1838" s="36">
        <v>45456</v>
      </c>
      <c r="K1838" s="24" t="s">
        <v>22</v>
      </c>
    </row>
    <row r="1839" spans="1:11" x14ac:dyDescent="0.2">
      <c r="A1839" s="27" t="s">
        <v>4672</v>
      </c>
      <c r="B1839" s="27" t="s">
        <v>4673</v>
      </c>
      <c r="C1839" s="27" t="s">
        <v>4674</v>
      </c>
      <c r="D1839" s="27" t="s">
        <v>17</v>
      </c>
      <c r="E1839" s="27" t="s">
        <v>48</v>
      </c>
      <c r="F1839" s="27" t="s">
        <v>49</v>
      </c>
      <c r="G1839" s="27" t="s">
        <v>20</v>
      </c>
      <c r="H1839" s="29">
        <v>300</v>
      </c>
      <c r="I1839" s="27" t="s">
        <v>21</v>
      </c>
      <c r="J1839" s="37">
        <v>45453</v>
      </c>
      <c r="K1839" s="27" t="s">
        <v>22</v>
      </c>
    </row>
    <row r="1840" spans="1:11" x14ac:dyDescent="0.2">
      <c r="A1840" s="24" t="s">
        <v>4675</v>
      </c>
      <c r="B1840" s="24" t="s">
        <v>4676</v>
      </c>
      <c r="C1840" s="24" t="s">
        <v>595</v>
      </c>
      <c r="D1840" s="24" t="s">
        <v>17</v>
      </c>
      <c r="E1840" s="24" t="s">
        <v>18</v>
      </c>
      <c r="F1840" s="24" t="s">
        <v>19</v>
      </c>
      <c r="G1840" s="24" t="s">
        <v>20</v>
      </c>
      <c r="H1840" s="26">
        <v>178</v>
      </c>
      <c r="I1840" s="24" t="s">
        <v>21</v>
      </c>
      <c r="J1840" s="36">
        <v>45467</v>
      </c>
      <c r="K1840" s="24" t="s">
        <v>22</v>
      </c>
    </row>
    <row r="1841" spans="1:11" x14ac:dyDescent="0.2">
      <c r="A1841" s="27" t="s">
        <v>4677</v>
      </c>
      <c r="B1841" s="27" t="s">
        <v>4678</v>
      </c>
      <c r="C1841" s="27" t="s">
        <v>1502</v>
      </c>
      <c r="D1841" s="27" t="s">
        <v>17</v>
      </c>
      <c r="E1841" s="27" t="s">
        <v>81</v>
      </c>
      <c r="F1841" s="27" t="s">
        <v>82</v>
      </c>
      <c r="G1841" s="27" t="s">
        <v>116</v>
      </c>
      <c r="H1841" s="29">
        <v>0</v>
      </c>
      <c r="I1841" s="27" t="s">
        <v>21</v>
      </c>
      <c r="J1841" s="37">
        <v>45460</v>
      </c>
      <c r="K1841" s="27" t="s">
        <v>22</v>
      </c>
    </row>
    <row r="1842" spans="1:11" x14ac:dyDescent="0.2">
      <c r="A1842" s="24" t="s">
        <v>4679</v>
      </c>
      <c r="B1842" s="24" t="s">
        <v>4680</v>
      </c>
      <c r="C1842" s="24" t="s">
        <v>1719</v>
      </c>
      <c r="D1842" s="24" t="s">
        <v>17</v>
      </c>
      <c r="E1842" s="24" t="s">
        <v>18</v>
      </c>
      <c r="F1842" s="24" t="s">
        <v>19</v>
      </c>
      <c r="G1842" s="24" t="s">
        <v>20</v>
      </c>
      <c r="H1842" s="26">
        <v>6</v>
      </c>
      <c r="I1842" s="24" t="s">
        <v>21</v>
      </c>
      <c r="J1842" s="36">
        <v>45469</v>
      </c>
      <c r="K1842" s="24" t="s">
        <v>22</v>
      </c>
    </row>
    <row r="1843" spans="1:11" x14ac:dyDescent="0.2">
      <c r="A1843" s="27" t="s">
        <v>4681</v>
      </c>
      <c r="B1843" s="27" t="s">
        <v>4682</v>
      </c>
      <c r="C1843" s="27" t="s">
        <v>85</v>
      </c>
      <c r="D1843" s="27" t="s">
        <v>17</v>
      </c>
      <c r="E1843" s="27" t="s">
        <v>42</v>
      </c>
      <c r="F1843" s="27" t="s">
        <v>43</v>
      </c>
      <c r="G1843" s="27" t="s">
        <v>28</v>
      </c>
      <c r="H1843" s="29">
        <v>200</v>
      </c>
      <c r="I1843" s="27" t="s">
        <v>29</v>
      </c>
      <c r="J1843" s="37">
        <v>45455</v>
      </c>
      <c r="K1843" s="27" t="s">
        <v>22</v>
      </c>
    </row>
    <row r="1844" spans="1:11" x14ac:dyDescent="0.2">
      <c r="A1844" s="24" t="s">
        <v>4683</v>
      </c>
      <c r="B1844" s="24" t="s">
        <v>4684</v>
      </c>
      <c r="C1844" s="24" t="s">
        <v>4685</v>
      </c>
      <c r="D1844" s="24" t="s">
        <v>17</v>
      </c>
      <c r="E1844" s="24" t="s">
        <v>18</v>
      </c>
      <c r="F1844" s="24" t="s">
        <v>19</v>
      </c>
      <c r="G1844" s="24" t="s">
        <v>20</v>
      </c>
      <c r="H1844" s="26">
        <v>16</v>
      </c>
      <c r="I1844" s="24" t="s">
        <v>21</v>
      </c>
      <c r="J1844" s="36">
        <v>45467</v>
      </c>
      <c r="K1844" s="24" t="s">
        <v>22</v>
      </c>
    </row>
    <row r="1845" spans="1:11" x14ac:dyDescent="0.2">
      <c r="A1845" s="27" t="s">
        <v>4686</v>
      </c>
      <c r="B1845" s="27" t="s">
        <v>4687</v>
      </c>
      <c r="C1845" s="27" t="s">
        <v>194</v>
      </c>
      <c r="D1845" s="27" t="s">
        <v>17</v>
      </c>
      <c r="E1845" s="27" t="s">
        <v>42</v>
      </c>
      <c r="F1845" s="27" t="s">
        <v>43</v>
      </c>
      <c r="G1845" s="27" t="s">
        <v>44</v>
      </c>
      <c r="H1845" s="29">
        <v>418</v>
      </c>
      <c r="I1845" s="27" t="s">
        <v>21</v>
      </c>
      <c r="J1845" s="37">
        <v>45464</v>
      </c>
      <c r="K1845" s="27" t="s">
        <v>22</v>
      </c>
    </row>
    <row r="1846" spans="1:11" x14ac:dyDescent="0.2">
      <c r="A1846" s="24" t="s">
        <v>4688</v>
      </c>
      <c r="B1846" s="24" t="s">
        <v>4689</v>
      </c>
      <c r="C1846" s="24" t="s">
        <v>55</v>
      </c>
      <c r="D1846" s="24" t="s">
        <v>17</v>
      </c>
      <c r="E1846" s="24" t="s">
        <v>42</v>
      </c>
      <c r="F1846" s="24" t="s">
        <v>43</v>
      </c>
      <c r="G1846" s="24" t="s">
        <v>28</v>
      </c>
      <c r="H1846" s="26">
        <v>520</v>
      </c>
      <c r="I1846" s="24" t="s">
        <v>29</v>
      </c>
      <c r="J1846" s="36">
        <v>45454</v>
      </c>
      <c r="K1846" s="24" t="s">
        <v>22</v>
      </c>
    </row>
    <row r="1847" spans="1:11" x14ac:dyDescent="0.2">
      <c r="A1847" s="27" t="s">
        <v>4690</v>
      </c>
      <c r="B1847" s="27" t="s">
        <v>4691</v>
      </c>
      <c r="C1847" s="27" t="s">
        <v>97</v>
      </c>
      <c r="D1847" s="27" t="s">
        <v>17</v>
      </c>
      <c r="E1847" s="27" t="s">
        <v>18</v>
      </c>
      <c r="F1847" s="27" t="s">
        <v>19</v>
      </c>
      <c r="G1847" s="27" t="s">
        <v>20</v>
      </c>
      <c r="H1847" s="29">
        <v>84</v>
      </c>
      <c r="I1847" s="27" t="s">
        <v>21</v>
      </c>
      <c r="J1847" s="37">
        <v>45467</v>
      </c>
      <c r="K1847" s="27" t="s">
        <v>22</v>
      </c>
    </row>
    <row r="1848" spans="1:11" x14ac:dyDescent="0.2">
      <c r="A1848" s="24" t="s">
        <v>4692</v>
      </c>
      <c r="B1848" s="24" t="s">
        <v>4693</v>
      </c>
      <c r="C1848" s="24" t="s">
        <v>4694</v>
      </c>
      <c r="D1848" s="24" t="s">
        <v>17</v>
      </c>
      <c r="E1848" s="24" t="s">
        <v>26</v>
      </c>
      <c r="F1848" s="24" t="s">
        <v>27</v>
      </c>
      <c r="G1848" s="24" t="s">
        <v>28</v>
      </c>
      <c r="H1848" s="26">
        <v>96</v>
      </c>
      <c r="I1848" s="24" t="s">
        <v>29</v>
      </c>
      <c r="J1848" s="36">
        <v>45456</v>
      </c>
      <c r="K1848" s="24" t="s">
        <v>22</v>
      </c>
    </row>
    <row r="1849" spans="1:11" x14ac:dyDescent="0.2">
      <c r="A1849" s="27" t="s">
        <v>4695</v>
      </c>
      <c r="B1849" s="27" t="s">
        <v>4696</v>
      </c>
      <c r="C1849" s="27" t="s">
        <v>134</v>
      </c>
      <c r="D1849" s="27" t="s">
        <v>17</v>
      </c>
      <c r="E1849" s="27" t="s">
        <v>81</v>
      </c>
      <c r="F1849" s="27" t="s">
        <v>82</v>
      </c>
      <c r="G1849" s="27" t="s">
        <v>20</v>
      </c>
      <c r="H1849" s="29">
        <v>8</v>
      </c>
      <c r="I1849" s="27" t="s">
        <v>21</v>
      </c>
      <c r="J1849" s="37">
        <v>45467</v>
      </c>
      <c r="K1849" s="27" t="s">
        <v>22</v>
      </c>
    </row>
    <row r="1850" spans="1:11" x14ac:dyDescent="0.2">
      <c r="A1850" s="24" t="s">
        <v>4697</v>
      </c>
      <c r="B1850" s="24" t="s">
        <v>4698</v>
      </c>
      <c r="C1850" s="24" t="s">
        <v>4699</v>
      </c>
      <c r="D1850" s="24" t="s">
        <v>17</v>
      </c>
      <c r="E1850" s="24" t="s">
        <v>48</v>
      </c>
      <c r="F1850" s="24" t="s">
        <v>49</v>
      </c>
      <c r="G1850" s="24" t="s">
        <v>20</v>
      </c>
      <c r="H1850" s="26">
        <v>143</v>
      </c>
      <c r="I1850" s="24" t="s">
        <v>21</v>
      </c>
      <c r="J1850" s="36">
        <v>45453</v>
      </c>
      <c r="K1850" s="24" t="s">
        <v>22</v>
      </c>
    </row>
    <row r="1851" spans="1:11" x14ac:dyDescent="0.2">
      <c r="A1851" s="27" t="s">
        <v>4700</v>
      </c>
      <c r="B1851" s="27" t="s">
        <v>4701</v>
      </c>
      <c r="C1851" s="27" t="s">
        <v>687</v>
      </c>
      <c r="D1851" s="27" t="s">
        <v>17</v>
      </c>
      <c r="E1851" s="27" t="s">
        <v>42</v>
      </c>
      <c r="F1851" s="27" t="s">
        <v>43</v>
      </c>
      <c r="G1851" s="27" t="s">
        <v>44</v>
      </c>
      <c r="H1851" s="29">
        <v>300</v>
      </c>
      <c r="I1851" s="27" t="s">
        <v>29</v>
      </c>
      <c r="J1851" s="37">
        <v>45467</v>
      </c>
      <c r="K1851" s="27" t="s">
        <v>22</v>
      </c>
    </row>
    <row r="1852" spans="1:11" x14ac:dyDescent="0.2">
      <c r="A1852" s="24" t="s">
        <v>4702</v>
      </c>
      <c r="B1852" s="24" t="s">
        <v>4703</v>
      </c>
      <c r="C1852" s="24" t="s">
        <v>3199</v>
      </c>
      <c r="D1852" s="24" t="s">
        <v>17</v>
      </c>
      <c r="E1852" s="24" t="s">
        <v>48</v>
      </c>
      <c r="F1852" s="24" t="s">
        <v>49</v>
      </c>
      <c r="G1852" s="24" t="s">
        <v>28</v>
      </c>
      <c r="H1852" s="26">
        <v>60</v>
      </c>
      <c r="I1852" s="24" t="s">
        <v>29</v>
      </c>
      <c r="J1852" s="36">
        <v>45471</v>
      </c>
      <c r="K1852" s="24" t="s">
        <v>22</v>
      </c>
    </row>
    <row r="1853" spans="1:11" x14ac:dyDescent="0.2">
      <c r="A1853" s="27" t="s">
        <v>4704</v>
      </c>
      <c r="B1853" s="27" t="s">
        <v>4705</v>
      </c>
      <c r="C1853" s="27" t="s">
        <v>301</v>
      </c>
      <c r="D1853" s="27" t="s">
        <v>17</v>
      </c>
      <c r="E1853" s="27" t="s">
        <v>18</v>
      </c>
      <c r="F1853" s="27" t="s">
        <v>19</v>
      </c>
      <c r="G1853" s="27" t="s">
        <v>44</v>
      </c>
      <c r="H1853" s="29">
        <v>108</v>
      </c>
      <c r="I1853" s="27" t="s">
        <v>21</v>
      </c>
      <c r="J1853" s="37">
        <v>45450</v>
      </c>
      <c r="K1853" s="27" t="s">
        <v>22</v>
      </c>
    </row>
    <row r="1854" spans="1:11" x14ac:dyDescent="0.2">
      <c r="A1854" s="24" t="s">
        <v>4706</v>
      </c>
      <c r="B1854" s="24" t="s">
        <v>4707</v>
      </c>
      <c r="C1854" s="24" t="s">
        <v>388</v>
      </c>
      <c r="D1854" s="24" t="s">
        <v>17</v>
      </c>
      <c r="E1854" s="24" t="s">
        <v>42</v>
      </c>
      <c r="F1854" s="24" t="s">
        <v>43</v>
      </c>
      <c r="G1854" s="24" t="s">
        <v>217</v>
      </c>
      <c r="H1854" s="26">
        <v>90</v>
      </c>
      <c r="I1854" s="24" t="s">
        <v>29</v>
      </c>
      <c r="J1854" s="36">
        <v>45444</v>
      </c>
      <c r="K1854" s="24" t="s">
        <v>22</v>
      </c>
    </row>
    <row r="1855" spans="1:11" x14ac:dyDescent="0.2">
      <c r="A1855" s="27" t="s">
        <v>4708</v>
      </c>
      <c r="B1855" s="27" t="s">
        <v>4709</v>
      </c>
      <c r="C1855" s="27" t="s">
        <v>4001</v>
      </c>
      <c r="D1855" s="27" t="s">
        <v>17</v>
      </c>
      <c r="E1855" s="27" t="s">
        <v>26</v>
      </c>
      <c r="F1855" s="27" t="s">
        <v>27</v>
      </c>
      <c r="G1855" s="27" t="s">
        <v>28</v>
      </c>
      <c r="H1855" s="29">
        <v>71</v>
      </c>
      <c r="I1855" s="27" t="s">
        <v>29</v>
      </c>
      <c r="J1855" s="37">
        <v>45470</v>
      </c>
      <c r="K1855" s="27" t="s">
        <v>22</v>
      </c>
    </row>
    <row r="1856" spans="1:11" x14ac:dyDescent="0.2">
      <c r="A1856" s="24" t="s">
        <v>4710</v>
      </c>
      <c r="B1856" s="24" t="s">
        <v>4711</v>
      </c>
      <c r="C1856" s="24" t="s">
        <v>1931</v>
      </c>
      <c r="D1856" s="24" t="s">
        <v>17</v>
      </c>
      <c r="E1856" s="24" t="s">
        <v>18</v>
      </c>
      <c r="F1856" s="24" t="s">
        <v>19</v>
      </c>
      <c r="G1856" s="24" t="s">
        <v>28</v>
      </c>
      <c r="H1856" s="26">
        <v>211</v>
      </c>
      <c r="I1856" s="24" t="s">
        <v>29</v>
      </c>
      <c r="J1856" s="36">
        <v>45463</v>
      </c>
      <c r="K1856" s="24" t="s">
        <v>22</v>
      </c>
    </row>
    <row r="1857" spans="1:11" x14ac:dyDescent="0.2">
      <c r="A1857" s="27" t="s">
        <v>4712</v>
      </c>
      <c r="B1857" s="27" t="s">
        <v>4713</v>
      </c>
      <c r="C1857" s="27" t="s">
        <v>4714</v>
      </c>
      <c r="D1857" s="27" t="s">
        <v>17</v>
      </c>
      <c r="E1857" s="27" t="s">
        <v>33</v>
      </c>
      <c r="F1857" s="27" t="s">
        <v>34</v>
      </c>
      <c r="G1857" s="27" t="s">
        <v>44</v>
      </c>
      <c r="H1857" s="29">
        <v>74</v>
      </c>
      <c r="I1857" s="27" t="s">
        <v>29</v>
      </c>
      <c r="J1857" s="37">
        <v>45454</v>
      </c>
      <c r="K1857" s="27" t="s">
        <v>22</v>
      </c>
    </row>
    <row r="1858" spans="1:11" x14ac:dyDescent="0.2">
      <c r="A1858" s="24" t="s">
        <v>4715</v>
      </c>
      <c r="B1858" s="24" t="s">
        <v>4716</v>
      </c>
      <c r="C1858" s="24" t="s">
        <v>4717</v>
      </c>
      <c r="D1858" s="24" t="s">
        <v>17</v>
      </c>
      <c r="E1858" s="24" t="s">
        <v>48</v>
      </c>
      <c r="F1858" s="24" t="s">
        <v>49</v>
      </c>
      <c r="G1858" s="24" t="s">
        <v>217</v>
      </c>
      <c r="H1858" s="26">
        <v>45</v>
      </c>
      <c r="I1858" s="24" t="s">
        <v>29</v>
      </c>
      <c r="J1858" s="36">
        <v>45444</v>
      </c>
      <c r="K1858" s="24" t="s">
        <v>22</v>
      </c>
    </row>
    <row r="1859" spans="1:11" x14ac:dyDescent="0.2">
      <c r="A1859" s="27" t="s">
        <v>4718</v>
      </c>
      <c r="B1859" s="27" t="s">
        <v>4719</v>
      </c>
      <c r="C1859" s="27" t="s">
        <v>1523</v>
      </c>
      <c r="D1859" s="27" t="s">
        <v>17</v>
      </c>
      <c r="E1859" s="27" t="s">
        <v>42</v>
      </c>
      <c r="F1859" s="27" t="s">
        <v>43</v>
      </c>
      <c r="G1859" s="27" t="s">
        <v>44</v>
      </c>
      <c r="H1859" s="29">
        <v>200</v>
      </c>
      <c r="I1859" s="27" t="s">
        <v>21</v>
      </c>
      <c r="J1859" s="37">
        <v>45468</v>
      </c>
      <c r="K1859" s="27" t="s">
        <v>22</v>
      </c>
    </row>
    <row r="1860" spans="1:11" x14ac:dyDescent="0.2">
      <c r="A1860" s="24" t="s">
        <v>4720</v>
      </c>
      <c r="B1860" s="24" t="s">
        <v>4721</v>
      </c>
      <c r="C1860" s="24" t="s">
        <v>4722</v>
      </c>
      <c r="D1860" s="24" t="s">
        <v>17</v>
      </c>
      <c r="E1860" s="24" t="s">
        <v>163</v>
      </c>
      <c r="F1860" s="24" t="s">
        <v>164</v>
      </c>
      <c r="G1860" s="24" t="s">
        <v>44</v>
      </c>
      <c r="H1860" s="26">
        <v>30</v>
      </c>
      <c r="I1860" s="24" t="s">
        <v>29</v>
      </c>
      <c r="J1860" s="36">
        <v>45471</v>
      </c>
      <c r="K1860" s="24" t="s">
        <v>22</v>
      </c>
    </row>
    <row r="1861" spans="1:11" x14ac:dyDescent="0.2">
      <c r="A1861" s="27" t="s">
        <v>4723</v>
      </c>
      <c r="B1861" s="27" t="s">
        <v>4724</v>
      </c>
      <c r="C1861" s="27" t="s">
        <v>1444</v>
      </c>
      <c r="D1861" s="27" t="s">
        <v>17</v>
      </c>
      <c r="E1861" s="27" t="s">
        <v>42</v>
      </c>
      <c r="F1861" s="27" t="s">
        <v>43</v>
      </c>
      <c r="G1861" s="27" t="s">
        <v>44</v>
      </c>
      <c r="H1861" s="29">
        <v>406</v>
      </c>
      <c r="I1861" s="27" t="s">
        <v>29</v>
      </c>
      <c r="J1861" s="37">
        <v>45450</v>
      </c>
      <c r="K1861" s="27" t="s">
        <v>22</v>
      </c>
    </row>
    <row r="1862" spans="1:11" x14ac:dyDescent="0.2">
      <c r="A1862" s="24" t="s">
        <v>4725</v>
      </c>
      <c r="B1862" s="24" t="s">
        <v>4726</v>
      </c>
      <c r="C1862" s="24" t="s">
        <v>4727</v>
      </c>
      <c r="D1862" s="24" t="s">
        <v>17</v>
      </c>
      <c r="E1862" s="24" t="s">
        <v>42</v>
      </c>
      <c r="F1862" s="24" t="s">
        <v>43</v>
      </c>
      <c r="G1862" s="24" t="s">
        <v>20</v>
      </c>
      <c r="H1862" s="26">
        <v>402</v>
      </c>
      <c r="I1862" s="24" t="s">
        <v>21</v>
      </c>
      <c r="J1862" s="36">
        <v>45455</v>
      </c>
      <c r="K1862" s="24" t="s">
        <v>22</v>
      </c>
    </row>
    <row r="1863" spans="1:11" x14ac:dyDescent="0.2">
      <c r="A1863" s="27" t="s">
        <v>4728</v>
      </c>
      <c r="B1863" s="27" t="s">
        <v>4729</v>
      </c>
      <c r="C1863" s="27" t="s">
        <v>459</v>
      </c>
      <c r="D1863" s="27" t="s">
        <v>17</v>
      </c>
      <c r="E1863" s="27" t="s">
        <v>42</v>
      </c>
      <c r="F1863" s="27" t="s">
        <v>43</v>
      </c>
      <c r="G1863" s="27" t="s">
        <v>44</v>
      </c>
      <c r="H1863" s="29">
        <v>140</v>
      </c>
      <c r="I1863" s="27" t="s">
        <v>21</v>
      </c>
      <c r="J1863" s="37">
        <v>45461</v>
      </c>
      <c r="K1863" s="27" t="s">
        <v>22</v>
      </c>
    </row>
    <row r="1864" spans="1:11" x14ac:dyDescent="0.2">
      <c r="A1864" s="24" t="s">
        <v>4730</v>
      </c>
      <c r="B1864" s="24" t="s">
        <v>4731</v>
      </c>
      <c r="C1864" s="24" t="s">
        <v>450</v>
      </c>
      <c r="D1864" s="24" t="s">
        <v>17</v>
      </c>
      <c r="E1864" s="24" t="s">
        <v>42</v>
      </c>
      <c r="F1864" s="24" t="s">
        <v>43</v>
      </c>
      <c r="G1864" s="24" t="s">
        <v>28</v>
      </c>
      <c r="H1864" s="26">
        <v>350</v>
      </c>
      <c r="I1864" s="24" t="s">
        <v>29</v>
      </c>
      <c r="J1864" s="36">
        <v>45462</v>
      </c>
      <c r="K1864" s="24" t="s">
        <v>22</v>
      </c>
    </row>
    <row r="1865" spans="1:11" x14ac:dyDescent="0.2">
      <c r="A1865" s="27" t="s">
        <v>4732</v>
      </c>
      <c r="B1865" s="27" t="s">
        <v>4733</v>
      </c>
      <c r="C1865" s="27" t="s">
        <v>673</v>
      </c>
      <c r="D1865" s="27" t="s">
        <v>17</v>
      </c>
      <c r="E1865" s="27" t="s">
        <v>42</v>
      </c>
      <c r="F1865" s="27" t="s">
        <v>43</v>
      </c>
      <c r="G1865" s="27" t="s">
        <v>28</v>
      </c>
      <c r="H1865" s="29">
        <v>680</v>
      </c>
      <c r="I1865" s="27" t="s">
        <v>29</v>
      </c>
      <c r="J1865" s="37">
        <v>45448</v>
      </c>
      <c r="K1865" s="27" t="s">
        <v>22</v>
      </c>
    </row>
    <row r="1866" spans="1:11" x14ac:dyDescent="0.2">
      <c r="A1866" s="24" t="s">
        <v>4734</v>
      </c>
      <c r="B1866" s="24" t="s">
        <v>4735</v>
      </c>
      <c r="C1866" s="24" t="s">
        <v>331</v>
      </c>
      <c r="D1866" s="24" t="s">
        <v>17</v>
      </c>
      <c r="E1866" s="24" t="s">
        <v>18</v>
      </c>
      <c r="F1866" s="24" t="s">
        <v>19</v>
      </c>
      <c r="G1866" s="24" t="s">
        <v>20</v>
      </c>
      <c r="H1866" s="26">
        <v>71</v>
      </c>
      <c r="I1866" s="24" t="s">
        <v>21</v>
      </c>
      <c r="J1866" s="36">
        <v>45462</v>
      </c>
      <c r="K1866" s="24" t="s">
        <v>22</v>
      </c>
    </row>
    <row r="1867" spans="1:11" x14ac:dyDescent="0.2">
      <c r="A1867" s="27" t="s">
        <v>4736</v>
      </c>
      <c r="B1867" s="27" t="s">
        <v>4737</v>
      </c>
      <c r="C1867" s="27" t="s">
        <v>930</v>
      </c>
      <c r="D1867" s="27" t="s">
        <v>17</v>
      </c>
      <c r="E1867" s="27" t="s">
        <v>48</v>
      </c>
      <c r="F1867" s="27" t="s">
        <v>49</v>
      </c>
      <c r="G1867" s="27" t="s">
        <v>28</v>
      </c>
      <c r="H1867" s="29">
        <v>200</v>
      </c>
      <c r="I1867" s="27" t="s">
        <v>29</v>
      </c>
      <c r="J1867" s="37">
        <v>45462</v>
      </c>
      <c r="K1867" s="27" t="s">
        <v>22</v>
      </c>
    </row>
    <row r="1868" spans="1:11" x14ac:dyDescent="0.2">
      <c r="A1868" s="24" t="s">
        <v>4738</v>
      </c>
      <c r="B1868" s="24" t="s">
        <v>4739</v>
      </c>
      <c r="C1868" s="24" t="s">
        <v>1883</v>
      </c>
      <c r="D1868" s="24" t="s">
        <v>17</v>
      </c>
      <c r="E1868" s="24" t="s">
        <v>18</v>
      </c>
      <c r="F1868" s="24" t="s">
        <v>19</v>
      </c>
      <c r="G1868" s="24" t="s">
        <v>20</v>
      </c>
      <c r="H1868" s="26">
        <v>40</v>
      </c>
      <c r="I1868" s="24" t="s">
        <v>21</v>
      </c>
      <c r="J1868" s="36">
        <v>45463</v>
      </c>
      <c r="K1868" s="24" t="s">
        <v>22</v>
      </c>
    </row>
    <row r="1869" spans="1:11" x14ac:dyDescent="0.2">
      <c r="A1869" s="27" t="s">
        <v>4740</v>
      </c>
      <c r="B1869" s="27" t="s">
        <v>4741</v>
      </c>
      <c r="C1869" s="27" t="s">
        <v>4742</v>
      </c>
      <c r="D1869" s="27" t="s">
        <v>17</v>
      </c>
      <c r="E1869" s="27" t="s">
        <v>18</v>
      </c>
      <c r="F1869" s="27" t="s">
        <v>19</v>
      </c>
      <c r="G1869" s="27" t="s">
        <v>217</v>
      </c>
      <c r="H1869" s="29">
        <v>64</v>
      </c>
      <c r="I1869" s="27" t="s">
        <v>29</v>
      </c>
      <c r="J1869" s="37">
        <v>45444</v>
      </c>
      <c r="K1869" s="27" t="s">
        <v>22</v>
      </c>
    </row>
    <row r="1870" spans="1:11" x14ac:dyDescent="0.2">
      <c r="A1870" s="24" t="s">
        <v>4743</v>
      </c>
      <c r="B1870" s="24" t="s">
        <v>4744</v>
      </c>
      <c r="C1870" s="24" t="s">
        <v>251</v>
      </c>
      <c r="D1870" s="24" t="s">
        <v>17</v>
      </c>
      <c r="E1870" s="24" t="s">
        <v>42</v>
      </c>
      <c r="F1870" s="24" t="s">
        <v>43</v>
      </c>
      <c r="G1870" s="24" t="s">
        <v>28</v>
      </c>
      <c r="H1870" s="26">
        <v>288</v>
      </c>
      <c r="I1870" s="24" t="s">
        <v>29</v>
      </c>
      <c r="J1870" s="36">
        <v>45471</v>
      </c>
      <c r="K1870" s="24" t="s">
        <v>22</v>
      </c>
    </row>
    <row r="1871" spans="1:11" x14ac:dyDescent="0.2">
      <c r="A1871" s="27" t="s">
        <v>4745</v>
      </c>
      <c r="B1871" s="27" t="s">
        <v>4746</v>
      </c>
      <c r="C1871" s="27" t="s">
        <v>251</v>
      </c>
      <c r="D1871" s="27" t="s">
        <v>17</v>
      </c>
      <c r="E1871" s="27" t="s">
        <v>81</v>
      </c>
      <c r="F1871" s="27" t="s">
        <v>82</v>
      </c>
      <c r="G1871" s="27" t="s">
        <v>20</v>
      </c>
      <c r="H1871" s="29">
        <v>402</v>
      </c>
      <c r="I1871" s="27" t="s">
        <v>21</v>
      </c>
      <c r="J1871" s="37">
        <v>45464</v>
      </c>
      <c r="K1871" s="27" t="s">
        <v>22</v>
      </c>
    </row>
    <row r="1872" spans="1:11" x14ac:dyDescent="0.2">
      <c r="A1872" s="24" t="s">
        <v>4747</v>
      </c>
      <c r="B1872" s="24" t="s">
        <v>4748</v>
      </c>
      <c r="C1872" s="24" t="s">
        <v>687</v>
      </c>
      <c r="D1872" s="24" t="s">
        <v>17</v>
      </c>
      <c r="E1872" s="24" t="s">
        <v>42</v>
      </c>
      <c r="F1872" s="24" t="s">
        <v>43</v>
      </c>
      <c r="G1872" s="24" t="s">
        <v>28</v>
      </c>
      <c r="H1872" s="26">
        <v>10000</v>
      </c>
      <c r="I1872" s="24" t="s">
        <v>29</v>
      </c>
      <c r="J1872" s="36">
        <v>45468</v>
      </c>
      <c r="K1872" s="24" t="s">
        <v>22</v>
      </c>
    </row>
    <row r="1873" spans="1:11" x14ac:dyDescent="0.2">
      <c r="A1873" s="27" t="s">
        <v>4749</v>
      </c>
      <c r="B1873" s="27" t="s">
        <v>4750</v>
      </c>
      <c r="C1873" s="27" t="s">
        <v>106</v>
      </c>
      <c r="D1873" s="27" t="s">
        <v>17</v>
      </c>
      <c r="E1873" s="27" t="s">
        <v>42</v>
      </c>
      <c r="F1873" s="27" t="s">
        <v>43</v>
      </c>
      <c r="G1873" s="27" t="s">
        <v>116</v>
      </c>
      <c r="H1873" s="29">
        <v>0</v>
      </c>
      <c r="I1873" s="27" t="s">
        <v>21</v>
      </c>
      <c r="J1873" s="37">
        <v>45470</v>
      </c>
      <c r="K1873" s="27" t="s">
        <v>22</v>
      </c>
    </row>
    <row r="1874" spans="1:11" x14ac:dyDescent="0.2">
      <c r="A1874" s="24" t="s">
        <v>4751</v>
      </c>
      <c r="B1874" s="24" t="s">
        <v>4752</v>
      </c>
      <c r="C1874" s="24" t="s">
        <v>85</v>
      </c>
      <c r="D1874" s="24" t="s">
        <v>17</v>
      </c>
      <c r="E1874" s="24" t="s">
        <v>18</v>
      </c>
      <c r="F1874" s="24" t="s">
        <v>19</v>
      </c>
      <c r="G1874" s="24" t="s">
        <v>20</v>
      </c>
      <c r="H1874" s="26">
        <v>12</v>
      </c>
      <c r="I1874" s="24" t="s">
        <v>21</v>
      </c>
      <c r="J1874" s="36">
        <v>45467</v>
      </c>
      <c r="K1874" s="24" t="s">
        <v>22</v>
      </c>
    </row>
    <row r="1875" spans="1:11" x14ac:dyDescent="0.2">
      <c r="A1875" s="27" t="s">
        <v>4753</v>
      </c>
      <c r="B1875" s="27" t="s">
        <v>4754</v>
      </c>
      <c r="C1875" s="27" t="s">
        <v>4755</v>
      </c>
      <c r="D1875" s="27" t="s">
        <v>17</v>
      </c>
      <c r="E1875" s="27" t="s">
        <v>26</v>
      </c>
      <c r="F1875" s="27" t="s">
        <v>27</v>
      </c>
      <c r="G1875" s="27" t="s">
        <v>28</v>
      </c>
      <c r="H1875" s="29">
        <v>194</v>
      </c>
      <c r="I1875" s="27" t="s">
        <v>29</v>
      </c>
      <c r="J1875" s="37">
        <v>45462</v>
      </c>
      <c r="K1875" s="27" t="s">
        <v>22</v>
      </c>
    </row>
    <row r="1876" spans="1:11" x14ac:dyDescent="0.2">
      <c r="A1876" s="24" t="s">
        <v>4756</v>
      </c>
      <c r="B1876" s="24" t="s">
        <v>4757</v>
      </c>
      <c r="C1876" s="24" t="s">
        <v>4758</v>
      </c>
      <c r="D1876" s="24" t="s">
        <v>17</v>
      </c>
      <c r="E1876" s="24" t="s">
        <v>26</v>
      </c>
      <c r="F1876" s="24" t="s">
        <v>27</v>
      </c>
      <c r="G1876" s="24" t="s">
        <v>28</v>
      </c>
      <c r="H1876" s="26">
        <v>39</v>
      </c>
      <c r="I1876" s="24" t="s">
        <v>29</v>
      </c>
      <c r="J1876" s="36">
        <v>45455</v>
      </c>
      <c r="K1876" s="24" t="s">
        <v>22</v>
      </c>
    </row>
    <row r="1877" spans="1:11" x14ac:dyDescent="0.2">
      <c r="A1877" s="27" t="s">
        <v>4759</v>
      </c>
      <c r="B1877" s="27" t="s">
        <v>4760</v>
      </c>
      <c r="C1877" s="27" t="s">
        <v>4761</v>
      </c>
      <c r="D1877" s="27" t="s">
        <v>17</v>
      </c>
      <c r="E1877" s="27" t="s">
        <v>26</v>
      </c>
      <c r="F1877" s="27" t="s">
        <v>27</v>
      </c>
      <c r="G1877" s="27" t="s">
        <v>28</v>
      </c>
      <c r="H1877" s="29">
        <v>106</v>
      </c>
      <c r="I1877" s="27" t="s">
        <v>29</v>
      </c>
      <c r="J1877" s="37">
        <v>45462</v>
      </c>
      <c r="K1877" s="27" t="s">
        <v>22</v>
      </c>
    </row>
    <row r="1878" spans="1:11" x14ac:dyDescent="0.2">
      <c r="A1878" s="24" t="s">
        <v>4762</v>
      </c>
      <c r="B1878" s="24" t="s">
        <v>4763</v>
      </c>
      <c r="C1878" s="24" t="s">
        <v>1502</v>
      </c>
      <c r="D1878" s="24" t="s">
        <v>17</v>
      </c>
      <c r="E1878" s="24" t="s">
        <v>18</v>
      </c>
      <c r="F1878" s="24" t="s">
        <v>19</v>
      </c>
      <c r="G1878" s="24" t="s">
        <v>59</v>
      </c>
      <c r="H1878" s="26">
        <v>310</v>
      </c>
      <c r="I1878" s="24" t="s">
        <v>21</v>
      </c>
      <c r="J1878" s="36">
        <v>45457</v>
      </c>
      <c r="K1878" s="24" t="s">
        <v>22</v>
      </c>
    </row>
    <row r="1879" spans="1:11" x14ac:dyDescent="0.2">
      <c r="A1879" s="27" t="s">
        <v>4764</v>
      </c>
      <c r="B1879" s="27" t="s">
        <v>4765</v>
      </c>
      <c r="C1879" s="27" t="s">
        <v>106</v>
      </c>
      <c r="D1879" s="27" t="s">
        <v>17</v>
      </c>
      <c r="E1879" s="27" t="s">
        <v>26</v>
      </c>
      <c r="F1879" s="27" t="s">
        <v>27</v>
      </c>
      <c r="G1879" s="27" t="s">
        <v>28</v>
      </c>
      <c r="H1879" s="29">
        <v>768</v>
      </c>
      <c r="I1879" s="27" t="s">
        <v>29</v>
      </c>
      <c r="J1879" s="37">
        <v>45446</v>
      </c>
      <c r="K1879" s="27" t="s">
        <v>22</v>
      </c>
    </row>
    <row r="1880" spans="1:11" x14ac:dyDescent="0.2">
      <c r="A1880" s="24" t="s">
        <v>4766</v>
      </c>
      <c r="B1880" s="24" t="s">
        <v>4767</v>
      </c>
      <c r="C1880" s="24" t="s">
        <v>1523</v>
      </c>
      <c r="D1880" s="24" t="s">
        <v>17</v>
      </c>
      <c r="E1880" s="24" t="s">
        <v>48</v>
      </c>
      <c r="F1880" s="24" t="s">
        <v>49</v>
      </c>
      <c r="G1880" s="24" t="s">
        <v>217</v>
      </c>
      <c r="H1880" s="26">
        <v>90</v>
      </c>
      <c r="I1880" s="24" t="s">
        <v>29</v>
      </c>
      <c r="J1880" s="36">
        <v>45473</v>
      </c>
      <c r="K1880" s="24" t="s">
        <v>22</v>
      </c>
    </row>
    <row r="1881" spans="1:11" x14ac:dyDescent="0.2">
      <c r="A1881" s="27" t="s">
        <v>4768</v>
      </c>
      <c r="B1881" s="27" t="s">
        <v>4769</v>
      </c>
      <c r="C1881" s="27" t="s">
        <v>2484</v>
      </c>
      <c r="D1881" s="27" t="s">
        <v>17</v>
      </c>
      <c r="E1881" s="27" t="s">
        <v>42</v>
      </c>
      <c r="F1881" s="27" t="s">
        <v>43</v>
      </c>
      <c r="G1881" s="27" t="s">
        <v>28</v>
      </c>
      <c r="H1881" s="29">
        <v>168</v>
      </c>
      <c r="I1881" s="27" t="s">
        <v>29</v>
      </c>
      <c r="J1881" s="37">
        <v>45468</v>
      </c>
      <c r="K1881" s="27" t="s">
        <v>22</v>
      </c>
    </row>
    <row r="1882" spans="1:11" x14ac:dyDescent="0.2">
      <c r="A1882" s="24" t="s">
        <v>4770</v>
      </c>
      <c r="B1882" s="24" t="s">
        <v>4771</v>
      </c>
      <c r="C1882" s="24" t="s">
        <v>4519</v>
      </c>
      <c r="D1882" s="24" t="s">
        <v>17</v>
      </c>
      <c r="E1882" s="24" t="s">
        <v>26</v>
      </c>
      <c r="F1882" s="24" t="s">
        <v>27</v>
      </c>
      <c r="G1882" s="24" t="s">
        <v>28</v>
      </c>
      <c r="H1882" s="26">
        <v>12</v>
      </c>
      <c r="I1882" s="24" t="s">
        <v>29</v>
      </c>
      <c r="J1882" s="36">
        <v>45455</v>
      </c>
      <c r="K1882" s="24" t="s">
        <v>22</v>
      </c>
    </row>
    <row r="1883" spans="1:11" x14ac:dyDescent="0.2">
      <c r="A1883" s="27" t="s">
        <v>4772</v>
      </c>
      <c r="B1883" s="27" t="s">
        <v>4773</v>
      </c>
      <c r="C1883" s="27" t="s">
        <v>146</v>
      </c>
      <c r="D1883" s="27" t="s">
        <v>17</v>
      </c>
      <c r="E1883" s="27" t="s">
        <v>81</v>
      </c>
      <c r="F1883" s="27" t="s">
        <v>82</v>
      </c>
      <c r="G1883" s="27" t="s">
        <v>28</v>
      </c>
      <c r="H1883" s="29">
        <v>350</v>
      </c>
      <c r="I1883" s="27" t="s">
        <v>29</v>
      </c>
      <c r="J1883" s="37">
        <v>45449</v>
      </c>
      <c r="K1883" s="27" t="s">
        <v>22</v>
      </c>
    </row>
    <row r="1884" spans="1:11" x14ac:dyDescent="0.2">
      <c r="A1884" s="24" t="s">
        <v>4774</v>
      </c>
      <c r="B1884" s="24" t="s">
        <v>4775</v>
      </c>
      <c r="C1884" s="24" t="s">
        <v>4776</v>
      </c>
      <c r="D1884" s="24" t="s">
        <v>17</v>
      </c>
      <c r="E1884" s="24" t="s">
        <v>48</v>
      </c>
      <c r="F1884" s="24" t="s">
        <v>49</v>
      </c>
      <c r="G1884" s="24" t="s">
        <v>28</v>
      </c>
      <c r="H1884" s="26">
        <v>168</v>
      </c>
      <c r="I1884" s="24" t="s">
        <v>29</v>
      </c>
      <c r="J1884" s="36">
        <v>45444</v>
      </c>
      <c r="K1884" s="24" t="s">
        <v>22</v>
      </c>
    </row>
    <row r="1885" spans="1:11" x14ac:dyDescent="0.2">
      <c r="A1885" s="27" t="s">
        <v>4777</v>
      </c>
      <c r="B1885" s="27" t="s">
        <v>4778</v>
      </c>
      <c r="C1885" s="27" t="s">
        <v>1199</v>
      </c>
      <c r="D1885" s="27" t="s">
        <v>17</v>
      </c>
      <c r="E1885" s="27" t="s">
        <v>26</v>
      </c>
      <c r="F1885" s="27" t="s">
        <v>27</v>
      </c>
      <c r="G1885" s="27" t="s">
        <v>217</v>
      </c>
      <c r="H1885" s="29">
        <v>124</v>
      </c>
      <c r="I1885" s="27" t="s">
        <v>29</v>
      </c>
      <c r="J1885" s="37">
        <v>45444</v>
      </c>
      <c r="K1885" s="27" t="s">
        <v>22</v>
      </c>
    </row>
    <row r="1886" spans="1:11" x14ac:dyDescent="0.2">
      <c r="A1886" s="24" t="s">
        <v>4779</v>
      </c>
      <c r="B1886" s="24" t="s">
        <v>4780</v>
      </c>
      <c r="C1886" s="24" t="s">
        <v>325</v>
      </c>
      <c r="D1886" s="24" t="s">
        <v>17</v>
      </c>
      <c r="E1886" s="24" t="s">
        <v>18</v>
      </c>
      <c r="F1886" s="24" t="s">
        <v>19</v>
      </c>
      <c r="G1886" s="24" t="s">
        <v>20</v>
      </c>
      <c r="H1886" s="26">
        <v>236</v>
      </c>
      <c r="I1886" s="24" t="s">
        <v>21</v>
      </c>
      <c r="J1886" s="36">
        <v>45448</v>
      </c>
      <c r="K1886" s="24" t="s">
        <v>22</v>
      </c>
    </row>
    <row r="1887" spans="1:11" x14ac:dyDescent="0.2">
      <c r="A1887" s="27" t="s">
        <v>4781</v>
      </c>
      <c r="B1887" s="27" t="s">
        <v>4782</v>
      </c>
      <c r="C1887" s="27" t="s">
        <v>708</v>
      </c>
      <c r="D1887" s="27" t="s">
        <v>17</v>
      </c>
      <c r="E1887" s="27" t="s">
        <v>18</v>
      </c>
      <c r="F1887" s="27" t="s">
        <v>19</v>
      </c>
      <c r="G1887" s="27" t="s">
        <v>44</v>
      </c>
      <c r="H1887" s="29">
        <v>59</v>
      </c>
      <c r="I1887" s="27" t="s">
        <v>21</v>
      </c>
      <c r="J1887" s="37">
        <v>45470</v>
      </c>
      <c r="K1887" s="27" t="s">
        <v>22</v>
      </c>
    </row>
    <row r="1888" spans="1:11" x14ac:dyDescent="0.2">
      <c r="A1888" s="24" t="s">
        <v>4783</v>
      </c>
      <c r="B1888" s="24" t="s">
        <v>4784</v>
      </c>
      <c r="C1888" s="24" t="s">
        <v>4785</v>
      </c>
      <c r="D1888" s="24" t="s">
        <v>17</v>
      </c>
      <c r="E1888" s="24" t="s">
        <v>26</v>
      </c>
      <c r="F1888" s="24" t="s">
        <v>27</v>
      </c>
      <c r="G1888" s="24" t="s">
        <v>44</v>
      </c>
      <c r="H1888" s="26">
        <v>20</v>
      </c>
      <c r="I1888" s="24" t="s">
        <v>21</v>
      </c>
      <c r="J1888" s="36">
        <v>45444</v>
      </c>
      <c r="K1888" s="24" t="s">
        <v>22</v>
      </c>
    </row>
    <row r="1889" spans="1:11" x14ac:dyDescent="0.2">
      <c r="A1889" s="27" t="s">
        <v>4786</v>
      </c>
      <c r="B1889" s="27" t="s">
        <v>4787</v>
      </c>
      <c r="C1889" s="27" t="s">
        <v>4788</v>
      </c>
      <c r="D1889" s="27" t="s">
        <v>17</v>
      </c>
      <c r="E1889" s="27" t="s">
        <v>18</v>
      </c>
      <c r="F1889" s="27" t="s">
        <v>19</v>
      </c>
      <c r="G1889" s="27" t="s">
        <v>44</v>
      </c>
      <c r="H1889" s="29">
        <v>144</v>
      </c>
      <c r="I1889" s="27" t="s">
        <v>29</v>
      </c>
      <c r="J1889" s="37">
        <v>45469</v>
      </c>
      <c r="K1889" s="27" t="s">
        <v>22</v>
      </c>
    </row>
    <row r="1890" spans="1:11" x14ac:dyDescent="0.2">
      <c r="A1890" s="24" t="s">
        <v>4789</v>
      </c>
      <c r="B1890" s="24" t="s">
        <v>4790</v>
      </c>
      <c r="C1890" s="24" t="s">
        <v>1845</v>
      </c>
      <c r="D1890" s="24" t="s">
        <v>17</v>
      </c>
      <c r="E1890" s="24" t="s">
        <v>18</v>
      </c>
      <c r="F1890" s="24" t="s">
        <v>19</v>
      </c>
      <c r="G1890" s="24" t="s">
        <v>44</v>
      </c>
      <c r="H1890" s="26">
        <v>16</v>
      </c>
      <c r="I1890" s="24" t="s">
        <v>21</v>
      </c>
      <c r="J1890" s="36">
        <v>45468</v>
      </c>
      <c r="K1890" s="24" t="s">
        <v>22</v>
      </c>
    </row>
    <row r="1891" spans="1:11" x14ac:dyDescent="0.2">
      <c r="A1891" s="27" t="s">
        <v>4791</v>
      </c>
      <c r="B1891" s="27" t="s">
        <v>4792</v>
      </c>
      <c r="C1891" s="27" t="s">
        <v>3387</v>
      </c>
      <c r="D1891" s="27" t="s">
        <v>17</v>
      </c>
      <c r="E1891" s="27" t="s">
        <v>18</v>
      </c>
      <c r="F1891" s="27" t="s">
        <v>19</v>
      </c>
      <c r="G1891" s="27" t="s">
        <v>20</v>
      </c>
      <c r="H1891" s="29">
        <v>1000</v>
      </c>
      <c r="I1891" s="27" t="s">
        <v>21</v>
      </c>
      <c r="J1891" s="37">
        <v>45463</v>
      </c>
      <c r="K1891" s="27" t="s">
        <v>22</v>
      </c>
    </row>
    <row r="1892" spans="1:11" x14ac:dyDescent="0.2">
      <c r="A1892" s="24" t="s">
        <v>4793</v>
      </c>
      <c r="B1892" s="24" t="s">
        <v>4794</v>
      </c>
      <c r="C1892" s="24" t="s">
        <v>213</v>
      </c>
      <c r="D1892" s="24" t="s">
        <v>17</v>
      </c>
      <c r="E1892" s="24" t="s">
        <v>18</v>
      </c>
      <c r="F1892" s="24" t="s">
        <v>19</v>
      </c>
      <c r="G1892" s="24" t="s">
        <v>20</v>
      </c>
      <c r="H1892" s="26">
        <v>12</v>
      </c>
      <c r="I1892" s="24" t="s">
        <v>21</v>
      </c>
      <c r="J1892" s="36">
        <v>45453</v>
      </c>
      <c r="K1892" s="24" t="s">
        <v>22</v>
      </c>
    </row>
    <row r="1893" spans="1:11" x14ac:dyDescent="0.2">
      <c r="A1893" s="27" t="s">
        <v>4795</v>
      </c>
      <c r="B1893" s="27" t="s">
        <v>4796</v>
      </c>
      <c r="C1893" s="27" t="s">
        <v>4797</v>
      </c>
      <c r="D1893" s="27" t="s">
        <v>17</v>
      </c>
      <c r="E1893" s="27" t="s">
        <v>42</v>
      </c>
      <c r="F1893" s="27" t="s">
        <v>43</v>
      </c>
      <c r="G1893" s="27" t="s">
        <v>44</v>
      </c>
      <c r="H1893" s="29">
        <v>333</v>
      </c>
      <c r="I1893" s="27" t="s">
        <v>29</v>
      </c>
      <c r="J1893" s="37">
        <v>45471</v>
      </c>
      <c r="K1893" s="27" t="s">
        <v>22</v>
      </c>
    </row>
    <row r="1894" spans="1:11" x14ac:dyDescent="0.2">
      <c r="A1894" s="24" t="s">
        <v>4798</v>
      </c>
      <c r="B1894" s="24" t="s">
        <v>4799</v>
      </c>
      <c r="C1894" s="24" t="s">
        <v>1161</v>
      </c>
      <c r="D1894" s="24" t="s">
        <v>17</v>
      </c>
      <c r="E1894" s="24" t="s">
        <v>42</v>
      </c>
      <c r="F1894" s="24" t="s">
        <v>43</v>
      </c>
      <c r="G1894" s="24" t="s">
        <v>20</v>
      </c>
      <c r="H1894" s="26">
        <v>498</v>
      </c>
      <c r="I1894" s="24" t="s">
        <v>21</v>
      </c>
      <c r="J1894" s="36">
        <v>45457</v>
      </c>
      <c r="K1894" s="24" t="s">
        <v>22</v>
      </c>
    </row>
    <row r="1895" spans="1:11" x14ac:dyDescent="0.2">
      <c r="A1895" s="27" t="s">
        <v>4800</v>
      </c>
      <c r="B1895" s="27" t="s">
        <v>4801</v>
      </c>
      <c r="C1895" s="27" t="s">
        <v>4802</v>
      </c>
      <c r="D1895" s="27" t="s">
        <v>17</v>
      </c>
      <c r="E1895" s="27" t="s">
        <v>48</v>
      </c>
      <c r="F1895" s="27" t="s">
        <v>49</v>
      </c>
      <c r="G1895" s="27" t="s">
        <v>44</v>
      </c>
      <c r="H1895" s="29">
        <v>45</v>
      </c>
      <c r="I1895" s="27" t="s">
        <v>29</v>
      </c>
      <c r="J1895" s="37">
        <v>45444</v>
      </c>
      <c r="K1895" s="27" t="s">
        <v>22</v>
      </c>
    </row>
    <row r="1896" spans="1:11" x14ac:dyDescent="0.2">
      <c r="A1896" s="24" t="s">
        <v>4803</v>
      </c>
      <c r="B1896" s="24" t="s">
        <v>4804</v>
      </c>
      <c r="C1896" s="24" t="s">
        <v>486</v>
      </c>
      <c r="D1896" s="24" t="s">
        <v>17</v>
      </c>
      <c r="E1896" s="24" t="s">
        <v>18</v>
      </c>
      <c r="F1896" s="24" t="s">
        <v>19</v>
      </c>
      <c r="G1896" s="24" t="s">
        <v>217</v>
      </c>
      <c r="H1896" s="26">
        <v>9</v>
      </c>
      <c r="I1896" s="24" t="s">
        <v>29</v>
      </c>
      <c r="J1896" s="36">
        <v>45458</v>
      </c>
      <c r="K1896" s="24" t="s">
        <v>22</v>
      </c>
    </row>
    <row r="1897" spans="1:11" x14ac:dyDescent="0.2">
      <c r="A1897" s="27" t="s">
        <v>4805</v>
      </c>
      <c r="B1897" s="27" t="s">
        <v>4806</v>
      </c>
      <c r="C1897" s="27" t="s">
        <v>4807</v>
      </c>
      <c r="D1897" s="27" t="s">
        <v>17</v>
      </c>
      <c r="E1897" s="27" t="s">
        <v>48</v>
      </c>
      <c r="F1897" s="27" t="s">
        <v>49</v>
      </c>
      <c r="G1897" s="27" t="s">
        <v>28</v>
      </c>
      <c r="H1897" s="29">
        <v>36</v>
      </c>
      <c r="I1897" s="27" t="s">
        <v>29</v>
      </c>
      <c r="J1897" s="37">
        <v>45471</v>
      </c>
      <c r="K1897" s="27" t="s">
        <v>22</v>
      </c>
    </row>
    <row r="1898" spans="1:11" x14ac:dyDescent="0.2">
      <c r="A1898" s="24" t="s">
        <v>4808</v>
      </c>
      <c r="B1898" s="24" t="s">
        <v>4809</v>
      </c>
      <c r="C1898" s="24" t="s">
        <v>3136</v>
      </c>
      <c r="D1898" s="24" t="s">
        <v>17</v>
      </c>
      <c r="E1898" s="24" t="s">
        <v>18</v>
      </c>
      <c r="F1898" s="24" t="s">
        <v>19</v>
      </c>
      <c r="G1898" s="24" t="s">
        <v>20</v>
      </c>
      <c r="H1898" s="26">
        <v>52</v>
      </c>
      <c r="I1898" s="24" t="s">
        <v>21</v>
      </c>
      <c r="J1898" s="36">
        <v>45464</v>
      </c>
      <c r="K1898" s="24" t="s">
        <v>22</v>
      </c>
    </row>
    <row r="1899" spans="1:11" x14ac:dyDescent="0.2">
      <c r="A1899" s="27" t="s">
        <v>4810</v>
      </c>
      <c r="B1899" s="27" t="s">
        <v>4811</v>
      </c>
      <c r="C1899" s="27" t="s">
        <v>4812</v>
      </c>
      <c r="D1899" s="27" t="s">
        <v>17</v>
      </c>
      <c r="E1899" s="27" t="s">
        <v>18</v>
      </c>
      <c r="F1899" s="27" t="s">
        <v>19</v>
      </c>
      <c r="G1899" s="27" t="s">
        <v>28</v>
      </c>
      <c r="H1899" s="29">
        <v>8</v>
      </c>
      <c r="I1899" s="27" t="s">
        <v>29</v>
      </c>
      <c r="J1899" s="37">
        <v>45455</v>
      </c>
      <c r="K1899" s="27" t="s">
        <v>22</v>
      </c>
    </row>
    <row r="1900" spans="1:11" x14ac:dyDescent="0.2">
      <c r="A1900" s="24" t="s">
        <v>4813</v>
      </c>
      <c r="B1900" s="24" t="s">
        <v>4814</v>
      </c>
      <c r="C1900" s="24" t="s">
        <v>4815</v>
      </c>
      <c r="D1900" s="24" t="s">
        <v>17</v>
      </c>
      <c r="E1900" s="24" t="s">
        <v>48</v>
      </c>
      <c r="F1900" s="24" t="s">
        <v>49</v>
      </c>
      <c r="G1900" s="24" t="s">
        <v>116</v>
      </c>
      <c r="H1900" s="26">
        <v>0</v>
      </c>
      <c r="I1900" s="24" t="s">
        <v>21</v>
      </c>
      <c r="J1900" s="36">
        <v>45470</v>
      </c>
      <c r="K1900" s="24" t="s">
        <v>22</v>
      </c>
    </row>
    <row r="1901" spans="1:11" x14ac:dyDescent="0.2">
      <c r="A1901" s="27" t="s">
        <v>4816</v>
      </c>
      <c r="B1901" s="27" t="s">
        <v>4817</v>
      </c>
      <c r="C1901" s="27" t="s">
        <v>71</v>
      </c>
      <c r="D1901" s="27" t="s">
        <v>17</v>
      </c>
      <c r="E1901" s="27" t="s">
        <v>18</v>
      </c>
      <c r="F1901" s="27" t="s">
        <v>19</v>
      </c>
      <c r="G1901" s="27" t="s">
        <v>20</v>
      </c>
      <c r="H1901" s="29">
        <v>84</v>
      </c>
      <c r="I1901" s="27" t="s">
        <v>21</v>
      </c>
      <c r="J1901" s="37">
        <v>45463</v>
      </c>
      <c r="K1901" s="27" t="s">
        <v>22</v>
      </c>
    </row>
    <row r="1902" spans="1:11" x14ac:dyDescent="0.2">
      <c r="A1902" s="24" t="s">
        <v>4818</v>
      </c>
      <c r="B1902" s="24" t="s">
        <v>4819</v>
      </c>
      <c r="C1902" s="24" t="s">
        <v>4431</v>
      </c>
      <c r="D1902" s="24" t="s">
        <v>17</v>
      </c>
      <c r="E1902" s="24" t="s">
        <v>33</v>
      </c>
      <c r="F1902" s="24" t="s">
        <v>34</v>
      </c>
      <c r="G1902" s="24" t="s">
        <v>59</v>
      </c>
      <c r="H1902" s="26">
        <v>2</v>
      </c>
      <c r="I1902" s="24" t="s">
        <v>21</v>
      </c>
      <c r="J1902" s="36">
        <v>45473</v>
      </c>
      <c r="K1902" s="24" t="s">
        <v>22</v>
      </c>
    </row>
    <row r="1903" spans="1:11" x14ac:dyDescent="0.2">
      <c r="A1903" s="27" t="s">
        <v>4820</v>
      </c>
      <c r="B1903" s="27" t="s">
        <v>4821</v>
      </c>
      <c r="C1903" s="27" t="s">
        <v>388</v>
      </c>
      <c r="D1903" s="27" t="s">
        <v>17</v>
      </c>
      <c r="E1903" s="27" t="s">
        <v>42</v>
      </c>
      <c r="F1903" s="27" t="s">
        <v>43</v>
      </c>
      <c r="G1903" s="27" t="s">
        <v>217</v>
      </c>
      <c r="H1903" s="29">
        <v>100</v>
      </c>
      <c r="I1903" s="27" t="s">
        <v>29</v>
      </c>
      <c r="J1903" s="37">
        <v>45444</v>
      </c>
      <c r="K1903" s="27" t="s">
        <v>22</v>
      </c>
    </row>
    <row r="1904" spans="1:11" x14ac:dyDescent="0.2">
      <c r="A1904" s="24" t="s">
        <v>4822</v>
      </c>
      <c r="B1904" s="24" t="s">
        <v>4823</v>
      </c>
      <c r="C1904" s="24" t="s">
        <v>4824</v>
      </c>
      <c r="D1904" s="24" t="s">
        <v>17</v>
      </c>
      <c r="E1904" s="24" t="s">
        <v>42</v>
      </c>
      <c r="F1904" s="24" t="s">
        <v>43</v>
      </c>
      <c r="G1904" s="24" t="s">
        <v>28</v>
      </c>
      <c r="H1904" s="26">
        <v>178</v>
      </c>
      <c r="I1904" s="24" t="s">
        <v>29</v>
      </c>
      <c r="J1904" s="36">
        <v>45468</v>
      </c>
      <c r="K1904" s="24" t="s">
        <v>22</v>
      </c>
    </row>
    <row r="1905" spans="1:11" x14ac:dyDescent="0.2">
      <c r="A1905" s="27" t="s">
        <v>4825</v>
      </c>
      <c r="B1905" s="27" t="s">
        <v>4826</v>
      </c>
      <c r="C1905" s="27" t="s">
        <v>4827</v>
      </c>
      <c r="D1905" s="27" t="s">
        <v>17</v>
      </c>
      <c r="E1905" s="27" t="s">
        <v>48</v>
      </c>
      <c r="F1905" s="27" t="s">
        <v>49</v>
      </c>
      <c r="G1905" s="27" t="s">
        <v>20</v>
      </c>
      <c r="H1905" s="29">
        <v>60</v>
      </c>
      <c r="I1905" s="27" t="s">
        <v>21</v>
      </c>
      <c r="J1905" s="37">
        <v>45462</v>
      </c>
      <c r="K1905" s="27" t="s">
        <v>22</v>
      </c>
    </row>
    <row r="1906" spans="1:11" x14ac:dyDescent="0.2">
      <c r="A1906" s="24" t="s">
        <v>4828</v>
      </c>
      <c r="B1906" s="24" t="s">
        <v>4829</v>
      </c>
      <c r="C1906" s="24" t="s">
        <v>4830</v>
      </c>
      <c r="D1906" s="24" t="s">
        <v>17</v>
      </c>
      <c r="E1906" s="24" t="s">
        <v>81</v>
      </c>
      <c r="F1906" s="24" t="s">
        <v>82</v>
      </c>
      <c r="G1906" s="24" t="s">
        <v>28</v>
      </c>
      <c r="H1906" s="26">
        <v>44</v>
      </c>
      <c r="I1906" s="24" t="s">
        <v>29</v>
      </c>
      <c r="J1906" s="36">
        <v>45449</v>
      </c>
      <c r="K1906" s="24" t="s">
        <v>22</v>
      </c>
    </row>
    <row r="1907" spans="1:11" x14ac:dyDescent="0.2">
      <c r="A1907" s="27" t="s">
        <v>4831</v>
      </c>
      <c r="B1907" s="27" t="s">
        <v>4832</v>
      </c>
      <c r="C1907" s="27" t="s">
        <v>4833</v>
      </c>
      <c r="D1907" s="27" t="s">
        <v>17</v>
      </c>
      <c r="E1907" s="27" t="s">
        <v>26</v>
      </c>
      <c r="F1907" s="27" t="s">
        <v>27</v>
      </c>
      <c r="G1907" s="27" t="s">
        <v>28</v>
      </c>
      <c r="H1907" s="29">
        <v>130</v>
      </c>
      <c r="I1907" s="27" t="s">
        <v>29</v>
      </c>
      <c r="J1907" s="37">
        <v>45460</v>
      </c>
      <c r="K1907" s="27" t="s">
        <v>22</v>
      </c>
    </row>
    <row r="1908" spans="1:11" x14ac:dyDescent="0.2">
      <c r="A1908" s="24" t="s">
        <v>4834</v>
      </c>
      <c r="B1908" s="24" t="s">
        <v>4835</v>
      </c>
      <c r="C1908" s="24" t="s">
        <v>3412</v>
      </c>
      <c r="D1908" s="24" t="s">
        <v>17</v>
      </c>
      <c r="E1908" s="24" t="s">
        <v>18</v>
      </c>
      <c r="F1908" s="24" t="s">
        <v>19</v>
      </c>
      <c r="G1908" s="24" t="s">
        <v>20</v>
      </c>
      <c r="H1908" s="26">
        <v>20</v>
      </c>
      <c r="I1908" s="24" t="s">
        <v>21</v>
      </c>
      <c r="J1908" s="36">
        <v>45447</v>
      </c>
      <c r="K1908" s="24" t="s">
        <v>22</v>
      </c>
    </row>
    <row r="1909" spans="1:11" x14ac:dyDescent="0.2">
      <c r="A1909" s="27" t="s">
        <v>4836</v>
      </c>
      <c r="B1909" s="27" t="s">
        <v>4837</v>
      </c>
      <c r="C1909" s="27" t="s">
        <v>85</v>
      </c>
      <c r="D1909" s="27" t="s">
        <v>17</v>
      </c>
      <c r="E1909" s="27" t="s">
        <v>18</v>
      </c>
      <c r="F1909" s="27" t="s">
        <v>19</v>
      </c>
      <c r="G1909" s="27" t="s">
        <v>28</v>
      </c>
      <c r="H1909" s="29">
        <v>55</v>
      </c>
      <c r="I1909" s="27" t="s">
        <v>29</v>
      </c>
      <c r="J1909" s="37">
        <v>45460</v>
      </c>
      <c r="K1909" s="27" t="s">
        <v>22</v>
      </c>
    </row>
    <row r="1910" spans="1:11" x14ac:dyDescent="0.2">
      <c r="A1910" s="24" t="s">
        <v>4838</v>
      </c>
      <c r="B1910" s="24" t="s">
        <v>4839</v>
      </c>
      <c r="C1910" s="24" t="s">
        <v>4840</v>
      </c>
      <c r="D1910" s="24" t="s">
        <v>17</v>
      </c>
      <c r="E1910" s="24" t="s">
        <v>42</v>
      </c>
      <c r="F1910" s="24" t="s">
        <v>43</v>
      </c>
      <c r="G1910" s="24" t="s">
        <v>28</v>
      </c>
      <c r="H1910" s="26">
        <v>380</v>
      </c>
      <c r="I1910" s="24" t="s">
        <v>29</v>
      </c>
      <c r="J1910" s="36">
        <v>45456</v>
      </c>
      <c r="K1910" s="24" t="s">
        <v>22</v>
      </c>
    </row>
    <row r="1911" spans="1:11" x14ac:dyDescent="0.2">
      <c r="A1911" s="27" t="s">
        <v>4841</v>
      </c>
      <c r="B1911" s="27" t="s">
        <v>4842</v>
      </c>
      <c r="C1911" s="27" t="s">
        <v>4843</v>
      </c>
      <c r="D1911" s="27" t="s">
        <v>17</v>
      </c>
      <c r="E1911" s="27" t="s">
        <v>18</v>
      </c>
      <c r="F1911" s="27" t="s">
        <v>19</v>
      </c>
      <c r="G1911" s="27" t="s">
        <v>59</v>
      </c>
      <c r="H1911" s="29">
        <v>10</v>
      </c>
      <c r="I1911" s="27" t="s">
        <v>21</v>
      </c>
      <c r="J1911" s="37">
        <v>45448</v>
      </c>
      <c r="K1911" s="27" t="s">
        <v>22</v>
      </c>
    </row>
    <row r="1912" spans="1:11" x14ac:dyDescent="0.2">
      <c r="A1912" s="24" t="s">
        <v>4844</v>
      </c>
      <c r="B1912" s="24" t="s">
        <v>4845</v>
      </c>
      <c r="C1912" s="24" t="s">
        <v>4846</v>
      </c>
      <c r="D1912" s="24" t="s">
        <v>17</v>
      </c>
      <c r="E1912" s="24" t="s">
        <v>48</v>
      </c>
      <c r="F1912" s="24" t="s">
        <v>49</v>
      </c>
      <c r="G1912" s="24" t="s">
        <v>28</v>
      </c>
      <c r="H1912" s="26">
        <v>114</v>
      </c>
      <c r="I1912" s="24" t="s">
        <v>29</v>
      </c>
      <c r="J1912" s="36">
        <v>45458</v>
      </c>
      <c r="K1912" s="24" t="s">
        <v>22</v>
      </c>
    </row>
    <row r="1913" spans="1:11" x14ac:dyDescent="0.2">
      <c r="A1913" s="27" t="s">
        <v>4847</v>
      </c>
      <c r="B1913" s="27" t="s">
        <v>4848</v>
      </c>
      <c r="C1913" s="27" t="s">
        <v>194</v>
      </c>
      <c r="D1913" s="27" t="s">
        <v>17</v>
      </c>
      <c r="E1913" s="27" t="s">
        <v>18</v>
      </c>
      <c r="F1913" s="27" t="s">
        <v>19</v>
      </c>
      <c r="G1913" s="27" t="s">
        <v>28</v>
      </c>
      <c r="H1913" s="29">
        <v>21</v>
      </c>
      <c r="I1913" s="27" t="s">
        <v>29</v>
      </c>
      <c r="J1913" s="37">
        <v>45470</v>
      </c>
      <c r="K1913" s="27" t="s">
        <v>22</v>
      </c>
    </row>
    <row r="1914" spans="1:11" x14ac:dyDescent="0.2">
      <c r="A1914" s="24" t="s">
        <v>4849</v>
      </c>
      <c r="B1914" s="24" t="s">
        <v>4850</v>
      </c>
      <c r="C1914" s="24" t="s">
        <v>115</v>
      </c>
      <c r="D1914" s="24" t="s">
        <v>17</v>
      </c>
      <c r="E1914" s="24" t="s">
        <v>81</v>
      </c>
      <c r="F1914" s="24" t="s">
        <v>82</v>
      </c>
      <c r="G1914" s="24" t="s">
        <v>28</v>
      </c>
      <c r="H1914" s="26">
        <v>65</v>
      </c>
      <c r="I1914" s="24" t="s">
        <v>29</v>
      </c>
      <c r="J1914" s="36">
        <v>45455</v>
      </c>
      <c r="K1914" s="24" t="s">
        <v>22</v>
      </c>
    </row>
    <row r="1915" spans="1:11" x14ac:dyDescent="0.2">
      <c r="A1915" s="27" t="s">
        <v>4851</v>
      </c>
      <c r="B1915" s="27" t="s">
        <v>4852</v>
      </c>
      <c r="C1915" s="27" t="s">
        <v>921</v>
      </c>
      <c r="D1915" s="27" t="s">
        <v>17</v>
      </c>
      <c r="E1915" s="27" t="s">
        <v>18</v>
      </c>
      <c r="F1915" s="27" t="s">
        <v>19</v>
      </c>
      <c r="G1915" s="27" t="s">
        <v>44</v>
      </c>
      <c r="H1915" s="29">
        <v>9</v>
      </c>
      <c r="I1915" s="27" t="s">
        <v>21</v>
      </c>
      <c r="J1915" s="37">
        <v>45462</v>
      </c>
      <c r="K1915" s="27" t="s">
        <v>22</v>
      </c>
    </row>
    <row r="1916" spans="1:11" x14ac:dyDescent="0.2">
      <c r="A1916" s="24" t="s">
        <v>4853</v>
      </c>
      <c r="B1916" s="24" t="s">
        <v>4854</v>
      </c>
      <c r="C1916" s="24" t="s">
        <v>71</v>
      </c>
      <c r="D1916" s="24" t="s">
        <v>17</v>
      </c>
      <c r="E1916" s="24" t="s">
        <v>26</v>
      </c>
      <c r="F1916" s="24" t="s">
        <v>27</v>
      </c>
      <c r="G1916" s="24" t="s">
        <v>217</v>
      </c>
      <c r="H1916" s="26">
        <v>60</v>
      </c>
      <c r="I1916" s="24" t="s">
        <v>29</v>
      </c>
      <c r="J1916" s="36">
        <v>45458</v>
      </c>
      <c r="K1916" s="24" t="s">
        <v>22</v>
      </c>
    </row>
    <row r="1917" spans="1:11" x14ac:dyDescent="0.2">
      <c r="A1917" s="27" t="s">
        <v>4855</v>
      </c>
      <c r="B1917" s="27" t="s">
        <v>4856</v>
      </c>
      <c r="C1917" s="27" t="s">
        <v>208</v>
      </c>
      <c r="D1917" s="27" t="s">
        <v>17</v>
      </c>
      <c r="E1917" s="27" t="s">
        <v>48</v>
      </c>
      <c r="F1917" s="27" t="s">
        <v>49</v>
      </c>
      <c r="G1917" s="27" t="s">
        <v>28</v>
      </c>
      <c r="H1917" s="29">
        <v>185</v>
      </c>
      <c r="I1917" s="27" t="s">
        <v>29</v>
      </c>
      <c r="J1917" s="37">
        <v>45463</v>
      </c>
      <c r="K1917" s="27" t="s">
        <v>22</v>
      </c>
    </row>
    <row r="1918" spans="1:11" x14ac:dyDescent="0.2">
      <c r="A1918" s="24" t="s">
        <v>4857</v>
      </c>
      <c r="B1918" s="24" t="s">
        <v>4858</v>
      </c>
      <c r="C1918" s="24" t="s">
        <v>1110</v>
      </c>
      <c r="D1918" s="24" t="s">
        <v>17</v>
      </c>
      <c r="E1918" s="24" t="s">
        <v>42</v>
      </c>
      <c r="F1918" s="24" t="s">
        <v>43</v>
      </c>
      <c r="G1918" s="24" t="s">
        <v>28</v>
      </c>
      <c r="H1918" s="26">
        <v>68</v>
      </c>
      <c r="I1918" s="24" t="s">
        <v>29</v>
      </c>
      <c r="J1918" s="36">
        <v>45460</v>
      </c>
      <c r="K1918" s="24" t="s">
        <v>22</v>
      </c>
    </row>
    <row r="1919" spans="1:11" x14ac:dyDescent="0.2">
      <c r="A1919" s="27" t="s">
        <v>4859</v>
      </c>
      <c r="B1919" s="27" t="s">
        <v>4860</v>
      </c>
      <c r="C1919" s="27" t="s">
        <v>146</v>
      </c>
      <c r="D1919" s="27" t="s">
        <v>17</v>
      </c>
      <c r="E1919" s="27" t="s">
        <v>48</v>
      </c>
      <c r="F1919" s="27" t="s">
        <v>49</v>
      </c>
      <c r="G1919" s="27" t="s">
        <v>59</v>
      </c>
      <c r="H1919" s="29">
        <v>79</v>
      </c>
      <c r="I1919" s="27" t="s">
        <v>21</v>
      </c>
      <c r="J1919" s="37">
        <v>45448</v>
      </c>
      <c r="K1919" s="27" t="s">
        <v>22</v>
      </c>
    </row>
    <row r="1920" spans="1:11" x14ac:dyDescent="0.2">
      <c r="A1920" s="24" t="s">
        <v>4861</v>
      </c>
      <c r="B1920" s="24" t="s">
        <v>4862</v>
      </c>
      <c r="C1920" s="24" t="s">
        <v>708</v>
      </c>
      <c r="D1920" s="24" t="s">
        <v>17</v>
      </c>
      <c r="E1920" s="24" t="s">
        <v>48</v>
      </c>
      <c r="F1920" s="24" t="s">
        <v>49</v>
      </c>
      <c r="G1920" s="24" t="s">
        <v>20</v>
      </c>
      <c r="H1920" s="26">
        <v>179</v>
      </c>
      <c r="I1920" s="24" t="s">
        <v>21</v>
      </c>
      <c r="J1920" s="36">
        <v>45470</v>
      </c>
      <c r="K1920" s="24" t="s">
        <v>22</v>
      </c>
    </row>
    <row r="1921" spans="1:11" x14ac:dyDescent="0.2">
      <c r="A1921" s="27" t="s">
        <v>4863</v>
      </c>
      <c r="B1921" s="27" t="s">
        <v>4864</v>
      </c>
      <c r="C1921" s="27" t="s">
        <v>2547</v>
      </c>
      <c r="D1921" s="27" t="s">
        <v>17</v>
      </c>
      <c r="E1921" s="27" t="s">
        <v>18</v>
      </c>
      <c r="F1921" s="27" t="s">
        <v>19</v>
      </c>
      <c r="G1921" s="27" t="s">
        <v>20</v>
      </c>
      <c r="H1921" s="29">
        <v>32</v>
      </c>
      <c r="I1921" s="27" t="s">
        <v>21</v>
      </c>
      <c r="J1921" s="37">
        <v>45468</v>
      </c>
      <c r="K1921" s="27" t="s">
        <v>22</v>
      </c>
    </row>
    <row r="1922" spans="1:11" x14ac:dyDescent="0.2">
      <c r="A1922" s="24" t="s">
        <v>4865</v>
      </c>
      <c r="B1922" s="24" t="s">
        <v>4866</v>
      </c>
      <c r="C1922" s="24" t="s">
        <v>1799</v>
      </c>
      <c r="D1922" s="24" t="s">
        <v>17</v>
      </c>
      <c r="E1922" s="24" t="s">
        <v>42</v>
      </c>
      <c r="F1922" s="24" t="s">
        <v>43</v>
      </c>
      <c r="G1922" s="24" t="s">
        <v>28</v>
      </c>
      <c r="H1922" s="26">
        <v>392</v>
      </c>
      <c r="I1922" s="24" t="s">
        <v>29</v>
      </c>
      <c r="J1922" s="36">
        <v>45461</v>
      </c>
      <c r="K1922" s="24" t="s">
        <v>22</v>
      </c>
    </row>
    <row r="1923" spans="1:11" x14ac:dyDescent="0.2">
      <c r="A1923" s="27" t="s">
        <v>4867</v>
      </c>
      <c r="B1923" s="27" t="s">
        <v>4868</v>
      </c>
      <c r="C1923" s="27" t="s">
        <v>4869</v>
      </c>
      <c r="D1923" s="27" t="s">
        <v>17</v>
      </c>
      <c r="E1923" s="27" t="s">
        <v>18</v>
      </c>
      <c r="F1923" s="27" t="s">
        <v>19</v>
      </c>
      <c r="G1923" s="27" t="s">
        <v>20</v>
      </c>
      <c r="H1923" s="29">
        <v>19</v>
      </c>
      <c r="I1923" s="27" t="s">
        <v>21</v>
      </c>
      <c r="J1923" s="37">
        <v>45444</v>
      </c>
      <c r="K1923" s="27" t="s">
        <v>22</v>
      </c>
    </row>
    <row r="1924" spans="1:11" x14ac:dyDescent="0.2">
      <c r="A1924" s="24" t="s">
        <v>4870</v>
      </c>
      <c r="B1924" s="24" t="s">
        <v>4871</v>
      </c>
      <c r="C1924" s="24" t="s">
        <v>4872</v>
      </c>
      <c r="D1924" s="24" t="s">
        <v>17</v>
      </c>
      <c r="E1924" s="24" t="s">
        <v>42</v>
      </c>
      <c r="F1924" s="24" t="s">
        <v>43</v>
      </c>
      <c r="G1924" s="24" t="s">
        <v>28</v>
      </c>
      <c r="H1924" s="26">
        <v>360</v>
      </c>
      <c r="I1924" s="24" t="s">
        <v>29</v>
      </c>
      <c r="J1924" s="36">
        <v>45457</v>
      </c>
      <c r="K1924" s="24" t="s">
        <v>22</v>
      </c>
    </row>
    <row r="1925" spans="1:11" x14ac:dyDescent="0.2">
      <c r="A1925" s="27" t="s">
        <v>4873</v>
      </c>
      <c r="B1925" s="27" t="s">
        <v>4874</v>
      </c>
      <c r="C1925" s="27" t="s">
        <v>4875</v>
      </c>
      <c r="D1925" s="27" t="s">
        <v>17</v>
      </c>
      <c r="E1925" s="27" t="s">
        <v>18</v>
      </c>
      <c r="F1925" s="27" t="s">
        <v>19</v>
      </c>
      <c r="G1925" s="27" t="s">
        <v>20</v>
      </c>
      <c r="H1925" s="29">
        <v>30</v>
      </c>
      <c r="I1925" s="27" t="s">
        <v>21</v>
      </c>
      <c r="J1925" s="37">
        <v>45448</v>
      </c>
      <c r="K1925" s="27" t="s">
        <v>22</v>
      </c>
    </row>
    <row r="1926" spans="1:11" x14ac:dyDescent="0.2">
      <c r="A1926" s="24" t="s">
        <v>4876</v>
      </c>
      <c r="B1926" s="24" t="s">
        <v>4877</v>
      </c>
      <c r="C1926" s="24" t="s">
        <v>4878</v>
      </c>
      <c r="D1926" s="24" t="s">
        <v>17</v>
      </c>
      <c r="E1926" s="24" t="s">
        <v>18</v>
      </c>
      <c r="F1926" s="24" t="s">
        <v>19</v>
      </c>
      <c r="G1926" s="24" t="s">
        <v>28</v>
      </c>
      <c r="H1926" s="26">
        <v>30</v>
      </c>
      <c r="I1926" s="24" t="s">
        <v>29</v>
      </c>
      <c r="J1926" s="36">
        <v>45449</v>
      </c>
      <c r="K1926" s="24" t="s">
        <v>22</v>
      </c>
    </row>
    <row r="1927" spans="1:11" x14ac:dyDescent="0.2">
      <c r="A1927" s="27" t="s">
        <v>4879</v>
      </c>
      <c r="B1927" s="27" t="s">
        <v>4880</v>
      </c>
      <c r="C1927" s="27" t="s">
        <v>4881</v>
      </c>
      <c r="D1927" s="27" t="s">
        <v>17</v>
      </c>
      <c r="E1927" s="27" t="s">
        <v>18</v>
      </c>
      <c r="F1927" s="27" t="s">
        <v>19</v>
      </c>
      <c r="G1927" s="27" t="s">
        <v>20</v>
      </c>
      <c r="H1927" s="29">
        <v>48</v>
      </c>
      <c r="I1927" s="27" t="s">
        <v>21</v>
      </c>
      <c r="J1927" s="37">
        <v>45471</v>
      </c>
      <c r="K1927" s="27" t="s">
        <v>22</v>
      </c>
    </row>
    <row r="1928" spans="1:11" x14ac:dyDescent="0.2">
      <c r="A1928" s="24" t="s">
        <v>4882</v>
      </c>
      <c r="B1928" s="24" t="s">
        <v>4883</v>
      </c>
      <c r="C1928" s="24" t="s">
        <v>106</v>
      </c>
      <c r="D1928" s="24" t="s">
        <v>17</v>
      </c>
      <c r="E1928" s="24" t="s">
        <v>18</v>
      </c>
      <c r="F1928" s="24" t="s">
        <v>19</v>
      </c>
      <c r="G1928" s="24" t="s">
        <v>20</v>
      </c>
      <c r="H1928" s="26">
        <v>125</v>
      </c>
      <c r="I1928" s="24" t="s">
        <v>21</v>
      </c>
      <c r="J1928" s="36">
        <v>45453</v>
      </c>
      <c r="K1928" s="24" t="s">
        <v>22</v>
      </c>
    </row>
    <row r="1929" spans="1:11" x14ac:dyDescent="0.2">
      <c r="A1929" s="27" t="s">
        <v>4884</v>
      </c>
      <c r="B1929" s="27" t="s">
        <v>4885</v>
      </c>
      <c r="C1929" s="27" t="s">
        <v>801</v>
      </c>
      <c r="D1929" s="27" t="s">
        <v>17</v>
      </c>
      <c r="E1929" s="27" t="s">
        <v>18</v>
      </c>
      <c r="F1929" s="27" t="s">
        <v>19</v>
      </c>
      <c r="G1929" s="27" t="s">
        <v>20</v>
      </c>
      <c r="H1929" s="29">
        <v>78</v>
      </c>
      <c r="I1929" s="27" t="s">
        <v>21</v>
      </c>
      <c r="J1929" s="37">
        <v>45460</v>
      </c>
      <c r="K1929" s="27" t="s">
        <v>22</v>
      </c>
    </row>
    <row r="1930" spans="1:11" x14ac:dyDescent="0.2">
      <c r="A1930" s="24" t="s">
        <v>4886</v>
      </c>
      <c r="B1930" s="24" t="s">
        <v>4887</v>
      </c>
      <c r="C1930" s="24" t="s">
        <v>4888</v>
      </c>
      <c r="D1930" s="24" t="s">
        <v>17</v>
      </c>
      <c r="E1930" s="24" t="s">
        <v>18</v>
      </c>
      <c r="F1930" s="24" t="s">
        <v>19</v>
      </c>
      <c r="G1930" s="24" t="s">
        <v>20</v>
      </c>
      <c r="H1930" s="26">
        <v>25</v>
      </c>
      <c r="I1930" s="24" t="s">
        <v>21</v>
      </c>
      <c r="J1930" s="36">
        <v>45456</v>
      </c>
      <c r="K1930" s="24" t="s">
        <v>22</v>
      </c>
    </row>
    <row r="1931" spans="1:11" x14ac:dyDescent="0.2">
      <c r="A1931" s="27" t="s">
        <v>4889</v>
      </c>
      <c r="B1931" s="27" t="s">
        <v>4890</v>
      </c>
      <c r="C1931" s="27" t="s">
        <v>4891</v>
      </c>
      <c r="D1931" s="27" t="s">
        <v>17</v>
      </c>
      <c r="E1931" s="27" t="s">
        <v>18</v>
      </c>
      <c r="F1931" s="27" t="s">
        <v>19</v>
      </c>
      <c r="G1931" s="27" t="s">
        <v>28</v>
      </c>
      <c r="H1931" s="29">
        <v>10</v>
      </c>
      <c r="I1931" s="27" t="s">
        <v>29</v>
      </c>
      <c r="J1931" s="37">
        <v>45444</v>
      </c>
      <c r="K1931" s="27" t="s">
        <v>22</v>
      </c>
    </row>
    <row r="1932" spans="1:11" x14ac:dyDescent="0.2">
      <c r="A1932" s="24" t="s">
        <v>4892</v>
      </c>
      <c r="B1932" s="24" t="s">
        <v>4893</v>
      </c>
      <c r="C1932" s="24" t="s">
        <v>4894</v>
      </c>
      <c r="D1932" s="24" t="s">
        <v>17</v>
      </c>
      <c r="E1932" s="24" t="s">
        <v>42</v>
      </c>
      <c r="F1932" s="24" t="s">
        <v>43</v>
      </c>
      <c r="G1932" s="24" t="s">
        <v>20</v>
      </c>
      <c r="H1932" s="26">
        <v>554</v>
      </c>
      <c r="I1932" s="24" t="s">
        <v>21</v>
      </c>
      <c r="J1932" s="36">
        <v>45454</v>
      </c>
      <c r="K1932" s="24" t="s">
        <v>22</v>
      </c>
    </row>
    <row r="1933" spans="1:11" x14ac:dyDescent="0.2">
      <c r="A1933" s="27" t="s">
        <v>4895</v>
      </c>
      <c r="B1933" s="27" t="s">
        <v>4896</v>
      </c>
      <c r="C1933" s="27" t="s">
        <v>97</v>
      </c>
      <c r="D1933" s="27" t="s">
        <v>17</v>
      </c>
      <c r="E1933" s="27" t="s">
        <v>48</v>
      </c>
      <c r="F1933" s="27" t="s">
        <v>49</v>
      </c>
      <c r="G1933" s="27" t="s">
        <v>20</v>
      </c>
      <c r="H1933" s="29">
        <v>48</v>
      </c>
      <c r="I1933" s="27" t="s">
        <v>21</v>
      </c>
      <c r="J1933" s="37">
        <v>45453</v>
      </c>
      <c r="K1933" s="27" t="s">
        <v>22</v>
      </c>
    </row>
    <row r="1934" spans="1:11" x14ac:dyDescent="0.2">
      <c r="A1934" s="24" t="s">
        <v>4897</v>
      </c>
      <c r="B1934" s="24" t="s">
        <v>4898</v>
      </c>
      <c r="C1934" s="24" t="s">
        <v>4899</v>
      </c>
      <c r="D1934" s="24" t="s">
        <v>17</v>
      </c>
      <c r="E1934" s="24" t="s">
        <v>18</v>
      </c>
      <c r="F1934" s="24" t="s">
        <v>19</v>
      </c>
      <c r="G1934" s="24" t="s">
        <v>44</v>
      </c>
      <c r="H1934" s="26">
        <v>256</v>
      </c>
      <c r="I1934" s="24" t="s">
        <v>29</v>
      </c>
      <c r="J1934" s="36">
        <v>45463</v>
      </c>
      <c r="K1934" s="24" t="s">
        <v>22</v>
      </c>
    </row>
    <row r="1935" spans="1:11" x14ac:dyDescent="0.2">
      <c r="A1935" s="27" t="s">
        <v>4900</v>
      </c>
      <c r="B1935" s="27" t="s">
        <v>4901</v>
      </c>
      <c r="C1935" s="27" t="s">
        <v>1017</v>
      </c>
      <c r="D1935" s="27" t="s">
        <v>17</v>
      </c>
      <c r="E1935" s="27" t="s">
        <v>18</v>
      </c>
      <c r="F1935" s="27" t="s">
        <v>19</v>
      </c>
      <c r="G1935" s="27" t="s">
        <v>20</v>
      </c>
      <c r="H1935" s="29">
        <v>48</v>
      </c>
      <c r="I1935" s="27" t="s">
        <v>21</v>
      </c>
      <c r="J1935" s="37">
        <v>45468</v>
      </c>
      <c r="K1935" s="27" t="s">
        <v>22</v>
      </c>
    </row>
    <row r="1936" spans="1:11" x14ac:dyDescent="0.2">
      <c r="A1936" s="24" t="s">
        <v>4902</v>
      </c>
      <c r="B1936" s="24" t="s">
        <v>4903</v>
      </c>
      <c r="C1936" s="24" t="s">
        <v>1912</v>
      </c>
      <c r="D1936" s="24" t="s">
        <v>17</v>
      </c>
      <c r="E1936" s="24" t="s">
        <v>18</v>
      </c>
      <c r="F1936" s="24" t="s">
        <v>19</v>
      </c>
      <c r="G1936" s="24" t="s">
        <v>20</v>
      </c>
      <c r="H1936" s="26">
        <v>170</v>
      </c>
      <c r="I1936" s="24" t="s">
        <v>21</v>
      </c>
      <c r="J1936" s="36">
        <v>45464</v>
      </c>
      <c r="K1936" s="24" t="s">
        <v>22</v>
      </c>
    </row>
    <row r="1937" spans="1:11" x14ac:dyDescent="0.2">
      <c r="A1937" s="27" t="s">
        <v>4904</v>
      </c>
      <c r="B1937" s="27" t="s">
        <v>4905</v>
      </c>
      <c r="C1937" s="27" t="s">
        <v>1217</v>
      </c>
      <c r="D1937" s="27" t="s">
        <v>17</v>
      </c>
      <c r="E1937" s="27" t="s">
        <v>18</v>
      </c>
      <c r="F1937" s="27" t="s">
        <v>19</v>
      </c>
      <c r="G1937" s="27" t="s">
        <v>59</v>
      </c>
      <c r="H1937" s="29">
        <v>4</v>
      </c>
      <c r="I1937" s="27" t="s">
        <v>21</v>
      </c>
      <c r="J1937" s="37">
        <v>45462</v>
      </c>
      <c r="K1937" s="27" t="s">
        <v>22</v>
      </c>
    </row>
    <row r="1938" spans="1:11" x14ac:dyDescent="0.2">
      <c r="A1938" s="24" t="s">
        <v>4906</v>
      </c>
      <c r="B1938" s="24" t="s">
        <v>4907</v>
      </c>
      <c r="C1938" s="24" t="s">
        <v>4908</v>
      </c>
      <c r="D1938" s="24" t="s">
        <v>17</v>
      </c>
      <c r="E1938" s="24" t="s">
        <v>18</v>
      </c>
      <c r="F1938" s="24" t="s">
        <v>19</v>
      </c>
      <c r="G1938" s="24" t="s">
        <v>20</v>
      </c>
      <c r="H1938" s="26">
        <v>32</v>
      </c>
      <c r="I1938" s="24" t="s">
        <v>21</v>
      </c>
      <c r="J1938" s="36">
        <v>45461</v>
      </c>
      <c r="K1938" s="24" t="s">
        <v>22</v>
      </c>
    </row>
    <row r="1939" spans="1:11" x14ac:dyDescent="0.2">
      <c r="A1939" s="27" t="s">
        <v>4909</v>
      </c>
      <c r="B1939" s="27" t="s">
        <v>4910</v>
      </c>
      <c r="C1939" s="27" t="s">
        <v>55</v>
      </c>
      <c r="D1939" s="27" t="s">
        <v>17</v>
      </c>
      <c r="E1939" s="27" t="s">
        <v>42</v>
      </c>
      <c r="F1939" s="27" t="s">
        <v>43</v>
      </c>
      <c r="G1939" s="27" t="s">
        <v>28</v>
      </c>
      <c r="H1939" s="29">
        <v>1530</v>
      </c>
      <c r="I1939" s="27" t="s">
        <v>29</v>
      </c>
      <c r="J1939" s="37">
        <v>45467</v>
      </c>
      <c r="K1939" s="27" t="s">
        <v>22</v>
      </c>
    </row>
    <row r="1940" spans="1:11" x14ac:dyDescent="0.2">
      <c r="A1940" s="24" t="s">
        <v>4911</v>
      </c>
      <c r="B1940" s="24" t="s">
        <v>4912</v>
      </c>
      <c r="C1940" s="24" t="s">
        <v>4913</v>
      </c>
      <c r="D1940" s="24" t="s">
        <v>17</v>
      </c>
      <c r="E1940" s="24" t="s">
        <v>48</v>
      </c>
      <c r="F1940" s="24" t="s">
        <v>49</v>
      </c>
      <c r="G1940" s="24" t="s">
        <v>116</v>
      </c>
      <c r="H1940" s="26">
        <v>0</v>
      </c>
      <c r="I1940" s="24" t="s">
        <v>21</v>
      </c>
      <c r="J1940" s="36">
        <v>45444</v>
      </c>
      <c r="K1940" s="24" t="s">
        <v>22</v>
      </c>
    </row>
    <row r="1941" spans="1:11" x14ac:dyDescent="0.2">
      <c r="A1941" s="27" t="s">
        <v>4914</v>
      </c>
      <c r="B1941" s="27" t="s">
        <v>4915</v>
      </c>
      <c r="C1941" s="27" t="s">
        <v>213</v>
      </c>
      <c r="D1941" s="27" t="s">
        <v>17</v>
      </c>
      <c r="E1941" s="27" t="s">
        <v>42</v>
      </c>
      <c r="F1941" s="27" t="s">
        <v>43</v>
      </c>
      <c r="G1941" s="27" t="s">
        <v>20</v>
      </c>
      <c r="H1941" s="29">
        <v>453</v>
      </c>
      <c r="I1941" s="27" t="s">
        <v>21</v>
      </c>
      <c r="J1941" s="37">
        <v>45467</v>
      </c>
      <c r="K1941" s="27" t="s">
        <v>22</v>
      </c>
    </row>
    <row r="1942" spans="1:11" x14ac:dyDescent="0.2">
      <c r="A1942" s="24" t="s">
        <v>4916</v>
      </c>
      <c r="B1942" s="24" t="s">
        <v>4917</v>
      </c>
      <c r="C1942" s="24" t="s">
        <v>1008</v>
      </c>
      <c r="D1942" s="24" t="s">
        <v>17</v>
      </c>
      <c r="E1942" s="24" t="s">
        <v>48</v>
      </c>
      <c r="F1942" s="24" t="s">
        <v>49</v>
      </c>
      <c r="G1942" s="24" t="s">
        <v>28</v>
      </c>
      <c r="H1942" s="26">
        <v>310</v>
      </c>
      <c r="I1942" s="24" t="s">
        <v>29</v>
      </c>
      <c r="J1942" s="36">
        <v>45450</v>
      </c>
      <c r="K1942" s="24" t="s">
        <v>22</v>
      </c>
    </row>
    <row r="1943" spans="1:11" x14ac:dyDescent="0.2">
      <c r="A1943" s="27" t="s">
        <v>4918</v>
      </c>
      <c r="B1943" s="27" t="s">
        <v>4919</v>
      </c>
      <c r="C1943" s="27" t="s">
        <v>1047</v>
      </c>
      <c r="D1943" s="27" t="s">
        <v>17</v>
      </c>
      <c r="E1943" s="27" t="s">
        <v>48</v>
      </c>
      <c r="F1943" s="27" t="s">
        <v>49</v>
      </c>
      <c r="G1943" s="27" t="s">
        <v>28</v>
      </c>
      <c r="H1943" s="29">
        <v>18</v>
      </c>
      <c r="I1943" s="27" t="s">
        <v>29</v>
      </c>
      <c r="J1943" s="37">
        <v>45462</v>
      </c>
      <c r="K1943" s="27" t="s">
        <v>22</v>
      </c>
    </row>
    <row r="1944" spans="1:11" x14ac:dyDescent="0.2">
      <c r="A1944" s="24" t="s">
        <v>4920</v>
      </c>
      <c r="B1944" s="24" t="s">
        <v>4921</v>
      </c>
      <c r="C1944" s="24" t="s">
        <v>4922</v>
      </c>
      <c r="D1944" s="24" t="s">
        <v>17</v>
      </c>
      <c r="E1944" s="24" t="s">
        <v>18</v>
      </c>
      <c r="F1944" s="24" t="s">
        <v>19</v>
      </c>
      <c r="G1944" s="24" t="s">
        <v>28</v>
      </c>
      <c r="H1944" s="26">
        <v>280</v>
      </c>
      <c r="I1944" s="24" t="s">
        <v>29</v>
      </c>
      <c r="J1944" s="36">
        <v>45445</v>
      </c>
      <c r="K1944" s="24" t="s">
        <v>22</v>
      </c>
    </row>
    <row r="1945" spans="1:11" x14ac:dyDescent="0.2">
      <c r="A1945" s="27" t="s">
        <v>4923</v>
      </c>
      <c r="B1945" s="27" t="s">
        <v>4924</v>
      </c>
      <c r="C1945" s="27" t="s">
        <v>4925</v>
      </c>
      <c r="D1945" s="27" t="s">
        <v>17</v>
      </c>
      <c r="E1945" s="27" t="s">
        <v>18</v>
      </c>
      <c r="F1945" s="27" t="s">
        <v>19</v>
      </c>
      <c r="G1945" s="27" t="s">
        <v>227</v>
      </c>
      <c r="H1945" s="29">
        <v>48</v>
      </c>
      <c r="I1945" s="27" t="s">
        <v>29</v>
      </c>
      <c r="J1945" s="37">
        <v>45446</v>
      </c>
      <c r="K1945" s="27" t="s">
        <v>22</v>
      </c>
    </row>
    <row r="1946" spans="1:11" x14ac:dyDescent="0.2">
      <c r="A1946" s="24" t="s">
        <v>4926</v>
      </c>
      <c r="B1946" s="24" t="s">
        <v>4927</v>
      </c>
      <c r="C1946" s="24" t="s">
        <v>55</v>
      </c>
      <c r="D1946" s="24" t="s">
        <v>17</v>
      </c>
      <c r="E1946" s="24" t="s">
        <v>18</v>
      </c>
      <c r="F1946" s="24" t="s">
        <v>19</v>
      </c>
      <c r="G1946" s="24" t="s">
        <v>20</v>
      </c>
      <c r="H1946" s="26">
        <v>8</v>
      </c>
      <c r="I1946" s="24" t="s">
        <v>21</v>
      </c>
      <c r="J1946" s="36">
        <v>45469</v>
      </c>
      <c r="K1946" s="24" t="s">
        <v>22</v>
      </c>
    </row>
    <row r="1947" spans="1:11" x14ac:dyDescent="0.2">
      <c r="A1947" s="27" t="s">
        <v>4928</v>
      </c>
      <c r="B1947" s="27" t="s">
        <v>4929</v>
      </c>
      <c r="C1947" s="27" t="s">
        <v>2484</v>
      </c>
      <c r="D1947" s="27" t="s">
        <v>17</v>
      </c>
      <c r="E1947" s="27" t="s">
        <v>33</v>
      </c>
      <c r="F1947" s="27" t="s">
        <v>34</v>
      </c>
      <c r="G1947" s="27" t="s">
        <v>28</v>
      </c>
      <c r="H1947" s="29">
        <v>12</v>
      </c>
      <c r="I1947" s="27" t="s">
        <v>29</v>
      </c>
      <c r="J1947" s="37">
        <v>45457</v>
      </c>
      <c r="K1947" s="27" t="s">
        <v>22</v>
      </c>
    </row>
    <row r="1948" spans="1:11" x14ac:dyDescent="0.2">
      <c r="A1948" s="24" t="s">
        <v>4930</v>
      </c>
      <c r="B1948" s="24" t="s">
        <v>4931</v>
      </c>
      <c r="C1948" s="24" t="s">
        <v>1147</v>
      </c>
      <c r="D1948" s="24" t="s">
        <v>17</v>
      </c>
      <c r="E1948" s="24" t="s">
        <v>48</v>
      </c>
      <c r="F1948" s="24" t="s">
        <v>49</v>
      </c>
      <c r="G1948" s="24" t="s">
        <v>20</v>
      </c>
      <c r="H1948" s="26">
        <v>235</v>
      </c>
      <c r="I1948" s="24" t="s">
        <v>21</v>
      </c>
      <c r="J1948" s="36">
        <v>45468</v>
      </c>
      <c r="K1948" s="24" t="s">
        <v>22</v>
      </c>
    </row>
    <row r="1949" spans="1:11" x14ac:dyDescent="0.2">
      <c r="A1949" s="27" t="s">
        <v>4932</v>
      </c>
      <c r="B1949" s="27" t="s">
        <v>4933</v>
      </c>
      <c r="C1949" s="27" t="s">
        <v>526</v>
      </c>
      <c r="D1949" s="27" t="s">
        <v>17</v>
      </c>
      <c r="E1949" s="27" t="s">
        <v>18</v>
      </c>
      <c r="F1949" s="27" t="s">
        <v>19</v>
      </c>
      <c r="G1949" s="27" t="s">
        <v>20</v>
      </c>
      <c r="H1949" s="29">
        <v>533</v>
      </c>
      <c r="I1949" s="27" t="s">
        <v>21</v>
      </c>
      <c r="J1949" s="37">
        <v>45467</v>
      </c>
      <c r="K1949" s="27" t="s">
        <v>22</v>
      </c>
    </row>
    <row r="1950" spans="1:11" x14ac:dyDescent="0.2">
      <c r="A1950" s="24" t="s">
        <v>4934</v>
      </c>
      <c r="B1950" s="24" t="s">
        <v>4935</v>
      </c>
      <c r="C1950" s="24" t="s">
        <v>4936</v>
      </c>
      <c r="D1950" s="24" t="s">
        <v>17</v>
      </c>
      <c r="E1950" s="24" t="s">
        <v>48</v>
      </c>
      <c r="F1950" s="24" t="s">
        <v>49</v>
      </c>
      <c r="G1950" s="24" t="s">
        <v>28</v>
      </c>
      <c r="H1950" s="26">
        <v>250</v>
      </c>
      <c r="I1950" s="24" t="s">
        <v>29</v>
      </c>
      <c r="J1950" s="36">
        <v>45461</v>
      </c>
      <c r="K1950" s="24" t="s">
        <v>22</v>
      </c>
    </row>
    <row r="1951" spans="1:11" x14ac:dyDescent="0.2">
      <c r="A1951" s="27" t="s">
        <v>4937</v>
      </c>
      <c r="B1951" s="27" t="s">
        <v>4938</v>
      </c>
      <c r="C1951" s="27" t="s">
        <v>1014</v>
      </c>
      <c r="D1951" s="27" t="s">
        <v>17</v>
      </c>
      <c r="E1951" s="27" t="s">
        <v>18</v>
      </c>
      <c r="F1951" s="27" t="s">
        <v>19</v>
      </c>
      <c r="G1951" s="27" t="s">
        <v>38</v>
      </c>
      <c r="H1951" s="29">
        <v>36</v>
      </c>
      <c r="I1951" s="27" t="s">
        <v>29</v>
      </c>
      <c r="J1951" s="37">
        <v>45461</v>
      </c>
      <c r="K1951" s="27" t="s">
        <v>22</v>
      </c>
    </row>
    <row r="1952" spans="1:11" x14ac:dyDescent="0.2">
      <c r="A1952" s="24" t="s">
        <v>4939</v>
      </c>
      <c r="B1952" s="24" t="s">
        <v>4940</v>
      </c>
      <c r="C1952" s="24" t="s">
        <v>4941</v>
      </c>
      <c r="D1952" s="24" t="s">
        <v>17</v>
      </c>
      <c r="E1952" s="24" t="s">
        <v>26</v>
      </c>
      <c r="F1952" s="24" t="s">
        <v>27</v>
      </c>
      <c r="G1952" s="24" t="s">
        <v>28</v>
      </c>
      <c r="H1952" s="26">
        <v>12</v>
      </c>
      <c r="I1952" s="24" t="s">
        <v>29</v>
      </c>
      <c r="J1952" s="36">
        <v>45464</v>
      </c>
      <c r="K1952" s="24" t="s">
        <v>22</v>
      </c>
    </row>
    <row r="1953" spans="1:11" x14ac:dyDescent="0.2">
      <c r="A1953" s="27" t="s">
        <v>4942</v>
      </c>
      <c r="B1953" s="27" t="s">
        <v>4943</v>
      </c>
      <c r="C1953" s="27" t="s">
        <v>2591</v>
      </c>
      <c r="D1953" s="27" t="s">
        <v>17</v>
      </c>
      <c r="E1953" s="27" t="s">
        <v>26</v>
      </c>
      <c r="F1953" s="27" t="s">
        <v>27</v>
      </c>
      <c r="G1953" s="27" t="s">
        <v>20</v>
      </c>
      <c r="H1953" s="29">
        <v>19</v>
      </c>
      <c r="I1953" s="27" t="s">
        <v>21</v>
      </c>
      <c r="J1953" s="37">
        <v>45460</v>
      </c>
      <c r="K1953" s="27" t="s">
        <v>22</v>
      </c>
    </row>
    <row r="1954" spans="1:11" x14ac:dyDescent="0.2">
      <c r="A1954" s="24" t="s">
        <v>4944</v>
      </c>
      <c r="B1954" s="24" t="s">
        <v>4945</v>
      </c>
      <c r="C1954" s="24" t="s">
        <v>97</v>
      </c>
      <c r="D1954" s="24" t="s">
        <v>17</v>
      </c>
      <c r="E1954" s="24" t="s">
        <v>48</v>
      </c>
      <c r="F1954" s="24" t="s">
        <v>49</v>
      </c>
      <c r="G1954" s="24" t="s">
        <v>28</v>
      </c>
      <c r="H1954" s="26">
        <v>80</v>
      </c>
      <c r="I1954" s="24" t="s">
        <v>29</v>
      </c>
      <c r="J1954" s="36">
        <v>45489</v>
      </c>
      <c r="K1954" s="24" t="s">
        <v>22</v>
      </c>
    </row>
    <row r="1955" spans="1:11" x14ac:dyDescent="0.2">
      <c r="A1955" s="27" t="s">
        <v>4946</v>
      </c>
      <c r="B1955" s="27" t="s">
        <v>4947</v>
      </c>
      <c r="C1955" s="27" t="s">
        <v>4948</v>
      </c>
      <c r="D1955" s="27" t="s">
        <v>17</v>
      </c>
      <c r="E1955" s="27" t="s">
        <v>26</v>
      </c>
      <c r="F1955" s="27" t="s">
        <v>27</v>
      </c>
      <c r="G1955" s="27" t="s">
        <v>116</v>
      </c>
      <c r="H1955" s="29">
        <v>0</v>
      </c>
      <c r="I1955" s="27" t="s">
        <v>21</v>
      </c>
      <c r="J1955" s="37">
        <v>45474</v>
      </c>
      <c r="K1955" s="27" t="s">
        <v>22</v>
      </c>
    </row>
    <row r="1956" spans="1:11" x14ac:dyDescent="0.2">
      <c r="A1956" s="24" t="s">
        <v>4949</v>
      </c>
      <c r="B1956" s="24" t="s">
        <v>4950</v>
      </c>
      <c r="C1956" s="24" t="s">
        <v>401</v>
      </c>
      <c r="D1956" s="24" t="s">
        <v>17</v>
      </c>
      <c r="E1956" s="24" t="s">
        <v>18</v>
      </c>
      <c r="F1956" s="24" t="s">
        <v>19</v>
      </c>
      <c r="G1956" s="24" t="s">
        <v>28</v>
      </c>
      <c r="H1956" s="26">
        <v>40</v>
      </c>
      <c r="I1956" s="24" t="s">
        <v>29</v>
      </c>
      <c r="J1956" s="36">
        <v>45489</v>
      </c>
      <c r="K1956" s="24" t="s">
        <v>22</v>
      </c>
    </row>
    <row r="1957" spans="1:11" x14ac:dyDescent="0.2">
      <c r="A1957" s="27" t="s">
        <v>4951</v>
      </c>
      <c r="B1957" s="27" t="s">
        <v>4952</v>
      </c>
      <c r="C1957" s="27" t="s">
        <v>4953</v>
      </c>
      <c r="D1957" s="27" t="s">
        <v>17</v>
      </c>
      <c r="E1957" s="27" t="s">
        <v>18</v>
      </c>
      <c r="F1957" s="27" t="s">
        <v>19</v>
      </c>
      <c r="G1957" s="27" t="s">
        <v>28</v>
      </c>
      <c r="H1957" s="29">
        <v>82</v>
      </c>
      <c r="I1957" s="27" t="s">
        <v>29</v>
      </c>
      <c r="J1957" s="37">
        <v>45476</v>
      </c>
      <c r="K1957" s="27" t="s">
        <v>22</v>
      </c>
    </row>
    <row r="1958" spans="1:11" x14ac:dyDescent="0.2">
      <c r="A1958" s="24" t="s">
        <v>4954</v>
      </c>
      <c r="B1958" s="24" t="s">
        <v>4955</v>
      </c>
      <c r="C1958" s="24" t="s">
        <v>494</v>
      </c>
      <c r="D1958" s="24" t="s">
        <v>17</v>
      </c>
      <c r="E1958" s="24" t="s">
        <v>42</v>
      </c>
      <c r="F1958" s="24" t="s">
        <v>43</v>
      </c>
      <c r="G1958" s="24" t="s">
        <v>28</v>
      </c>
      <c r="H1958" s="26">
        <v>214</v>
      </c>
      <c r="I1958" s="24" t="s">
        <v>29</v>
      </c>
      <c r="J1958" s="36">
        <v>45496</v>
      </c>
      <c r="K1958" s="24" t="s">
        <v>22</v>
      </c>
    </row>
    <row r="1959" spans="1:11" x14ac:dyDescent="0.2">
      <c r="A1959" s="27" t="s">
        <v>4956</v>
      </c>
      <c r="B1959" s="27" t="s">
        <v>4957</v>
      </c>
      <c r="C1959" s="27" t="s">
        <v>68</v>
      </c>
      <c r="D1959" s="27" t="s">
        <v>17</v>
      </c>
      <c r="E1959" s="27" t="s">
        <v>42</v>
      </c>
      <c r="F1959" s="27" t="s">
        <v>43</v>
      </c>
      <c r="G1959" s="27" t="s">
        <v>28</v>
      </c>
      <c r="H1959" s="29">
        <v>300</v>
      </c>
      <c r="I1959" s="27" t="s">
        <v>29</v>
      </c>
      <c r="J1959" s="37">
        <v>45502</v>
      </c>
      <c r="K1959" s="27" t="s">
        <v>22</v>
      </c>
    </row>
    <row r="1960" spans="1:11" x14ac:dyDescent="0.2">
      <c r="A1960" s="24" t="s">
        <v>4958</v>
      </c>
      <c r="B1960" s="24" t="s">
        <v>4959</v>
      </c>
      <c r="C1960" s="24" t="s">
        <v>55</v>
      </c>
      <c r="D1960" s="24" t="s">
        <v>17</v>
      </c>
      <c r="E1960" s="24" t="s">
        <v>42</v>
      </c>
      <c r="F1960" s="24" t="s">
        <v>43</v>
      </c>
      <c r="G1960" s="24" t="s">
        <v>28</v>
      </c>
      <c r="H1960" s="26">
        <v>300</v>
      </c>
      <c r="I1960" s="24" t="s">
        <v>29</v>
      </c>
      <c r="J1960" s="36">
        <v>45489</v>
      </c>
      <c r="K1960" s="24" t="s">
        <v>22</v>
      </c>
    </row>
    <row r="1961" spans="1:11" x14ac:dyDescent="0.2">
      <c r="A1961" s="27" t="s">
        <v>4960</v>
      </c>
      <c r="B1961" s="27" t="s">
        <v>4961</v>
      </c>
      <c r="C1961" s="27" t="s">
        <v>2988</v>
      </c>
      <c r="D1961" s="27" t="s">
        <v>17</v>
      </c>
      <c r="E1961" s="27" t="s">
        <v>42</v>
      </c>
      <c r="F1961" s="27" t="s">
        <v>43</v>
      </c>
      <c r="G1961" s="27" t="s">
        <v>28</v>
      </c>
      <c r="H1961" s="29">
        <v>136</v>
      </c>
      <c r="I1961" s="27" t="s">
        <v>29</v>
      </c>
      <c r="J1961" s="37">
        <v>45482</v>
      </c>
      <c r="K1961" s="27" t="s">
        <v>22</v>
      </c>
    </row>
    <row r="1962" spans="1:11" x14ac:dyDescent="0.2">
      <c r="A1962" s="24" t="s">
        <v>4962</v>
      </c>
      <c r="B1962" s="24" t="s">
        <v>4963</v>
      </c>
      <c r="C1962" s="24" t="s">
        <v>2129</v>
      </c>
      <c r="D1962" s="24" t="s">
        <v>17</v>
      </c>
      <c r="E1962" s="24" t="s">
        <v>48</v>
      </c>
      <c r="F1962" s="24" t="s">
        <v>49</v>
      </c>
      <c r="G1962" s="24" t="s">
        <v>227</v>
      </c>
      <c r="H1962" s="26">
        <v>660</v>
      </c>
      <c r="I1962" s="24" t="s">
        <v>29</v>
      </c>
      <c r="J1962" s="36">
        <v>45503</v>
      </c>
      <c r="K1962" s="24" t="s">
        <v>22</v>
      </c>
    </row>
    <row r="1963" spans="1:11" x14ac:dyDescent="0.2">
      <c r="A1963" s="27" t="s">
        <v>4964</v>
      </c>
      <c r="B1963" s="27" t="s">
        <v>4965</v>
      </c>
      <c r="C1963" s="27" t="s">
        <v>4966</v>
      </c>
      <c r="D1963" s="27" t="s">
        <v>17</v>
      </c>
      <c r="E1963" s="27" t="s">
        <v>18</v>
      </c>
      <c r="F1963" s="27" t="s">
        <v>19</v>
      </c>
      <c r="G1963" s="27" t="s">
        <v>28</v>
      </c>
      <c r="H1963" s="29">
        <v>186</v>
      </c>
      <c r="I1963" s="27" t="s">
        <v>29</v>
      </c>
      <c r="J1963" s="37">
        <v>45503</v>
      </c>
      <c r="K1963" s="27" t="s">
        <v>22</v>
      </c>
    </row>
    <row r="1964" spans="1:11" x14ac:dyDescent="0.2">
      <c r="A1964" s="24" t="s">
        <v>4967</v>
      </c>
      <c r="B1964" s="24" t="s">
        <v>4968</v>
      </c>
      <c r="C1964" s="24" t="s">
        <v>97</v>
      </c>
      <c r="D1964" s="24" t="s">
        <v>17</v>
      </c>
      <c r="E1964" s="24" t="s">
        <v>18</v>
      </c>
      <c r="F1964" s="24" t="s">
        <v>19</v>
      </c>
      <c r="G1964" s="24" t="s">
        <v>20</v>
      </c>
      <c r="H1964" s="26">
        <v>56</v>
      </c>
      <c r="I1964" s="24" t="s">
        <v>21</v>
      </c>
      <c r="J1964" s="36">
        <v>45488</v>
      </c>
      <c r="K1964" s="24" t="s">
        <v>22</v>
      </c>
    </row>
    <row r="1965" spans="1:11" x14ac:dyDescent="0.2">
      <c r="A1965" s="27" t="s">
        <v>4969</v>
      </c>
      <c r="B1965" s="27" t="s">
        <v>4970</v>
      </c>
      <c r="C1965" s="27" t="s">
        <v>2246</v>
      </c>
      <c r="D1965" s="27" t="s">
        <v>17</v>
      </c>
      <c r="E1965" s="27" t="s">
        <v>42</v>
      </c>
      <c r="F1965" s="27" t="s">
        <v>43</v>
      </c>
      <c r="G1965" s="27" t="s">
        <v>59</v>
      </c>
      <c r="H1965" s="29">
        <v>162</v>
      </c>
      <c r="I1965" s="27" t="s">
        <v>21</v>
      </c>
      <c r="J1965" s="37">
        <v>45492</v>
      </c>
      <c r="K1965" s="27" t="s">
        <v>22</v>
      </c>
    </row>
    <row r="1966" spans="1:11" x14ac:dyDescent="0.2">
      <c r="A1966" s="24" t="s">
        <v>4971</v>
      </c>
      <c r="B1966" s="24" t="s">
        <v>4972</v>
      </c>
      <c r="C1966" s="24" t="s">
        <v>55</v>
      </c>
      <c r="D1966" s="24" t="s">
        <v>17</v>
      </c>
      <c r="E1966" s="24" t="s">
        <v>42</v>
      </c>
      <c r="F1966" s="24" t="s">
        <v>43</v>
      </c>
      <c r="G1966" s="24" t="s">
        <v>28</v>
      </c>
      <c r="H1966" s="26">
        <v>686</v>
      </c>
      <c r="I1966" s="24" t="s">
        <v>29</v>
      </c>
      <c r="J1966" s="36">
        <v>45497</v>
      </c>
      <c r="K1966" s="24" t="s">
        <v>22</v>
      </c>
    </row>
    <row r="1967" spans="1:11" x14ac:dyDescent="0.2">
      <c r="A1967" s="27" t="s">
        <v>4973</v>
      </c>
      <c r="B1967" s="27" t="s">
        <v>4974</v>
      </c>
      <c r="C1967" s="27" t="s">
        <v>194</v>
      </c>
      <c r="D1967" s="27" t="s">
        <v>17</v>
      </c>
      <c r="E1967" s="27" t="s">
        <v>18</v>
      </c>
      <c r="F1967" s="27" t="s">
        <v>19</v>
      </c>
      <c r="G1967" s="27" t="s">
        <v>28</v>
      </c>
      <c r="H1967" s="29">
        <v>21</v>
      </c>
      <c r="I1967" s="27" t="s">
        <v>29</v>
      </c>
      <c r="J1967" s="37">
        <v>45491</v>
      </c>
      <c r="K1967" s="27" t="s">
        <v>22</v>
      </c>
    </row>
    <row r="1968" spans="1:11" x14ac:dyDescent="0.2">
      <c r="A1968" s="24" t="s">
        <v>4975</v>
      </c>
      <c r="B1968" s="24" t="s">
        <v>4976</v>
      </c>
      <c r="C1968" s="24" t="s">
        <v>4977</v>
      </c>
      <c r="D1968" s="24" t="s">
        <v>17</v>
      </c>
      <c r="E1968" s="24" t="s">
        <v>163</v>
      </c>
      <c r="F1968" s="24" t="s">
        <v>164</v>
      </c>
      <c r="G1968" s="24" t="s">
        <v>28</v>
      </c>
      <c r="H1968" s="26">
        <v>9</v>
      </c>
      <c r="I1968" s="24" t="s">
        <v>29</v>
      </c>
      <c r="J1968" s="36">
        <v>45474</v>
      </c>
      <c r="K1968" s="24" t="s">
        <v>22</v>
      </c>
    </row>
    <row r="1969" spans="1:11" x14ac:dyDescent="0.2">
      <c r="A1969" s="27" t="s">
        <v>4978</v>
      </c>
      <c r="B1969" s="27" t="s">
        <v>4979</v>
      </c>
      <c r="C1969" s="27" t="s">
        <v>4980</v>
      </c>
      <c r="D1969" s="27" t="s">
        <v>17</v>
      </c>
      <c r="E1969" s="27" t="s">
        <v>18</v>
      </c>
      <c r="F1969" s="27" t="s">
        <v>19</v>
      </c>
      <c r="G1969" s="27" t="s">
        <v>38</v>
      </c>
      <c r="H1969" s="29">
        <v>36</v>
      </c>
      <c r="I1969" s="27" t="s">
        <v>29</v>
      </c>
      <c r="J1969" s="37">
        <v>45488</v>
      </c>
      <c r="K1969" s="27" t="s">
        <v>22</v>
      </c>
    </row>
    <row r="1970" spans="1:11" x14ac:dyDescent="0.2">
      <c r="A1970" s="24" t="s">
        <v>4981</v>
      </c>
      <c r="B1970" s="24" t="s">
        <v>4982</v>
      </c>
      <c r="C1970" s="24" t="s">
        <v>55</v>
      </c>
      <c r="D1970" s="24" t="s">
        <v>17</v>
      </c>
      <c r="E1970" s="24" t="s">
        <v>48</v>
      </c>
      <c r="F1970" s="24" t="s">
        <v>49</v>
      </c>
      <c r="G1970" s="24" t="s">
        <v>44</v>
      </c>
      <c r="H1970" s="26">
        <v>80</v>
      </c>
      <c r="I1970" s="24" t="s">
        <v>29</v>
      </c>
      <c r="J1970" s="36">
        <v>45485</v>
      </c>
      <c r="K1970" s="24" t="s">
        <v>22</v>
      </c>
    </row>
    <row r="1971" spans="1:11" x14ac:dyDescent="0.2">
      <c r="A1971" s="27" t="s">
        <v>4983</v>
      </c>
      <c r="B1971" s="27" t="s">
        <v>4984</v>
      </c>
      <c r="C1971" s="27" t="s">
        <v>4985</v>
      </c>
      <c r="D1971" s="27" t="s">
        <v>17</v>
      </c>
      <c r="E1971" s="27" t="s">
        <v>18</v>
      </c>
      <c r="F1971" s="27" t="s">
        <v>19</v>
      </c>
      <c r="G1971" s="27" t="s">
        <v>28</v>
      </c>
      <c r="H1971" s="29">
        <v>67</v>
      </c>
      <c r="I1971" s="27" t="s">
        <v>29</v>
      </c>
      <c r="J1971" s="37">
        <v>45477</v>
      </c>
      <c r="K1971" s="27" t="s">
        <v>22</v>
      </c>
    </row>
    <row r="1972" spans="1:11" x14ac:dyDescent="0.2">
      <c r="A1972" s="24" t="s">
        <v>4986</v>
      </c>
      <c r="B1972" s="24" t="s">
        <v>4987</v>
      </c>
      <c r="C1972" s="24" t="s">
        <v>4988</v>
      </c>
      <c r="D1972" s="24" t="s">
        <v>17</v>
      </c>
      <c r="E1972" s="24" t="s">
        <v>42</v>
      </c>
      <c r="F1972" s="24" t="s">
        <v>43</v>
      </c>
      <c r="G1972" s="24" t="s">
        <v>116</v>
      </c>
      <c r="H1972" s="26">
        <v>0</v>
      </c>
      <c r="I1972" s="24" t="s">
        <v>21</v>
      </c>
      <c r="J1972" s="36">
        <v>45490</v>
      </c>
      <c r="K1972" s="24" t="s">
        <v>22</v>
      </c>
    </row>
    <row r="1973" spans="1:11" x14ac:dyDescent="0.2">
      <c r="A1973" s="27" t="s">
        <v>4989</v>
      </c>
      <c r="B1973" s="27" t="s">
        <v>4990</v>
      </c>
      <c r="C1973" s="27" t="s">
        <v>4991</v>
      </c>
      <c r="D1973" s="27" t="s">
        <v>17</v>
      </c>
      <c r="E1973" s="27" t="s">
        <v>48</v>
      </c>
      <c r="F1973" s="27" t="s">
        <v>49</v>
      </c>
      <c r="G1973" s="27" t="s">
        <v>44</v>
      </c>
      <c r="H1973" s="29">
        <v>86</v>
      </c>
      <c r="I1973" s="27" t="s">
        <v>21</v>
      </c>
      <c r="J1973" s="37">
        <v>45483</v>
      </c>
      <c r="K1973" s="27" t="s">
        <v>22</v>
      </c>
    </row>
    <row r="1974" spans="1:11" x14ac:dyDescent="0.2">
      <c r="A1974" s="24" t="s">
        <v>4992</v>
      </c>
      <c r="B1974" s="24" t="s">
        <v>4993</v>
      </c>
      <c r="C1974" s="24" t="s">
        <v>827</v>
      </c>
      <c r="D1974" s="24" t="s">
        <v>17</v>
      </c>
      <c r="E1974" s="24" t="s">
        <v>48</v>
      </c>
      <c r="F1974" s="24" t="s">
        <v>49</v>
      </c>
      <c r="G1974" s="24" t="s">
        <v>20</v>
      </c>
      <c r="H1974" s="26">
        <v>450</v>
      </c>
      <c r="I1974" s="24" t="s">
        <v>21</v>
      </c>
      <c r="J1974" s="36">
        <v>45481</v>
      </c>
      <c r="K1974" s="24" t="s">
        <v>22</v>
      </c>
    </row>
    <row r="1975" spans="1:11" x14ac:dyDescent="0.2">
      <c r="A1975" s="27" t="s">
        <v>4994</v>
      </c>
      <c r="B1975" s="27" t="s">
        <v>4995</v>
      </c>
      <c r="C1975" s="27" t="s">
        <v>4996</v>
      </c>
      <c r="D1975" s="27" t="s">
        <v>17</v>
      </c>
      <c r="E1975" s="27" t="s">
        <v>18</v>
      </c>
      <c r="F1975" s="27" t="s">
        <v>19</v>
      </c>
      <c r="G1975" s="27" t="s">
        <v>44</v>
      </c>
      <c r="H1975" s="29">
        <v>267</v>
      </c>
      <c r="I1975" s="27" t="s">
        <v>21</v>
      </c>
      <c r="J1975" s="37">
        <v>45504</v>
      </c>
      <c r="K1975" s="27" t="s">
        <v>22</v>
      </c>
    </row>
    <row r="1976" spans="1:11" x14ac:dyDescent="0.2">
      <c r="A1976" s="24" t="s">
        <v>4997</v>
      </c>
      <c r="B1976" s="24" t="s">
        <v>4998</v>
      </c>
      <c r="C1976" s="24" t="s">
        <v>708</v>
      </c>
      <c r="D1976" s="24" t="s">
        <v>17</v>
      </c>
      <c r="E1976" s="24" t="s">
        <v>42</v>
      </c>
      <c r="F1976" s="24" t="s">
        <v>43</v>
      </c>
      <c r="G1976" s="24" t="s">
        <v>44</v>
      </c>
      <c r="H1976" s="26">
        <v>1118</v>
      </c>
      <c r="I1976" s="24" t="s">
        <v>21</v>
      </c>
      <c r="J1976" s="36">
        <v>45497</v>
      </c>
      <c r="K1976" s="24" t="s">
        <v>22</v>
      </c>
    </row>
    <row r="1977" spans="1:11" x14ac:dyDescent="0.2">
      <c r="A1977" s="27" t="s">
        <v>4999</v>
      </c>
      <c r="B1977" s="27" t="s">
        <v>5000</v>
      </c>
      <c r="C1977" s="27" t="s">
        <v>1283</v>
      </c>
      <c r="D1977" s="27" t="s">
        <v>17</v>
      </c>
      <c r="E1977" s="27" t="s">
        <v>48</v>
      </c>
      <c r="F1977" s="27" t="s">
        <v>49</v>
      </c>
      <c r="G1977" s="27" t="s">
        <v>217</v>
      </c>
      <c r="H1977" s="29">
        <v>168</v>
      </c>
      <c r="I1977" s="27" t="s">
        <v>29</v>
      </c>
      <c r="J1977" s="37">
        <v>45474</v>
      </c>
      <c r="K1977" s="27" t="s">
        <v>22</v>
      </c>
    </row>
    <row r="1978" spans="1:11" x14ac:dyDescent="0.2">
      <c r="A1978" s="24" t="s">
        <v>5001</v>
      </c>
      <c r="B1978" s="24" t="s">
        <v>5002</v>
      </c>
      <c r="C1978" s="24" t="s">
        <v>5003</v>
      </c>
      <c r="D1978" s="24" t="s">
        <v>17</v>
      </c>
      <c r="E1978" s="24" t="s">
        <v>18</v>
      </c>
      <c r="F1978" s="24" t="s">
        <v>19</v>
      </c>
      <c r="G1978" s="24" t="s">
        <v>28</v>
      </c>
      <c r="H1978" s="26">
        <v>64</v>
      </c>
      <c r="I1978" s="24" t="s">
        <v>29</v>
      </c>
      <c r="J1978" s="36">
        <v>45489</v>
      </c>
      <c r="K1978" s="24" t="s">
        <v>22</v>
      </c>
    </row>
    <row r="1979" spans="1:11" x14ac:dyDescent="0.2">
      <c r="A1979" s="27" t="s">
        <v>5004</v>
      </c>
      <c r="B1979" s="27" t="s">
        <v>5005</v>
      </c>
      <c r="C1979" s="27" t="s">
        <v>5006</v>
      </c>
      <c r="D1979" s="27" t="s">
        <v>17</v>
      </c>
      <c r="E1979" s="27" t="s">
        <v>42</v>
      </c>
      <c r="F1979" s="27" t="s">
        <v>43</v>
      </c>
      <c r="G1979" s="27" t="s">
        <v>28</v>
      </c>
      <c r="H1979" s="29">
        <v>40</v>
      </c>
      <c r="I1979" s="27" t="s">
        <v>29</v>
      </c>
      <c r="J1979" s="37">
        <v>45504</v>
      </c>
      <c r="K1979" s="27" t="s">
        <v>22</v>
      </c>
    </row>
    <row r="1980" spans="1:11" x14ac:dyDescent="0.2">
      <c r="A1980" s="24" t="s">
        <v>5007</v>
      </c>
      <c r="B1980" s="24" t="s">
        <v>5008</v>
      </c>
      <c r="C1980" s="24" t="s">
        <v>5009</v>
      </c>
      <c r="D1980" s="24" t="s">
        <v>17</v>
      </c>
      <c r="E1980" s="24" t="s">
        <v>26</v>
      </c>
      <c r="F1980" s="24" t="s">
        <v>27</v>
      </c>
      <c r="G1980" s="24" t="s">
        <v>28</v>
      </c>
      <c r="H1980" s="26">
        <v>343</v>
      </c>
      <c r="I1980" s="24" t="s">
        <v>29</v>
      </c>
      <c r="J1980" s="36">
        <v>45497</v>
      </c>
      <c r="K1980" s="24" t="s">
        <v>22</v>
      </c>
    </row>
    <row r="1981" spans="1:11" x14ac:dyDescent="0.2">
      <c r="A1981" s="27" t="s">
        <v>5010</v>
      </c>
      <c r="B1981" s="27" t="s">
        <v>5011</v>
      </c>
      <c r="C1981" s="27" t="s">
        <v>494</v>
      </c>
      <c r="D1981" s="27" t="s">
        <v>17</v>
      </c>
      <c r="E1981" s="27" t="s">
        <v>18</v>
      </c>
      <c r="F1981" s="27" t="s">
        <v>19</v>
      </c>
      <c r="G1981" s="27" t="s">
        <v>28</v>
      </c>
      <c r="H1981" s="29">
        <v>40</v>
      </c>
      <c r="I1981" s="27" t="s">
        <v>29</v>
      </c>
      <c r="J1981" s="37">
        <v>45492</v>
      </c>
      <c r="K1981" s="27" t="s">
        <v>22</v>
      </c>
    </row>
    <row r="1982" spans="1:11" x14ac:dyDescent="0.2">
      <c r="A1982" s="24" t="s">
        <v>5012</v>
      </c>
      <c r="B1982" s="24" t="s">
        <v>5013</v>
      </c>
      <c r="C1982" s="24" t="s">
        <v>5014</v>
      </c>
      <c r="D1982" s="24" t="s">
        <v>17</v>
      </c>
      <c r="E1982" s="24" t="s">
        <v>18</v>
      </c>
      <c r="F1982" s="24" t="s">
        <v>19</v>
      </c>
      <c r="G1982" s="24" t="s">
        <v>20</v>
      </c>
      <c r="H1982" s="26">
        <v>72</v>
      </c>
      <c r="I1982" s="24" t="s">
        <v>21</v>
      </c>
      <c r="J1982" s="36">
        <v>45484</v>
      </c>
      <c r="K1982" s="24" t="s">
        <v>22</v>
      </c>
    </row>
    <row r="1983" spans="1:11" x14ac:dyDescent="0.2">
      <c r="A1983" s="27" t="s">
        <v>5015</v>
      </c>
      <c r="B1983" s="27" t="s">
        <v>5016</v>
      </c>
      <c r="C1983" s="27" t="s">
        <v>5017</v>
      </c>
      <c r="D1983" s="27" t="s">
        <v>17</v>
      </c>
      <c r="E1983" s="27" t="s">
        <v>42</v>
      </c>
      <c r="F1983" s="27" t="s">
        <v>43</v>
      </c>
      <c r="G1983" s="27" t="s">
        <v>44</v>
      </c>
      <c r="H1983" s="29">
        <v>659</v>
      </c>
      <c r="I1983" s="27" t="s">
        <v>21</v>
      </c>
      <c r="J1983" s="37">
        <v>45503</v>
      </c>
      <c r="K1983" s="27" t="s">
        <v>22</v>
      </c>
    </row>
    <row r="1984" spans="1:11" x14ac:dyDescent="0.2">
      <c r="A1984" s="24" t="s">
        <v>5018</v>
      </c>
      <c r="B1984" s="24" t="s">
        <v>5019</v>
      </c>
      <c r="C1984" s="24" t="s">
        <v>5020</v>
      </c>
      <c r="D1984" s="24" t="s">
        <v>17</v>
      </c>
      <c r="E1984" s="24" t="s">
        <v>81</v>
      </c>
      <c r="F1984" s="24" t="s">
        <v>82</v>
      </c>
      <c r="G1984" s="24" t="s">
        <v>217</v>
      </c>
      <c r="H1984" s="26">
        <v>426</v>
      </c>
      <c r="I1984" s="24" t="s">
        <v>29</v>
      </c>
      <c r="J1984" s="36">
        <v>45503</v>
      </c>
      <c r="K1984" s="24" t="s">
        <v>22</v>
      </c>
    </row>
    <row r="1985" spans="1:11" x14ac:dyDescent="0.2">
      <c r="A1985" s="27" t="s">
        <v>5021</v>
      </c>
      <c r="B1985" s="27" t="s">
        <v>5022</v>
      </c>
      <c r="C1985" s="27" t="s">
        <v>1083</v>
      </c>
      <c r="D1985" s="27" t="s">
        <v>17</v>
      </c>
      <c r="E1985" s="27" t="s">
        <v>81</v>
      </c>
      <c r="F1985" s="27" t="s">
        <v>82</v>
      </c>
      <c r="G1985" s="27" t="s">
        <v>44</v>
      </c>
      <c r="H1985" s="29">
        <v>216</v>
      </c>
      <c r="I1985" s="27" t="s">
        <v>21</v>
      </c>
      <c r="J1985" s="37">
        <v>45504</v>
      </c>
      <c r="K1985" s="27" t="s">
        <v>22</v>
      </c>
    </row>
    <row r="1986" spans="1:11" x14ac:dyDescent="0.2">
      <c r="A1986" s="24" t="s">
        <v>5023</v>
      </c>
      <c r="B1986" s="24" t="s">
        <v>5024</v>
      </c>
      <c r="C1986" s="24" t="s">
        <v>1161</v>
      </c>
      <c r="D1986" s="24" t="s">
        <v>17</v>
      </c>
      <c r="E1986" s="24" t="s">
        <v>26</v>
      </c>
      <c r="F1986" s="24" t="s">
        <v>27</v>
      </c>
      <c r="G1986" s="24" t="s">
        <v>28</v>
      </c>
      <c r="H1986" s="26">
        <v>248</v>
      </c>
      <c r="I1986" s="24" t="s">
        <v>29</v>
      </c>
      <c r="J1986" s="36">
        <v>45503</v>
      </c>
      <c r="K1986" s="24" t="s">
        <v>22</v>
      </c>
    </row>
    <row r="1987" spans="1:11" x14ac:dyDescent="0.2">
      <c r="A1987" s="27" t="s">
        <v>5025</v>
      </c>
      <c r="B1987" s="27" t="s">
        <v>5026</v>
      </c>
      <c r="C1987" s="27" t="s">
        <v>690</v>
      </c>
      <c r="D1987" s="27" t="s">
        <v>17</v>
      </c>
      <c r="E1987" s="27" t="s">
        <v>18</v>
      </c>
      <c r="F1987" s="27" t="s">
        <v>19</v>
      </c>
      <c r="G1987" s="27" t="s">
        <v>20</v>
      </c>
      <c r="H1987" s="29">
        <v>26</v>
      </c>
      <c r="I1987" s="27" t="s">
        <v>21</v>
      </c>
      <c r="J1987" s="37">
        <v>45484</v>
      </c>
      <c r="K1987" s="27" t="s">
        <v>22</v>
      </c>
    </row>
    <row r="1988" spans="1:11" x14ac:dyDescent="0.2">
      <c r="A1988" s="24" t="s">
        <v>5027</v>
      </c>
      <c r="B1988" s="24" t="s">
        <v>5028</v>
      </c>
      <c r="C1988" s="24" t="s">
        <v>388</v>
      </c>
      <c r="D1988" s="24" t="s">
        <v>17</v>
      </c>
      <c r="E1988" s="24" t="s">
        <v>48</v>
      </c>
      <c r="F1988" s="24" t="s">
        <v>49</v>
      </c>
      <c r="G1988" s="24" t="s">
        <v>20</v>
      </c>
      <c r="H1988" s="26">
        <v>84</v>
      </c>
      <c r="I1988" s="24" t="s">
        <v>21</v>
      </c>
      <c r="J1988" s="36">
        <v>45499</v>
      </c>
      <c r="K1988" s="24" t="s">
        <v>22</v>
      </c>
    </row>
    <row r="1989" spans="1:11" x14ac:dyDescent="0.2">
      <c r="A1989" s="27" t="s">
        <v>5029</v>
      </c>
      <c r="B1989" s="27" t="s">
        <v>5030</v>
      </c>
      <c r="C1989" s="27" t="s">
        <v>2811</v>
      </c>
      <c r="D1989" s="27" t="s">
        <v>17</v>
      </c>
      <c r="E1989" s="27" t="s">
        <v>48</v>
      </c>
      <c r="F1989" s="27" t="s">
        <v>49</v>
      </c>
      <c r="G1989" s="27" t="s">
        <v>217</v>
      </c>
      <c r="H1989" s="29">
        <v>120</v>
      </c>
      <c r="I1989" s="27" t="s">
        <v>29</v>
      </c>
      <c r="J1989" s="37">
        <v>45504</v>
      </c>
      <c r="K1989" s="27" t="s">
        <v>22</v>
      </c>
    </row>
    <row r="1990" spans="1:11" x14ac:dyDescent="0.2">
      <c r="A1990" s="24" t="s">
        <v>5031</v>
      </c>
      <c r="B1990" s="24" t="s">
        <v>5032</v>
      </c>
      <c r="C1990" s="24" t="s">
        <v>85</v>
      </c>
      <c r="D1990" s="24" t="s">
        <v>17</v>
      </c>
      <c r="E1990" s="24" t="s">
        <v>18</v>
      </c>
      <c r="F1990" s="24" t="s">
        <v>19</v>
      </c>
      <c r="G1990" s="24" t="s">
        <v>20</v>
      </c>
      <c r="H1990" s="26">
        <v>25</v>
      </c>
      <c r="I1990" s="24" t="s">
        <v>21</v>
      </c>
      <c r="J1990" s="36">
        <v>45482</v>
      </c>
      <c r="K1990" s="24" t="s">
        <v>22</v>
      </c>
    </row>
    <row r="1991" spans="1:11" x14ac:dyDescent="0.2">
      <c r="A1991" s="27" t="s">
        <v>5033</v>
      </c>
      <c r="B1991" s="27" t="s">
        <v>5034</v>
      </c>
      <c r="C1991" s="27" t="s">
        <v>5035</v>
      </c>
      <c r="D1991" s="27" t="s">
        <v>17</v>
      </c>
      <c r="E1991" s="27" t="s">
        <v>18</v>
      </c>
      <c r="F1991" s="27" t="s">
        <v>19</v>
      </c>
      <c r="G1991" s="27" t="s">
        <v>227</v>
      </c>
      <c r="H1991" s="29">
        <v>52</v>
      </c>
      <c r="I1991" s="27" t="s">
        <v>29</v>
      </c>
      <c r="J1991" s="37">
        <v>45474</v>
      </c>
      <c r="K1991" s="27" t="s">
        <v>22</v>
      </c>
    </row>
    <row r="1992" spans="1:11" x14ac:dyDescent="0.2">
      <c r="A1992" s="24" t="s">
        <v>5036</v>
      </c>
      <c r="B1992" s="24" t="s">
        <v>5037</v>
      </c>
      <c r="C1992" s="24" t="s">
        <v>5038</v>
      </c>
      <c r="D1992" s="24" t="s">
        <v>17</v>
      </c>
      <c r="E1992" s="24" t="s">
        <v>33</v>
      </c>
      <c r="F1992" s="24" t="s">
        <v>34</v>
      </c>
      <c r="G1992" s="24" t="s">
        <v>28</v>
      </c>
      <c r="H1992" s="26">
        <v>132</v>
      </c>
      <c r="I1992" s="24" t="s">
        <v>29</v>
      </c>
      <c r="J1992" s="36">
        <v>45490</v>
      </c>
      <c r="K1992" s="24" t="s">
        <v>22</v>
      </c>
    </row>
    <row r="1993" spans="1:11" x14ac:dyDescent="0.2">
      <c r="A1993" s="27" t="s">
        <v>5039</v>
      </c>
      <c r="B1993" s="27" t="s">
        <v>5040</v>
      </c>
      <c r="C1993" s="27" t="s">
        <v>5041</v>
      </c>
      <c r="D1993" s="27" t="s">
        <v>17</v>
      </c>
      <c r="E1993" s="27" t="s">
        <v>18</v>
      </c>
      <c r="F1993" s="27" t="s">
        <v>19</v>
      </c>
      <c r="G1993" s="27" t="s">
        <v>20</v>
      </c>
      <c r="H1993" s="29">
        <v>300</v>
      </c>
      <c r="I1993" s="27" t="s">
        <v>21</v>
      </c>
      <c r="J1993" s="37">
        <v>45477</v>
      </c>
      <c r="K1993" s="27" t="s">
        <v>22</v>
      </c>
    </row>
    <row r="1994" spans="1:11" x14ac:dyDescent="0.2">
      <c r="A1994" s="24" t="s">
        <v>5042</v>
      </c>
      <c r="B1994" s="24" t="s">
        <v>5043</v>
      </c>
      <c r="C1994" s="24" t="s">
        <v>5044</v>
      </c>
      <c r="D1994" s="24" t="s">
        <v>17</v>
      </c>
      <c r="E1994" s="24" t="s">
        <v>26</v>
      </c>
      <c r="F1994" s="24" t="s">
        <v>27</v>
      </c>
      <c r="G1994" s="24" t="s">
        <v>28</v>
      </c>
      <c r="H1994" s="26">
        <v>12</v>
      </c>
      <c r="I1994" s="24" t="s">
        <v>29</v>
      </c>
      <c r="J1994" s="36">
        <v>45498</v>
      </c>
      <c r="K1994" s="24" t="s">
        <v>22</v>
      </c>
    </row>
    <row r="1995" spans="1:11" x14ac:dyDescent="0.2">
      <c r="A1995" s="27" t="s">
        <v>5045</v>
      </c>
      <c r="B1995" s="27" t="s">
        <v>5046</v>
      </c>
      <c r="C1995" s="27" t="s">
        <v>5047</v>
      </c>
      <c r="D1995" s="27" t="s">
        <v>17</v>
      </c>
      <c r="E1995" s="27" t="s">
        <v>18</v>
      </c>
      <c r="F1995" s="27" t="s">
        <v>19</v>
      </c>
      <c r="G1995" s="27" t="s">
        <v>217</v>
      </c>
      <c r="H1995" s="29">
        <v>46</v>
      </c>
      <c r="I1995" s="27" t="s">
        <v>29</v>
      </c>
      <c r="J1995" s="37">
        <v>45474</v>
      </c>
      <c r="K1995" s="27" t="s">
        <v>22</v>
      </c>
    </row>
    <row r="1996" spans="1:11" x14ac:dyDescent="0.2">
      <c r="A1996" s="24" t="s">
        <v>5048</v>
      </c>
      <c r="B1996" s="24" t="s">
        <v>5049</v>
      </c>
      <c r="C1996" s="24" t="s">
        <v>242</v>
      </c>
      <c r="D1996" s="24" t="s">
        <v>17</v>
      </c>
      <c r="E1996" s="24" t="s">
        <v>48</v>
      </c>
      <c r="F1996" s="24" t="s">
        <v>49</v>
      </c>
      <c r="G1996" s="24" t="s">
        <v>28</v>
      </c>
      <c r="H1996" s="26">
        <v>235</v>
      </c>
      <c r="I1996" s="24" t="s">
        <v>29</v>
      </c>
      <c r="J1996" s="36">
        <v>45499</v>
      </c>
      <c r="K1996" s="24" t="s">
        <v>22</v>
      </c>
    </row>
    <row r="1997" spans="1:11" x14ac:dyDescent="0.2">
      <c r="A1997" s="27" t="s">
        <v>5050</v>
      </c>
      <c r="B1997" s="27" t="s">
        <v>5051</v>
      </c>
      <c r="C1997" s="27" t="s">
        <v>251</v>
      </c>
      <c r="D1997" s="27" t="s">
        <v>17</v>
      </c>
      <c r="E1997" s="27" t="s">
        <v>42</v>
      </c>
      <c r="F1997" s="27" t="s">
        <v>43</v>
      </c>
      <c r="G1997" s="27" t="s">
        <v>28</v>
      </c>
      <c r="H1997" s="29">
        <v>146</v>
      </c>
      <c r="I1997" s="27" t="s">
        <v>29</v>
      </c>
      <c r="J1997" s="37">
        <v>45504</v>
      </c>
      <c r="K1997" s="27" t="s">
        <v>22</v>
      </c>
    </row>
    <row r="1998" spans="1:11" x14ac:dyDescent="0.2">
      <c r="A1998" s="24" t="s">
        <v>5052</v>
      </c>
      <c r="B1998" s="24" t="s">
        <v>5053</v>
      </c>
      <c r="C1998" s="24" t="s">
        <v>68</v>
      </c>
      <c r="D1998" s="24" t="s">
        <v>17</v>
      </c>
      <c r="E1998" s="24" t="s">
        <v>42</v>
      </c>
      <c r="F1998" s="24" t="s">
        <v>43</v>
      </c>
      <c r="G1998" s="24" t="s">
        <v>28</v>
      </c>
      <c r="H1998" s="26">
        <v>101</v>
      </c>
      <c r="I1998" s="24" t="s">
        <v>29</v>
      </c>
      <c r="J1998" s="36">
        <v>45504</v>
      </c>
      <c r="K1998" s="24" t="s">
        <v>22</v>
      </c>
    </row>
    <row r="1999" spans="1:11" x14ac:dyDescent="0.2">
      <c r="A1999" s="27" t="s">
        <v>5054</v>
      </c>
      <c r="B1999" s="27" t="s">
        <v>5055</v>
      </c>
      <c r="C1999" s="27" t="s">
        <v>106</v>
      </c>
      <c r="D1999" s="27" t="s">
        <v>17</v>
      </c>
      <c r="E1999" s="27" t="s">
        <v>18</v>
      </c>
      <c r="F1999" s="27" t="s">
        <v>19</v>
      </c>
      <c r="G1999" s="27" t="s">
        <v>20</v>
      </c>
      <c r="H1999" s="29">
        <v>28</v>
      </c>
      <c r="I1999" s="27" t="s">
        <v>21</v>
      </c>
      <c r="J1999" s="37">
        <v>45475</v>
      </c>
      <c r="K1999" s="27" t="s">
        <v>22</v>
      </c>
    </row>
    <row r="2000" spans="1:11" x14ac:dyDescent="0.2">
      <c r="A2000" s="24" t="s">
        <v>5056</v>
      </c>
      <c r="B2000" s="24" t="s">
        <v>5057</v>
      </c>
      <c r="C2000" s="24" t="s">
        <v>1938</v>
      </c>
      <c r="D2000" s="24" t="s">
        <v>17</v>
      </c>
      <c r="E2000" s="24" t="s">
        <v>48</v>
      </c>
      <c r="F2000" s="24" t="s">
        <v>49</v>
      </c>
      <c r="G2000" s="24" t="s">
        <v>28</v>
      </c>
      <c r="H2000" s="26">
        <v>160</v>
      </c>
      <c r="I2000" s="24" t="s">
        <v>29</v>
      </c>
      <c r="J2000" s="36">
        <v>45499</v>
      </c>
      <c r="K2000" s="24" t="s">
        <v>22</v>
      </c>
    </row>
    <row r="2001" spans="1:11" x14ac:dyDescent="0.2">
      <c r="A2001" s="27" t="s">
        <v>5058</v>
      </c>
      <c r="B2001" s="27" t="s">
        <v>5059</v>
      </c>
      <c r="C2001" s="27" t="s">
        <v>5060</v>
      </c>
      <c r="D2001" s="27" t="s">
        <v>17</v>
      </c>
      <c r="E2001" s="27" t="s">
        <v>18</v>
      </c>
      <c r="F2001" s="27" t="s">
        <v>19</v>
      </c>
      <c r="G2001" s="27" t="s">
        <v>38</v>
      </c>
      <c r="H2001" s="29">
        <v>9</v>
      </c>
      <c r="I2001" s="27" t="s">
        <v>29</v>
      </c>
      <c r="J2001" s="37">
        <v>45477</v>
      </c>
      <c r="K2001" s="27" t="s">
        <v>22</v>
      </c>
    </row>
    <row r="2002" spans="1:11" x14ac:dyDescent="0.2">
      <c r="A2002" s="24" t="s">
        <v>5061</v>
      </c>
      <c r="B2002" s="24" t="s">
        <v>5062</v>
      </c>
      <c r="C2002" s="24" t="s">
        <v>85</v>
      </c>
      <c r="D2002" s="24" t="s">
        <v>17</v>
      </c>
      <c r="E2002" s="24" t="s">
        <v>42</v>
      </c>
      <c r="F2002" s="24" t="s">
        <v>43</v>
      </c>
      <c r="G2002" s="24" t="s">
        <v>28</v>
      </c>
      <c r="H2002" s="26">
        <v>40</v>
      </c>
      <c r="I2002" s="24" t="s">
        <v>29</v>
      </c>
      <c r="J2002" s="36">
        <v>45481</v>
      </c>
      <c r="K2002" s="24" t="s">
        <v>22</v>
      </c>
    </row>
    <row r="2003" spans="1:11" x14ac:dyDescent="0.2">
      <c r="A2003" s="27" t="s">
        <v>5063</v>
      </c>
      <c r="B2003" s="27" t="s">
        <v>5064</v>
      </c>
      <c r="C2003" s="27" t="s">
        <v>5065</v>
      </c>
      <c r="D2003" s="27" t="s">
        <v>17</v>
      </c>
      <c r="E2003" s="27" t="s">
        <v>48</v>
      </c>
      <c r="F2003" s="27" t="s">
        <v>49</v>
      </c>
      <c r="G2003" s="27" t="s">
        <v>28</v>
      </c>
      <c r="H2003" s="29">
        <v>228</v>
      </c>
      <c r="I2003" s="27" t="s">
        <v>29</v>
      </c>
      <c r="J2003" s="37">
        <v>45504</v>
      </c>
      <c r="K2003" s="27" t="s">
        <v>22</v>
      </c>
    </row>
    <row r="2004" spans="1:11" x14ac:dyDescent="0.2">
      <c r="A2004" s="24" t="s">
        <v>5066</v>
      </c>
      <c r="B2004" s="24" t="s">
        <v>5067</v>
      </c>
      <c r="C2004" s="24" t="s">
        <v>1050</v>
      </c>
      <c r="D2004" s="24" t="s">
        <v>17</v>
      </c>
      <c r="E2004" s="24" t="s">
        <v>48</v>
      </c>
      <c r="F2004" s="24" t="s">
        <v>49</v>
      </c>
      <c r="G2004" s="24" t="s">
        <v>28</v>
      </c>
      <c r="H2004" s="26">
        <v>90</v>
      </c>
      <c r="I2004" s="24" t="s">
        <v>29</v>
      </c>
      <c r="J2004" s="36">
        <v>45503</v>
      </c>
      <c r="K2004" s="24" t="s">
        <v>22</v>
      </c>
    </row>
    <row r="2005" spans="1:11" x14ac:dyDescent="0.2">
      <c r="A2005" s="27" t="s">
        <v>5068</v>
      </c>
      <c r="B2005" s="27" t="s">
        <v>5069</v>
      </c>
      <c r="C2005" s="27" t="s">
        <v>5070</v>
      </c>
      <c r="D2005" s="27" t="s">
        <v>17</v>
      </c>
      <c r="E2005" s="27" t="s">
        <v>18</v>
      </c>
      <c r="F2005" s="27" t="s">
        <v>19</v>
      </c>
      <c r="G2005" s="27" t="s">
        <v>217</v>
      </c>
      <c r="H2005" s="29">
        <v>72</v>
      </c>
      <c r="I2005" s="27" t="s">
        <v>29</v>
      </c>
      <c r="J2005" s="37">
        <v>45474</v>
      </c>
      <c r="K2005" s="27" t="s">
        <v>22</v>
      </c>
    </row>
    <row r="2006" spans="1:11" x14ac:dyDescent="0.2">
      <c r="A2006" s="24" t="s">
        <v>5071</v>
      </c>
      <c r="B2006" s="24" t="s">
        <v>5072</v>
      </c>
      <c r="C2006" s="24" t="s">
        <v>1532</v>
      </c>
      <c r="D2006" s="24" t="s">
        <v>17</v>
      </c>
      <c r="E2006" s="24" t="s">
        <v>26</v>
      </c>
      <c r="F2006" s="24" t="s">
        <v>27</v>
      </c>
      <c r="G2006" s="24" t="s">
        <v>28</v>
      </c>
      <c r="H2006" s="26">
        <v>60</v>
      </c>
      <c r="I2006" s="24" t="s">
        <v>29</v>
      </c>
      <c r="J2006" s="36">
        <v>45484</v>
      </c>
      <c r="K2006" s="24" t="s">
        <v>22</v>
      </c>
    </row>
    <row r="2007" spans="1:11" x14ac:dyDescent="0.2">
      <c r="A2007" s="27" t="s">
        <v>5073</v>
      </c>
      <c r="B2007" s="27" t="s">
        <v>5074</v>
      </c>
      <c r="C2007" s="27" t="s">
        <v>5075</v>
      </c>
      <c r="D2007" s="27" t="s">
        <v>17</v>
      </c>
      <c r="E2007" s="27" t="s">
        <v>48</v>
      </c>
      <c r="F2007" s="27" t="s">
        <v>49</v>
      </c>
      <c r="G2007" s="27" t="s">
        <v>44</v>
      </c>
      <c r="H2007" s="29">
        <v>150</v>
      </c>
      <c r="I2007" s="27" t="s">
        <v>29</v>
      </c>
      <c r="J2007" s="37">
        <v>45474</v>
      </c>
      <c r="K2007" s="27" t="s">
        <v>22</v>
      </c>
    </row>
    <row r="2008" spans="1:11" x14ac:dyDescent="0.2">
      <c r="A2008" s="24" t="s">
        <v>5076</v>
      </c>
      <c r="B2008" s="24" t="s">
        <v>5077</v>
      </c>
      <c r="C2008" s="24" t="s">
        <v>2690</v>
      </c>
      <c r="D2008" s="24" t="s">
        <v>17</v>
      </c>
      <c r="E2008" s="24" t="s">
        <v>18</v>
      </c>
      <c r="F2008" s="24" t="s">
        <v>19</v>
      </c>
      <c r="G2008" s="24" t="s">
        <v>20</v>
      </c>
      <c r="H2008" s="26">
        <v>78</v>
      </c>
      <c r="I2008" s="24" t="s">
        <v>21</v>
      </c>
      <c r="J2008" s="36">
        <v>45483</v>
      </c>
      <c r="K2008" s="24" t="s">
        <v>22</v>
      </c>
    </row>
    <row r="2009" spans="1:11" x14ac:dyDescent="0.2">
      <c r="A2009" s="27" t="s">
        <v>5078</v>
      </c>
      <c r="B2009" s="27" t="s">
        <v>5079</v>
      </c>
      <c r="C2009" s="27" t="s">
        <v>5080</v>
      </c>
      <c r="D2009" s="27" t="s">
        <v>17</v>
      </c>
      <c r="E2009" s="27" t="s">
        <v>42</v>
      </c>
      <c r="F2009" s="27" t="s">
        <v>43</v>
      </c>
      <c r="G2009" s="27" t="s">
        <v>28</v>
      </c>
      <c r="H2009" s="29">
        <v>286</v>
      </c>
      <c r="I2009" s="27" t="s">
        <v>29</v>
      </c>
      <c r="J2009" s="37">
        <v>45492</v>
      </c>
      <c r="K2009" s="27" t="s">
        <v>22</v>
      </c>
    </row>
    <row r="2010" spans="1:11" x14ac:dyDescent="0.2">
      <c r="A2010" s="24" t="s">
        <v>5081</v>
      </c>
      <c r="B2010" s="24" t="s">
        <v>5082</v>
      </c>
      <c r="C2010" s="24" t="s">
        <v>5083</v>
      </c>
      <c r="D2010" s="24" t="s">
        <v>17</v>
      </c>
      <c r="E2010" s="24" t="s">
        <v>18</v>
      </c>
      <c r="F2010" s="24" t="s">
        <v>19</v>
      </c>
      <c r="G2010" s="24" t="s">
        <v>217</v>
      </c>
      <c r="H2010" s="26">
        <v>66</v>
      </c>
      <c r="I2010" s="24" t="s">
        <v>29</v>
      </c>
      <c r="J2010" s="36">
        <v>45476</v>
      </c>
      <c r="K2010" s="24" t="s">
        <v>22</v>
      </c>
    </row>
    <row r="2011" spans="1:11" x14ac:dyDescent="0.2">
      <c r="A2011" s="27" t="s">
        <v>5084</v>
      </c>
      <c r="B2011" s="27" t="s">
        <v>5085</v>
      </c>
      <c r="C2011" s="27" t="s">
        <v>5086</v>
      </c>
      <c r="D2011" s="27" t="s">
        <v>17</v>
      </c>
      <c r="E2011" s="27" t="s">
        <v>42</v>
      </c>
      <c r="F2011" s="27" t="s">
        <v>43</v>
      </c>
      <c r="G2011" s="27" t="s">
        <v>227</v>
      </c>
      <c r="H2011" s="29">
        <v>255</v>
      </c>
      <c r="I2011" s="27" t="s">
        <v>29</v>
      </c>
      <c r="J2011" s="37">
        <v>45504</v>
      </c>
      <c r="K2011" s="27" t="s">
        <v>22</v>
      </c>
    </row>
    <row r="2012" spans="1:11" x14ac:dyDescent="0.2">
      <c r="A2012" s="24" t="s">
        <v>5087</v>
      </c>
      <c r="B2012" s="24" t="s">
        <v>5088</v>
      </c>
      <c r="C2012" s="24" t="s">
        <v>4093</v>
      </c>
      <c r="D2012" s="24" t="s">
        <v>17</v>
      </c>
      <c r="E2012" s="24" t="s">
        <v>42</v>
      </c>
      <c r="F2012" s="24" t="s">
        <v>43</v>
      </c>
      <c r="G2012" s="24" t="s">
        <v>227</v>
      </c>
      <c r="H2012" s="26">
        <v>1280</v>
      </c>
      <c r="I2012" s="24" t="s">
        <v>29</v>
      </c>
      <c r="J2012" s="36">
        <v>45476</v>
      </c>
      <c r="K2012" s="24" t="s">
        <v>22</v>
      </c>
    </row>
    <row r="2013" spans="1:11" x14ac:dyDescent="0.2">
      <c r="A2013" s="27" t="s">
        <v>5089</v>
      </c>
      <c r="B2013" s="27" t="s">
        <v>5090</v>
      </c>
      <c r="C2013" s="27" t="s">
        <v>1726</v>
      </c>
      <c r="D2013" s="27" t="s">
        <v>17</v>
      </c>
      <c r="E2013" s="27" t="s">
        <v>18</v>
      </c>
      <c r="F2013" s="27" t="s">
        <v>19</v>
      </c>
      <c r="G2013" s="27" t="s">
        <v>20</v>
      </c>
      <c r="H2013" s="29">
        <v>16</v>
      </c>
      <c r="I2013" s="27" t="s">
        <v>21</v>
      </c>
      <c r="J2013" s="37">
        <v>45489</v>
      </c>
      <c r="K2013" s="27" t="s">
        <v>22</v>
      </c>
    </row>
    <row r="2014" spans="1:11" x14ac:dyDescent="0.2">
      <c r="A2014" s="24" t="s">
        <v>5091</v>
      </c>
      <c r="B2014" s="24" t="s">
        <v>5092</v>
      </c>
      <c r="C2014" s="24" t="s">
        <v>5093</v>
      </c>
      <c r="D2014" s="24" t="s">
        <v>17</v>
      </c>
      <c r="E2014" s="24" t="s">
        <v>48</v>
      </c>
      <c r="F2014" s="24" t="s">
        <v>49</v>
      </c>
      <c r="G2014" s="24" t="s">
        <v>28</v>
      </c>
      <c r="H2014" s="26">
        <v>16</v>
      </c>
      <c r="I2014" s="24" t="s">
        <v>29</v>
      </c>
      <c r="J2014" s="36">
        <v>45482</v>
      </c>
      <c r="K2014" s="24" t="s">
        <v>22</v>
      </c>
    </row>
    <row r="2015" spans="1:11" x14ac:dyDescent="0.2">
      <c r="A2015" s="27" t="s">
        <v>5094</v>
      </c>
      <c r="B2015" s="27" t="s">
        <v>5095</v>
      </c>
      <c r="C2015" s="27" t="s">
        <v>1502</v>
      </c>
      <c r="D2015" s="27" t="s">
        <v>17</v>
      </c>
      <c r="E2015" s="27" t="s">
        <v>18</v>
      </c>
      <c r="F2015" s="27" t="s">
        <v>19</v>
      </c>
      <c r="G2015" s="27" t="s">
        <v>20</v>
      </c>
      <c r="H2015" s="29">
        <v>24</v>
      </c>
      <c r="I2015" s="27" t="s">
        <v>21</v>
      </c>
      <c r="J2015" s="37">
        <v>45474</v>
      </c>
      <c r="K2015" s="27" t="s">
        <v>22</v>
      </c>
    </row>
    <row r="2016" spans="1:11" x14ac:dyDescent="0.2">
      <c r="A2016" s="24" t="s">
        <v>5096</v>
      </c>
      <c r="B2016" s="24" t="s">
        <v>5097</v>
      </c>
      <c r="C2016" s="24" t="s">
        <v>5098</v>
      </c>
      <c r="D2016" s="24" t="s">
        <v>17</v>
      </c>
      <c r="E2016" s="24" t="s">
        <v>48</v>
      </c>
      <c r="F2016" s="24" t="s">
        <v>49</v>
      </c>
      <c r="G2016" s="24" t="s">
        <v>44</v>
      </c>
      <c r="H2016" s="26">
        <v>498</v>
      </c>
      <c r="I2016" s="24" t="s">
        <v>29</v>
      </c>
      <c r="J2016" s="36">
        <v>45495</v>
      </c>
      <c r="K2016" s="24" t="s">
        <v>22</v>
      </c>
    </row>
    <row r="2017" spans="1:11" x14ac:dyDescent="0.2">
      <c r="A2017" s="27" t="s">
        <v>5099</v>
      </c>
      <c r="B2017" s="27" t="s">
        <v>5100</v>
      </c>
      <c r="C2017" s="27" t="s">
        <v>437</v>
      </c>
      <c r="D2017" s="27" t="s">
        <v>17</v>
      </c>
      <c r="E2017" s="27" t="s">
        <v>42</v>
      </c>
      <c r="F2017" s="27" t="s">
        <v>43</v>
      </c>
      <c r="G2017" s="27" t="s">
        <v>44</v>
      </c>
      <c r="H2017" s="29">
        <v>469</v>
      </c>
      <c r="I2017" s="27" t="s">
        <v>21</v>
      </c>
      <c r="J2017" s="37">
        <v>45491</v>
      </c>
      <c r="K2017" s="27" t="s">
        <v>22</v>
      </c>
    </row>
    <row r="2018" spans="1:11" x14ac:dyDescent="0.2">
      <c r="A2018" s="24" t="s">
        <v>5101</v>
      </c>
      <c r="B2018" s="24" t="s">
        <v>5102</v>
      </c>
      <c r="C2018" s="24" t="s">
        <v>5103</v>
      </c>
      <c r="D2018" s="24" t="s">
        <v>17</v>
      </c>
      <c r="E2018" s="24" t="s">
        <v>42</v>
      </c>
      <c r="F2018" s="24" t="s">
        <v>43</v>
      </c>
      <c r="G2018" s="24" t="s">
        <v>28</v>
      </c>
      <c r="H2018" s="26">
        <v>520</v>
      </c>
      <c r="I2018" s="24" t="s">
        <v>29</v>
      </c>
      <c r="J2018" s="36">
        <v>45476</v>
      </c>
      <c r="K2018" s="24" t="s">
        <v>22</v>
      </c>
    </row>
    <row r="2019" spans="1:11" x14ac:dyDescent="0.2">
      <c r="A2019" s="27" t="s">
        <v>5104</v>
      </c>
      <c r="B2019" s="27" t="s">
        <v>5105</v>
      </c>
      <c r="C2019" s="27" t="s">
        <v>5106</v>
      </c>
      <c r="D2019" s="27" t="s">
        <v>17</v>
      </c>
      <c r="E2019" s="27" t="s">
        <v>48</v>
      </c>
      <c r="F2019" s="27" t="s">
        <v>49</v>
      </c>
      <c r="G2019" s="27" t="s">
        <v>44</v>
      </c>
      <c r="H2019" s="29">
        <v>70</v>
      </c>
      <c r="I2019" s="27" t="s">
        <v>29</v>
      </c>
      <c r="J2019" s="37">
        <v>45481</v>
      </c>
      <c r="K2019" s="27" t="s">
        <v>22</v>
      </c>
    </row>
    <row r="2020" spans="1:11" x14ac:dyDescent="0.2">
      <c r="A2020" s="24" t="s">
        <v>5107</v>
      </c>
      <c r="B2020" s="24" t="s">
        <v>5108</v>
      </c>
      <c r="C2020" s="24" t="s">
        <v>194</v>
      </c>
      <c r="D2020" s="24" t="s">
        <v>17</v>
      </c>
      <c r="E2020" s="24" t="s">
        <v>18</v>
      </c>
      <c r="F2020" s="24" t="s">
        <v>19</v>
      </c>
      <c r="G2020" s="24" t="s">
        <v>28</v>
      </c>
      <c r="H2020" s="26">
        <v>20</v>
      </c>
      <c r="I2020" s="24" t="s">
        <v>29</v>
      </c>
      <c r="J2020" s="36">
        <v>45497</v>
      </c>
      <c r="K2020" s="24" t="s">
        <v>22</v>
      </c>
    </row>
    <row r="2021" spans="1:11" x14ac:dyDescent="0.2">
      <c r="A2021" s="27" t="s">
        <v>5109</v>
      </c>
      <c r="B2021" s="27" t="s">
        <v>5110</v>
      </c>
      <c r="C2021" s="27" t="s">
        <v>5111</v>
      </c>
      <c r="D2021" s="27" t="s">
        <v>17</v>
      </c>
      <c r="E2021" s="27" t="s">
        <v>18</v>
      </c>
      <c r="F2021" s="27" t="s">
        <v>19</v>
      </c>
      <c r="G2021" s="27" t="s">
        <v>28</v>
      </c>
      <c r="H2021" s="29">
        <v>80</v>
      </c>
      <c r="I2021" s="27" t="s">
        <v>29</v>
      </c>
      <c r="J2021" s="37">
        <v>45495</v>
      </c>
      <c r="K2021" s="27" t="s">
        <v>22</v>
      </c>
    </row>
    <row r="2022" spans="1:11" x14ac:dyDescent="0.2">
      <c r="A2022" s="24" t="s">
        <v>5112</v>
      </c>
      <c r="B2022" s="24" t="s">
        <v>5113</v>
      </c>
      <c r="C2022" s="24" t="s">
        <v>4269</v>
      </c>
      <c r="D2022" s="24" t="s">
        <v>17</v>
      </c>
      <c r="E2022" s="24" t="s">
        <v>18</v>
      </c>
      <c r="F2022" s="24" t="s">
        <v>19</v>
      </c>
      <c r="G2022" s="24" t="s">
        <v>28</v>
      </c>
      <c r="H2022" s="26">
        <v>86</v>
      </c>
      <c r="I2022" s="24" t="s">
        <v>29</v>
      </c>
      <c r="J2022" s="36">
        <v>45502</v>
      </c>
      <c r="K2022" s="24" t="s">
        <v>22</v>
      </c>
    </row>
    <row r="2023" spans="1:11" x14ac:dyDescent="0.2">
      <c r="A2023" s="27" t="s">
        <v>5114</v>
      </c>
      <c r="B2023" s="27" t="s">
        <v>5115</v>
      </c>
      <c r="C2023" s="27" t="s">
        <v>97</v>
      </c>
      <c r="D2023" s="27" t="s">
        <v>17</v>
      </c>
      <c r="E2023" s="27" t="s">
        <v>18</v>
      </c>
      <c r="F2023" s="27" t="s">
        <v>19</v>
      </c>
      <c r="G2023" s="27" t="s">
        <v>20</v>
      </c>
      <c r="H2023" s="29">
        <v>17</v>
      </c>
      <c r="I2023" s="27" t="s">
        <v>21</v>
      </c>
      <c r="J2023" s="37">
        <v>45496</v>
      </c>
      <c r="K2023" s="27" t="s">
        <v>22</v>
      </c>
    </row>
    <row r="2024" spans="1:11" x14ac:dyDescent="0.2">
      <c r="A2024" s="24" t="s">
        <v>5116</v>
      </c>
      <c r="B2024" s="24" t="s">
        <v>5117</v>
      </c>
      <c r="C2024" s="24" t="s">
        <v>5118</v>
      </c>
      <c r="D2024" s="24" t="s">
        <v>17</v>
      </c>
      <c r="E2024" s="24" t="s">
        <v>48</v>
      </c>
      <c r="F2024" s="24" t="s">
        <v>49</v>
      </c>
      <c r="G2024" s="24" t="s">
        <v>44</v>
      </c>
      <c r="H2024" s="26">
        <v>22</v>
      </c>
      <c r="I2024" s="24" t="s">
        <v>21</v>
      </c>
      <c r="J2024" s="36">
        <v>45499</v>
      </c>
      <c r="K2024" s="24" t="s">
        <v>22</v>
      </c>
    </row>
    <row r="2025" spans="1:11" x14ac:dyDescent="0.2">
      <c r="A2025" s="27" t="s">
        <v>5119</v>
      </c>
      <c r="B2025" s="27" t="s">
        <v>5120</v>
      </c>
      <c r="C2025" s="27" t="s">
        <v>5121</v>
      </c>
      <c r="D2025" s="27" t="s">
        <v>17</v>
      </c>
      <c r="E2025" s="27" t="s">
        <v>48</v>
      </c>
      <c r="F2025" s="27" t="s">
        <v>49</v>
      </c>
      <c r="G2025" s="27" t="s">
        <v>28</v>
      </c>
      <c r="H2025" s="29">
        <v>385</v>
      </c>
      <c r="I2025" s="27" t="s">
        <v>29</v>
      </c>
      <c r="J2025" s="37">
        <v>45491</v>
      </c>
      <c r="K2025" s="27" t="s">
        <v>22</v>
      </c>
    </row>
    <row r="2026" spans="1:11" x14ac:dyDescent="0.2">
      <c r="A2026" s="24" t="s">
        <v>5122</v>
      </c>
      <c r="B2026" s="24" t="s">
        <v>5123</v>
      </c>
      <c r="C2026" s="24" t="s">
        <v>5124</v>
      </c>
      <c r="D2026" s="24" t="s">
        <v>17</v>
      </c>
      <c r="E2026" s="24" t="s">
        <v>18</v>
      </c>
      <c r="F2026" s="24" t="s">
        <v>19</v>
      </c>
      <c r="G2026" s="24" t="s">
        <v>20</v>
      </c>
      <c r="H2026" s="26">
        <v>41</v>
      </c>
      <c r="I2026" s="24" t="s">
        <v>21</v>
      </c>
      <c r="J2026" s="36">
        <v>45492</v>
      </c>
      <c r="K2026" s="24" t="s">
        <v>22</v>
      </c>
    </row>
    <row r="2027" spans="1:11" x14ac:dyDescent="0.2">
      <c r="A2027" s="27" t="s">
        <v>5125</v>
      </c>
      <c r="B2027" s="27" t="s">
        <v>5126</v>
      </c>
      <c r="C2027" s="27" t="s">
        <v>921</v>
      </c>
      <c r="D2027" s="27" t="s">
        <v>17</v>
      </c>
      <c r="E2027" s="27" t="s">
        <v>26</v>
      </c>
      <c r="F2027" s="27" t="s">
        <v>27</v>
      </c>
      <c r="G2027" s="27" t="s">
        <v>28</v>
      </c>
      <c r="H2027" s="29">
        <v>103</v>
      </c>
      <c r="I2027" s="27" t="s">
        <v>29</v>
      </c>
      <c r="J2027" s="37">
        <v>45495</v>
      </c>
      <c r="K2027" s="27" t="s">
        <v>22</v>
      </c>
    </row>
    <row r="2028" spans="1:11" x14ac:dyDescent="0.2">
      <c r="A2028" s="24" t="s">
        <v>5127</v>
      </c>
      <c r="B2028" s="24" t="s">
        <v>5128</v>
      </c>
      <c r="C2028" s="24" t="s">
        <v>354</v>
      </c>
      <c r="D2028" s="24" t="s">
        <v>17</v>
      </c>
      <c r="E2028" s="24" t="s">
        <v>18</v>
      </c>
      <c r="F2028" s="24" t="s">
        <v>19</v>
      </c>
      <c r="G2028" s="24" t="s">
        <v>20</v>
      </c>
      <c r="H2028" s="26">
        <v>24</v>
      </c>
      <c r="I2028" s="24" t="s">
        <v>21</v>
      </c>
      <c r="J2028" s="36">
        <v>45499</v>
      </c>
      <c r="K2028" s="24" t="s">
        <v>22</v>
      </c>
    </row>
    <row r="2029" spans="1:11" x14ac:dyDescent="0.2">
      <c r="A2029" s="27" t="s">
        <v>5129</v>
      </c>
      <c r="B2029" s="27" t="s">
        <v>5130</v>
      </c>
      <c r="C2029" s="27" t="s">
        <v>3847</v>
      </c>
      <c r="D2029" s="27" t="s">
        <v>17</v>
      </c>
      <c r="E2029" s="27" t="s">
        <v>18</v>
      </c>
      <c r="F2029" s="27" t="s">
        <v>19</v>
      </c>
      <c r="G2029" s="27" t="s">
        <v>28</v>
      </c>
      <c r="H2029" s="29">
        <v>81</v>
      </c>
      <c r="I2029" s="27" t="s">
        <v>29</v>
      </c>
      <c r="J2029" s="37">
        <v>45481</v>
      </c>
      <c r="K2029" s="27" t="s">
        <v>22</v>
      </c>
    </row>
    <row r="2030" spans="1:11" x14ac:dyDescent="0.2">
      <c r="A2030" s="24" t="s">
        <v>5131</v>
      </c>
      <c r="B2030" s="24" t="s">
        <v>5132</v>
      </c>
      <c r="C2030" s="24" t="s">
        <v>5133</v>
      </c>
      <c r="D2030" s="24" t="s">
        <v>17</v>
      </c>
      <c r="E2030" s="24" t="s">
        <v>42</v>
      </c>
      <c r="F2030" s="24" t="s">
        <v>43</v>
      </c>
      <c r="G2030" s="24" t="s">
        <v>28</v>
      </c>
      <c r="H2030" s="26">
        <v>40</v>
      </c>
      <c r="I2030" s="24" t="s">
        <v>29</v>
      </c>
      <c r="J2030" s="36">
        <v>45485</v>
      </c>
      <c r="K2030" s="24" t="s">
        <v>22</v>
      </c>
    </row>
    <row r="2031" spans="1:11" x14ac:dyDescent="0.2">
      <c r="A2031" s="27" t="s">
        <v>5134</v>
      </c>
      <c r="B2031" s="27" t="s">
        <v>5135</v>
      </c>
      <c r="C2031" s="27" t="s">
        <v>5136</v>
      </c>
      <c r="D2031" s="27" t="s">
        <v>17</v>
      </c>
      <c r="E2031" s="27" t="s">
        <v>48</v>
      </c>
      <c r="F2031" s="27" t="s">
        <v>49</v>
      </c>
      <c r="G2031" s="27" t="s">
        <v>44</v>
      </c>
      <c r="H2031" s="29">
        <v>24</v>
      </c>
      <c r="I2031" s="27" t="s">
        <v>29</v>
      </c>
      <c r="J2031" s="37">
        <v>45474</v>
      </c>
      <c r="K2031" s="27" t="s">
        <v>22</v>
      </c>
    </row>
    <row r="2032" spans="1:11" x14ac:dyDescent="0.2">
      <c r="A2032" s="24" t="s">
        <v>5137</v>
      </c>
      <c r="B2032" s="24" t="s">
        <v>5138</v>
      </c>
      <c r="C2032" s="24" t="s">
        <v>1050</v>
      </c>
      <c r="D2032" s="24" t="s">
        <v>17</v>
      </c>
      <c r="E2032" s="24" t="s">
        <v>48</v>
      </c>
      <c r="F2032" s="24" t="s">
        <v>49</v>
      </c>
      <c r="G2032" s="24" t="s">
        <v>217</v>
      </c>
      <c r="H2032" s="26">
        <v>256</v>
      </c>
      <c r="I2032" s="24" t="s">
        <v>29</v>
      </c>
      <c r="J2032" s="36">
        <v>45474</v>
      </c>
      <c r="K2032" s="24" t="s">
        <v>22</v>
      </c>
    </row>
    <row r="2033" spans="1:11" x14ac:dyDescent="0.2">
      <c r="A2033" s="27" t="s">
        <v>5139</v>
      </c>
      <c r="B2033" s="27" t="s">
        <v>5140</v>
      </c>
      <c r="C2033" s="27" t="s">
        <v>1850</v>
      </c>
      <c r="D2033" s="27" t="s">
        <v>17</v>
      </c>
      <c r="E2033" s="27" t="s">
        <v>48</v>
      </c>
      <c r="F2033" s="27" t="s">
        <v>49</v>
      </c>
      <c r="G2033" s="27" t="s">
        <v>28</v>
      </c>
      <c r="H2033" s="29">
        <v>124</v>
      </c>
      <c r="I2033" s="27" t="s">
        <v>29</v>
      </c>
      <c r="J2033" s="37">
        <v>45488</v>
      </c>
      <c r="K2033" s="27" t="s">
        <v>22</v>
      </c>
    </row>
    <row r="2034" spans="1:11" x14ac:dyDescent="0.2">
      <c r="A2034" s="24" t="s">
        <v>5141</v>
      </c>
      <c r="B2034" s="24" t="s">
        <v>5142</v>
      </c>
      <c r="C2034" s="24" t="s">
        <v>1199</v>
      </c>
      <c r="D2034" s="24" t="s">
        <v>17</v>
      </c>
      <c r="E2034" s="24" t="s">
        <v>48</v>
      </c>
      <c r="F2034" s="24" t="s">
        <v>49</v>
      </c>
      <c r="G2034" s="24" t="s">
        <v>28</v>
      </c>
      <c r="H2034" s="26">
        <v>80</v>
      </c>
      <c r="I2034" s="24" t="s">
        <v>29</v>
      </c>
      <c r="J2034" s="36">
        <v>45474</v>
      </c>
      <c r="K2034" s="24" t="s">
        <v>22</v>
      </c>
    </row>
    <row r="2035" spans="1:11" x14ac:dyDescent="0.2">
      <c r="A2035" s="27" t="s">
        <v>5143</v>
      </c>
      <c r="B2035" s="27" t="s">
        <v>5144</v>
      </c>
      <c r="C2035" s="27" t="s">
        <v>277</v>
      </c>
      <c r="D2035" s="27" t="s">
        <v>17</v>
      </c>
      <c r="E2035" s="27" t="s">
        <v>18</v>
      </c>
      <c r="F2035" s="27" t="s">
        <v>19</v>
      </c>
      <c r="G2035" s="27" t="s">
        <v>28</v>
      </c>
      <c r="H2035" s="29">
        <v>35</v>
      </c>
      <c r="I2035" s="27" t="s">
        <v>29</v>
      </c>
      <c r="J2035" s="37">
        <v>45474</v>
      </c>
      <c r="K2035" s="27" t="s">
        <v>22</v>
      </c>
    </row>
    <row r="2036" spans="1:11" x14ac:dyDescent="0.2">
      <c r="A2036" s="24" t="s">
        <v>5145</v>
      </c>
      <c r="B2036" s="24" t="s">
        <v>5146</v>
      </c>
      <c r="C2036" s="24" t="s">
        <v>5147</v>
      </c>
      <c r="D2036" s="24" t="s">
        <v>17</v>
      </c>
      <c r="E2036" s="24" t="s">
        <v>48</v>
      </c>
      <c r="F2036" s="24" t="s">
        <v>49</v>
      </c>
      <c r="G2036" s="24" t="s">
        <v>44</v>
      </c>
      <c r="H2036" s="26">
        <v>24</v>
      </c>
      <c r="I2036" s="24" t="s">
        <v>21</v>
      </c>
      <c r="J2036" s="36">
        <v>45502</v>
      </c>
      <c r="K2036" s="24" t="s">
        <v>22</v>
      </c>
    </row>
    <row r="2037" spans="1:11" x14ac:dyDescent="0.2">
      <c r="A2037" s="27" t="s">
        <v>5148</v>
      </c>
      <c r="B2037" s="27" t="s">
        <v>5149</v>
      </c>
      <c r="C2037" s="27" t="s">
        <v>1152</v>
      </c>
      <c r="D2037" s="27" t="s">
        <v>17</v>
      </c>
      <c r="E2037" s="27" t="s">
        <v>18</v>
      </c>
      <c r="F2037" s="27" t="s">
        <v>19</v>
      </c>
      <c r="G2037" s="27" t="s">
        <v>20</v>
      </c>
      <c r="H2037" s="29">
        <v>14</v>
      </c>
      <c r="I2037" s="27" t="s">
        <v>21</v>
      </c>
      <c r="J2037" s="37">
        <v>45482</v>
      </c>
      <c r="K2037" s="27" t="s">
        <v>22</v>
      </c>
    </row>
    <row r="2038" spans="1:11" x14ac:dyDescent="0.2">
      <c r="A2038" s="24" t="s">
        <v>5150</v>
      </c>
      <c r="B2038" s="24" t="s">
        <v>5151</v>
      </c>
      <c r="C2038" s="24" t="s">
        <v>213</v>
      </c>
      <c r="D2038" s="24" t="s">
        <v>17</v>
      </c>
      <c r="E2038" s="24" t="s">
        <v>48</v>
      </c>
      <c r="F2038" s="24" t="s">
        <v>49</v>
      </c>
      <c r="G2038" s="24" t="s">
        <v>20</v>
      </c>
      <c r="H2038" s="26">
        <v>121</v>
      </c>
      <c r="I2038" s="24" t="s">
        <v>21</v>
      </c>
      <c r="J2038" s="36">
        <v>45484</v>
      </c>
      <c r="K2038" s="24" t="s">
        <v>22</v>
      </c>
    </row>
    <row r="2039" spans="1:11" x14ac:dyDescent="0.2">
      <c r="A2039" s="27" t="s">
        <v>5152</v>
      </c>
      <c r="B2039" s="27" t="s">
        <v>5153</v>
      </c>
      <c r="C2039" s="27" t="s">
        <v>5154</v>
      </c>
      <c r="D2039" s="27" t="s">
        <v>17</v>
      </c>
      <c r="E2039" s="27" t="s">
        <v>81</v>
      </c>
      <c r="F2039" s="27" t="s">
        <v>82</v>
      </c>
      <c r="G2039" s="27" t="s">
        <v>28</v>
      </c>
      <c r="H2039" s="29">
        <v>128</v>
      </c>
      <c r="I2039" s="27" t="s">
        <v>29</v>
      </c>
      <c r="J2039" s="37">
        <v>45503</v>
      </c>
      <c r="K2039" s="27" t="s">
        <v>22</v>
      </c>
    </row>
    <row r="2040" spans="1:11" x14ac:dyDescent="0.2">
      <c r="A2040" s="24" t="s">
        <v>5155</v>
      </c>
      <c r="B2040" s="24" t="s">
        <v>5156</v>
      </c>
      <c r="C2040" s="24" t="s">
        <v>5157</v>
      </c>
      <c r="D2040" s="24" t="s">
        <v>17</v>
      </c>
      <c r="E2040" s="24" t="s">
        <v>48</v>
      </c>
      <c r="F2040" s="24" t="s">
        <v>49</v>
      </c>
      <c r="G2040" s="24" t="s">
        <v>28</v>
      </c>
      <c r="H2040" s="26">
        <v>25</v>
      </c>
      <c r="I2040" s="24" t="s">
        <v>29</v>
      </c>
      <c r="J2040" s="36">
        <v>45482</v>
      </c>
      <c r="K2040" s="24" t="s">
        <v>22</v>
      </c>
    </row>
    <row r="2041" spans="1:11" x14ac:dyDescent="0.2">
      <c r="A2041" s="27" t="s">
        <v>5158</v>
      </c>
      <c r="B2041" s="27" t="s">
        <v>5159</v>
      </c>
      <c r="C2041" s="27" t="s">
        <v>1719</v>
      </c>
      <c r="D2041" s="27" t="s">
        <v>17</v>
      </c>
      <c r="E2041" s="27" t="s">
        <v>18</v>
      </c>
      <c r="F2041" s="27" t="s">
        <v>19</v>
      </c>
      <c r="G2041" s="27" t="s">
        <v>28</v>
      </c>
      <c r="H2041" s="29">
        <v>90</v>
      </c>
      <c r="I2041" s="27" t="s">
        <v>29</v>
      </c>
      <c r="J2041" s="37">
        <v>45481</v>
      </c>
      <c r="K2041" s="27" t="s">
        <v>22</v>
      </c>
    </row>
    <row r="2042" spans="1:11" x14ac:dyDescent="0.2">
      <c r="A2042" s="24" t="s">
        <v>5160</v>
      </c>
      <c r="B2042" s="24" t="s">
        <v>5161</v>
      </c>
      <c r="C2042" s="24" t="s">
        <v>91</v>
      </c>
      <c r="D2042" s="24" t="s">
        <v>17</v>
      </c>
      <c r="E2042" s="24" t="s">
        <v>18</v>
      </c>
      <c r="F2042" s="24" t="s">
        <v>19</v>
      </c>
      <c r="G2042" s="24" t="s">
        <v>227</v>
      </c>
      <c r="H2042" s="26">
        <v>54</v>
      </c>
      <c r="I2042" s="24" t="s">
        <v>29</v>
      </c>
      <c r="J2042" s="36">
        <v>45496</v>
      </c>
      <c r="K2042" s="24" t="s">
        <v>22</v>
      </c>
    </row>
    <row r="2043" spans="1:11" x14ac:dyDescent="0.2">
      <c r="A2043" s="27" t="s">
        <v>5162</v>
      </c>
      <c r="B2043" s="27" t="s">
        <v>5163</v>
      </c>
      <c r="C2043" s="27" t="s">
        <v>5164</v>
      </c>
      <c r="D2043" s="27" t="s">
        <v>17</v>
      </c>
      <c r="E2043" s="27" t="s">
        <v>48</v>
      </c>
      <c r="F2043" s="27" t="s">
        <v>49</v>
      </c>
      <c r="G2043" s="27" t="s">
        <v>28</v>
      </c>
      <c r="H2043" s="29">
        <v>12</v>
      </c>
      <c r="I2043" s="27" t="s">
        <v>29</v>
      </c>
      <c r="J2043" s="37">
        <v>45504</v>
      </c>
      <c r="K2043" s="27" t="s">
        <v>22</v>
      </c>
    </row>
    <row r="2044" spans="1:11" x14ac:dyDescent="0.2">
      <c r="A2044" s="24" t="s">
        <v>5165</v>
      </c>
      <c r="B2044" s="24" t="s">
        <v>5166</v>
      </c>
      <c r="C2044" s="24" t="s">
        <v>2779</v>
      </c>
      <c r="D2044" s="24" t="s">
        <v>17</v>
      </c>
      <c r="E2044" s="24" t="s">
        <v>18</v>
      </c>
      <c r="F2044" s="24" t="s">
        <v>19</v>
      </c>
      <c r="G2044" s="24" t="s">
        <v>28</v>
      </c>
      <c r="H2044" s="26">
        <v>140</v>
      </c>
      <c r="I2044" s="24" t="s">
        <v>29</v>
      </c>
      <c r="J2044" s="36">
        <v>45496</v>
      </c>
      <c r="K2044" s="24" t="s">
        <v>22</v>
      </c>
    </row>
    <row r="2045" spans="1:11" x14ac:dyDescent="0.2">
      <c r="A2045" s="27" t="s">
        <v>5167</v>
      </c>
      <c r="B2045" s="27" t="s">
        <v>5168</v>
      </c>
      <c r="C2045" s="27" t="s">
        <v>208</v>
      </c>
      <c r="D2045" s="27" t="s">
        <v>17</v>
      </c>
      <c r="E2045" s="27" t="s">
        <v>48</v>
      </c>
      <c r="F2045" s="27" t="s">
        <v>49</v>
      </c>
      <c r="G2045" s="27" t="s">
        <v>44</v>
      </c>
      <c r="H2045" s="29">
        <v>79</v>
      </c>
      <c r="I2045" s="27" t="s">
        <v>21</v>
      </c>
      <c r="J2045" s="37">
        <v>45490</v>
      </c>
      <c r="K2045" s="27" t="s">
        <v>22</v>
      </c>
    </row>
    <row r="2046" spans="1:11" x14ac:dyDescent="0.2">
      <c r="A2046" s="24" t="s">
        <v>5169</v>
      </c>
      <c r="B2046" s="24" t="s">
        <v>5170</v>
      </c>
      <c r="C2046" s="24" t="s">
        <v>1014</v>
      </c>
      <c r="D2046" s="24" t="s">
        <v>17</v>
      </c>
      <c r="E2046" s="24" t="s">
        <v>18</v>
      </c>
      <c r="F2046" s="24" t="s">
        <v>19</v>
      </c>
      <c r="G2046" s="24" t="s">
        <v>38</v>
      </c>
      <c r="H2046" s="26">
        <v>32</v>
      </c>
      <c r="I2046" s="24" t="s">
        <v>29</v>
      </c>
      <c r="J2046" s="36">
        <v>45489</v>
      </c>
      <c r="K2046" s="24" t="s">
        <v>22</v>
      </c>
    </row>
    <row r="2047" spans="1:11" x14ac:dyDescent="0.2">
      <c r="A2047" s="27" t="s">
        <v>5171</v>
      </c>
      <c r="B2047" s="27" t="s">
        <v>5172</v>
      </c>
      <c r="C2047" s="27" t="s">
        <v>5038</v>
      </c>
      <c r="D2047" s="27" t="s">
        <v>17</v>
      </c>
      <c r="E2047" s="27" t="s">
        <v>48</v>
      </c>
      <c r="F2047" s="27" t="s">
        <v>49</v>
      </c>
      <c r="G2047" s="27" t="s">
        <v>28</v>
      </c>
      <c r="H2047" s="29">
        <v>90</v>
      </c>
      <c r="I2047" s="27" t="s">
        <v>29</v>
      </c>
      <c r="J2047" s="37">
        <v>45484</v>
      </c>
      <c r="K2047" s="27" t="s">
        <v>22</v>
      </c>
    </row>
    <row r="2048" spans="1:11" x14ac:dyDescent="0.2">
      <c r="A2048" s="24" t="s">
        <v>5173</v>
      </c>
      <c r="B2048" s="24" t="s">
        <v>5174</v>
      </c>
      <c r="C2048" s="24" t="s">
        <v>5175</v>
      </c>
      <c r="D2048" s="24" t="s">
        <v>17</v>
      </c>
      <c r="E2048" s="24" t="s">
        <v>18</v>
      </c>
      <c r="F2048" s="24" t="s">
        <v>19</v>
      </c>
      <c r="G2048" s="24" t="s">
        <v>44</v>
      </c>
      <c r="H2048" s="26">
        <v>24</v>
      </c>
      <c r="I2048" s="24" t="s">
        <v>29</v>
      </c>
      <c r="J2048" s="36">
        <v>45502</v>
      </c>
      <c r="K2048" s="24" t="s">
        <v>22</v>
      </c>
    </row>
    <row r="2049" spans="1:11" x14ac:dyDescent="0.2">
      <c r="A2049" s="27" t="s">
        <v>5176</v>
      </c>
      <c r="B2049" s="27" t="s">
        <v>5177</v>
      </c>
      <c r="C2049" s="27" t="s">
        <v>1014</v>
      </c>
      <c r="D2049" s="27" t="s">
        <v>17</v>
      </c>
      <c r="E2049" s="27" t="s">
        <v>18</v>
      </c>
      <c r="F2049" s="27" t="s">
        <v>19</v>
      </c>
      <c r="G2049" s="27" t="s">
        <v>38</v>
      </c>
      <c r="H2049" s="29">
        <v>46</v>
      </c>
      <c r="I2049" s="27" t="s">
        <v>29</v>
      </c>
      <c r="J2049" s="37">
        <v>45482</v>
      </c>
      <c r="K2049" s="27" t="s">
        <v>22</v>
      </c>
    </row>
    <row r="2050" spans="1:11" x14ac:dyDescent="0.2">
      <c r="A2050" s="24" t="s">
        <v>5178</v>
      </c>
      <c r="B2050" s="24" t="s">
        <v>5179</v>
      </c>
      <c r="C2050" s="24" t="s">
        <v>2469</v>
      </c>
      <c r="D2050" s="24" t="s">
        <v>17</v>
      </c>
      <c r="E2050" s="24" t="s">
        <v>18</v>
      </c>
      <c r="F2050" s="24" t="s">
        <v>19</v>
      </c>
      <c r="G2050" s="24" t="s">
        <v>20</v>
      </c>
      <c r="H2050" s="26">
        <v>54</v>
      </c>
      <c r="I2050" s="24" t="s">
        <v>21</v>
      </c>
      <c r="J2050" s="36">
        <v>45503</v>
      </c>
      <c r="K2050" s="24" t="s">
        <v>22</v>
      </c>
    </row>
    <row r="2051" spans="1:11" x14ac:dyDescent="0.2">
      <c r="A2051" s="27" t="s">
        <v>5180</v>
      </c>
      <c r="B2051" s="27" t="s">
        <v>5181</v>
      </c>
      <c r="C2051" s="27" t="s">
        <v>5182</v>
      </c>
      <c r="D2051" s="27" t="s">
        <v>17</v>
      </c>
      <c r="E2051" s="27" t="s">
        <v>26</v>
      </c>
      <c r="F2051" s="27" t="s">
        <v>27</v>
      </c>
      <c r="G2051" s="27" t="s">
        <v>217</v>
      </c>
      <c r="H2051" s="29">
        <v>10</v>
      </c>
      <c r="I2051" s="27" t="s">
        <v>29</v>
      </c>
      <c r="J2051" s="37">
        <v>45474</v>
      </c>
      <c r="K2051" s="27" t="s">
        <v>22</v>
      </c>
    </row>
    <row r="2052" spans="1:11" x14ac:dyDescent="0.2">
      <c r="A2052" s="24" t="s">
        <v>5183</v>
      </c>
      <c r="B2052" s="24" t="s">
        <v>5184</v>
      </c>
      <c r="C2052" s="24" t="s">
        <v>55</v>
      </c>
      <c r="D2052" s="24" t="s">
        <v>17</v>
      </c>
      <c r="E2052" s="24" t="s">
        <v>18</v>
      </c>
      <c r="F2052" s="24" t="s">
        <v>19</v>
      </c>
      <c r="G2052" s="24" t="s">
        <v>44</v>
      </c>
      <c r="H2052" s="26">
        <v>168</v>
      </c>
      <c r="I2052" s="24" t="s">
        <v>29</v>
      </c>
      <c r="J2052" s="36">
        <v>45487</v>
      </c>
      <c r="K2052" s="24" t="s">
        <v>22</v>
      </c>
    </row>
    <row r="2053" spans="1:11" x14ac:dyDescent="0.2">
      <c r="A2053" s="27" t="s">
        <v>5185</v>
      </c>
      <c r="B2053" s="27" t="s">
        <v>5186</v>
      </c>
      <c r="C2053" s="27" t="s">
        <v>115</v>
      </c>
      <c r="D2053" s="27" t="s">
        <v>17</v>
      </c>
      <c r="E2053" s="27" t="s">
        <v>42</v>
      </c>
      <c r="F2053" s="27" t="s">
        <v>43</v>
      </c>
      <c r="G2053" s="27" t="s">
        <v>20</v>
      </c>
      <c r="H2053" s="29">
        <v>168</v>
      </c>
      <c r="I2053" s="27" t="s">
        <v>21</v>
      </c>
      <c r="J2053" s="37">
        <v>45475</v>
      </c>
      <c r="K2053" s="27" t="s">
        <v>22</v>
      </c>
    </row>
    <row r="2054" spans="1:11" x14ac:dyDescent="0.2">
      <c r="A2054" s="24" t="s">
        <v>5187</v>
      </c>
      <c r="B2054" s="24" t="s">
        <v>5188</v>
      </c>
      <c r="C2054" s="24" t="s">
        <v>3253</v>
      </c>
      <c r="D2054" s="24" t="s">
        <v>17</v>
      </c>
      <c r="E2054" s="24" t="s">
        <v>42</v>
      </c>
      <c r="F2054" s="24" t="s">
        <v>43</v>
      </c>
      <c r="G2054" s="24" t="s">
        <v>44</v>
      </c>
      <c r="H2054" s="26">
        <v>69</v>
      </c>
      <c r="I2054" s="24" t="s">
        <v>21</v>
      </c>
      <c r="J2054" s="36">
        <v>45482</v>
      </c>
      <c r="K2054" s="24" t="s">
        <v>22</v>
      </c>
    </row>
    <row r="2055" spans="1:11" x14ac:dyDescent="0.2">
      <c r="A2055" s="27" t="s">
        <v>5189</v>
      </c>
      <c r="B2055" s="27" t="s">
        <v>5190</v>
      </c>
      <c r="C2055" s="27" t="s">
        <v>55</v>
      </c>
      <c r="D2055" s="27" t="s">
        <v>17</v>
      </c>
      <c r="E2055" s="27" t="s">
        <v>48</v>
      </c>
      <c r="F2055" s="27" t="s">
        <v>49</v>
      </c>
      <c r="G2055" s="27" t="s">
        <v>20</v>
      </c>
      <c r="H2055" s="29">
        <v>124</v>
      </c>
      <c r="I2055" s="27" t="s">
        <v>21</v>
      </c>
      <c r="J2055" s="37">
        <v>45502</v>
      </c>
      <c r="K2055" s="27" t="s">
        <v>22</v>
      </c>
    </row>
    <row r="2056" spans="1:11" x14ac:dyDescent="0.2">
      <c r="A2056" s="24" t="s">
        <v>5191</v>
      </c>
      <c r="B2056" s="24" t="s">
        <v>5192</v>
      </c>
      <c r="C2056" s="24" t="s">
        <v>325</v>
      </c>
      <c r="D2056" s="24" t="s">
        <v>17</v>
      </c>
      <c r="E2056" s="24" t="s">
        <v>18</v>
      </c>
      <c r="F2056" s="24" t="s">
        <v>19</v>
      </c>
      <c r="G2056" s="24" t="s">
        <v>20</v>
      </c>
      <c r="H2056" s="26">
        <v>24</v>
      </c>
      <c r="I2056" s="24" t="s">
        <v>21</v>
      </c>
      <c r="J2056" s="36">
        <v>45477</v>
      </c>
      <c r="K2056" s="24" t="s">
        <v>22</v>
      </c>
    </row>
    <row r="2057" spans="1:11" x14ac:dyDescent="0.2">
      <c r="A2057" s="27" t="s">
        <v>5193</v>
      </c>
      <c r="B2057" s="27" t="s">
        <v>5194</v>
      </c>
      <c r="C2057" s="27" t="s">
        <v>1737</v>
      </c>
      <c r="D2057" s="27" t="s">
        <v>17</v>
      </c>
      <c r="E2057" s="27" t="s">
        <v>18</v>
      </c>
      <c r="F2057" s="27" t="s">
        <v>19</v>
      </c>
      <c r="G2057" s="27" t="s">
        <v>28</v>
      </c>
      <c r="H2057" s="29">
        <v>26</v>
      </c>
      <c r="I2057" s="27" t="s">
        <v>29</v>
      </c>
      <c r="J2057" s="37">
        <v>45474</v>
      </c>
      <c r="K2057" s="27" t="s">
        <v>22</v>
      </c>
    </row>
    <row r="2058" spans="1:11" x14ac:dyDescent="0.2">
      <c r="A2058" s="24" t="s">
        <v>5195</v>
      </c>
      <c r="B2058" s="24" t="s">
        <v>5196</v>
      </c>
      <c r="C2058" s="24" t="s">
        <v>185</v>
      </c>
      <c r="D2058" s="24" t="s">
        <v>17</v>
      </c>
      <c r="E2058" s="24" t="s">
        <v>18</v>
      </c>
      <c r="F2058" s="24" t="s">
        <v>19</v>
      </c>
      <c r="G2058" s="24" t="s">
        <v>28</v>
      </c>
      <c r="H2058" s="26">
        <v>60</v>
      </c>
      <c r="I2058" s="24" t="s">
        <v>29</v>
      </c>
      <c r="J2058" s="36">
        <v>45492</v>
      </c>
      <c r="K2058" s="24" t="s">
        <v>22</v>
      </c>
    </row>
    <row r="2059" spans="1:11" x14ac:dyDescent="0.2">
      <c r="A2059" s="27" t="s">
        <v>5197</v>
      </c>
      <c r="B2059" s="27" t="s">
        <v>5198</v>
      </c>
      <c r="C2059" s="27" t="s">
        <v>208</v>
      </c>
      <c r="D2059" s="27" t="s">
        <v>17</v>
      </c>
      <c r="E2059" s="27" t="s">
        <v>18</v>
      </c>
      <c r="F2059" s="27" t="s">
        <v>19</v>
      </c>
      <c r="G2059" s="27" t="s">
        <v>28</v>
      </c>
      <c r="H2059" s="29">
        <v>96</v>
      </c>
      <c r="I2059" s="27" t="s">
        <v>29</v>
      </c>
      <c r="J2059" s="37">
        <v>45481</v>
      </c>
      <c r="K2059" s="27" t="s">
        <v>22</v>
      </c>
    </row>
    <row r="2060" spans="1:11" x14ac:dyDescent="0.2">
      <c r="A2060" s="24" t="s">
        <v>5199</v>
      </c>
      <c r="B2060" s="24" t="s">
        <v>5200</v>
      </c>
      <c r="C2060" s="24" t="s">
        <v>85</v>
      </c>
      <c r="D2060" s="24" t="s">
        <v>17</v>
      </c>
      <c r="E2060" s="24" t="s">
        <v>42</v>
      </c>
      <c r="F2060" s="24" t="s">
        <v>43</v>
      </c>
      <c r="G2060" s="24" t="s">
        <v>28</v>
      </c>
      <c r="H2060" s="26">
        <v>110</v>
      </c>
      <c r="I2060" s="24" t="s">
        <v>29</v>
      </c>
      <c r="J2060" s="36">
        <v>45499</v>
      </c>
      <c r="K2060" s="24" t="s">
        <v>22</v>
      </c>
    </row>
    <row r="2061" spans="1:11" x14ac:dyDescent="0.2">
      <c r="A2061" s="27" t="s">
        <v>5201</v>
      </c>
      <c r="B2061" s="27" t="s">
        <v>5202</v>
      </c>
      <c r="C2061" s="27" t="s">
        <v>4436</v>
      </c>
      <c r="D2061" s="27" t="s">
        <v>17</v>
      </c>
      <c r="E2061" s="27" t="s">
        <v>18</v>
      </c>
      <c r="F2061" s="27" t="s">
        <v>19</v>
      </c>
      <c r="G2061" s="27" t="s">
        <v>44</v>
      </c>
      <c r="H2061" s="29">
        <v>96</v>
      </c>
      <c r="I2061" s="27" t="s">
        <v>21</v>
      </c>
      <c r="J2061" s="37">
        <v>45474</v>
      </c>
      <c r="K2061" s="27" t="s">
        <v>22</v>
      </c>
    </row>
    <row r="2062" spans="1:11" x14ac:dyDescent="0.2">
      <c r="A2062" s="24" t="s">
        <v>5203</v>
      </c>
      <c r="B2062" s="24" t="s">
        <v>5204</v>
      </c>
      <c r="C2062" s="24" t="s">
        <v>2669</v>
      </c>
      <c r="D2062" s="24" t="s">
        <v>17</v>
      </c>
      <c r="E2062" s="24" t="s">
        <v>18</v>
      </c>
      <c r="F2062" s="24" t="s">
        <v>19</v>
      </c>
      <c r="G2062" s="24" t="s">
        <v>20</v>
      </c>
      <c r="H2062" s="26">
        <v>50</v>
      </c>
      <c r="I2062" s="24" t="s">
        <v>21</v>
      </c>
      <c r="J2062" s="36">
        <v>45497</v>
      </c>
      <c r="K2062" s="24" t="s">
        <v>22</v>
      </c>
    </row>
    <row r="2063" spans="1:11" x14ac:dyDescent="0.2">
      <c r="A2063" s="27" t="s">
        <v>5205</v>
      </c>
      <c r="B2063" s="27" t="s">
        <v>5206</v>
      </c>
      <c r="C2063" s="27" t="s">
        <v>325</v>
      </c>
      <c r="D2063" s="27" t="s">
        <v>17</v>
      </c>
      <c r="E2063" s="27" t="s">
        <v>18</v>
      </c>
      <c r="F2063" s="27" t="s">
        <v>19</v>
      </c>
      <c r="G2063" s="27" t="s">
        <v>20</v>
      </c>
      <c r="H2063" s="29">
        <v>42</v>
      </c>
      <c r="I2063" s="27" t="s">
        <v>21</v>
      </c>
      <c r="J2063" s="37">
        <v>45496</v>
      </c>
      <c r="K2063" s="27" t="s">
        <v>22</v>
      </c>
    </row>
    <row r="2064" spans="1:11" x14ac:dyDescent="0.2">
      <c r="A2064" s="24" t="s">
        <v>5207</v>
      </c>
      <c r="B2064" s="24" t="s">
        <v>5208</v>
      </c>
      <c r="C2064" s="24" t="s">
        <v>1886</v>
      </c>
      <c r="D2064" s="24" t="s">
        <v>17</v>
      </c>
      <c r="E2064" s="24" t="s">
        <v>18</v>
      </c>
      <c r="F2064" s="24" t="s">
        <v>19</v>
      </c>
      <c r="G2064" s="24" t="s">
        <v>44</v>
      </c>
      <c r="H2064" s="26">
        <v>84</v>
      </c>
      <c r="I2064" s="24" t="s">
        <v>29</v>
      </c>
      <c r="J2064" s="36">
        <v>45504</v>
      </c>
      <c r="K2064" s="24" t="s">
        <v>22</v>
      </c>
    </row>
    <row r="2065" spans="1:11" x14ac:dyDescent="0.2">
      <c r="A2065" s="27" t="s">
        <v>5209</v>
      </c>
      <c r="B2065" s="27" t="s">
        <v>5210</v>
      </c>
      <c r="C2065" s="27" t="s">
        <v>146</v>
      </c>
      <c r="D2065" s="27" t="s">
        <v>17</v>
      </c>
      <c r="E2065" s="27" t="s">
        <v>18</v>
      </c>
      <c r="F2065" s="27" t="s">
        <v>19</v>
      </c>
      <c r="G2065" s="27" t="s">
        <v>28</v>
      </c>
      <c r="H2065" s="29">
        <v>385</v>
      </c>
      <c r="I2065" s="27" t="s">
        <v>29</v>
      </c>
      <c r="J2065" s="37">
        <v>45475</v>
      </c>
      <c r="K2065" s="27" t="s">
        <v>22</v>
      </c>
    </row>
    <row r="2066" spans="1:11" x14ac:dyDescent="0.2">
      <c r="A2066" s="24" t="s">
        <v>5211</v>
      </c>
      <c r="B2066" s="24" t="s">
        <v>5212</v>
      </c>
      <c r="C2066" s="24" t="s">
        <v>1438</v>
      </c>
      <c r="D2066" s="24" t="s">
        <v>17</v>
      </c>
      <c r="E2066" s="24" t="s">
        <v>18</v>
      </c>
      <c r="F2066" s="24" t="s">
        <v>19</v>
      </c>
      <c r="G2066" s="24" t="s">
        <v>20</v>
      </c>
      <c r="H2066" s="26">
        <v>16</v>
      </c>
      <c r="I2066" s="24" t="s">
        <v>21</v>
      </c>
      <c r="J2066" s="36">
        <v>45490</v>
      </c>
      <c r="K2066" s="24" t="s">
        <v>22</v>
      </c>
    </row>
    <row r="2067" spans="1:11" x14ac:dyDescent="0.2">
      <c r="A2067" s="27" t="s">
        <v>5213</v>
      </c>
      <c r="B2067" s="27" t="s">
        <v>5214</v>
      </c>
      <c r="C2067" s="27" t="s">
        <v>388</v>
      </c>
      <c r="D2067" s="27" t="s">
        <v>17</v>
      </c>
      <c r="E2067" s="27" t="s">
        <v>42</v>
      </c>
      <c r="F2067" s="27" t="s">
        <v>43</v>
      </c>
      <c r="G2067" s="27" t="s">
        <v>20</v>
      </c>
      <c r="H2067" s="29">
        <v>20</v>
      </c>
      <c r="I2067" s="27" t="s">
        <v>21</v>
      </c>
      <c r="J2067" s="37">
        <v>45497</v>
      </c>
      <c r="K2067" s="27" t="s">
        <v>22</v>
      </c>
    </row>
    <row r="2068" spans="1:11" x14ac:dyDescent="0.2">
      <c r="A2068" s="24" t="s">
        <v>5215</v>
      </c>
      <c r="B2068" s="24" t="s">
        <v>5216</v>
      </c>
      <c r="C2068" s="24" t="s">
        <v>3430</v>
      </c>
      <c r="D2068" s="24" t="s">
        <v>17</v>
      </c>
      <c r="E2068" s="24" t="s">
        <v>18</v>
      </c>
      <c r="F2068" s="24" t="s">
        <v>19</v>
      </c>
      <c r="G2068" s="24" t="s">
        <v>44</v>
      </c>
      <c r="H2068" s="26">
        <v>72</v>
      </c>
      <c r="I2068" s="24" t="s">
        <v>21</v>
      </c>
      <c r="J2068" s="36">
        <v>45488</v>
      </c>
      <c r="K2068" s="24" t="s">
        <v>22</v>
      </c>
    </row>
    <row r="2069" spans="1:11" x14ac:dyDescent="0.2">
      <c r="A2069" s="27" t="s">
        <v>5217</v>
      </c>
      <c r="B2069" s="27" t="s">
        <v>5218</v>
      </c>
      <c r="C2069" s="27" t="s">
        <v>85</v>
      </c>
      <c r="D2069" s="27" t="s">
        <v>17</v>
      </c>
      <c r="E2069" s="27" t="s">
        <v>33</v>
      </c>
      <c r="F2069" s="27" t="s">
        <v>34</v>
      </c>
      <c r="G2069" s="27" t="s">
        <v>20</v>
      </c>
      <c r="H2069" s="29">
        <v>135</v>
      </c>
      <c r="I2069" s="27" t="s">
        <v>21</v>
      </c>
      <c r="J2069" s="37">
        <v>45491</v>
      </c>
      <c r="K2069" s="27" t="s">
        <v>22</v>
      </c>
    </row>
    <row r="2070" spans="1:11" x14ac:dyDescent="0.2">
      <c r="A2070" s="24" t="s">
        <v>5219</v>
      </c>
      <c r="B2070" s="24" t="s">
        <v>5220</v>
      </c>
      <c r="C2070" s="24" t="s">
        <v>2484</v>
      </c>
      <c r="D2070" s="24" t="s">
        <v>17</v>
      </c>
      <c r="E2070" s="24" t="s">
        <v>42</v>
      </c>
      <c r="F2070" s="24" t="s">
        <v>43</v>
      </c>
      <c r="G2070" s="24" t="s">
        <v>28</v>
      </c>
      <c r="H2070" s="26">
        <v>120</v>
      </c>
      <c r="I2070" s="24" t="s">
        <v>29</v>
      </c>
      <c r="J2070" s="36">
        <v>45483</v>
      </c>
      <c r="K2070" s="24" t="s">
        <v>22</v>
      </c>
    </row>
    <row r="2071" spans="1:11" x14ac:dyDescent="0.2">
      <c r="A2071" s="27" t="s">
        <v>5221</v>
      </c>
      <c r="B2071" s="27" t="s">
        <v>5222</v>
      </c>
      <c r="C2071" s="27" t="s">
        <v>1719</v>
      </c>
      <c r="D2071" s="27" t="s">
        <v>17</v>
      </c>
      <c r="E2071" s="27" t="s">
        <v>18</v>
      </c>
      <c r="F2071" s="27" t="s">
        <v>19</v>
      </c>
      <c r="G2071" s="27" t="s">
        <v>28</v>
      </c>
      <c r="H2071" s="29">
        <v>90</v>
      </c>
      <c r="I2071" s="27" t="s">
        <v>29</v>
      </c>
      <c r="J2071" s="37">
        <v>45475</v>
      </c>
      <c r="K2071" s="27" t="s">
        <v>22</v>
      </c>
    </row>
    <row r="2072" spans="1:11" x14ac:dyDescent="0.2">
      <c r="A2072" s="24" t="s">
        <v>5223</v>
      </c>
      <c r="B2072" s="24" t="s">
        <v>5224</v>
      </c>
      <c r="C2072" s="24" t="s">
        <v>5225</v>
      </c>
      <c r="D2072" s="24" t="s">
        <v>17</v>
      </c>
      <c r="E2072" s="24" t="s">
        <v>48</v>
      </c>
      <c r="F2072" s="24" t="s">
        <v>49</v>
      </c>
      <c r="G2072" s="24" t="s">
        <v>28</v>
      </c>
      <c r="H2072" s="26">
        <v>120</v>
      </c>
      <c r="I2072" s="24" t="s">
        <v>29</v>
      </c>
      <c r="J2072" s="36">
        <v>45495</v>
      </c>
      <c r="K2072" s="24" t="s">
        <v>22</v>
      </c>
    </row>
    <row r="2073" spans="1:11" x14ac:dyDescent="0.2">
      <c r="A2073" s="27" t="s">
        <v>5226</v>
      </c>
      <c r="B2073" s="27" t="s">
        <v>5227</v>
      </c>
      <c r="C2073" s="27" t="s">
        <v>213</v>
      </c>
      <c r="D2073" s="27" t="s">
        <v>17</v>
      </c>
      <c r="E2073" s="27" t="s">
        <v>18</v>
      </c>
      <c r="F2073" s="27" t="s">
        <v>19</v>
      </c>
      <c r="G2073" s="27" t="s">
        <v>20</v>
      </c>
      <c r="H2073" s="29">
        <v>13</v>
      </c>
      <c r="I2073" s="27" t="s">
        <v>21</v>
      </c>
      <c r="J2073" s="37">
        <v>45502</v>
      </c>
      <c r="K2073" s="27" t="s">
        <v>22</v>
      </c>
    </row>
    <row r="2074" spans="1:11" x14ac:dyDescent="0.2">
      <c r="A2074" s="24" t="s">
        <v>5228</v>
      </c>
      <c r="B2074" s="24" t="s">
        <v>5229</v>
      </c>
      <c r="C2074" s="24" t="s">
        <v>5230</v>
      </c>
      <c r="D2074" s="24" t="s">
        <v>17</v>
      </c>
      <c r="E2074" s="24" t="s">
        <v>81</v>
      </c>
      <c r="F2074" s="24" t="s">
        <v>82</v>
      </c>
      <c r="G2074" s="24" t="s">
        <v>28</v>
      </c>
      <c r="H2074" s="26">
        <v>204</v>
      </c>
      <c r="I2074" s="24" t="s">
        <v>29</v>
      </c>
      <c r="J2074" s="36">
        <v>45485</v>
      </c>
      <c r="K2074" s="24" t="s">
        <v>22</v>
      </c>
    </row>
    <row r="2075" spans="1:11" x14ac:dyDescent="0.2">
      <c r="A2075" s="27" t="s">
        <v>5231</v>
      </c>
      <c r="B2075" s="27" t="s">
        <v>5232</v>
      </c>
      <c r="C2075" s="27" t="s">
        <v>242</v>
      </c>
      <c r="D2075" s="27" t="s">
        <v>17</v>
      </c>
      <c r="E2075" s="27" t="s">
        <v>26</v>
      </c>
      <c r="F2075" s="27" t="s">
        <v>27</v>
      </c>
      <c r="G2075" s="27" t="s">
        <v>44</v>
      </c>
      <c r="H2075" s="29">
        <v>124</v>
      </c>
      <c r="I2075" s="27" t="s">
        <v>29</v>
      </c>
      <c r="J2075" s="37">
        <v>45483</v>
      </c>
      <c r="K2075" s="27" t="s">
        <v>22</v>
      </c>
    </row>
    <row r="2076" spans="1:11" x14ac:dyDescent="0.2">
      <c r="A2076" s="24" t="s">
        <v>5233</v>
      </c>
      <c r="B2076" s="24" t="s">
        <v>5234</v>
      </c>
      <c r="C2076" s="24" t="s">
        <v>354</v>
      </c>
      <c r="D2076" s="24" t="s">
        <v>17</v>
      </c>
      <c r="E2076" s="24" t="s">
        <v>18</v>
      </c>
      <c r="F2076" s="24" t="s">
        <v>19</v>
      </c>
      <c r="G2076" s="24" t="s">
        <v>20</v>
      </c>
      <c r="H2076" s="26">
        <v>31</v>
      </c>
      <c r="I2076" s="24" t="s">
        <v>21</v>
      </c>
      <c r="J2076" s="36">
        <v>45504</v>
      </c>
      <c r="K2076" s="24" t="s">
        <v>22</v>
      </c>
    </row>
    <row r="2077" spans="1:11" x14ac:dyDescent="0.2">
      <c r="A2077" s="27" t="s">
        <v>5235</v>
      </c>
      <c r="B2077" s="27" t="s">
        <v>5236</v>
      </c>
      <c r="C2077" s="27" t="s">
        <v>208</v>
      </c>
      <c r="D2077" s="27" t="s">
        <v>17</v>
      </c>
      <c r="E2077" s="27" t="s">
        <v>42</v>
      </c>
      <c r="F2077" s="27" t="s">
        <v>43</v>
      </c>
      <c r="G2077" s="27" t="s">
        <v>28</v>
      </c>
      <c r="H2077" s="29">
        <v>140</v>
      </c>
      <c r="I2077" s="27" t="s">
        <v>29</v>
      </c>
      <c r="J2077" s="37">
        <v>45485</v>
      </c>
      <c r="K2077" s="27" t="s">
        <v>22</v>
      </c>
    </row>
    <row r="2078" spans="1:11" x14ac:dyDescent="0.2">
      <c r="A2078" s="24" t="s">
        <v>5237</v>
      </c>
      <c r="B2078" s="24" t="s">
        <v>5238</v>
      </c>
      <c r="C2078" s="24" t="s">
        <v>5239</v>
      </c>
      <c r="D2078" s="24" t="s">
        <v>17</v>
      </c>
      <c r="E2078" s="24" t="s">
        <v>18</v>
      </c>
      <c r="F2078" s="24" t="s">
        <v>19</v>
      </c>
      <c r="G2078" s="24" t="s">
        <v>20</v>
      </c>
      <c r="H2078" s="26">
        <v>6</v>
      </c>
      <c r="I2078" s="24" t="s">
        <v>21</v>
      </c>
      <c r="J2078" s="36">
        <v>45495</v>
      </c>
      <c r="K2078" s="24" t="s">
        <v>22</v>
      </c>
    </row>
    <row r="2079" spans="1:11" x14ac:dyDescent="0.2">
      <c r="A2079" s="27" t="s">
        <v>5240</v>
      </c>
      <c r="B2079" s="27" t="s">
        <v>5241</v>
      </c>
      <c r="C2079" s="27" t="s">
        <v>5242</v>
      </c>
      <c r="D2079" s="27" t="s">
        <v>17</v>
      </c>
      <c r="E2079" s="27" t="s">
        <v>81</v>
      </c>
      <c r="F2079" s="27" t="s">
        <v>82</v>
      </c>
      <c r="G2079" s="27" t="s">
        <v>28</v>
      </c>
      <c r="H2079" s="29">
        <v>30</v>
      </c>
      <c r="I2079" s="27" t="s">
        <v>29</v>
      </c>
      <c r="J2079" s="37">
        <v>45484</v>
      </c>
      <c r="K2079" s="27" t="s">
        <v>22</v>
      </c>
    </row>
    <row r="2080" spans="1:11" x14ac:dyDescent="0.2">
      <c r="A2080" s="24" t="s">
        <v>5243</v>
      </c>
      <c r="B2080" s="24" t="s">
        <v>5244</v>
      </c>
      <c r="C2080" s="24" t="s">
        <v>526</v>
      </c>
      <c r="D2080" s="24" t="s">
        <v>17</v>
      </c>
      <c r="E2080" s="24" t="s">
        <v>18</v>
      </c>
      <c r="F2080" s="24" t="s">
        <v>19</v>
      </c>
      <c r="G2080" s="24" t="s">
        <v>28</v>
      </c>
      <c r="H2080" s="26">
        <v>420</v>
      </c>
      <c r="I2080" s="24" t="s">
        <v>29</v>
      </c>
      <c r="J2080" s="36">
        <v>45474</v>
      </c>
      <c r="K2080" s="24" t="s">
        <v>22</v>
      </c>
    </row>
    <row r="2081" spans="1:11" x14ac:dyDescent="0.2">
      <c r="A2081" s="27" t="s">
        <v>5245</v>
      </c>
      <c r="B2081" s="27" t="s">
        <v>5246</v>
      </c>
      <c r="C2081" s="27" t="s">
        <v>194</v>
      </c>
      <c r="D2081" s="27" t="s">
        <v>17</v>
      </c>
      <c r="E2081" s="27" t="s">
        <v>48</v>
      </c>
      <c r="F2081" s="27" t="s">
        <v>49</v>
      </c>
      <c r="G2081" s="27" t="s">
        <v>28</v>
      </c>
      <c r="H2081" s="29">
        <v>40</v>
      </c>
      <c r="I2081" s="27" t="s">
        <v>29</v>
      </c>
      <c r="J2081" s="37">
        <v>45504</v>
      </c>
      <c r="K2081" s="27" t="s">
        <v>22</v>
      </c>
    </row>
    <row r="2082" spans="1:11" x14ac:dyDescent="0.2">
      <c r="A2082" s="24" t="s">
        <v>5247</v>
      </c>
      <c r="B2082" s="24" t="s">
        <v>5248</v>
      </c>
      <c r="C2082" s="24" t="s">
        <v>5249</v>
      </c>
      <c r="D2082" s="24" t="s">
        <v>17</v>
      </c>
      <c r="E2082" s="24" t="s">
        <v>42</v>
      </c>
      <c r="F2082" s="24" t="s">
        <v>43</v>
      </c>
      <c r="G2082" s="24" t="s">
        <v>20</v>
      </c>
      <c r="H2082" s="26">
        <v>50</v>
      </c>
      <c r="I2082" s="24" t="s">
        <v>21</v>
      </c>
      <c r="J2082" s="36">
        <v>45482</v>
      </c>
      <c r="K2082" s="24" t="s">
        <v>22</v>
      </c>
    </row>
    <row r="2083" spans="1:11" x14ac:dyDescent="0.2">
      <c r="A2083" s="27" t="s">
        <v>5250</v>
      </c>
      <c r="B2083" s="27" t="s">
        <v>5251</v>
      </c>
      <c r="C2083" s="27" t="s">
        <v>4977</v>
      </c>
      <c r="D2083" s="27" t="s">
        <v>17</v>
      </c>
      <c r="E2083" s="27" t="s">
        <v>163</v>
      </c>
      <c r="F2083" s="27" t="s">
        <v>164</v>
      </c>
      <c r="G2083" s="27" t="s">
        <v>28</v>
      </c>
      <c r="H2083" s="29">
        <v>9</v>
      </c>
      <c r="I2083" s="27" t="s">
        <v>29</v>
      </c>
      <c r="J2083" s="37">
        <v>45474</v>
      </c>
      <c r="K2083" s="27" t="s">
        <v>22</v>
      </c>
    </row>
    <row r="2084" spans="1:11" x14ac:dyDescent="0.2">
      <c r="A2084" s="24" t="s">
        <v>5252</v>
      </c>
      <c r="B2084" s="24" t="s">
        <v>5253</v>
      </c>
      <c r="C2084" s="24" t="s">
        <v>494</v>
      </c>
      <c r="D2084" s="24" t="s">
        <v>17</v>
      </c>
      <c r="E2084" s="24" t="s">
        <v>48</v>
      </c>
      <c r="F2084" s="24" t="s">
        <v>49</v>
      </c>
      <c r="G2084" s="24" t="s">
        <v>217</v>
      </c>
      <c r="H2084" s="26">
        <v>54</v>
      </c>
      <c r="I2084" s="24" t="s">
        <v>29</v>
      </c>
      <c r="J2084" s="36">
        <v>45474</v>
      </c>
      <c r="K2084" s="24" t="s">
        <v>22</v>
      </c>
    </row>
    <row r="2085" spans="1:11" x14ac:dyDescent="0.2">
      <c r="A2085" s="27" t="s">
        <v>5254</v>
      </c>
      <c r="B2085" s="27" t="s">
        <v>5255</v>
      </c>
      <c r="C2085" s="27" t="s">
        <v>213</v>
      </c>
      <c r="D2085" s="27" t="s">
        <v>17</v>
      </c>
      <c r="E2085" s="27" t="s">
        <v>48</v>
      </c>
      <c r="F2085" s="27" t="s">
        <v>49</v>
      </c>
      <c r="G2085" s="27" t="s">
        <v>20</v>
      </c>
      <c r="H2085" s="29">
        <v>225</v>
      </c>
      <c r="I2085" s="27" t="s">
        <v>21</v>
      </c>
      <c r="J2085" s="37">
        <v>45503</v>
      </c>
      <c r="K2085" s="27" t="s">
        <v>22</v>
      </c>
    </row>
    <row r="2086" spans="1:11" x14ac:dyDescent="0.2">
      <c r="A2086" s="24" t="s">
        <v>5256</v>
      </c>
      <c r="B2086" s="24" t="s">
        <v>5257</v>
      </c>
      <c r="C2086" s="24" t="s">
        <v>213</v>
      </c>
      <c r="D2086" s="24" t="s">
        <v>17</v>
      </c>
      <c r="E2086" s="24" t="s">
        <v>18</v>
      </c>
      <c r="F2086" s="24" t="s">
        <v>19</v>
      </c>
      <c r="G2086" s="24" t="s">
        <v>20</v>
      </c>
      <c r="H2086" s="26">
        <v>35</v>
      </c>
      <c r="I2086" s="24" t="s">
        <v>21</v>
      </c>
      <c r="J2086" s="36">
        <v>45476</v>
      </c>
      <c r="K2086" s="24" t="s">
        <v>22</v>
      </c>
    </row>
    <row r="2087" spans="1:11" x14ac:dyDescent="0.2">
      <c r="A2087" s="27" t="s">
        <v>5258</v>
      </c>
      <c r="B2087" s="27" t="s">
        <v>5259</v>
      </c>
      <c r="C2087" s="27" t="s">
        <v>5260</v>
      </c>
      <c r="D2087" s="27" t="s">
        <v>17</v>
      </c>
      <c r="E2087" s="27" t="s">
        <v>48</v>
      </c>
      <c r="F2087" s="27" t="s">
        <v>49</v>
      </c>
      <c r="G2087" s="27" t="s">
        <v>20</v>
      </c>
      <c r="H2087" s="29">
        <v>36</v>
      </c>
      <c r="I2087" s="27" t="s">
        <v>21</v>
      </c>
      <c r="J2087" s="37">
        <v>45490</v>
      </c>
      <c r="K2087" s="27" t="s">
        <v>22</v>
      </c>
    </row>
    <row r="2088" spans="1:11" x14ac:dyDescent="0.2">
      <c r="A2088" s="24" t="s">
        <v>5261</v>
      </c>
      <c r="B2088" s="24" t="s">
        <v>5262</v>
      </c>
      <c r="C2088" s="24" t="s">
        <v>429</v>
      </c>
      <c r="D2088" s="24" t="s">
        <v>17</v>
      </c>
      <c r="E2088" s="24" t="s">
        <v>26</v>
      </c>
      <c r="F2088" s="24" t="s">
        <v>27</v>
      </c>
      <c r="G2088" s="24" t="s">
        <v>28</v>
      </c>
      <c r="H2088" s="26">
        <v>116</v>
      </c>
      <c r="I2088" s="24" t="s">
        <v>29</v>
      </c>
      <c r="J2088" s="36">
        <v>45502</v>
      </c>
      <c r="K2088" s="24" t="s">
        <v>22</v>
      </c>
    </row>
    <row r="2089" spans="1:11" x14ac:dyDescent="0.2">
      <c r="A2089" s="27" t="s">
        <v>5263</v>
      </c>
      <c r="B2089" s="27" t="s">
        <v>5264</v>
      </c>
      <c r="C2089" s="27" t="s">
        <v>437</v>
      </c>
      <c r="D2089" s="27" t="s">
        <v>17</v>
      </c>
      <c r="E2089" s="27" t="s">
        <v>18</v>
      </c>
      <c r="F2089" s="27" t="s">
        <v>19</v>
      </c>
      <c r="G2089" s="27" t="s">
        <v>116</v>
      </c>
      <c r="H2089" s="29">
        <v>0</v>
      </c>
      <c r="I2089" s="27" t="s">
        <v>21</v>
      </c>
      <c r="J2089" s="37">
        <v>45488</v>
      </c>
      <c r="K2089" s="27" t="s">
        <v>22</v>
      </c>
    </row>
    <row r="2090" spans="1:11" x14ac:dyDescent="0.2">
      <c r="A2090" s="24" t="s">
        <v>5265</v>
      </c>
      <c r="B2090" s="24" t="s">
        <v>5266</v>
      </c>
      <c r="C2090" s="24" t="s">
        <v>5267</v>
      </c>
      <c r="D2090" s="24" t="s">
        <v>17</v>
      </c>
      <c r="E2090" s="24" t="s">
        <v>48</v>
      </c>
      <c r="F2090" s="24" t="s">
        <v>49</v>
      </c>
      <c r="G2090" s="24" t="s">
        <v>28</v>
      </c>
      <c r="H2090" s="26">
        <v>96</v>
      </c>
      <c r="I2090" s="24" t="s">
        <v>29</v>
      </c>
      <c r="J2090" s="36">
        <v>45489</v>
      </c>
      <c r="K2090" s="24" t="s">
        <v>22</v>
      </c>
    </row>
    <row r="2091" spans="1:11" x14ac:dyDescent="0.2">
      <c r="A2091" s="27" t="s">
        <v>5268</v>
      </c>
      <c r="B2091" s="27" t="s">
        <v>5269</v>
      </c>
      <c r="C2091" s="27" t="s">
        <v>5270</v>
      </c>
      <c r="D2091" s="27" t="s">
        <v>17</v>
      </c>
      <c r="E2091" s="27" t="s">
        <v>18</v>
      </c>
      <c r="F2091" s="27" t="s">
        <v>19</v>
      </c>
      <c r="G2091" s="27" t="s">
        <v>217</v>
      </c>
      <c r="H2091" s="29">
        <v>12</v>
      </c>
      <c r="I2091" s="27" t="s">
        <v>29</v>
      </c>
      <c r="J2091" s="37">
        <v>45497</v>
      </c>
      <c r="K2091" s="27" t="s">
        <v>22</v>
      </c>
    </row>
    <row r="2092" spans="1:11" x14ac:dyDescent="0.2">
      <c r="A2092" s="24" t="s">
        <v>5271</v>
      </c>
      <c r="B2092" s="24" t="s">
        <v>5272</v>
      </c>
      <c r="C2092" s="24" t="s">
        <v>5273</v>
      </c>
      <c r="D2092" s="24" t="s">
        <v>17</v>
      </c>
      <c r="E2092" s="24" t="s">
        <v>26</v>
      </c>
      <c r="F2092" s="24" t="s">
        <v>27</v>
      </c>
      <c r="G2092" s="24" t="s">
        <v>28</v>
      </c>
      <c r="H2092" s="26">
        <v>15</v>
      </c>
      <c r="I2092" s="24" t="s">
        <v>29</v>
      </c>
      <c r="J2092" s="36">
        <v>45474</v>
      </c>
      <c r="K2092" s="24" t="s">
        <v>22</v>
      </c>
    </row>
    <row r="2093" spans="1:11" x14ac:dyDescent="0.2">
      <c r="A2093" s="27" t="s">
        <v>5274</v>
      </c>
      <c r="B2093" s="27" t="s">
        <v>5275</v>
      </c>
      <c r="C2093" s="27" t="s">
        <v>146</v>
      </c>
      <c r="D2093" s="27" t="s">
        <v>17</v>
      </c>
      <c r="E2093" s="27" t="s">
        <v>18</v>
      </c>
      <c r="F2093" s="27" t="s">
        <v>19</v>
      </c>
      <c r="G2093" s="27" t="s">
        <v>20</v>
      </c>
      <c r="H2093" s="29">
        <v>24</v>
      </c>
      <c r="I2093" s="27" t="s">
        <v>21</v>
      </c>
      <c r="J2093" s="37">
        <v>45502</v>
      </c>
      <c r="K2093" s="27" t="s">
        <v>22</v>
      </c>
    </row>
    <row r="2094" spans="1:11" x14ac:dyDescent="0.2">
      <c r="A2094" s="24" t="s">
        <v>5276</v>
      </c>
      <c r="B2094" s="24" t="s">
        <v>5277</v>
      </c>
      <c r="C2094" s="24" t="s">
        <v>5278</v>
      </c>
      <c r="D2094" s="24" t="s">
        <v>17</v>
      </c>
      <c r="E2094" s="24" t="s">
        <v>26</v>
      </c>
      <c r="F2094" s="24" t="s">
        <v>27</v>
      </c>
      <c r="G2094" s="24" t="s">
        <v>28</v>
      </c>
      <c r="H2094" s="26">
        <v>30</v>
      </c>
      <c r="I2094" s="24" t="s">
        <v>29</v>
      </c>
      <c r="J2094" s="36">
        <v>45483</v>
      </c>
      <c r="K2094" s="24" t="s">
        <v>22</v>
      </c>
    </row>
    <row r="2095" spans="1:11" x14ac:dyDescent="0.2">
      <c r="A2095" s="27" t="s">
        <v>5279</v>
      </c>
      <c r="B2095" s="27" t="s">
        <v>5280</v>
      </c>
      <c r="C2095" s="27" t="s">
        <v>1307</v>
      </c>
      <c r="D2095" s="27" t="s">
        <v>17</v>
      </c>
      <c r="E2095" s="27" t="s">
        <v>18</v>
      </c>
      <c r="F2095" s="27" t="s">
        <v>19</v>
      </c>
      <c r="G2095" s="27" t="s">
        <v>217</v>
      </c>
      <c r="H2095" s="29">
        <v>24</v>
      </c>
      <c r="I2095" s="27" t="s">
        <v>29</v>
      </c>
      <c r="J2095" s="37">
        <v>45474</v>
      </c>
      <c r="K2095" s="27" t="s">
        <v>22</v>
      </c>
    </row>
    <row r="2096" spans="1:11" x14ac:dyDescent="0.2">
      <c r="A2096" s="24" t="s">
        <v>5281</v>
      </c>
      <c r="B2096" s="24" t="s">
        <v>5282</v>
      </c>
      <c r="C2096" s="24" t="s">
        <v>3486</v>
      </c>
      <c r="D2096" s="24" t="s">
        <v>17</v>
      </c>
      <c r="E2096" s="24" t="s">
        <v>42</v>
      </c>
      <c r="F2096" s="24" t="s">
        <v>43</v>
      </c>
      <c r="G2096" s="24" t="s">
        <v>44</v>
      </c>
      <c r="H2096" s="26">
        <v>56</v>
      </c>
      <c r="I2096" s="24" t="s">
        <v>29</v>
      </c>
      <c r="J2096" s="36">
        <v>45504</v>
      </c>
      <c r="K2096" s="24" t="s">
        <v>22</v>
      </c>
    </row>
    <row r="2097" spans="1:11" x14ac:dyDescent="0.2">
      <c r="A2097" s="27" t="s">
        <v>5283</v>
      </c>
      <c r="B2097" s="27" t="s">
        <v>5284</v>
      </c>
      <c r="C2097" s="27" t="s">
        <v>140</v>
      </c>
      <c r="D2097" s="27" t="s">
        <v>17</v>
      </c>
      <c r="E2097" s="27" t="s">
        <v>48</v>
      </c>
      <c r="F2097" s="27" t="s">
        <v>49</v>
      </c>
      <c r="G2097" s="27" t="s">
        <v>20</v>
      </c>
      <c r="H2097" s="29">
        <v>47</v>
      </c>
      <c r="I2097" s="27" t="s">
        <v>21</v>
      </c>
      <c r="J2097" s="37">
        <v>45490</v>
      </c>
      <c r="K2097" s="27" t="s">
        <v>22</v>
      </c>
    </row>
    <row r="2098" spans="1:11" x14ac:dyDescent="0.2">
      <c r="A2098" s="24" t="s">
        <v>5285</v>
      </c>
      <c r="B2098" s="24" t="s">
        <v>5286</v>
      </c>
      <c r="C2098" s="24" t="s">
        <v>5287</v>
      </c>
      <c r="D2098" s="24" t="s">
        <v>17</v>
      </c>
      <c r="E2098" s="24" t="s">
        <v>42</v>
      </c>
      <c r="F2098" s="24" t="s">
        <v>43</v>
      </c>
      <c r="G2098" s="24" t="s">
        <v>28</v>
      </c>
      <c r="H2098" s="26">
        <v>300</v>
      </c>
      <c r="I2098" s="24" t="s">
        <v>29</v>
      </c>
      <c r="J2098" s="36">
        <v>45476</v>
      </c>
      <c r="K2098" s="24" t="s">
        <v>22</v>
      </c>
    </row>
    <row r="2099" spans="1:11" x14ac:dyDescent="0.2">
      <c r="A2099" s="27" t="s">
        <v>5288</v>
      </c>
      <c r="B2099" s="27" t="s">
        <v>5289</v>
      </c>
      <c r="C2099" s="27" t="s">
        <v>5290</v>
      </c>
      <c r="D2099" s="27" t="s">
        <v>17</v>
      </c>
      <c r="E2099" s="27" t="s">
        <v>42</v>
      </c>
      <c r="F2099" s="27" t="s">
        <v>43</v>
      </c>
      <c r="G2099" s="27" t="s">
        <v>20</v>
      </c>
      <c r="H2099" s="29">
        <v>215</v>
      </c>
      <c r="I2099" s="27" t="s">
        <v>21</v>
      </c>
      <c r="J2099" s="37">
        <v>45495</v>
      </c>
      <c r="K2099" s="27" t="s">
        <v>22</v>
      </c>
    </row>
    <row r="2100" spans="1:11" x14ac:dyDescent="0.2">
      <c r="A2100" s="24" t="s">
        <v>5291</v>
      </c>
      <c r="B2100" s="24" t="s">
        <v>5292</v>
      </c>
      <c r="C2100" s="24" t="s">
        <v>4881</v>
      </c>
      <c r="D2100" s="24" t="s">
        <v>17</v>
      </c>
      <c r="E2100" s="24" t="s">
        <v>42</v>
      </c>
      <c r="F2100" s="24" t="s">
        <v>43</v>
      </c>
      <c r="G2100" s="24" t="s">
        <v>20</v>
      </c>
      <c r="H2100" s="26">
        <v>240</v>
      </c>
      <c r="I2100" s="24" t="s">
        <v>21</v>
      </c>
      <c r="J2100" s="36">
        <v>45491</v>
      </c>
      <c r="K2100" s="24" t="s">
        <v>22</v>
      </c>
    </row>
    <row r="2101" spans="1:11" x14ac:dyDescent="0.2">
      <c r="A2101" s="27" t="s">
        <v>5293</v>
      </c>
      <c r="B2101" s="27" t="s">
        <v>5294</v>
      </c>
      <c r="C2101" s="27" t="s">
        <v>5295</v>
      </c>
      <c r="D2101" s="27" t="s">
        <v>17</v>
      </c>
      <c r="E2101" s="27" t="s">
        <v>26</v>
      </c>
      <c r="F2101" s="27" t="s">
        <v>27</v>
      </c>
      <c r="G2101" s="27" t="s">
        <v>20</v>
      </c>
      <c r="H2101" s="29">
        <v>46</v>
      </c>
      <c r="I2101" s="27" t="s">
        <v>21</v>
      </c>
      <c r="J2101" s="37">
        <v>45495</v>
      </c>
      <c r="K2101" s="27" t="s">
        <v>22</v>
      </c>
    </row>
    <row r="2102" spans="1:11" x14ac:dyDescent="0.2">
      <c r="A2102" s="24" t="s">
        <v>5296</v>
      </c>
      <c r="B2102" s="24" t="s">
        <v>5297</v>
      </c>
      <c r="C2102" s="24" t="s">
        <v>4827</v>
      </c>
      <c r="D2102" s="24" t="s">
        <v>17</v>
      </c>
      <c r="E2102" s="24" t="s">
        <v>48</v>
      </c>
      <c r="F2102" s="24" t="s">
        <v>49</v>
      </c>
      <c r="G2102" s="24" t="s">
        <v>20</v>
      </c>
      <c r="H2102" s="26">
        <v>60</v>
      </c>
      <c r="I2102" s="24" t="s">
        <v>21</v>
      </c>
      <c r="J2102" s="36">
        <v>45496</v>
      </c>
      <c r="K2102" s="24" t="s">
        <v>22</v>
      </c>
    </row>
    <row r="2103" spans="1:11" x14ac:dyDescent="0.2">
      <c r="A2103" s="27" t="s">
        <v>5298</v>
      </c>
      <c r="B2103" s="27" t="s">
        <v>5299</v>
      </c>
      <c r="C2103" s="27" t="s">
        <v>749</v>
      </c>
      <c r="D2103" s="27" t="s">
        <v>17</v>
      </c>
      <c r="E2103" s="27" t="s">
        <v>42</v>
      </c>
      <c r="F2103" s="27" t="s">
        <v>43</v>
      </c>
      <c r="G2103" s="27" t="s">
        <v>44</v>
      </c>
      <c r="H2103" s="29">
        <v>311</v>
      </c>
      <c r="I2103" s="27" t="s">
        <v>21</v>
      </c>
      <c r="J2103" s="37">
        <v>45496</v>
      </c>
      <c r="K2103" s="27" t="s">
        <v>22</v>
      </c>
    </row>
    <row r="2104" spans="1:11" x14ac:dyDescent="0.2">
      <c r="A2104" s="24" t="s">
        <v>5300</v>
      </c>
      <c r="B2104" s="24" t="s">
        <v>5301</v>
      </c>
      <c r="C2104" s="24" t="s">
        <v>5302</v>
      </c>
      <c r="D2104" s="24" t="s">
        <v>17</v>
      </c>
      <c r="E2104" s="24" t="s">
        <v>42</v>
      </c>
      <c r="F2104" s="24" t="s">
        <v>43</v>
      </c>
      <c r="G2104" s="24" t="s">
        <v>44</v>
      </c>
      <c r="H2104" s="26">
        <v>21</v>
      </c>
      <c r="I2104" s="24" t="s">
        <v>21</v>
      </c>
      <c r="J2104" s="36">
        <v>45503</v>
      </c>
      <c r="K2104" s="24" t="s">
        <v>22</v>
      </c>
    </row>
    <row r="2105" spans="1:11" x14ac:dyDescent="0.2">
      <c r="A2105" s="27" t="s">
        <v>5303</v>
      </c>
      <c r="B2105" s="27" t="s">
        <v>5304</v>
      </c>
      <c r="C2105" s="27" t="s">
        <v>55</v>
      </c>
      <c r="D2105" s="27" t="s">
        <v>17</v>
      </c>
      <c r="E2105" s="27" t="s">
        <v>18</v>
      </c>
      <c r="F2105" s="27" t="s">
        <v>19</v>
      </c>
      <c r="G2105" s="27" t="s">
        <v>20</v>
      </c>
      <c r="H2105" s="29">
        <v>18</v>
      </c>
      <c r="I2105" s="27" t="s">
        <v>21</v>
      </c>
      <c r="J2105" s="37">
        <v>45489</v>
      </c>
      <c r="K2105" s="27" t="s">
        <v>22</v>
      </c>
    </row>
    <row r="2106" spans="1:11" x14ac:dyDescent="0.2">
      <c r="A2106" s="24" t="s">
        <v>5305</v>
      </c>
      <c r="B2106" s="24" t="s">
        <v>5306</v>
      </c>
      <c r="C2106" s="24" t="s">
        <v>5307</v>
      </c>
      <c r="D2106" s="24" t="s">
        <v>17</v>
      </c>
      <c r="E2106" s="24" t="s">
        <v>18</v>
      </c>
      <c r="F2106" s="24" t="s">
        <v>19</v>
      </c>
      <c r="G2106" s="24" t="s">
        <v>44</v>
      </c>
      <c r="H2106" s="26">
        <v>22</v>
      </c>
      <c r="I2106" s="24" t="s">
        <v>29</v>
      </c>
      <c r="J2106" s="36">
        <v>45496</v>
      </c>
      <c r="K2106" s="24" t="s">
        <v>22</v>
      </c>
    </row>
    <row r="2107" spans="1:11" x14ac:dyDescent="0.2">
      <c r="A2107" s="27" t="s">
        <v>5308</v>
      </c>
      <c r="B2107" s="27" t="s">
        <v>5309</v>
      </c>
      <c r="C2107" s="27" t="s">
        <v>2200</v>
      </c>
      <c r="D2107" s="27" t="s">
        <v>17</v>
      </c>
      <c r="E2107" s="27" t="s">
        <v>18</v>
      </c>
      <c r="F2107" s="27" t="s">
        <v>19</v>
      </c>
      <c r="G2107" s="27" t="s">
        <v>20</v>
      </c>
      <c r="H2107" s="29">
        <v>49</v>
      </c>
      <c r="I2107" s="27" t="s">
        <v>21</v>
      </c>
      <c r="J2107" s="37">
        <v>45489</v>
      </c>
      <c r="K2107" s="27" t="s">
        <v>22</v>
      </c>
    </row>
    <row r="2108" spans="1:11" x14ac:dyDescent="0.2">
      <c r="A2108" s="24" t="s">
        <v>5310</v>
      </c>
      <c r="B2108" s="24" t="s">
        <v>5311</v>
      </c>
      <c r="C2108" s="24" t="s">
        <v>5312</v>
      </c>
      <c r="D2108" s="24" t="s">
        <v>17</v>
      </c>
      <c r="E2108" s="24" t="s">
        <v>18</v>
      </c>
      <c r="F2108" s="24" t="s">
        <v>19</v>
      </c>
      <c r="G2108" s="24" t="s">
        <v>59</v>
      </c>
      <c r="H2108" s="26">
        <v>30</v>
      </c>
      <c r="I2108" s="24" t="s">
        <v>21</v>
      </c>
      <c r="J2108" s="36">
        <v>45474</v>
      </c>
      <c r="K2108" s="24" t="s">
        <v>22</v>
      </c>
    </row>
    <row r="2109" spans="1:11" x14ac:dyDescent="0.2">
      <c r="A2109" s="27" t="s">
        <v>5313</v>
      </c>
      <c r="B2109" s="27" t="s">
        <v>5314</v>
      </c>
      <c r="C2109" s="27" t="s">
        <v>5315</v>
      </c>
      <c r="D2109" s="27" t="s">
        <v>17</v>
      </c>
      <c r="E2109" s="27" t="s">
        <v>42</v>
      </c>
      <c r="F2109" s="27" t="s">
        <v>43</v>
      </c>
      <c r="G2109" s="27" t="s">
        <v>227</v>
      </c>
      <c r="H2109" s="29">
        <v>680</v>
      </c>
      <c r="I2109" s="27" t="s">
        <v>29</v>
      </c>
      <c r="J2109" s="37">
        <v>45503</v>
      </c>
      <c r="K2109" s="27" t="s">
        <v>22</v>
      </c>
    </row>
    <row r="2110" spans="1:11" x14ac:dyDescent="0.2">
      <c r="A2110" s="24" t="s">
        <v>5316</v>
      </c>
      <c r="B2110" s="24" t="s">
        <v>5317</v>
      </c>
      <c r="C2110" s="24" t="s">
        <v>1719</v>
      </c>
      <c r="D2110" s="24" t="s">
        <v>17</v>
      </c>
      <c r="E2110" s="24" t="s">
        <v>48</v>
      </c>
      <c r="F2110" s="24" t="s">
        <v>49</v>
      </c>
      <c r="G2110" s="24" t="s">
        <v>28</v>
      </c>
      <c r="H2110" s="26">
        <v>40</v>
      </c>
      <c r="I2110" s="24" t="s">
        <v>29</v>
      </c>
      <c r="J2110" s="36">
        <v>45488</v>
      </c>
      <c r="K2110" s="24" t="s">
        <v>22</v>
      </c>
    </row>
    <row r="2111" spans="1:11" x14ac:dyDescent="0.2">
      <c r="A2111" s="27" t="s">
        <v>5318</v>
      </c>
      <c r="B2111" s="27" t="s">
        <v>5319</v>
      </c>
      <c r="C2111" s="27" t="s">
        <v>106</v>
      </c>
      <c r="D2111" s="27" t="s">
        <v>17</v>
      </c>
      <c r="E2111" s="27" t="s">
        <v>18</v>
      </c>
      <c r="F2111" s="27" t="s">
        <v>19</v>
      </c>
      <c r="G2111" s="27" t="s">
        <v>20</v>
      </c>
      <c r="H2111" s="29">
        <v>63</v>
      </c>
      <c r="I2111" s="27" t="s">
        <v>21</v>
      </c>
      <c r="J2111" s="37">
        <v>45481</v>
      </c>
      <c r="K2111" s="27" t="s">
        <v>22</v>
      </c>
    </row>
    <row r="2112" spans="1:11" x14ac:dyDescent="0.2">
      <c r="A2112" s="24" t="s">
        <v>5320</v>
      </c>
      <c r="B2112" s="24" t="s">
        <v>5321</v>
      </c>
      <c r="C2112" s="24" t="s">
        <v>5322</v>
      </c>
      <c r="D2112" s="24" t="s">
        <v>17</v>
      </c>
      <c r="E2112" s="24" t="s">
        <v>18</v>
      </c>
      <c r="F2112" s="24" t="s">
        <v>19</v>
      </c>
      <c r="G2112" s="24" t="s">
        <v>44</v>
      </c>
      <c r="H2112" s="26">
        <v>150</v>
      </c>
      <c r="I2112" s="24" t="s">
        <v>29</v>
      </c>
      <c r="J2112" s="36">
        <v>45478</v>
      </c>
      <c r="K2112" s="24" t="s">
        <v>22</v>
      </c>
    </row>
    <row r="2113" spans="1:11" x14ac:dyDescent="0.2">
      <c r="A2113" s="27" t="s">
        <v>5323</v>
      </c>
      <c r="B2113" s="27" t="s">
        <v>5324</v>
      </c>
      <c r="C2113" s="27" t="s">
        <v>85</v>
      </c>
      <c r="D2113" s="27" t="s">
        <v>17</v>
      </c>
      <c r="E2113" s="27" t="s">
        <v>48</v>
      </c>
      <c r="F2113" s="27" t="s">
        <v>49</v>
      </c>
      <c r="G2113" s="27" t="s">
        <v>28</v>
      </c>
      <c r="H2113" s="29">
        <v>100</v>
      </c>
      <c r="I2113" s="27" t="s">
        <v>29</v>
      </c>
      <c r="J2113" s="37">
        <v>45502</v>
      </c>
      <c r="K2113" s="27" t="s">
        <v>22</v>
      </c>
    </row>
    <row r="2114" spans="1:11" x14ac:dyDescent="0.2">
      <c r="A2114" s="24" t="s">
        <v>5325</v>
      </c>
      <c r="B2114" s="24" t="s">
        <v>5326</v>
      </c>
      <c r="C2114" s="24" t="s">
        <v>5327</v>
      </c>
      <c r="D2114" s="24" t="s">
        <v>17</v>
      </c>
      <c r="E2114" s="24" t="s">
        <v>42</v>
      </c>
      <c r="F2114" s="24" t="s">
        <v>43</v>
      </c>
      <c r="G2114" s="24" t="s">
        <v>28</v>
      </c>
      <c r="H2114" s="26">
        <v>20</v>
      </c>
      <c r="I2114" s="24" t="s">
        <v>29</v>
      </c>
      <c r="J2114" s="36">
        <v>45504</v>
      </c>
      <c r="K2114" s="24" t="s">
        <v>22</v>
      </c>
    </row>
    <row r="2115" spans="1:11" x14ac:dyDescent="0.2">
      <c r="A2115" s="27" t="s">
        <v>5328</v>
      </c>
      <c r="B2115" s="27" t="s">
        <v>5329</v>
      </c>
      <c r="C2115" s="27" t="s">
        <v>494</v>
      </c>
      <c r="D2115" s="27" t="s">
        <v>17</v>
      </c>
      <c r="E2115" s="27" t="s">
        <v>42</v>
      </c>
      <c r="F2115" s="27" t="s">
        <v>43</v>
      </c>
      <c r="G2115" s="27" t="s">
        <v>217</v>
      </c>
      <c r="H2115" s="29">
        <v>420</v>
      </c>
      <c r="I2115" s="27" t="s">
        <v>29</v>
      </c>
      <c r="J2115" s="37">
        <v>45474</v>
      </c>
      <c r="K2115" s="27" t="s">
        <v>22</v>
      </c>
    </row>
    <row r="2116" spans="1:11" x14ac:dyDescent="0.2">
      <c r="A2116" s="24" t="s">
        <v>5330</v>
      </c>
      <c r="B2116" s="24" t="s">
        <v>5331</v>
      </c>
      <c r="C2116" s="24" t="s">
        <v>5332</v>
      </c>
      <c r="D2116" s="24" t="s">
        <v>17</v>
      </c>
      <c r="E2116" s="24" t="s">
        <v>48</v>
      </c>
      <c r="F2116" s="24" t="s">
        <v>49</v>
      </c>
      <c r="G2116" s="24" t="s">
        <v>28</v>
      </c>
      <c r="H2116" s="26">
        <v>72</v>
      </c>
      <c r="I2116" s="24" t="s">
        <v>29</v>
      </c>
      <c r="J2116" s="36">
        <v>45504</v>
      </c>
      <c r="K2116" s="24" t="s">
        <v>22</v>
      </c>
    </row>
    <row r="2117" spans="1:11" x14ac:dyDescent="0.2">
      <c r="A2117" s="27" t="s">
        <v>5333</v>
      </c>
      <c r="B2117" s="27" t="s">
        <v>5334</v>
      </c>
      <c r="C2117" s="27" t="s">
        <v>3153</v>
      </c>
      <c r="D2117" s="27" t="s">
        <v>17</v>
      </c>
      <c r="E2117" s="27" t="s">
        <v>18</v>
      </c>
      <c r="F2117" s="27" t="s">
        <v>19</v>
      </c>
      <c r="G2117" s="27" t="s">
        <v>20</v>
      </c>
      <c r="H2117" s="29">
        <v>16</v>
      </c>
      <c r="I2117" s="27" t="s">
        <v>21</v>
      </c>
      <c r="J2117" s="37">
        <v>45491</v>
      </c>
      <c r="K2117" s="27" t="s">
        <v>22</v>
      </c>
    </row>
    <row r="2118" spans="1:11" x14ac:dyDescent="0.2">
      <c r="A2118" s="24" t="s">
        <v>5335</v>
      </c>
      <c r="B2118" s="24" t="s">
        <v>5336</v>
      </c>
      <c r="C2118" s="24" t="s">
        <v>1044</v>
      </c>
      <c r="D2118" s="24" t="s">
        <v>17</v>
      </c>
      <c r="E2118" s="24" t="s">
        <v>18</v>
      </c>
      <c r="F2118" s="24" t="s">
        <v>19</v>
      </c>
      <c r="G2118" s="24" t="s">
        <v>217</v>
      </c>
      <c r="H2118" s="26">
        <v>40</v>
      </c>
      <c r="I2118" s="24" t="s">
        <v>29</v>
      </c>
      <c r="J2118" s="36">
        <v>45474</v>
      </c>
      <c r="K2118" s="24" t="s">
        <v>22</v>
      </c>
    </row>
    <row r="2119" spans="1:11" x14ac:dyDescent="0.2">
      <c r="A2119" s="27" t="s">
        <v>5337</v>
      </c>
      <c r="B2119" s="27" t="s">
        <v>5338</v>
      </c>
      <c r="C2119" s="27" t="s">
        <v>2663</v>
      </c>
      <c r="D2119" s="27" t="s">
        <v>17</v>
      </c>
      <c r="E2119" s="27" t="s">
        <v>42</v>
      </c>
      <c r="F2119" s="27" t="s">
        <v>43</v>
      </c>
      <c r="G2119" s="27" t="s">
        <v>44</v>
      </c>
      <c r="H2119" s="29">
        <v>976</v>
      </c>
      <c r="I2119" s="27" t="s">
        <v>21</v>
      </c>
      <c r="J2119" s="37">
        <v>45492</v>
      </c>
      <c r="K2119" s="27" t="s">
        <v>22</v>
      </c>
    </row>
    <row r="2120" spans="1:11" x14ac:dyDescent="0.2">
      <c r="A2120" s="24" t="s">
        <v>5339</v>
      </c>
      <c r="B2120" s="24" t="s">
        <v>5340</v>
      </c>
      <c r="C2120" s="24" t="s">
        <v>334</v>
      </c>
      <c r="D2120" s="24" t="s">
        <v>17</v>
      </c>
      <c r="E2120" s="24" t="s">
        <v>42</v>
      </c>
      <c r="F2120" s="24" t="s">
        <v>43</v>
      </c>
      <c r="G2120" s="24" t="s">
        <v>28</v>
      </c>
      <c r="H2120" s="26">
        <v>400</v>
      </c>
      <c r="I2120" s="24" t="s">
        <v>29</v>
      </c>
      <c r="J2120" s="36">
        <v>45484</v>
      </c>
      <c r="K2120" s="24" t="s">
        <v>22</v>
      </c>
    </row>
    <row r="2121" spans="1:11" x14ac:dyDescent="0.2">
      <c r="A2121" s="27" t="s">
        <v>5341</v>
      </c>
      <c r="B2121" s="27" t="s">
        <v>5342</v>
      </c>
      <c r="C2121" s="27" t="s">
        <v>251</v>
      </c>
      <c r="D2121" s="27" t="s">
        <v>17</v>
      </c>
      <c r="E2121" s="27" t="s">
        <v>81</v>
      </c>
      <c r="F2121" s="27" t="s">
        <v>82</v>
      </c>
      <c r="G2121" s="27" t="s">
        <v>28</v>
      </c>
      <c r="H2121" s="29">
        <v>36</v>
      </c>
      <c r="I2121" s="27" t="s">
        <v>29</v>
      </c>
      <c r="J2121" s="37">
        <v>45477</v>
      </c>
      <c r="K2121" s="27" t="s">
        <v>22</v>
      </c>
    </row>
    <row r="2122" spans="1:11" x14ac:dyDescent="0.2">
      <c r="A2122" s="24" t="s">
        <v>5343</v>
      </c>
      <c r="B2122" s="24" t="s">
        <v>5344</v>
      </c>
      <c r="C2122" s="24" t="s">
        <v>810</v>
      </c>
      <c r="D2122" s="24" t="s">
        <v>17</v>
      </c>
      <c r="E2122" s="24" t="s">
        <v>18</v>
      </c>
      <c r="F2122" s="24" t="s">
        <v>19</v>
      </c>
      <c r="G2122" s="24" t="s">
        <v>20</v>
      </c>
      <c r="H2122" s="26">
        <v>48</v>
      </c>
      <c r="I2122" s="24" t="s">
        <v>21</v>
      </c>
      <c r="J2122" s="36">
        <v>45503</v>
      </c>
      <c r="K2122" s="24" t="s">
        <v>22</v>
      </c>
    </row>
    <row r="2123" spans="1:11" x14ac:dyDescent="0.2">
      <c r="A2123" s="27" t="s">
        <v>5345</v>
      </c>
      <c r="B2123" s="27" t="s">
        <v>5346</v>
      </c>
      <c r="C2123" s="27" t="s">
        <v>5347</v>
      </c>
      <c r="D2123" s="27" t="s">
        <v>17</v>
      </c>
      <c r="E2123" s="27" t="s">
        <v>48</v>
      </c>
      <c r="F2123" s="27" t="s">
        <v>49</v>
      </c>
      <c r="G2123" s="27" t="s">
        <v>59</v>
      </c>
      <c r="H2123" s="29">
        <v>3</v>
      </c>
      <c r="I2123" s="27" t="s">
        <v>21</v>
      </c>
      <c r="J2123" s="37">
        <v>45490</v>
      </c>
      <c r="K2123" s="27" t="s">
        <v>22</v>
      </c>
    </row>
    <row r="2124" spans="1:11" x14ac:dyDescent="0.2">
      <c r="A2124" s="24" t="s">
        <v>5348</v>
      </c>
      <c r="B2124" s="24" t="s">
        <v>5349</v>
      </c>
      <c r="C2124" s="24" t="s">
        <v>5350</v>
      </c>
      <c r="D2124" s="24" t="s">
        <v>17</v>
      </c>
      <c r="E2124" s="24" t="s">
        <v>42</v>
      </c>
      <c r="F2124" s="24" t="s">
        <v>43</v>
      </c>
      <c r="G2124" s="24" t="s">
        <v>28</v>
      </c>
      <c r="H2124" s="26">
        <v>180</v>
      </c>
      <c r="I2124" s="24" t="s">
        <v>29</v>
      </c>
      <c r="J2124" s="36">
        <v>45490</v>
      </c>
      <c r="K2124" s="24" t="s">
        <v>22</v>
      </c>
    </row>
    <row r="2125" spans="1:11" x14ac:dyDescent="0.2">
      <c r="A2125" s="27" t="s">
        <v>5351</v>
      </c>
      <c r="B2125" s="27" t="s">
        <v>5352</v>
      </c>
      <c r="C2125" s="27" t="s">
        <v>2779</v>
      </c>
      <c r="D2125" s="27" t="s">
        <v>17</v>
      </c>
      <c r="E2125" s="27" t="s">
        <v>18</v>
      </c>
      <c r="F2125" s="27" t="s">
        <v>19</v>
      </c>
      <c r="G2125" s="27" t="s">
        <v>44</v>
      </c>
      <c r="H2125" s="29">
        <v>75</v>
      </c>
      <c r="I2125" s="27" t="s">
        <v>29</v>
      </c>
      <c r="J2125" s="37">
        <v>45489</v>
      </c>
      <c r="K2125" s="27" t="s">
        <v>22</v>
      </c>
    </row>
    <row r="2126" spans="1:11" x14ac:dyDescent="0.2">
      <c r="A2126" s="24" t="s">
        <v>5353</v>
      </c>
      <c r="B2126" s="24" t="s">
        <v>5354</v>
      </c>
      <c r="C2126" s="24" t="s">
        <v>1617</v>
      </c>
      <c r="D2126" s="24" t="s">
        <v>17</v>
      </c>
      <c r="E2126" s="24" t="s">
        <v>42</v>
      </c>
      <c r="F2126" s="24" t="s">
        <v>43</v>
      </c>
      <c r="G2126" s="24" t="s">
        <v>217</v>
      </c>
      <c r="H2126" s="26">
        <v>232</v>
      </c>
      <c r="I2126" s="24" t="s">
        <v>29</v>
      </c>
      <c r="J2126" s="36">
        <v>45474</v>
      </c>
      <c r="K2126" s="24" t="s">
        <v>22</v>
      </c>
    </row>
    <row r="2127" spans="1:11" x14ac:dyDescent="0.2">
      <c r="A2127" s="27" t="s">
        <v>5355</v>
      </c>
      <c r="B2127" s="27" t="s">
        <v>5356</v>
      </c>
      <c r="C2127" s="27" t="s">
        <v>984</v>
      </c>
      <c r="D2127" s="27" t="s">
        <v>17</v>
      </c>
      <c r="E2127" s="27" t="s">
        <v>48</v>
      </c>
      <c r="F2127" s="27" t="s">
        <v>49</v>
      </c>
      <c r="G2127" s="27" t="s">
        <v>20</v>
      </c>
      <c r="H2127" s="29">
        <v>932</v>
      </c>
      <c r="I2127" s="27" t="s">
        <v>21</v>
      </c>
      <c r="J2127" s="37">
        <v>45488</v>
      </c>
      <c r="K2127" s="27" t="s">
        <v>22</v>
      </c>
    </row>
    <row r="2128" spans="1:11" x14ac:dyDescent="0.2">
      <c r="A2128" s="24" t="s">
        <v>5357</v>
      </c>
      <c r="B2128" s="24" t="s">
        <v>5358</v>
      </c>
      <c r="C2128" s="24" t="s">
        <v>618</v>
      </c>
      <c r="D2128" s="24" t="s">
        <v>17</v>
      </c>
      <c r="E2128" s="24" t="s">
        <v>42</v>
      </c>
      <c r="F2128" s="24" t="s">
        <v>43</v>
      </c>
      <c r="G2128" s="24" t="s">
        <v>28</v>
      </c>
      <c r="H2128" s="26">
        <v>460</v>
      </c>
      <c r="I2128" s="24" t="s">
        <v>29</v>
      </c>
      <c r="J2128" s="36">
        <v>45477</v>
      </c>
      <c r="K2128" s="24" t="s">
        <v>22</v>
      </c>
    </row>
    <row r="2129" spans="1:11" x14ac:dyDescent="0.2">
      <c r="A2129" s="27" t="s">
        <v>5359</v>
      </c>
      <c r="B2129" s="27" t="s">
        <v>5360</v>
      </c>
      <c r="C2129" s="27" t="s">
        <v>251</v>
      </c>
      <c r="D2129" s="27" t="s">
        <v>17</v>
      </c>
      <c r="E2129" s="27" t="s">
        <v>18</v>
      </c>
      <c r="F2129" s="27" t="s">
        <v>19</v>
      </c>
      <c r="G2129" s="27" t="s">
        <v>44</v>
      </c>
      <c r="H2129" s="29">
        <v>31</v>
      </c>
      <c r="I2129" s="27" t="s">
        <v>21</v>
      </c>
      <c r="J2129" s="37">
        <v>45502</v>
      </c>
      <c r="K2129" s="27" t="s">
        <v>22</v>
      </c>
    </row>
    <row r="2130" spans="1:11" x14ac:dyDescent="0.2">
      <c r="A2130" s="24" t="s">
        <v>5361</v>
      </c>
      <c r="B2130" s="24" t="s">
        <v>5362</v>
      </c>
      <c r="C2130" s="24" t="s">
        <v>185</v>
      </c>
      <c r="D2130" s="24" t="s">
        <v>17</v>
      </c>
      <c r="E2130" s="24" t="s">
        <v>18</v>
      </c>
      <c r="F2130" s="24" t="s">
        <v>19</v>
      </c>
      <c r="G2130" s="24" t="s">
        <v>217</v>
      </c>
      <c r="H2130" s="26">
        <v>100</v>
      </c>
      <c r="I2130" s="24" t="s">
        <v>29</v>
      </c>
      <c r="J2130" s="36">
        <v>45504</v>
      </c>
      <c r="K2130" s="24" t="s">
        <v>22</v>
      </c>
    </row>
    <row r="2131" spans="1:11" x14ac:dyDescent="0.2">
      <c r="A2131" s="27" t="s">
        <v>5363</v>
      </c>
      <c r="B2131" s="27" t="s">
        <v>5364</v>
      </c>
      <c r="C2131" s="27" t="s">
        <v>3136</v>
      </c>
      <c r="D2131" s="27" t="s">
        <v>17</v>
      </c>
      <c r="E2131" s="27" t="s">
        <v>42</v>
      </c>
      <c r="F2131" s="27" t="s">
        <v>43</v>
      </c>
      <c r="G2131" s="27" t="s">
        <v>44</v>
      </c>
      <c r="H2131" s="29">
        <v>840</v>
      </c>
      <c r="I2131" s="27" t="s">
        <v>29</v>
      </c>
      <c r="J2131" s="37">
        <v>45498</v>
      </c>
      <c r="K2131" s="27" t="s">
        <v>22</v>
      </c>
    </row>
    <row r="2132" spans="1:11" x14ac:dyDescent="0.2">
      <c r="A2132" s="24" t="s">
        <v>5365</v>
      </c>
      <c r="B2132" s="24" t="s">
        <v>5366</v>
      </c>
      <c r="C2132" s="24" t="s">
        <v>5367</v>
      </c>
      <c r="D2132" s="24" t="s">
        <v>17</v>
      </c>
      <c r="E2132" s="24" t="s">
        <v>26</v>
      </c>
      <c r="F2132" s="24" t="s">
        <v>27</v>
      </c>
      <c r="G2132" s="24" t="s">
        <v>44</v>
      </c>
      <c r="H2132" s="26">
        <v>16</v>
      </c>
      <c r="I2132" s="24" t="s">
        <v>21</v>
      </c>
      <c r="J2132" s="36">
        <v>45492</v>
      </c>
      <c r="K2132" s="24" t="s">
        <v>22</v>
      </c>
    </row>
    <row r="2133" spans="1:11" x14ac:dyDescent="0.2">
      <c r="A2133" s="27" t="s">
        <v>5368</v>
      </c>
      <c r="B2133" s="27" t="s">
        <v>5369</v>
      </c>
      <c r="C2133" s="27" t="s">
        <v>25</v>
      </c>
      <c r="D2133" s="27" t="s">
        <v>17</v>
      </c>
      <c r="E2133" s="27" t="s">
        <v>48</v>
      </c>
      <c r="F2133" s="27" t="s">
        <v>49</v>
      </c>
      <c r="G2133" s="27" t="s">
        <v>28</v>
      </c>
      <c r="H2133" s="29">
        <v>60</v>
      </c>
      <c r="I2133" s="27" t="s">
        <v>29</v>
      </c>
      <c r="J2133" s="37">
        <v>45490</v>
      </c>
      <c r="K2133" s="27" t="s">
        <v>22</v>
      </c>
    </row>
    <row r="2134" spans="1:11" x14ac:dyDescent="0.2">
      <c r="A2134" s="24" t="s">
        <v>5370</v>
      </c>
      <c r="B2134" s="24" t="s">
        <v>5371</v>
      </c>
      <c r="C2134" s="24" t="s">
        <v>5372</v>
      </c>
      <c r="D2134" s="24" t="s">
        <v>17</v>
      </c>
      <c r="E2134" s="24" t="s">
        <v>18</v>
      </c>
      <c r="F2134" s="24" t="s">
        <v>19</v>
      </c>
      <c r="G2134" s="24" t="s">
        <v>28</v>
      </c>
      <c r="H2134" s="26">
        <v>70</v>
      </c>
      <c r="I2134" s="24" t="s">
        <v>29</v>
      </c>
      <c r="J2134" s="36">
        <v>45474</v>
      </c>
      <c r="K2134" s="24" t="s">
        <v>22</v>
      </c>
    </row>
    <row r="2135" spans="1:11" x14ac:dyDescent="0.2">
      <c r="A2135" s="27" t="s">
        <v>5373</v>
      </c>
      <c r="B2135" s="27" t="s">
        <v>5374</v>
      </c>
      <c r="C2135" s="27" t="s">
        <v>3141</v>
      </c>
      <c r="D2135" s="27" t="s">
        <v>17</v>
      </c>
      <c r="E2135" s="27" t="s">
        <v>18</v>
      </c>
      <c r="F2135" s="27" t="s">
        <v>19</v>
      </c>
      <c r="G2135" s="27" t="s">
        <v>28</v>
      </c>
      <c r="H2135" s="29">
        <v>12</v>
      </c>
      <c r="I2135" s="27" t="s">
        <v>29</v>
      </c>
      <c r="J2135" s="37">
        <v>45491</v>
      </c>
      <c r="K2135" s="27" t="s">
        <v>22</v>
      </c>
    </row>
    <row r="2136" spans="1:11" x14ac:dyDescent="0.2">
      <c r="A2136" s="24" t="s">
        <v>5375</v>
      </c>
      <c r="B2136" s="24" t="s">
        <v>5376</v>
      </c>
      <c r="C2136" s="24" t="s">
        <v>5377</v>
      </c>
      <c r="D2136" s="24" t="s">
        <v>17</v>
      </c>
      <c r="E2136" s="24" t="s">
        <v>18</v>
      </c>
      <c r="F2136" s="24" t="s">
        <v>19</v>
      </c>
      <c r="G2136" s="24" t="s">
        <v>59</v>
      </c>
      <c r="H2136" s="26">
        <v>16</v>
      </c>
      <c r="I2136" s="24" t="s">
        <v>21</v>
      </c>
      <c r="J2136" s="36">
        <v>45474</v>
      </c>
      <c r="K2136" s="24" t="s">
        <v>22</v>
      </c>
    </row>
    <row r="2137" spans="1:11" x14ac:dyDescent="0.2">
      <c r="A2137" s="27" t="s">
        <v>5378</v>
      </c>
      <c r="B2137" s="27" t="s">
        <v>5379</v>
      </c>
      <c r="C2137" s="27" t="s">
        <v>213</v>
      </c>
      <c r="D2137" s="27" t="s">
        <v>17</v>
      </c>
      <c r="E2137" s="27" t="s">
        <v>48</v>
      </c>
      <c r="F2137" s="27" t="s">
        <v>49</v>
      </c>
      <c r="G2137" s="27" t="s">
        <v>44</v>
      </c>
      <c r="H2137" s="29">
        <v>605</v>
      </c>
      <c r="I2137" s="27" t="s">
        <v>21</v>
      </c>
      <c r="J2137" s="37">
        <v>45498</v>
      </c>
      <c r="K2137" s="27" t="s">
        <v>22</v>
      </c>
    </row>
    <row r="2138" spans="1:11" x14ac:dyDescent="0.2">
      <c r="A2138" s="24" t="s">
        <v>5380</v>
      </c>
      <c r="B2138" s="24" t="s">
        <v>5381</v>
      </c>
      <c r="C2138" s="24" t="s">
        <v>5382</v>
      </c>
      <c r="D2138" s="24" t="s">
        <v>17</v>
      </c>
      <c r="E2138" s="24" t="s">
        <v>33</v>
      </c>
      <c r="F2138" s="24" t="s">
        <v>34</v>
      </c>
      <c r="G2138" s="24" t="s">
        <v>217</v>
      </c>
      <c r="H2138" s="26">
        <v>30</v>
      </c>
      <c r="I2138" s="24" t="s">
        <v>29</v>
      </c>
      <c r="J2138" s="36">
        <v>45493</v>
      </c>
      <c r="K2138" s="24" t="s">
        <v>22</v>
      </c>
    </row>
    <row r="2139" spans="1:11" x14ac:dyDescent="0.2">
      <c r="A2139" s="27" t="s">
        <v>5383</v>
      </c>
      <c r="B2139" s="27" t="s">
        <v>5384</v>
      </c>
      <c r="C2139" s="27" t="s">
        <v>5385</v>
      </c>
      <c r="D2139" s="27" t="s">
        <v>17</v>
      </c>
      <c r="E2139" s="27" t="s">
        <v>42</v>
      </c>
      <c r="F2139" s="27" t="s">
        <v>43</v>
      </c>
      <c r="G2139" s="27" t="s">
        <v>28</v>
      </c>
      <c r="H2139" s="29">
        <v>90</v>
      </c>
      <c r="I2139" s="27" t="s">
        <v>29</v>
      </c>
      <c r="J2139" s="37">
        <v>45496</v>
      </c>
      <c r="K2139" s="27" t="s">
        <v>22</v>
      </c>
    </row>
    <row r="2140" spans="1:11" x14ac:dyDescent="0.2">
      <c r="A2140" s="24" t="s">
        <v>5386</v>
      </c>
      <c r="B2140" s="24" t="s">
        <v>5387</v>
      </c>
      <c r="C2140" s="24" t="s">
        <v>5388</v>
      </c>
      <c r="D2140" s="24" t="s">
        <v>17</v>
      </c>
      <c r="E2140" s="24" t="s">
        <v>42</v>
      </c>
      <c r="F2140" s="24" t="s">
        <v>43</v>
      </c>
      <c r="G2140" s="24" t="s">
        <v>44</v>
      </c>
      <c r="H2140" s="26">
        <v>25000</v>
      </c>
      <c r="I2140" s="24" t="s">
        <v>29</v>
      </c>
      <c r="J2140" s="36">
        <v>45486</v>
      </c>
      <c r="K2140" s="24" t="s">
        <v>22</v>
      </c>
    </row>
    <row r="2141" spans="1:11" x14ac:dyDescent="0.2">
      <c r="A2141" s="27" t="s">
        <v>5389</v>
      </c>
      <c r="B2141" s="27" t="s">
        <v>5390</v>
      </c>
      <c r="C2141" s="27" t="s">
        <v>512</v>
      </c>
      <c r="D2141" s="27" t="s">
        <v>17</v>
      </c>
      <c r="E2141" s="27" t="s">
        <v>18</v>
      </c>
      <c r="F2141" s="27" t="s">
        <v>19</v>
      </c>
      <c r="G2141" s="27" t="s">
        <v>28</v>
      </c>
      <c r="H2141" s="29">
        <v>10</v>
      </c>
      <c r="I2141" s="27" t="s">
        <v>29</v>
      </c>
      <c r="J2141" s="37">
        <v>45475</v>
      </c>
      <c r="K2141" s="27" t="s">
        <v>22</v>
      </c>
    </row>
    <row r="2142" spans="1:11" x14ac:dyDescent="0.2">
      <c r="A2142" s="24" t="s">
        <v>5391</v>
      </c>
      <c r="B2142" s="24" t="s">
        <v>5392</v>
      </c>
      <c r="C2142" s="24" t="s">
        <v>5393</v>
      </c>
      <c r="D2142" s="24" t="s">
        <v>17</v>
      </c>
      <c r="E2142" s="24" t="s">
        <v>18</v>
      </c>
      <c r="F2142" s="24" t="s">
        <v>19</v>
      </c>
      <c r="G2142" s="24" t="s">
        <v>20</v>
      </c>
      <c r="H2142" s="26">
        <v>22</v>
      </c>
      <c r="I2142" s="24" t="s">
        <v>21</v>
      </c>
      <c r="J2142" s="36">
        <v>45475</v>
      </c>
      <c r="K2142" s="24" t="s">
        <v>22</v>
      </c>
    </row>
    <row r="2143" spans="1:11" x14ac:dyDescent="0.2">
      <c r="A2143" s="27" t="s">
        <v>5394</v>
      </c>
      <c r="B2143" s="27" t="s">
        <v>5395</v>
      </c>
      <c r="C2143" s="27" t="s">
        <v>331</v>
      </c>
      <c r="D2143" s="27" t="s">
        <v>17</v>
      </c>
      <c r="E2143" s="27" t="s">
        <v>18</v>
      </c>
      <c r="F2143" s="27" t="s">
        <v>19</v>
      </c>
      <c r="G2143" s="27" t="s">
        <v>20</v>
      </c>
      <c r="H2143" s="29">
        <v>128</v>
      </c>
      <c r="I2143" s="27" t="s">
        <v>21</v>
      </c>
      <c r="J2143" s="37">
        <v>45485</v>
      </c>
      <c r="K2143" s="27" t="s">
        <v>22</v>
      </c>
    </row>
    <row r="2144" spans="1:11" x14ac:dyDescent="0.2">
      <c r="A2144" s="24" t="s">
        <v>5396</v>
      </c>
      <c r="B2144" s="24" t="s">
        <v>5397</v>
      </c>
      <c r="C2144" s="24" t="s">
        <v>5398</v>
      </c>
      <c r="D2144" s="24" t="s">
        <v>17</v>
      </c>
      <c r="E2144" s="24" t="s">
        <v>18</v>
      </c>
      <c r="F2144" s="24" t="s">
        <v>19</v>
      </c>
      <c r="G2144" s="24" t="s">
        <v>20</v>
      </c>
      <c r="H2144" s="26">
        <v>84</v>
      </c>
      <c r="I2144" s="24" t="s">
        <v>21</v>
      </c>
      <c r="J2144" s="36">
        <v>45495</v>
      </c>
      <c r="K2144" s="24" t="s">
        <v>22</v>
      </c>
    </row>
    <row r="2145" spans="1:11" x14ac:dyDescent="0.2">
      <c r="A2145" s="27" t="s">
        <v>5399</v>
      </c>
      <c r="B2145" s="27" t="s">
        <v>5400</v>
      </c>
      <c r="C2145" s="27" t="s">
        <v>749</v>
      </c>
      <c r="D2145" s="27" t="s">
        <v>17</v>
      </c>
      <c r="E2145" s="27" t="s">
        <v>42</v>
      </c>
      <c r="F2145" s="27" t="s">
        <v>43</v>
      </c>
      <c r="G2145" s="27" t="s">
        <v>44</v>
      </c>
      <c r="H2145" s="29">
        <v>446</v>
      </c>
      <c r="I2145" s="27" t="s">
        <v>21</v>
      </c>
      <c r="J2145" s="37">
        <v>45495</v>
      </c>
      <c r="K2145" s="27" t="s">
        <v>22</v>
      </c>
    </row>
    <row r="2146" spans="1:11" x14ac:dyDescent="0.2">
      <c r="A2146" s="24" t="s">
        <v>5401</v>
      </c>
      <c r="B2146" s="24" t="s">
        <v>5402</v>
      </c>
      <c r="C2146" s="24" t="s">
        <v>2238</v>
      </c>
      <c r="D2146" s="24" t="s">
        <v>17</v>
      </c>
      <c r="E2146" s="24" t="s">
        <v>18</v>
      </c>
      <c r="F2146" s="24" t="s">
        <v>19</v>
      </c>
      <c r="G2146" s="24" t="s">
        <v>20</v>
      </c>
      <c r="H2146" s="26">
        <v>40</v>
      </c>
      <c r="I2146" s="24" t="s">
        <v>21</v>
      </c>
      <c r="J2146" s="36">
        <v>45504</v>
      </c>
      <c r="K2146" s="24" t="s">
        <v>22</v>
      </c>
    </row>
    <row r="2147" spans="1:11" x14ac:dyDescent="0.2">
      <c r="A2147" s="27" t="s">
        <v>5403</v>
      </c>
      <c r="B2147" s="27" t="s">
        <v>5404</v>
      </c>
      <c r="C2147" s="27" t="s">
        <v>437</v>
      </c>
      <c r="D2147" s="27" t="s">
        <v>17</v>
      </c>
      <c r="E2147" s="27" t="s">
        <v>42</v>
      </c>
      <c r="F2147" s="27" t="s">
        <v>43</v>
      </c>
      <c r="G2147" s="27" t="s">
        <v>28</v>
      </c>
      <c r="H2147" s="29">
        <v>450</v>
      </c>
      <c r="I2147" s="27" t="s">
        <v>29</v>
      </c>
      <c r="J2147" s="37">
        <v>45490</v>
      </c>
      <c r="K2147" s="27" t="s">
        <v>22</v>
      </c>
    </row>
    <row r="2148" spans="1:11" x14ac:dyDescent="0.2">
      <c r="A2148" s="24" t="s">
        <v>5405</v>
      </c>
      <c r="B2148" s="24" t="s">
        <v>5406</v>
      </c>
      <c r="C2148" s="24" t="s">
        <v>55</v>
      </c>
      <c r="D2148" s="24" t="s">
        <v>17</v>
      </c>
      <c r="E2148" s="24" t="s">
        <v>18</v>
      </c>
      <c r="F2148" s="24" t="s">
        <v>19</v>
      </c>
      <c r="G2148" s="24" t="s">
        <v>20</v>
      </c>
      <c r="H2148" s="26">
        <v>28</v>
      </c>
      <c r="I2148" s="24" t="s">
        <v>21</v>
      </c>
      <c r="J2148" s="36">
        <v>45481</v>
      </c>
      <c r="K2148" s="24" t="s">
        <v>22</v>
      </c>
    </row>
    <row r="2149" spans="1:11" x14ac:dyDescent="0.2">
      <c r="A2149" s="27" t="s">
        <v>5407</v>
      </c>
      <c r="B2149" s="27" t="s">
        <v>5408</v>
      </c>
      <c r="C2149" s="27" t="s">
        <v>5409</v>
      </c>
      <c r="D2149" s="27" t="s">
        <v>17</v>
      </c>
      <c r="E2149" s="27" t="s">
        <v>18</v>
      </c>
      <c r="F2149" s="27" t="s">
        <v>19</v>
      </c>
      <c r="G2149" s="27" t="s">
        <v>20</v>
      </c>
      <c r="H2149" s="29">
        <v>60</v>
      </c>
      <c r="I2149" s="27" t="s">
        <v>21</v>
      </c>
      <c r="J2149" s="37">
        <v>45474</v>
      </c>
      <c r="K2149" s="27" t="s">
        <v>22</v>
      </c>
    </row>
    <row r="2150" spans="1:11" x14ac:dyDescent="0.2">
      <c r="A2150" s="24" t="s">
        <v>5410</v>
      </c>
      <c r="B2150" s="24" t="s">
        <v>5411</v>
      </c>
      <c r="C2150" s="24" t="s">
        <v>3199</v>
      </c>
      <c r="D2150" s="24" t="s">
        <v>17</v>
      </c>
      <c r="E2150" s="24" t="s">
        <v>18</v>
      </c>
      <c r="F2150" s="24" t="s">
        <v>19</v>
      </c>
      <c r="G2150" s="24" t="s">
        <v>20</v>
      </c>
      <c r="H2150" s="26">
        <v>16</v>
      </c>
      <c r="I2150" s="24" t="s">
        <v>21</v>
      </c>
      <c r="J2150" s="36">
        <v>45476</v>
      </c>
      <c r="K2150" s="24" t="s">
        <v>22</v>
      </c>
    </row>
    <row r="2151" spans="1:11" x14ac:dyDescent="0.2">
      <c r="A2151" s="27" t="s">
        <v>5412</v>
      </c>
      <c r="B2151" s="27" t="s">
        <v>5413</v>
      </c>
      <c r="C2151" s="27" t="s">
        <v>5414</v>
      </c>
      <c r="D2151" s="27" t="s">
        <v>17</v>
      </c>
      <c r="E2151" s="27" t="s">
        <v>42</v>
      </c>
      <c r="F2151" s="27" t="s">
        <v>43</v>
      </c>
      <c r="G2151" s="27" t="s">
        <v>44</v>
      </c>
      <c r="H2151" s="29">
        <v>270</v>
      </c>
      <c r="I2151" s="27" t="s">
        <v>21</v>
      </c>
      <c r="J2151" s="37">
        <v>45483</v>
      </c>
      <c r="K2151" s="27" t="s">
        <v>22</v>
      </c>
    </row>
    <row r="2152" spans="1:11" x14ac:dyDescent="0.2">
      <c r="A2152" s="24" t="s">
        <v>5415</v>
      </c>
      <c r="B2152" s="24" t="s">
        <v>5416</v>
      </c>
      <c r="C2152" s="24" t="s">
        <v>5417</v>
      </c>
      <c r="D2152" s="24" t="s">
        <v>17</v>
      </c>
      <c r="E2152" s="24" t="s">
        <v>26</v>
      </c>
      <c r="F2152" s="24" t="s">
        <v>27</v>
      </c>
      <c r="G2152" s="24" t="s">
        <v>217</v>
      </c>
      <c r="H2152" s="26">
        <v>96</v>
      </c>
      <c r="I2152" s="24" t="s">
        <v>29</v>
      </c>
      <c r="J2152" s="36">
        <v>45502</v>
      </c>
      <c r="K2152" s="24" t="s">
        <v>22</v>
      </c>
    </row>
    <row r="2153" spans="1:11" x14ac:dyDescent="0.2">
      <c r="A2153" s="27" t="s">
        <v>5418</v>
      </c>
      <c r="B2153" s="27" t="s">
        <v>5419</v>
      </c>
      <c r="C2153" s="27" t="s">
        <v>5420</v>
      </c>
      <c r="D2153" s="27" t="s">
        <v>17</v>
      </c>
      <c r="E2153" s="27" t="s">
        <v>18</v>
      </c>
      <c r="F2153" s="27" t="s">
        <v>19</v>
      </c>
      <c r="G2153" s="27" t="s">
        <v>28</v>
      </c>
      <c r="H2153" s="29">
        <v>72</v>
      </c>
      <c r="I2153" s="27" t="s">
        <v>29</v>
      </c>
      <c r="J2153" s="37">
        <v>45484</v>
      </c>
      <c r="K2153" s="27" t="s">
        <v>22</v>
      </c>
    </row>
    <row r="2154" spans="1:11" x14ac:dyDescent="0.2">
      <c r="A2154" s="24" t="s">
        <v>5421</v>
      </c>
      <c r="B2154" s="24" t="s">
        <v>5422</v>
      </c>
      <c r="C2154" s="24" t="s">
        <v>5423</v>
      </c>
      <c r="D2154" s="24" t="s">
        <v>17</v>
      </c>
      <c r="E2154" s="24" t="s">
        <v>48</v>
      </c>
      <c r="F2154" s="24" t="s">
        <v>49</v>
      </c>
      <c r="G2154" s="24" t="s">
        <v>44</v>
      </c>
      <c r="H2154" s="26">
        <v>273</v>
      </c>
      <c r="I2154" s="24" t="s">
        <v>29</v>
      </c>
      <c r="J2154" s="36">
        <v>45499</v>
      </c>
      <c r="K2154" s="24" t="s">
        <v>22</v>
      </c>
    </row>
    <row r="2155" spans="1:11" x14ac:dyDescent="0.2">
      <c r="A2155" s="27" t="s">
        <v>5424</v>
      </c>
      <c r="B2155" s="27" t="s">
        <v>5425</v>
      </c>
      <c r="C2155" s="27" t="s">
        <v>1470</v>
      </c>
      <c r="D2155" s="27" t="s">
        <v>17</v>
      </c>
      <c r="E2155" s="27" t="s">
        <v>48</v>
      </c>
      <c r="F2155" s="27" t="s">
        <v>49</v>
      </c>
      <c r="G2155" s="27" t="s">
        <v>20</v>
      </c>
      <c r="H2155" s="29">
        <v>44</v>
      </c>
      <c r="I2155" s="27" t="s">
        <v>21</v>
      </c>
      <c r="J2155" s="37">
        <v>45475</v>
      </c>
      <c r="K2155" s="27" t="s">
        <v>22</v>
      </c>
    </row>
    <row r="2156" spans="1:11" x14ac:dyDescent="0.2">
      <c r="A2156" s="24" t="s">
        <v>5426</v>
      </c>
      <c r="B2156" s="24" t="s">
        <v>5427</v>
      </c>
      <c r="C2156" s="24" t="s">
        <v>2679</v>
      </c>
      <c r="D2156" s="24" t="s">
        <v>17</v>
      </c>
      <c r="E2156" s="24" t="s">
        <v>18</v>
      </c>
      <c r="F2156" s="24" t="s">
        <v>19</v>
      </c>
      <c r="G2156" s="24" t="s">
        <v>28</v>
      </c>
      <c r="H2156" s="26">
        <v>24</v>
      </c>
      <c r="I2156" s="24" t="s">
        <v>29</v>
      </c>
      <c r="J2156" s="36">
        <v>45498</v>
      </c>
      <c r="K2156" s="24" t="s">
        <v>22</v>
      </c>
    </row>
    <row r="2157" spans="1:11" x14ac:dyDescent="0.2">
      <c r="A2157" s="27" t="s">
        <v>5428</v>
      </c>
      <c r="B2157" s="27" t="s">
        <v>5429</v>
      </c>
      <c r="C2157" s="27" t="s">
        <v>687</v>
      </c>
      <c r="D2157" s="27" t="s">
        <v>17</v>
      </c>
      <c r="E2157" s="27" t="s">
        <v>18</v>
      </c>
      <c r="F2157" s="27" t="s">
        <v>19</v>
      </c>
      <c r="G2157" s="27" t="s">
        <v>20</v>
      </c>
      <c r="H2157" s="29">
        <v>47</v>
      </c>
      <c r="I2157" s="27" t="s">
        <v>21</v>
      </c>
      <c r="J2157" s="37">
        <v>45491</v>
      </c>
      <c r="K2157" s="27" t="s">
        <v>22</v>
      </c>
    </row>
    <row r="2158" spans="1:11" x14ac:dyDescent="0.2">
      <c r="A2158" s="24" t="s">
        <v>5430</v>
      </c>
      <c r="B2158" s="24" t="s">
        <v>5431</v>
      </c>
      <c r="C2158" s="24" t="s">
        <v>5432</v>
      </c>
      <c r="D2158" s="24" t="s">
        <v>17</v>
      </c>
      <c r="E2158" s="24" t="s">
        <v>81</v>
      </c>
      <c r="F2158" s="24" t="s">
        <v>82</v>
      </c>
      <c r="G2158" s="24" t="s">
        <v>28</v>
      </c>
      <c r="H2158" s="26">
        <v>70</v>
      </c>
      <c r="I2158" s="24" t="s">
        <v>29</v>
      </c>
      <c r="J2158" s="36">
        <v>45503</v>
      </c>
      <c r="K2158" s="24" t="s">
        <v>22</v>
      </c>
    </row>
    <row r="2159" spans="1:11" x14ac:dyDescent="0.2">
      <c r="A2159" s="27" t="s">
        <v>5433</v>
      </c>
      <c r="B2159" s="27" t="s">
        <v>5434</v>
      </c>
      <c r="C2159" s="27" t="s">
        <v>1729</v>
      </c>
      <c r="D2159" s="27" t="s">
        <v>17</v>
      </c>
      <c r="E2159" s="27" t="s">
        <v>18</v>
      </c>
      <c r="F2159" s="27" t="s">
        <v>19</v>
      </c>
      <c r="G2159" s="27" t="s">
        <v>20</v>
      </c>
      <c r="H2159" s="29">
        <v>43</v>
      </c>
      <c r="I2159" s="27" t="s">
        <v>21</v>
      </c>
      <c r="J2159" s="37">
        <v>45497</v>
      </c>
      <c r="K2159" s="27" t="s">
        <v>22</v>
      </c>
    </row>
    <row r="2160" spans="1:11" x14ac:dyDescent="0.2">
      <c r="A2160" s="24" t="s">
        <v>5435</v>
      </c>
      <c r="B2160" s="24" t="s">
        <v>5436</v>
      </c>
      <c r="C2160" s="24" t="s">
        <v>197</v>
      </c>
      <c r="D2160" s="24" t="s">
        <v>17</v>
      </c>
      <c r="E2160" s="24" t="s">
        <v>42</v>
      </c>
      <c r="F2160" s="24" t="s">
        <v>43</v>
      </c>
      <c r="G2160" s="24" t="s">
        <v>28</v>
      </c>
      <c r="H2160" s="26">
        <v>540</v>
      </c>
      <c r="I2160" s="24" t="s">
        <v>29</v>
      </c>
      <c r="J2160" s="36">
        <v>45504</v>
      </c>
      <c r="K2160" s="24" t="s">
        <v>22</v>
      </c>
    </row>
    <row r="2161" spans="1:11" x14ac:dyDescent="0.2">
      <c r="A2161" s="27" t="s">
        <v>5437</v>
      </c>
      <c r="B2161" s="27" t="s">
        <v>5438</v>
      </c>
      <c r="C2161" s="27" t="s">
        <v>5439</v>
      </c>
      <c r="D2161" s="27" t="s">
        <v>17</v>
      </c>
      <c r="E2161" s="27" t="s">
        <v>26</v>
      </c>
      <c r="F2161" s="27" t="s">
        <v>27</v>
      </c>
      <c r="G2161" s="27" t="s">
        <v>28</v>
      </c>
      <c r="H2161" s="29">
        <v>24</v>
      </c>
      <c r="I2161" s="27" t="s">
        <v>29</v>
      </c>
      <c r="J2161" s="37">
        <v>45492</v>
      </c>
      <c r="K2161" s="27" t="s">
        <v>22</v>
      </c>
    </row>
    <row r="2162" spans="1:11" x14ac:dyDescent="0.2">
      <c r="A2162" s="24" t="s">
        <v>5440</v>
      </c>
      <c r="B2162" s="24" t="s">
        <v>5441</v>
      </c>
      <c r="C2162" s="24" t="s">
        <v>134</v>
      </c>
      <c r="D2162" s="24" t="s">
        <v>17</v>
      </c>
      <c r="E2162" s="24" t="s">
        <v>26</v>
      </c>
      <c r="F2162" s="24" t="s">
        <v>27</v>
      </c>
      <c r="G2162" s="24" t="s">
        <v>28</v>
      </c>
      <c r="H2162" s="26">
        <v>184</v>
      </c>
      <c r="I2162" s="24" t="s">
        <v>29</v>
      </c>
      <c r="J2162" s="36">
        <v>45490</v>
      </c>
      <c r="K2162" s="24" t="s">
        <v>22</v>
      </c>
    </row>
    <row r="2163" spans="1:11" x14ac:dyDescent="0.2">
      <c r="A2163" s="27" t="s">
        <v>5442</v>
      </c>
      <c r="B2163" s="27" t="s">
        <v>5443</v>
      </c>
      <c r="C2163" s="27" t="s">
        <v>2484</v>
      </c>
      <c r="D2163" s="27" t="s">
        <v>17</v>
      </c>
      <c r="E2163" s="27" t="s">
        <v>18</v>
      </c>
      <c r="F2163" s="27" t="s">
        <v>19</v>
      </c>
      <c r="G2163" s="27" t="s">
        <v>20</v>
      </c>
      <c r="H2163" s="29">
        <v>40</v>
      </c>
      <c r="I2163" s="27" t="s">
        <v>21</v>
      </c>
      <c r="J2163" s="37">
        <v>45474</v>
      </c>
      <c r="K2163" s="27" t="s">
        <v>22</v>
      </c>
    </row>
    <row r="2164" spans="1:11" x14ac:dyDescent="0.2">
      <c r="A2164" s="24" t="s">
        <v>5444</v>
      </c>
      <c r="B2164" s="24" t="s">
        <v>5445</v>
      </c>
      <c r="C2164" s="24" t="s">
        <v>2461</v>
      </c>
      <c r="D2164" s="24" t="s">
        <v>17</v>
      </c>
      <c r="E2164" s="24" t="s">
        <v>26</v>
      </c>
      <c r="F2164" s="24" t="s">
        <v>27</v>
      </c>
      <c r="G2164" s="24" t="s">
        <v>28</v>
      </c>
      <c r="H2164" s="26">
        <v>407</v>
      </c>
      <c r="I2164" s="24" t="s">
        <v>29</v>
      </c>
      <c r="J2164" s="36">
        <v>45482</v>
      </c>
      <c r="K2164" s="24" t="s">
        <v>22</v>
      </c>
    </row>
    <row r="2165" spans="1:11" x14ac:dyDescent="0.2">
      <c r="A2165" s="27" t="s">
        <v>5446</v>
      </c>
      <c r="B2165" s="27" t="s">
        <v>5447</v>
      </c>
      <c r="C2165" s="27" t="s">
        <v>5448</v>
      </c>
      <c r="D2165" s="27" t="s">
        <v>17</v>
      </c>
      <c r="E2165" s="27" t="s">
        <v>26</v>
      </c>
      <c r="F2165" s="27" t="s">
        <v>27</v>
      </c>
      <c r="G2165" s="27" t="s">
        <v>20</v>
      </c>
      <c r="H2165" s="29">
        <v>50</v>
      </c>
      <c r="I2165" s="27" t="s">
        <v>21</v>
      </c>
      <c r="J2165" s="37">
        <v>45502</v>
      </c>
      <c r="K2165" s="27" t="s">
        <v>22</v>
      </c>
    </row>
    <row r="2166" spans="1:11" x14ac:dyDescent="0.2">
      <c r="A2166" s="24" t="s">
        <v>5449</v>
      </c>
      <c r="B2166" s="24" t="s">
        <v>5450</v>
      </c>
      <c r="C2166" s="24" t="s">
        <v>2426</v>
      </c>
      <c r="D2166" s="24" t="s">
        <v>17</v>
      </c>
      <c r="E2166" s="24" t="s">
        <v>48</v>
      </c>
      <c r="F2166" s="24" t="s">
        <v>49</v>
      </c>
      <c r="G2166" s="24" t="s">
        <v>20</v>
      </c>
      <c r="H2166" s="26">
        <v>93</v>
      </c>
      <c r="I2166" s="24" t="s">
        <v>21</v>
      </c>
      <c r="J2166" s="36">
        <v>45499</v>
      </c>
      <c r="K2166" s="24" t="s">
        <v>22</v>
      </c>
    </row>
    <row r="2167" spans="1:11" x14ac:dyDescent="0.2">
      <c r="A2167" s="27" t="s">
        <v>5451</v>
      </c>
      <c r="B2167" s="27" t="s">
        <v>5452</v>
      </c>
      <c r="C2167" s="27" t="s">
        <v>5453</v>
      </c>
      <c r="D2167" s="27" t="s">
        <v>17</v>
      </c>
      <c r="E2167" s="27" t="s">
        <v>18</v>
      </c>
      <c r="F2167" s="27" t="s">
        <v>19</v>
      </c>
      <c r="G2167" s="27" t="s">
        <v>217</v>
      </c>
      <c r="H2167" s="29">
        <v>36</v>
      </c>
      <c r="I2167" s="27" t="s">
        <v>29</v>
      </c>
      <c r="J2167" s="37">
        <v>45474</v>
      </c>
      <c r="K2167" s="27" t="s">
        <v>22</v>
      </c>
    </row>
    <row r="2168" spans="1:11" x14ac:dyDescent="0.2">
      <c r="A2168" s="24" t="s">
        <v>5454</v>
      </c>
      <c r="B2168" s="24" t="s">
        <v>5455</v>
      </c>
      <c r="C2168" s="24" t="s">
        <v>792</v>
      </c>
      <c r="D2168" s="24" t="s">
        <v>17</v>
      </c>
      <c r="E2168" s="24" t="s">
        <v>26</v>
      </c>
      <c r="F2168" s="24" t="s">
        <v>27</v>
      </c>
      <c r="G2168" s="24" t="s">
        <v>28</v>
      </c>
      <c r="H2168" s="26">
        <v>123</v>
      </c>
      <c r="I2168" s="24" t="s">
        <v>29</v>
      </c>
      <c r="J2168" s="36">
        <v>45495</v>
      </c>
      <c r="K2168" s="24" t="s">
        <v>22</v>
      </c>
    </row>
    <row r="2169" spans="1:11" x14ac:dyDescent="0.2">
      <c r="A2169" s="27" t="s">
        <v>5456</v>
      </c>
      <c r="B2169" s="27" t="s">
        <v>5457</v>
      </c>
      <c r="C2169" s="27" t="s">
        <v>319</v>
      </c>
      <c r="D2169" s="27" t="s">
        <v>17</v>
      </c>
      <c r="E2169" s="27" t="s">
        <v>48</v>
      </c>
      <c r="F2169" s="27" t="s">
        <v>49</v>
      </c>
      <c r="G2169" s="27" t="s">
        <v>227</v>
      </c>
      <c r="H2169" s="29">
        <v>84</v>
      </c>
      <c r="I2169" s="27" t="s">
        <v>29</v>
      </c>
      <c r="J2169" s="37">
        <v>45498</v>
      </c>
      <c r="K2169" s="27" t="s">
        <v>22</v>
      </c>
    </row>
    <row r="2170" spans="1:11" x14ac:dyDescent="0.2">
      <c r="A2170" s="24" t="s">
        <v>5458</v>
      </c>
      <c r="B2170" s="24" t="s">
        <v>5459</v>
      </c>
      <c r="C2170" s="24" t="s">
        <v>298</v>
      </c>
      <c r="D2170" s="24" t="s">
        <v>17</v>
      </c>
      <c r="E2170" s="24" t="s">
        <v>18</v>
      </c>
      <c r="F2170" s="24" t="s">
        <v>19</v>
      </c>
      <c r="G2170" s="24" t="s">
        <v>28</v>
      </c>
      <c r="H2170" s="26">
        <v>154</v>
      </c>
      <c r="I2170" s="24" t="s">
        <v>29</v>
      </c>
      <c r="J2170" s="36">
        <v>45499</v>
      </c>
      <c r="K2170" s="24" t="s">
        <v>22</v>
      </c>
    </row>
    <row r="2171" spans="1:11" x14ac:dyDescent="0.2">
      <c r="A2171" s="27" t="s">
        <v>5460</v>
      </c>
      <c r="B2171" s="27" t="s">
        <v>5461</v>
      </c>
      <c r="C2171" s="27" t="s">
        <v>2197</v>
      </c>
      <c r="D2171" s="27" t="s">
        <v>17</v>
      </c>
      <c r="E2171" s="27" t="s">
        <v>42</v>
      </c>
      <c r="F2171" s="27" t="s">
        <v>43</v>
      </c>
      <c r="G2171" s="27" t="s">
        <v>20</v>
      </c>
      <c r="H2171" s="29">
        <v>262</v>
      </c>
      <c r="I2171" s="27" t="s">
        <v>21</v>
      </c>
      <c r="J2171" s="37">
        <v>45481</v>
      </c>
      <c r="K2171" s="27" t="s">
        <v>22</v>
      </c>
    </row>
    <row r="2172" spans="1:11" x14ac:dyDescent="0.2">
      <c r="A2172" s="24" t="s">
        <v>5462</v>
      </c>
      <c r="B2172" s="24" t="s">
        <v>5463</v>
      </c>
      <c r="C2172" s="24" t="s">
        <v>85</v>
      </c>
      <c r="D2172" s="24" t="s">
        <v>17</v>
      </c>
      <c r="E2172" s="24" t="s">
        <v>18</v>
      </c>
      <c r="F2172" s="24" t="s">
        <v>19</v>
      </c>
      <c r="G2172" s="24" t="s">
        <v>20</v>
      </c>
      <c r="H2172" s="26">
        <v>60</v>
      </c>
      <c r="I2172" s="24" t="s">
        <v>21</v>
      </c>
      <c r="J2172" s="36">
        <v>45496</v>
      </c>
      <c r="K2172" s="24" t="s">
        <v>22</v>
      </c>
    </row>
    <row r="2173" spans="1:11" x14ac:dyDescent="0.2">
      <c r="A2173" s="27" t="s">
        <v>5464</v>
      </c>
      <c r="B2173" s="27" t="s">
        <v>5465</v>
      </c>
      <c r="C2173" s="27" t="s">
        <v>5466</v>
      </c>
      <c r="D2173" s="27" t="s">
        <v>17</v>
      </c>
      <c r="E2173" s="27" t="s">
        <v>26</v>
      </c>
      <c r="F2173" s="27" t="s">
        <v>27</v>
      </c>
      <c r="G2173" s="27" t="s">
        <v>28</v>
      </c>
      <c r="H2173" s="29">
        <v>15</v>
      </c>
      <c r="I2173" s="27" t="s">
        <v>29</v>
      </c>
      <c r="J2173" s="37">
        <v>45475</v>
      </c>
      <c r="K2173" s="27" t="s">
        <v>22</v>
      </c>
    </row>
    <row r="2174" spans="1:11" x14ac:dyDescent="0.2">
      <c r="A2174" s="24" t="s">
        <v>5467</v>
      </c>
      <c r="B2174" s="24" t="s">
        <v>5468</v>
      </c>
      <c r="C2174" s="24" t="s">
        <v>55</v>
      </c>
      <c r="D2174" s="24" t="s">
        <v>17</v>
      </c>
      <c r="E2174" s="24" t="s">
        <v>18</v>
      </c>
      <c r="F2174" s="24" t="s">
        <v>19</v>
      </c>
      <c r="G2174" s="24" t="s">
        <v>28</v>
      </c>
      <c r="H2174" s="26">
        <v>32</v>
      </c>
      <c r="I2174" s="24" t="s">
        <v>29</v>
      </c>
      <c r="J2174" s="36">
        <v>45497</v>
      </c>
      <c r="K2174" s="24" t="s">
        <v>22</v>
      </c>
    </row>
    <row r="2175" spans="1:11" x14ac:dyDescent="0.2">
      <c r="A2175" s="27" t="s">
        <v>5469</v>
      </c>
      <c r="B2175" s="27" t="s">
        <v>5470</v>
      </c>
      <c r="C2175" s="27" t="s">
        <v>5471</v>
      </c>
      <c r="D2175" s="27" t="s">
        <v>17</v>
      </c>
      <c r="E2175" s="27" t="s">
        <v>26</v>
      </c>
      <c r="F2175" s="27" t="s">
        <v>27</v>
      </c>
      <c r="G2175" s="27" t="s">
        <v>28</v>
      </c>
      <c r="H2175" s="29">
        <v>12</v>
      </c>
      <c r="I2175" s="27" t="s">
        <v>29</v>
      </c>
      <c r="J2175" s="37">
        <v>45478</v>
      </c>
      <c r="K2175" s="27" t="s">
        <v>22</v>
      </c>
    </row>
    <row r="2176" spans="1:11" x14ac:dyDescent="0.2">
      <c r="A2176" s="24" t="s">
        <v>5472</v>
      </c>
      <c r="B2176" s="24" t="s">
        <v>5473</v>
      </c>
      <c r="C2176" s="24" t="s">
        <v>5474</v>
      </c>
      <c r="D2176" s="24" t="s">
        <v>17</v>
      </c>
      <c r="E2176" s="24" t="s">
        <v>18</v>
      </c>
      <c r="F2176" s="24" t="s">
        <v>19</v>
      </c>
      <c r="G2176" s="24" t="s">
        <v>20</v>
      </c>
      <c r="H2176" s="26">
        <v>72</v>
      </c>
      <c r="I2176" s="24" t="s">
        <v>21</v>
      </c>
      <c r="J2176" s="36">
        <v>45488</v>
      </c>
      <c r="K2176" s="24" t="s">
        <v>22</v>
      </c>
    </row>
    <row r="2177" spans="1:11" x14ac:dyDescent="0.2">
      <c r="A2177" s="27" t="s">
        <v>5475</v>
      </c>
      <c r="B2177" s="27" t="s">
        <v>5476</v>
      </c>
      <c r="C2177" s="27" t="s">
        <v>5477</v>
      </c>
      <c r="D2177" s="27" t="s">
        <v>17</v>
      </c>
      <c r="E2177" s="27" t="s">
        <v>42</v>
      </c>
      <c r="F2177" s="27" t="s">
        <v>43</v>
      </c>
      <c r="G2177" s="27" t="s">
        <v>44</v>
      </c>
      <c r="H2177" s="29">
        <v>6600</v>
      </c>
      <c r="I2177" s="27" t="s">
        <v>21</v>
      </c>
      <c r="J2177" s="37">
        <v>45500</v>
      </c>
      <c r="K2177" s="27" t="s">
        <v>22</v>
      </c>
    </row>
    <row r="2178" spans="1:11" x14ac:dyDescent="0.2">
      <c r="A2178" s="24" t="s">
        <v>5478</v>
      </c>
      <c r="B2178" s="24" t="s">
        <v>5479</v>
      </c>
      <c r="C2178" s="24" t="s">
        <v>5480</v>
      </c>
      <c r="D2178" s="24" t="s">
        <v>17</v>
      </c>
      <c r="E2178" s="24" t="s">
        <v>26</v>
      </c>
      <c r="F2178" s="24" t="s">
        <v>27</v>
      </c>
      <c r="G2178" s="24" t="s">
        <v>28</v>
      </c>
      <c r="H2178" s="26">
        <v>240</v>
      </c>
      <c r="I2178" s="24" t="s">
        <v>29</v>
      </c>
      <c r="J2178" s="36">
        <v>45474</v>
      </c>
      <c r="K2178" s="24" t="s">
        <v>22</v>
      </c>
    </row>
    <row r="2179" spans="1:11" x14ac:dyDescent="0.2">
      <c r="A2179" s="27" t="s">
        <v>5481</v>
      </c>
      <c r="B2179" s="27" t="s">
        <v>5482</v>
      </c>
      <c r="C2179" s="27" t="s">
        <v>2048</v>
      </c>
      <c r="D2179" s="27" t="s">
        <v>17</v>
      </c>
      <c r="E2179" s="27" t="s">
        <v>18</v>
      </c>
      <c r="F2179" s="27" t="s">
        <v>19</v>
      </c>
      <c r="G2179" s="27" t="s">
        <v>217</v>
      </c>
      <c r="H2179" s="29">
        <v>27</v>
      </c>
      <c r="I2179" s="27" t="s">
        <v>29</v>
      </c>
      <c r="J2179" s="37">
        <v>45483</v>
      </c>
      <c r="K2179" s="27" t="s">
        <v>22</v>
      </c>
    </row>
    <row r="2180" spans="1:11" x14ac:dyDescent="0.2">
      <c r="A2180" s="24" t="s">
        <v>5483</v>
      </c>
      <c r="B2180" s="24" t="s">
        <v>5484</v>
      </c>
      <c r="C2180" s="24" t="s">
        <v>5485</v>
      </c>
      <c r="D2180" s="24" t="s">
        <v>17</v>
      </c>
      <c r="E2180" s="24" t="s">
        <v>42</v>
      </c>
      <c r="F2180" s="24" t="s">
        <v>43</v>
      </c>
      <c r="G2180" s="24" t="s">
        <v>44</v>
      </c>
      <c r="H2180" s="26">
        <v>202</v>
      </c>
      <c r="I2180" s="24" t="s">
        <v>21</v>
      </c>
      <c r="J2180" s="36">
        <v>45503</v>
      </c>
      <c r="K2180" s="24" t="s">
        <v>22</v>
      </c>
    </row>
    <row r="2181" spans="1:11" x14ac:dyDescent="0.2">
      <c r="A2181" s="27" t="s">
        <v>5486</v>
      </c>
      <c r="B2181" s="27" t="s">
        <v>5487</v>
      </c>
      <c r="C2181" s="27" t="s">
        <v>5488</v>
      </c>
      <c r="D2181" s="27" t="s">
        <v>17</v>
      </c>
      <c r="E2181" s="27" t="s">
        <v>42</v>
      </c>
      <c r="F2181" s="27" t="s">
        <v>43</v>
      </c>
      <c r="G2181" s="27" t="s">
        <v>28</v>
      </c>
      <c r="H2181" s="29">
        <v>734</v>
      </c>
      <c r="I2181" s="27" t="s">
        <v>29</v>
      </c>
      <c r="J2181" s="37">
        <v>45504</v>
      </c>
      <c r="K2181" s="27" t="s">
        <v>22</v>
      </c>
    </row>
    <row r="2182" spans="1:11" x14ac:dyDescent="0.2">
      <c r="A2182" s="24" t="s">
        <v>5489</v>
      </c>
      <c r="B2182" s="24" t="s">
        <v>5490</v>
      </c>
      <c r="C2182" s="24" t="s">
        <v>780</v>
      </c>
      <c r="D2182" s="24" t="s">
        <v>17</v>
      </c>
      <c r="E2182" s="24" t="s">
        <v>18</v>
      </c>
      <c r="F2182" s="24" t="s">
        <v>19</v>
      </c>
      <c r="G2182" s="24" t="s">
        <v>28</v>
      </c>
      <c r="H2182" s="26">
        <v>60</v>
      </c>
      <c r="I2182" s="24" t="s">
        <v>29</v>
      </c>
      <c r="J2182" s="36">
        <v>45484</v>
      </c>
      <c r="K2182" s="24" t="s">
        <v>22</v>
      </c>
    </row>
    <row r="2183" spans="1:11" x14ac:dyDescent="0.2">
      <c r="A2183" s="27" t="s">
        <v>5491</v>
      </c>
      <c r="B2183" s="27" t="s">
        <v>5492</v>
      </c>
      <c r="C2183" s="27" t="s">
        <v>5493</v>
      </c>
      <c r="D2183" s="27" t="s">
        <v>17</v>
      </c>
      <c r="E2183" s="27" t="s">
        <v>42</v>
      </c>
      <c r="F2183" s="27" t="s">
        <v>43</v>
      </c>
      <c r="G2183" s="27" t="s">
        <v>44</v>
      </c>
      <c r="H2183" s="29">
        <v>9000</v>
      </c>
      <c r="I2183" s="27" t="s">
        <v>21</v>
      </c>
      <c r="J2183" s="37">
        <v>45484</v>
      </c>
      <c r="K2183" s="27" t="s">
        <v>22</v>
      </c>
    </row>
    <row r="2184" spans="1:11" x14ac:dyDescent="0.2">
      <c r="A2184" s="24" t="s">
        <v>5494</v>
      </c>
      <c r="B2184" s="24" t="s">
        <v>5495</v>
      </c>
      <c r="C2184" s="24" t="s">
        <v>494</v>
      </c>
      <c r="D2184" s="24" t="s">
        <v>17</v>
      </c>
      <c r="E2184" s="24" t="s">
        <v>48</v>
      </c>
      <c r="F2184" s="24" t="s">
        <v>49</v>
      </c>
      <c r="G2184" s="24" t="s">
        <v>28</v>
      </c>
      <c r="H2184" s="26">
        <v>120</v>
      </c>
      <c r="I2184" s="24" t="s">
        <v>29</v>
      </c>
      <c r="J2184" s="36">
        <v>45489</v>
      </c>
      <c r="K2184" s="24" t="s">
        <v>22</v>
      </c>
    </row>
    <row r="2185" spans="1:11" x14ac:dyDescent="0.2">
      <c r="A2185" s="27" t="s">
        <v>5496</v>
      </c>
      <c r="B2185" s="27" t="s">
        <v>5497</v>
      </c>
      <c r="C2185" s="27" t="s">
        <v>429</v>
      </c>
      <c r="D2185" s="27" t="s">
        <v>17</v>
      </c>
      <c r="E2185" s="27" t="s">
        <v>48</v>
      </c>
      <c r="F2185" s="27" t="s">
        <v>49</v>
      </c>
      <c r="G2185" s="27" t="s">
        <v>20</v>
      </c>
      <c r="H2185" s="29">
        <v>84</v>
      </c>
      <c r="I2185" s="27" t="s">
        <v>21</v>
      </c>
      <c r="J2185" s="37">
        <v>45483</v>
      </c>
      <c r="K2185" s="27" t="s">
        <v>22</v>
      </c>
    </row>
    <row r="2186" spans="1:11" x14ac:dyDescent="0.2">
      <c r="A2186" s="24" t="s">
        <v>5498</v>
      </c>
      <c r="B2186" s="24" t="s">
        <v>5499</v>
      </c>
      <c r="C2186" s="24" t="s">
        <v>5500</v>
      </c>
      <c r="D2186" s="24" t="s">
        <v>17</v>
      </c>
      <c r="E2186" s="24" t="s">
        <v>42</v>
      </c>
      <c r="F2186" s="24" t="s">
        <v>43</v>
      </c>
      <c r="G2186" s="24" t="s">
        <v>217</v>
      </c>
      <c r="H2186" s="26">
        <v>48</v>
      </c>
      <c r="I2186" s="24" t="s">
        <v>29</v>
      </c>
      <c r="J2186" s="36">
        <v>45488</v>
      </c>
      <c r="K2186" s="24" t="s">
        <v>22</v>
      </c>
    </row>
    <row r="2187" spans="1:11" x14ac:dyDescent="0.2">
      <c r="A2187" s="27" t="s">
        <v>5501</v>
      </c>
      <c r="B2187" s="27" t="s">
        <v>5502</v>
      </c>
      <c r="C2187" s="27" t="s">
        <v>4379</v>
      </c>
      <c r="D2187" s="27" t="s">
        <v>17</v>
      </c>
      <c r="E2187" s="27" t="s">
        <v>18</v>
      </c>
      <c r="F2187" s="27" t="s">
        <v>19</v>
      </c>
      <c r="G2187" s="27" t="s">
        <v>28</v>
      </c>
      <c r="H2187" s="29">
        <v>12</v>
      </c>
      <c r="I2187" s="27" t="s">
        <v>29</v>
      </c>
      <c r="J2187" s="37">
        <v>45483</v>
      </c>
      <c r="K2187" s="27" t="s">
        <v>22</v>
      </c>
    </row>
    <row r="2188" spans="1:11" x14ac:dyDescent="0.2">
      <c r="A2188" s="24" t="s">
        <v>5503</v>
      </c>
      <c r="B2188" s="24" t="s">
        <v>5504</v>
      </c>
      <c r="C2188" s="24" t="s">
        <v>5505</v>
      </c>
      <c r="D2188" s="24" t="s">
        <v>17</v>
      </c>
      <c r="E2188" s="24" t="s">
        <v>18</v>
      </c>
      <c r="F2188" s="24" t="s">
        <v>19</v>
      </c>
      <c r="G2188" s="24" t="s">
        <v>20</v>
      </c>
      <c r="H2188" s="26">
        <v>40</v>
      </c>
      <c r="I2188" s="24" t="s">
        <v>21</v>
      </c>
      <c r="J2188" s="36">
        <v>45495</v>
      </c>
      <c r="K2188" s="24" t="s">
        <v>22</v>
      </c>
    </row>
    <row r="2189" spans="1:11" x14ac:dyDescent="0.2">
      <c r="A2189" s="27" t="s">
        <v>5506</v>
      </c>
      <c r="B2189" s="27" t="s">
        <v>5507</v>
      </c>
      <c r="C2189" s="27" t="s">
        <v>1883</v>
      </c>
      <c r="D2189" s="27" t="s">
        <v>17</v>
      </c>
      <c r="E2189" s="27" t="s">
        <v>18</v>
      </c>
      <c r="F2189" s="27" t="s">
        <v>19</v>
      </c>
      <c r="G2189" s="27" t="s">
        <v>217</v>
      </c>
      <c r="H2189" s="29">
        <v>72</v>
      </c>
      <c r="I2189" s="27" t="s">
        <v>29</v>
      </c>
      <c r="J2189" s="37">
        <v>45501</v>
      </c>
      <c r="K2189" s="27" t="s">
        <v>22</v>
      </c>
    </row>
    <row r="2190" spans="1:11" x14ac:dyDescent="0.2">
      <c r="A2190" s="24" t="s">
        <v>5508</v>
      </c>
      <c r="B2190" s="24" t="s">
        <v>5509</v>
      </c>
      <c r="C2190" s="24" t="s">
        <v>5510</v>
      </c>
      <c r="D2190" s="24" t="s">
        <v>17</v>
      </c>
      <c r="E2190" s="24" t="s">
        <v>33</v>
      </c>
      <c r="F2190" s="24" t="s">
        <v>34</v>
      </c>
      <c r="G2190" s="24" t="s">
        <v>44</v>
      </c>
      <c r="H2190" s="26">
        <v>60</v>
      </c>
      <c r="I2190" s="24" t="s">
        <v>29</v>
      </c>
      <c r="J2190" s="36">
        <v>45504</v>
      </c>
      <c r="K2190" s="24" t="s">
        <v>22</v>
      </c>
    </row>
    <row r="2191" spans="1:11" x14ac:dyDescent="0.2">
      <c r="A2191" s="27" t="s">
        <v>5511</v>
      </c>
      <c r="B2191" s="27" t="s">
        <v>5512</v>
      </c>
      <c r="C2191" s="27" t="s">
        <v>5513</v>
      </c>
      <c r="D2191" s="27" t="s">
        <v>17</v>
      </c>
      <c r="E2191" s="27" t="s">
        <v>48</v>
      </c>
      <c r="F2191" s="27" t="s">
        <v>49</v>
      </c>
      <c r="G2191" s="27" t="s">
        <v>28</v>
      </c>
      <c r="H2191" s="29">
        <v>96</v>
      </c>
      <c r="I2191" s="27" t="s">
        <v>29</v>
      </c>
      <c r="J2191" s="37">
        <v>45475</v>
      </c>
      <c r="K2191" s="27" t="s">
        <v>22</v>
      </c>
    </row>
    <row r="2192" spans="1:11" x14ac:dyDescent="0.2">
      <c r="A2192" s="24" t="s">
        <v>5514</v>
      </c>
      <c r="B2192" s="24" t="s">
        <v>5515</v>
      </c>
      <c r="C2192" s="24" t="s">
        <v>4128</v>
      </c>
      <c r="D2192" s="24" t="s">
        <v>17</v>
      </c>
      <c r="E2192" s="24" t="s">
        <v>48</v>
      </c>
      <c r="F2192" s="24" t="s">
        <v>49</v>
      </c>
      <c r="G2192" s="24" t="s">
        <v>28</v>
      </c>
      <c r="H2192" s="26">
        <v>162</v>
      </c>
      <c r="I2192" s="24" t="s">
        <v>29</v>
      </c>
      <c r="J2192" s="36">
        <v>45485</v>
      </c>
      <c r="K2192" s="24" t="s">
        <v>22</v>
      </c>
    </row>
    <row r="2193" spans="1:11" x14ac:dyDescent="0.2">
      <c r="A2193" s="27" t="s">
        <v>5516</v>
      </c>
      <c r="B2193" s="27" t="s">
        <v>5517</v>
      </c>
      <c r="C2193" s="27" t="s">
        <v>450</v>
      </c>
      <c r="D2193" s="27" t="s">
        <v>17</v>
      </c>
      <c r="E2193" s="27" t="s">
        <v>42</v>
      </c>
      <c r="F2193" s="27" t="s">
        <v>43</v>
      </c>
      <c r="G2193" s="27" t="s">
        <v>28</v>
      </c>
      <c r="H2193" s="29">
        <v>350</v>
      </c>
      <c r="I2193" s="27" t="s">
        <v>29</v>
      </c>
      <c r="J2193" s="37">
        <v>45490</v>
      </c>
      <c r="K2193" s="27" t="s">
        <v>22</v>
      </c>
    </row>
    <row r="2194" spans="1:11" x14ac:dyDescent="0.2">
      <c r="A2194" s="24" t="s">
        <v>5518</v>
      </c>
      <c r="B2194" s="24" t="s">
        <v>5519</v>
      </c>
      <c r="C2194" s="24" t="s">
        <v>4150</v>
      </c>
      <c r="D2194" s="24" t="s">
        <v>17</v>
      </c>
      <c r="E2194" s="24" t="s">
        <v>18</v>
      </c>
      <c r="F2194" s="24" t="s">
        <v>19</v>
      </c>
      <c r="G2194" s="24" t="s">
        <v>20</v>
      </c>
      <c r="H2194" s="26">
        <v>96</v>
      </c>
      <c r="I2194" s="24" t="s">
        <v>21</v>
      </c>
      <c r="J2194" s="36">
        <v>45482</v>
      </c>
      <c r="K2194" s="24" t="s">
        <v>22</v>
      </c>
    </row>
    <row r="2195" spans="1:11" x14ac:dyDescent="0.2">
      <c r="A2195" s="27" t="s">
        <v>5520</v>
      </c>
      <c r="B2195" s="27" t="s">
        <v>5521</v>
      </c>
      <c r="C2195" s="27" t="s">
        <v>429</v>
      </c>
      <c r="D2195" s="27" t="s">
        <v>17</v>
      </c>
      <c r="E2195" s="27" t="s">
        <v>18</v>
      </c>
      <c r="F2195" s="27" t="s">
        <v>19</v>
      </c>
      <c r="G2195" s="27" t="s">
        <v>20</v>
      </c>
      <c r="H2195" s="29">
        <v>30</v>
      </c>
      <c r="I2195" s="27" t="s">
        <v>21</v>
      </c>
      <c r="J2195" s="37">
        <v>45487</v>
      </c>
      <c r="K2195" s="27" t="s">
        <v>22</v>
      </c>
    </row>
    <row r="2196" spans="1:11" x14ac:dyDescent="0.2">
      <c r="A2196" s="24" t="s">
        <v>5522</v>
      </c>
      <c r="B2196" s="24" t="s">
        <v>5523</v>
      </c>
      <c r="C2196" s="24" t="s">
        <v>1330</v>
      </c>
      <c r="D2196" s="24" t="s">
        <v>17</v>
      </c>
      <c r="E2196" s="24" t="s">
        <v>81</v>
      </c>
      <c r="F2196" s="24" t="s">
        <v>82</v>
      </c>
      <c r="G2196" s="24" t="s">
        <v>44</v>
      </c>
      <c r="H2196" s="26">
        <v>10</v>
      </c>
      <c r="I2196" s="24" t="s">
        <v>21</v>
      </c>
      <c r="J2196" s="36">
        <v>45474</v>
      </c>
      <c r="K2196" s="24" t="s">
        <v>22</v>
      </c>
    </row>
    <row r="2197" spans="1:11" x14ac:dyDescent="0.2">
      <c r="A2197" s="27" t="s">
        <v>5524</v>
      </c>
      <c r="B2197" s="27" t="s">
        <v>5525</v>
      </c>
      <c r="C2197" s="27" t="s">
        <v>251</v>
      </c>
      <c r="D2197" s="27" t="s">
        <v>17</v>
      </c>
      <c r="E2197" s="27" t="s">
        <v>81</v>
      </c>
      <c r="F2197" s="27" t="s">
        <v>82</v>
      </c>
      <c r="G2197" s="27" t="s">
        <v>44</v>
      </c>
      <c r="H2197" s="29">
        <v>318</v>
      </c>
      <c r="I2197" s="27" t="s">
        <v>21</v>
      </c>
      <c r="J2197" s="37">
        <v>45482</v>
      </c>
      <c r="K2197" s="27" t="s">
        <v>22</v>
      </c>
    </row>
    <row r="2198" spans="1:11" x14ac:dyDescent="0.2">
      <c r="A2198" s="24" t="s">
        <v>5526</v>
      </c>
      <c r="B2198" s="24" t="s">
        <v>5527</v>
      </c>
      <c r="C2198" s="24" t="s">
        <v>1693</v>
      </c>
      <c r="D2198" s="24" t="s">
        <v>17</v>
      </c>
      <c r="E2198" s="24" t="s">
        <v>48</v>
      </c>
      <c r="F2198" s="24" t="s">
        <v>49</v>
      </c>
      <c r="G2198" s="24" t="s">
        <v>20</v>
      </c>
      <c r="H2198" s="26">
        <v>28</v>
      </c>
      <c r="I2198" s="24" t="s">
        <v>21</v>
      </c>
      <c r="J2198" s="36">
        <v>45484</v>
      </c>
      <c r="K2198" s="24" t="s">
        <v>22</v>
      </c>
    </row>
    <row r="2199" spans="1:11" x14ac:dyDescent="0.2">
      <c r="A2199" s="27" t="s">
        <v>5528</v>
      </c>
      <c r="B2199" s="27" t="s">
        <v>5529</v>
      </c>
      <c r="C2199" s="27" t="s">
        <v>921</v>
      </c>
      <c r="D2199" s="27" t="s">
        <v>17</v>
      </c>
      <c r="E2199" s="27" t="s">
        <v>48</v>
      </c>
      <c r="F2199" s="27" t="s">
        <v>49</v>
      </c>
      <c r="G2199" s="27" t="s">
        <v>20</v>
      </c>
      <c r="H2199" s="29">
        <v>59</v>
      </c>
      <c r="I2199" s="27" t="s">
        <v>21</v>
      </c>
      <c r="J2199" s="37">
        <v>45477</v>
      </c>
      <c r="K2199" s="27" t="s">
        <v>22</v>
      </c>
    </row>
    <row r="2200" spans="1:11" x14ac:dyDescent="0.2">
      <c r="A2200" s="24" t="s">
        <v>5530</v>
      </c>
      <c r="B2200" s="24" t="s">
        <v>5531</v>
      </c>
      <c r="C2200" s="24" t="s">
        <v>3202</v>
      </c>
      <c r="D2200" s="24" t="s">
        <v>17</v>
      </c>
      <c r="E2200" s="24" t="s">
        <v>48</v>
      </c>
      <c r="F2200" s="24" t="s">
        <v>49</v>
      </c>
      <c r="G2200" s="24" t="s">
        <v>28</v>
      </c>
      <c r="H2200" s="26">
        <v>140</v>
      </c>
      <c r="I2200" s="24" t="s">
        <v>29</v>
      </c>
      <c r="J2200" s="36">
        <v>45499</v>
      </c>
      <c r="K2200" s="24" t="s">
        <v>22</v>
      </c>
    </row>
    <row r="2201" spans="1:11" x14ac:dyDescent="0.2">
      <c r="A2201" s="27" t="s">
        <v>5532</v>
      </c>
      <c r="B2201" s="27" t="s">
        <v>5533</v>
      </c>
      <c r="C2201" s="27" t="s">
        <v>3371</v>
      </c>
      <c r="D2201" s="27" t="s">
        <v>17</v>
      </c>
      <c r="E2201" s="27" t="s">
        <v>18</v>
      </c>
      <c r="F2201" s="27" t="s">
        <v>19</v>
      </c>
      <c r="G2201" s="27" t="s">
        <v>20</v>
      </c>
      <c r="H2201" s="29">
        <v>36</v>
      </c>
      <c r="I2201" s="27" t="s">
        <v>21</v>
      </c>
      <c r="J2201" s="37">
        <v>45491</v>
      </c>
      <c r="K2201" s="27" t="s">
        <v>22</v>
      </c>
    </row>
    <row r="2202" spans="1:11" x14ac:dyDescent="0.2">
      <c r="A2202" s="24" t="s">
        <v>5534</v>
      </c>
      <c r="B2202" s="24" t="s">
        <v>5535</v>
      </c>
      <c r="C2202" s="24" t="s">
        <v>5147</v>
      </c>
      <c r="D2202" s="24" t="s">
        <v>17</v>
      </c>
      <c r="E2202" s="24" t="s">
        <v>48</v>
      </c>
      <c r="F2202" s="24" t="s">
        <v>49</v>
      </c>
      <c r="G2202" s="24" t="s">
        <v>20</v>
      </c>
      <c r="H2202" s="26">
        <v>10</v>
      </c>
      <c r="I2202" s="24" t="s">
        <v>21</v>
      </c>
      <c r="J2202" s="36">
        <v>45478</v>
      </c>
      <c r="K2202" s="24" t="s">
        <v>22</v>
      </c>
    </row>
    <row r="2203" spans="1:11" x14ac:dyDescent="0.2">
      <c r="A2203" s="27" t="s">
        <v>5536</v>
      </c>
      <c r="B2203" s="27" t="s">
        <v>5537</v>
      </c>
      <c r="C2203" s="27" t="s">
        <v>5538</v>
      </c>
      <c r="D2203" s="27" t="s">
        <v>17</v>
      </c>
      <c r="E2203" s="27" t="s">
        <v>18</v>
      </c>
      <c r="F2203" s="27" t="s">
        <v>19</v>
      </c>
      <c r="G2203" s="27" t="s">
        <v>59</v>
      </c>
      <c r="H2203" s="29">
        <v>26</v>
      </c>
      <c r="I2203" s="27" t="s">
        <v>21</v>
      </c>
      <c r="J2203" s="37">
        <v>45474</v>
      </c>
      <c r="K2203" s="27" t="s">
        <v>22</v>
      </c>
    </row>
    <row r="2204" spans="1:11" x14ac:dyDescent="0.2">
      <c r="A2204" s="24" t="s">
        <v>5539</v>
      </c>
      <c r="B2204" s="24" t="s">
        <v>5540</v>
      </c>
      <c r="C2204" s="24" t="s">
        <v>106</v>
      </c>
      <c r="D2204" s="24" t="s">
        <v>17</v>
      </c>
      <c r="E2204" s="24" t="s">
        <v>18</v>
      </c>
      <c r="F2204" s="24" t="s">
        <v>19</v>
      </c>
      <c r="G2204" s="24" t="s">
        <v>20</v>
      </c>
      <c r="H2204" s="26">
        <v>16</v>
      </c>
      <c r="I2204" s="24" t="s">
        <v>21</v>
      </c>
      <c r="J2204" s="36">
        <v>45503</v>
      </c>
      <c r="K2204" s="24" t="s">
        <v>22</v>
      </c>
    </row>
    <row r="2205" spans="1:11" x14ac:dyDescent="0.2">
      <c r="A2205" s="27" t="s">
        <v>5541</v>
      </c>
      <c r="B2205" s="27" t="s">
        <v>5542</v>
      </c>
      <c r="C2205" s="27" t="s">
        <v>1883</v>
      </c>
      <c r="D2205" s="27" t="s">
        <v>17</v>
      </c>
      <c r="E2205" s="27" t="s">
        <v>48</v>
      </c>
      <c r="F2205" s="27" t="s">
        <v>49</v>
      </c>
      <c r="G2205" s="27" t="s">
        <v>217</v>
      </c>
      <c r="H2205" s="29">
        <v>180</v>
      </c>
      <c r="I2205" s="27" t="s">
        <v>29</v>
      </c>
      <c r="J2205" s="37">
        <v>45488</v>
      </c>
      <c r="K2205" s="27" t="s">
        <v>22</v>
      </c>
    </row>
    <row r="2206" spans="1:11" x14ac:dyDescent="0.2">
      <c r="A2206" s="24" t="s">
        <v>5543</v>
      </c>
      <c r="B2206" s="24" t="s">
        <v>5544</v>
      </c>
      <c r="C2206" s="24" t="s">
        <v>301</v>
      </c>
      <c r="D2206" s="24" t="s">
        <v>17</v>
      </c>
      <c r="E2206" s="24" t="s">
        <v>42</v>
      </c>
      <c r="F2206" s="24" t="s">
        <v>43</v>
      </c>
      <c r="G2206" s="24" t="s">
        <v>28</v>
      </c>
      <c r="H2206" s="26">
        <v>752</v>
      </c>
      <c r="I2206" s="24" t="s">
        <v>29</v>
      </c>
      <c r="J2206" s="36">
        <v>45498</v>
      </c>
      <c r="K2206" s="24" t="s">
        <v>22</v>
      </c>
    </row>
    <row r="2207" spans="1:11" x14ac:dyDescent="0.2">
      <c r="A2207" s="27" t="s">
        <v>5545</v>
      </c>
      <c r="B2207" s="27" t="s">
        <v>5546</v>
      </c>
      <c r="C2207" s="27" t="s">
        <v>5547</v>
      </c>
      <c r="D2207" s="27" t="s">
        <v>17</v>
      </c>
      <c r="E2207" s="27" t="s">
        <v>18</v>
      </c>
      <c r="F2207" s="27" t="s">
        <v>19</v>
      </c>
      <c r="G2207" s="27" t="s">
        <v>28</v>
      </c>
      <c r="H2207" s="29">
        <v>50</v>
      </c>
      <c r="I2207" s="27" t="s">
        <v>29</v>
      </c>
      <c r="J2207" s="37">
        <v>45474</v>
      </c>
      <c r="K2207" s="27" t="s">
        <v>22</v>
      </c>
    </row>
    <row r="2208" spans="1:11" x14ac:dyDescent="0.2">
      <c r="A2208" s="24" t="s">
        <v>5548</v>
      </c>
      <c r="B2208" s="24" t="s">
        <v>5549</v>
      </c>
      <c r="C2208" s="24" t="s">
        <v>2669</v>
      </c>
      <c r="D2208" s="24" t="s">
        <v>17</v>
      </c>
      <c r="E2208" s="24" t="s">
        <v>48</v>
      </c>
      <c r="F2208" s="24" t="s">
        <v>49</v>
      </c>
      <c r="G2208" s="24" t="s">
        <v>28</v>
      </c>
      <c r="H2208" s="26">
        <v>200</v>
      </c>
      <c r="I2208" s="24" t="s">
        <v>29</v>
      </c>
      <c r="J2208" s="36">
        <v>45492</v>
      </c>
      <c r="K2208" s="24" t="s">
        <v>22</v>
      </c>
    </row>
    <row r="2209" spans="1:11" x14ac:dyDescent="0.2">
      <c r="A2209" s="27" t="s">
        <v>5550</v>
      </c>
      <c r="B2209" s="27" t="s">
        <v>5551</v>
      </c>
      <c r="C2209" s="27" t="s">
        <v>1863</v>
      </c>
      <c r="D2209" s="27" t="s">
        <v>17</v>
      </c>
      <c r="E2209" s="27" t="s">
        <v>18</v>
      </c>
      <c r="F2209" s="27" t="s">
        <v>19</v>
      </c>
      <c r="G2209" s="27" t="s">
        <v>28</v>
      </c>
      <c r="H2209" s="29">
        <v>240</v>
      </c>
      <c r="I2209" s="27" t="s">
        <v>29</v>
      </c>
      <c r="J2209" s="37">
        <v>45495</v>
      </c>
      <c r="K2209" s="27" t="s">
        <v>22</v>
      </c>
    </row>
    <row r="2210" spans="1:11" x14ac:dyDescent="0.2">
      <c r="A2210" s="24" t="s">
        <v>5552</v>
      </c>
      <c r="B2210" s="24" t="s">
        <v>5553</v>
      </c>
      <c r="C2210" s="24" t="s">
        <v>301</v>
      </c>
      <c r="D2210" s="24" t="s">
        <v>17</v>
      </c>
      <c r="E2210" s="24" t="s">
        <v>26</v>
      </c>
      <c r="F2210" s="24" t="s">
        <v>27</v>
      </c>
      <c r="G2210" s="24" t="s">
        <v>44</v>
      </c>
      <c r="H2210" s="26">
        <v>12</v>
      </c>
      <c r="I2210" s="24" t="s">
        <v>21</v>
      </c>
      <c r="J2210" s="36">
        <v>45496</v>
      </c>
      <c r="K2210" s="24" t="s">
        <v>22</v>
      </c>
    </row>
    <row r="2211" spans="1:11" x14ac:dyDescent="0.2">
      <c r="A2211" s="27" t="s">
        <v>5554</v>
      </c>
      <c r="B2211" s="27" t="s">
        <v>5555</v>
      </c>
      <c r="C2211" s="27" t="s">
        <v>5556</v>
      </c>
      <c r="D2211" s="27" t="s">
        <v>17</v>
      </c>
      <c r="E2211" s="27" t="s">
        <v>18</v>
      </c>
      <c r="F2211" s="27" t="s">
        <v>19</v>
      </c>
      <c r="G2211" s="27" t="s">
        <v>227</v>
      </c>
      <c r="H2211" s="29">
        <v>72</v>
      </c>
      <c r="I2211" s="27" t="s">
        <v>29</v>
      </c>
      <c r="J2211" s="37">
        <v>45478</v>
      </c>
      <c r="K2211" s="27" t="s">
        <v>22</v>
      </c>
    </row>
    <row r="2212" spans="1:11" x14ac:dyDescent="0.2">
      <c r="A2212" s="24" t="s">
        <v>5557</v>
      </c>
      <c r="B2212" s="24" t="s">
        <v>5558</v>
      </c>
      <c r="C2212" s="24" t="s">
        <v>220</v>
      </c>
      <c r="D2212" s="24" t="s">
        <v>17</v>
      </c>
      <c r="E2212" s="24" t="s">
        <v>42</v>
      </c>
      <c r="F2212" s="24" t="s">
        <v>43</v>
      </c>
      <c r="G2212" s="24" t="s">
        <v>44</v>
      </c>
      <c r="H2212" s="26">
        <v>23</v>
      </c>
      <c r="I2212" s="24" t="s">
        <v>29</v>
      </c>
      <c r="J2212" s="36">
        <v>45501</v>
      </c>
      <c r="K2212" s="24" t="s">
        <v>22</v>
      </c>
    </row>
    <row r="2213" spans="1:11" x14ac:dyDescent="0.2">
      <c r="A2213" s="27" t="s">
        <v>5559</v>
      </c>
      <c r="B2213" s="27" t="s">
        <v>5560</v>
      </c>
      <c r="C2213" s="27" t="s">
        <v>5561</v>
      </c>
      <c r="D2213" s="27" t="s">
        <v>17</v>
      </c>
      <c r="E2213" s="27" t="s">
        <v>42</v>
      </c>
      <c r="F2213" s="27" t="s">
        <v>43</v>
      </c>
      <c r="G2213" s="27" t="s">
        <v>28</v>
      </c>
      <c r="H2213" s="29">
        <v>430</v>
      </c>
      <c r="I2213" s="27" t="s">
        <v>29</v>
      </c>
      <c r="J2213" s="37">
        <v>45499</v>
      </c>
      <c r="K2213" s="27" t="s">
        <v>22</v>
      </c>
    </row>
    <row r="2214" spans="1:11" x14ac:dyDescent="0.2">
      <c r="A2214" s="24" t="s">
        <v>5562</v>
      </c>
      <c r="B2214" s="24" t="s">
        <v>5563</v>
      </c>
      <c r="C2214" s="24" t="s">
        <v>708</v>
      </c>
      <c r="D2214" s="24" t="s">
        <v>17</v>
      </c>
      <c r="E2214" s="24" t="s">
        <v>48</v>
      </c>
      <c r="F2214" s="24" t="s">
        <v>49</v>
      </c>
      <c r="G2214" s="24" t="s">
        <v>44</v>
      </c>
      <c r="H2214" s="26">
        <v>195</v>
      </c>
      <c r="I2214" s="24" t="s">
        <v>21</v>
      </c>
      <c r="J2214" s="36">
        <v>45489</v>
      </c>
      <c r="K2214" s="24" t="s">
        <v>22</v>
      </c>
    </row>
    <row r="2215" spans="1:11" x14ac:dyDescent="0.2">
      <c r="A2215" s="27" t="s">
        <v>5564</v>
      </c>
      <c r="B2215" s="27" t="s">
        <v>5565</v>
      </c>
      <c r="C2215" s="27" t="s">
        <v>97</v>
      </c>
      <c r="D2215" s="27" t="s">
        <v>17</v>
      </c>
      <c r="E2215" s="27" t="s">
        <v>42</v>
      </c>
      <c r="F2215" s="27" t="s">
        <v>43</v>
      </c>
      <c r="G2215" s="27" t="s">
        <v>44</v>
      </c>
      <c r="H2215" s="29">
        <v>422</v>
      </c>
      <c r="I2215" s="27" t="s">
        <v>21</v>
      </c>
      <c r="J2215" s="37">
        <v>45495</v>
      </c>
      <c r="K2215" s="27" t="s">
        <v>22</v>
      </c>
    </row>
    <row r="2216" spans="1:11" x14ac:dyDescent="0.2">
      <c r="A2216" s="24" t="s">
        <v>5566</v>
      </c>
      <c r="B2216" s="24" t="s">
        <v>5567</v>
      </c>
      <c r="C2216" s="24" t="s">
        <v>5038</v>
      </c>
      <c r="D2216" s="24" t="s">
        <v>17</v>
      </c>
      <c r="E2216" s="24" t="s">
        <v>33</v>
      </c>
      <c r="F2216" s="24" t="s">
        <v>34</v>
      </c>
      <c r="G2216" s="24" t="s">
        <v>28</v>
      </c>
      <c r="H2216" s="26">
        <v>132</v>
      </c>
      <c r="I2216" s="24" t="s">
        <v>29</v>
      </c>
      <c r="J2216" s="36">
        <v>45485</v>
      </c>
      <c r="K2216" s="24" t="s">
        <v>22</v>
      </c>
    </row>
    <row r="2217" spans="1:11" x14ac:dyDescent="0.2">
      <c r="A2217" s="27" t="s">
        <v>5568</v>
      </c>
      <c r="B2217" s="27" t="s">
        <v>5569</v>
      </c>
      <c r="C2217" s="27" t="s">
        <v>1014</v>
      </c>
      <c r="D2217" s="27" t="s">
        <v>17</v>
      </c>
      <c r="E2217" s="27" t="s">
        <v>18</v>
      </c>
      <c r="F2217" s="27" t="s">
        <v>19</v>
      </c>
      <c r="G2217" s="27" t="s">
        <v>38</v>
      </c>
      <c r="H2217" s="29">
        <v>30</v>
      </c>
      <c r="I2217" s="27" t="s">
        <v>29</v>
      </c>
      <c r="J2217" s="37">
        <v>45496</v>
      </c>
      <c r="K2217" s="27" t="s">
        <v>22</v>
      </c>
    </row>
    <row r="2218" spans="1:11" x14ac:dyDescent="0.2">
      <c r="A2218" s="24" t="s">
        <v>5570</v>
      </c>
      <c r="B2218" s="24" t="s">
        <v>5571</v>
      </c>
      <c r="C2218" s="24" t="s">
        <v>494</v>
      </c>
      <c r="D2218" s="24" t="s">
        <v>17</v>
      </c>
      <c r="E2218" s="24" t="s">
        <v>18</v>
      </c>
      <c r="F2218" s="24" t="s">
        <v>19</v>
      </c>
      <c r="G2218" s="24" t="s">
        <v>20</v>
      </c>
      <c r="H2218" s="26">
        <v>48</v>
      </c>
      <c r="I2218" s="24" t="s">
        <v>21</v>
      </c>
      <c r="J2218" s="36">
        <v>45497</v>
      </c>
      <c r="K2218" s="24" t="s">
        <v>22</v>
      </c>
    </row>
    <row r="2219" spans="1:11" x14ac:dyDescent="0.2">
      <c r="A2219" s="27" t="s">
        <v>5572</v>
      </c>
      <c r="B2219" s="27" t="s">
        <v>5573</v>
      </c>
      <c r="C2219" s="27" t="s">
        <v>363</v>
      </c>
      <c r="D2219" s="27" t="s">
        <v>17</v>
      </c>
      <c r="E2219" s="27" t="s">
        <v>18</v>
      </c>
      <c r="F2219" s="27" t="s">
        <v>19</v>
      </c>
      <c r="G2219" s="27" t="s">
        <v>20</v>
      </c>
      <c r="H2219" s="29">
        <v>16</v>
      </c>
      <c r="I2219" s="27" t="s">
        <v>21</v>
      </c>
      <c r="J2219" s="37">
        <v>45504</v>
      </c>
      <c r="K2219" s="27" t="s">
        <v>22</v>
      </c>
    </row>
    <row r="2220" spans="1:11" x14ac:dyDescent="0.2">
      <c r="A2220" s="24" t="s">
        <v>5574</v>
      </c>
      <c r="B2220" s="24" t="s">
        <v>5575</v>
      </c>
      <c r="C2220" s="24" t="s">
        <v>5576</v>
      </c>
      <c r="D2220" s="24" t="s">
        <v>17</v>
      </c>
      <c r="E2220" s="24" t="s">
        <v>18</v>
      </c>
      <c r="F2220" s="24" t="s">
        <v>19</v>
      </c>
      <c r="G2220" s="24" t="s">
        <v>20</v>
      </c>
      <c r="H2220" s="26">
        <v>67</v>
      </c>
      <c r="I2220" s="24" t="s">
        <v>21</v>
      </c>
      <c r="J2220" s="36">
        <v>45495</v>
      </c>
      <c r="K2220" s="24" t="s">
        <v>22</v>
      </c>
    </row>
    <row r="2221" spans="1:11" x14ac:dyDescent="0.2">
      <c r="A2221" s="27" t="s">
        <v>5577</v>
      </c>
      <c r="B2221" s="27" t="s">
        <v>5578</v>
      </c>
      <c r="C2221" s="27" t="s">
        <v>5579</v>
      </c>
      <c r="D2221" s="27" t="s">
        <v>17</v>
      </c>
      <c r="E2221" s="27" t="s">
        <v>18</v>
      </c>
      <c r="F2221" s="27" t="s">
        <v>19</v>
      </c>
      <c r="G2221" s="27" t="s">
        <v>28</v>
      </c>
      <c r="H2221" s="29">
        <v>80</v>
      </c>
      <c r="I2221" s="27" t="s">
        <v>29</v>
      </c>
      <c r="J2221" s="37">
        <v>45483</v>
      </c>
      <c r="K2221" s="27" t="s">
        <v>22</v>
      </c>
    </row>
    <row r="2222" spans="1:11" x14ac:dyDescent="0.2">
      <c r="A2222" s="24" t="s">
        <v>5580</v>
      </c>
      <c r="B2222" s="24" t="s">
        <v>5581</v>
      </c>
      <c r="C2222" s="24" t="s">
        <v>325</v>
      </c>
      <c r="D2222" s="24" t="s">
        <v>17</v>
      </c>
      <c r="E2222" s="24" t="s">
        <v>18</v>
      </c>
      <c r="F2222" s="24" t="s">
        <v>19</v>
      </c>
      <c r="G2222" s="24" t="s">
        <v>20</v>
      </c>
      <c r="H2222" s="26">
        <v>19</v>
      </c>
      <c r="I2222" s="24" t="s">
        <v>21</v>
      </c>
      <c r="J2222" s="36">
        <v>45474</v>
      </c>
      <c r="K2222" s="24" t="s">
        <v>22</v>
      </c>
    </row>
    <row r="2223" spans="1:11" x14ac:dyDescent="0.2">
      <c r="A2223" s="27" t="s">
        <v>5582</v>
      </c>
      <c r="B2223" s="27" t="s">
        <v>5583</v>
      </c>
      <c r="C2223" s="27" t="s">
        <v>5038</v>
      </c>
      <c r="D2223" s="27" t="s">
        <v>17</v>
      </c>
      <c r="E2223" s="27" t="s">
        <v>33</v>
      </c>
      <c r="F2223" s="27" t="s">
        <v>34</v>
      </c>
      <c r="G2223" s="27" t="s">
        <v>28</v>
      </c>
      <c r="H2223" s="29">
        <v>216</v>
      </c>
      <c r="I2223" s="27" t="s">
        <v>29</v>
      </c>
      <c r="J2223" s="37">
        <v>45503</v>
      </c>
      <c r="K2223" s="27" t="s">
        <v>22</v>
      </c>
    </row>
    <row r="2224" spans="1:11" x14ac:dyDescent="0.2">
      <c r="A2224" s="24" t="s">
        <v>5584</v>
      </c>
      <c r="B2224" s="24" t="s">
        <v>5585</v>
      </c>
      <c r="C2224" s="24" t="s">
        <v>112</v>
      </c>
      <c r="D2224" s="24" t="s">
        <v>17</v>
      </c>
      <c r="E2224" s="24" t="s">
        <v>18</v>
      </c>
      <c r="F2224" s="24" t="s">
        <v>19</v>
      </c>
      <c r="G2224" s="24" t="s">
        <v>20</v>
      </c>
      <c r="H2224" s="26">
        <v>24</v>
      </c>
      <c r="I2224" s="24" t="s">
        <v>21</v>
      </c>
      <c r="J2224" s="36">
        <v>45495</v>
      </c>
      <c r="K2224" s="24" t="s">
        <v>22</v>
      </c>
    </row>
    <row r="2225" spans="1:11" x14ac:dyDescent="0.2">
      <c r="A2225" s="27" t="s">
        <v>5586</v>
      </c>
      <c r="B2225" s="27" t="s">
        <v>5587</v>
      </c>
      <c r="C2225" s="27" t="s">
        <v>613</v>
      </c>
      <c r="D2225" s="27" t="s">
        <v>17</v>
      </c>
      <c r="E2225" s="27" t="s">
        <v>18</v>
      </c>
      <c r="F2225" s="27" t="s">
        <v>19</v>
      </c>
      <c r="G2225" s="27" t="s">
        <v>20</v>
      </c>
      <c r="H2225" s="29">
        <v>16</v>
      </c>
      <c r="I2225" s="27" t="s">
        <v>21</v>
      </c>
      <c r="J2225" s="37">
        <v>45496</v>
      </c>
      <c r="K2225" s="27" t="s">
        <v>22</v>
      </c>
    </row>
    <row r="2226" spans="1:11" x14ac:dyDescent="0.2">
      <c r="A2226" s="24" t="s">
        <v>5588</v>
      </c>
      <c r="B2226" s="24" t="s">
        <v>5589</v>
      </c>
      <c r="C2226" s="24" t="s">
        <v>5590</v>
      </c>
      <c r="D2226" s="24" t="s">
        <v>17</v>
      </c>
      <c r="E2226" s="24" t="s">
        <v>48</v>
      </c>
      <c r="F2226" s="24" t="s">
        <v>49</v>
      </c>
      <c r="G2226" s="24" t="s">
        <v>28</v>
      </c>
      <c r="H2226" s="26">
        <v>120</v>
      </c>
      <c r="I2226" s="24" t="s">
        <v>29</v>
      </c>
      <c r="J2226" s="36">
        <v>45474</v>
      </c>
      <c r="K2226" s="24" t="s">
        <v>22</v>
      </c>
    </row>
    <row r="2227" spans="1:11" x14ac:dyDescent="0.2">
      <c r="A2227" s="27" t="s">
        <v>5591</v>
      </c>
      <c r="B2227" s="27" t="s">
        <v>5592</v>
      </c>
      <c r="C2227" s="27" t="s">
        <v>2484</v>
      </c>
      <c r="D2227" s="27" t="s">
        <v>17</v>
      </c>
      <c r="E2227" s="27" t="s">
        <v>18</v>
      </c>
      <c r="F2227" s="27" t="s">
        <v>19</v>
      </c>
      <c r="G2227" s="27" t="s">
        <v>59</v>
      </c>
      <c r="H2227" s="29">
        <v>167</v>
      </c>
      <c r="I2227" s="27" t="s">
        <v>21</v>
      </c>
      <c r="J2227" s="37">
        <v>45504</v>
      </c>
      <c r="K2227" s="27" t="s">
        <v>22</v>
      </c>
    </row>
    <row r="2228" spans="1:11" x14ac:dyDescent="0.2">
      <c r="A2228" s="24" t="s">
        <v>5593</v>
      </c>
      <c r="B2228" s="24" t="s">
        <v>5594</v>
      </c>
      <c r="C2228" s="24" t="s">
        <v>423</v>
      </c>
      <c r="D2228" s="24" t="s">
        <v>17</v>
      </c>
      <c r="E2228" s="24" t="s">
        <v>18</v>
      </c>
      <c r="F2228" s="24" t="s">
        <v>19</v>
      </c>
      <c r="G2228" s="24" t="s">
        <v>217</v>
      </c>
      <c r="H2228" s="26">
        <v>28</v>
      </c>
      <c r="I2228" s="24" t="s">
        <v>29</v>
      </c>
      <c r="J2228" s="36">
        <v>45477</v>
      </c>
      <c r="K2228" s="24" t="s">
        <v>22</v>
      </c>
    </row>
    <row r="2229" spans="1:11" x14ac:dyDescent="0.2">
      <c r="A2229" s="27" t="s">
        <v>5595</v>
      </c>
      <c r="B2229" s="27" t="s">
        <v>5596</v>
      </c>
      <c r="C2229" s="27" t="s">
        <v>2331</v>
      </c>
      <c r="D2229" s="27" t="s">
        <v>17</v>
      </c>
      <c r="E2229" s="27" t="s">
        <v>18</v>
      </c>
      <c r="F2229" s="27" t="s">
        <v>19</v>
      </c>
      <c r="G2229" s="27" t="s">
        <v>20</v>
      </c>
      <c r="H2229" s="29">
        <v>102</v>
      </c>
      <c r="I2229" s="27" t="s">
        <v>21</v>
      </c>
      <c r="J2229" s="37">
        <v>45474</v>
      </c>
      <c r="K2229" s="27" t="s">
        <v>22</v>
      </c>
    </row>
    <row r="2230" spans="1:11" x14ac:dyDescent="0.2">
      <c r="A2230" s="24" t="s">
        <v>5597</v>
      </c>
      <c r="B2230" s="24" t="s">
        <v>5598</v>
      </c>
      <c r="C2230" s="24" t="s">
        <v>4060</v>
      </c>
      <c r="D2230" s="24" t="s">
        <v>17</v>
      </c>
      <c r="E2230" s="24" t="s">
        <v>18</v>
      </c>
      <c r="F2230" s="24" t="s">
        <v>19</v>
      </c>
      <c r="G2230" s="24" t="s">
        <v>28</v>
      </c>
      <c r="H2230" s="26">
        <v>162</v>
      </c>
      <c r="I2230" s="24" t="s">
        <v>29</v>
      </c>
      <c r="J2230" s="36">
        <v>45476</v>
      </c>
      <c r="K2230" s="24" t="s">
        <v>22</v>
      </c>
    </row>
    <row r="2231" spans="1:11" x14ac:dyDescent="0.2">
      <c r="A2231" s="27" t="s">
        <v>5599</v>
      </c>
      <c r="B2231" s="27" t="s">
        <v>5600</v>
      </c>
      <c r="C2231" s="27" t="s">
        <v>4177</v>
      </c>
      <c r="D2231" s="27" t="s">
        <v>17</v>
      </c>
      <c r="E2231" s="27" t="s">
        <v>48</v>
      </c>
      <c r="F2231" s="27" t="s">
        <v>49</v>
      </c>
      <c r="G2231" s="27" t="s">
        <v>44</v>
      </c>
      <c r="H2231" s="29">
        <v>30</v>
      </c>
      <c r="I2231" s="27" t="s">
        <v>29</v>
      </c>
      <c r="J2231" s="37">
        <v>45482</v>
      </c>
      <c r="K2231" s="27" t="s">
        <v>22</v>
      </c>
    </row>
    <row r="2232" spans="1:11" x14ac:dyDescent="0.2">
      <c r="A2232" s="24" t="s">
        <v>5601</v>
      </c>
      <c r="B2232" s="24" t="s">
        <v>5602</v>
      </c>
      <c r="C2232" s="24" t="s">
        <v>1059</v>
      </c>
      <c r="D2232" s="24" t="s">
        <v>17</v>
      </c>
      <c r="E2232" s="24" t="s">
        <v>42</v>
      </c>
      <c r="F2232" s="24" t="s">
        <v>43</v>
      </c>
      <c r="G2232" s="24" t="s">
        <v>28</v>
      </c>
      <c r="H2232" s="26">
        <v>251</v>
      </c>
      <c r="I2232" s="24" t="s">
        <v>29</v>
      </c>
      <c r="J2232" s="36">
        <v>45504</v>
      </c>
      <c r="K2232" s="24" t="s">
        <v>22</v>
      </c>
    </row>
    <row r="2233" spans="1:11" x14ac:dyDescent="0.2">
      <c r="A2233" s="27" t="s">
        <v>5603</v>
      </c>
      <c r="B2233" s="27" t="s">
        <v>5604</v>
      </c>
      <c r="C2233" s="27" t="s">
        <v>5605</v>
      </c>
      <c r="D2233" s="27" t="s">
        <v>17</v>
      </c>
      <c r="E2233" s="27" t="s">
        <v>42</v>
      </c>
      <c r="F2233" s="27" t="s">
        <v>43</v>
      </c>
      <c r="G2233" s="27" t="s">
        <v>59</v>
      </c>
      <c r="H2233" s="29">
        <v>15</v>
      </c>
      <c r="I2233" s="27" t="s">
        <v>21</v>
      </c>
      <c r="J2233" s="37">
        <v>45484</v>
      </c>
      <c r="K2233" s="27" t="s">
        <v>22</v>
      </c>
    </row>
    <row r="2234" spans="1:11" x14ac:dyDescent="0.2">
      <c r="A2234" s="24" t="s">
        <v>5606</v>
      </c>
      <c r="B2234" s="24" t="s">
        <v>5607</v>
      </c>
      <c r="C2234" s="24" t="s">
        <v>5608</v>
      </c>
      <c r="D2234" s="24" t="s">
        <v>17</v>
      </c>
      <c r="E2234" s="24" t="s">
        <v>48</v>
      </c>
      <c r="F2234" s="24" t="s">
        <v>49</v>
      </c>
      <c r="G2234" s="24" t="s">
        <v>44</v>
      </c>
      <c r="H2234" s="26">
        <v>241</v>
      </c>
      <c r="I2234" s="24" t="s">
        <v>21</v>
      </c>
      <c r="J2234" s="36">
        <v>45496</v>
      </c>
      <c r="K2234" s="24" t="s">
        <v>22</v>
      </c>
    </row>
    <row r="2235" spans="1:11" x14ac:dyDescent="0.2">
      <c r="A2235" s="27" t="s">
        <v>5609</v>
      </c>
      <c r="B2235" s="27" t="s">
        <v>5610</v>
      </c>
      <c r="C2235" s="27" t="s">
        <v>134</v>
      </c>
      <c r="D2235" s="27" t="s">
        <v>17</v>
      </c>
      <c r="E2235" s="27" t="s">
        <v>18</v>
      </c>
      <c r="F2235" s="27" t="s">
        <v>19</v>
      </c>
      <c r="G2235" s="27" t="s">
        <v>59</v>
      </c>
      <c r="H2235" s="29">
        <v>2</v>
      </c>
      <c r="I2235" s="27" t="s">
        <v>21</v>
      </c>
      <c r="J2235" s="37">
        <v>45485</v>
      </c>
      <c r="K2235" s="27" t="s">
        <v>22</v>
      </c>
    </row>
    <row r="2236" spans="1:11" x14ac:dyDescent="0.2">
      <c r="A2236" s="24" t="s">
        <v>5611</v>
      </c>
      <c r="B2236" s="24" t="s">
        <v>5612</v>
      </c>
      <c r="C2236" s="24" t="s">
        <v>5414</v>
      </c>
      <c r="D2236" s="24" t="s">
        <v>17</v>
      </c>
      <c r="E2236" s="24" t="s">
        <v>42</v>
      </c>
      <c r="F2236" s="24" t="s">
        <v>43</v>
      </c>
      <c r="G2236" s="24" t="s">
        <v>44</v>
      </c>
      <c r="H2236" s="26">
        <v>600</v>
      </c>
      <c r="I2236" s="24" t="s">
        <v>21</v>
      </c>
      <c r="J2236" s="36">
        <v>45490</v>
      </c>
      <c r="K2236" s="24" t="s">
        <v>22</v>
      </c>
    </row>
    <row r="2237" spans="1:11" x14ac:dyDescent="0.2">
      <c r="A2237" s="27" t="s">
        <v>5613</v>
      </c>
      <c r="B2237" s="27" t="s">
        <v>5614</v>
      </c>
      <c r="C2237" s="27" t="s">
        <v>112</v>
      </c>
      <c r="D2237" s="27" t="s">
        <v>17</v>
      </c>
      <c r="E2237" s="27" t="s">
        <v>42</v>
      </c>
      <c r="F2237" s="27" t="s">
        <v>43</v>
      </c>
      <c r="G2237" s="27" t="s">
        <v>28</v>
      </c>
      <c r="H2237" s="29">
        <v>416</v>
      </c>
      <c r="I2237" s="27" t="s">
        <v>29</v>
      </c>
      <c r="J2237" s="37">
        <v>45496</v>
      </c>
      <c r="K2237" s="27" t="s">
        <v>22</v>
      </c>
    </row>
    <row r="2238" spans="1:11" x14ac:dyDescent="0.2">
      <c r="A2238" s="24" t="s">
        <v>5615</v>
      </c>
      <c r="B2238" s="24" t="s">
        <v>5616</v>
      </c>
      <c r="C2238" s="24" t="s">
        <v>5617</v>
      </c>
      <c r="D2238" s="24" t="s">
        <v>17</v>
      </c>
      <c r="E2238" s="24" t="s">
        <v>18</v>
      </c>
      <c r="F2238" s="24" t="s">
        <v>19</v>
      </c>
      <c r="G2238" s="24" t="s">
        <v>20</v>
      </c>
      <c r="H2238" s="26">
        <v>28</v>
      </c>
      <c r="I2238" s="24" t="s">
        <v>21</v>
      </c>
      <c r="J2238" s="36">
        <v>45486</v>
      </c>
      <c r="K2238" s="24" t="s">
        <v>22</v>
      </c>
    </row>
    <row r="2239" spans="1:11" x14ac:dyDescent="0.2">
      <c r="A2239" s="27" t="s">
        <v>5618</v>
      </c>
      <c r="B2239" s="27" t="s">
        <v>5619</v>
      </c>
      <c r="C2239" s="27" t="s">
        <v>437</v>
      </c>
      <c r="D2239" s="27" t="s">
        <v>17</v>
      </c>
      <c r="E2239" s="27" t="s">
        <v>48</v>
      </c>
      <c r="F2239" s="27" t="s">
        <v>49</v>
      </c>
      <c r="G2239" s="27" t="s">
        <v>44</v>
      </c>
      <c r="H2239" s="29">
        <v>18</v>
      </c>
      <c r="I2239" s="27" t="s">
        <v>21</v>
      </c>
      <c r="J2239" s="37">
        <v>45496</v>
      </c>
      <c r="K2239" s="27" t="s">
        <v>22</v>
      </c>
    </row>
    <row r="2240" spans="1:11" x14ac:dyDescent="0.2">
      <c r="A2240" s="24" t="s">
        <v>5620</v>
      </c>
      <c r="B2240" s="24" t="s">
        <v>5621</v>
      </c>
      <c r="C2240" s="24" t="s">
        <v>2850</v>
      </c>
      <c r="D2240" s="24" t="s">
        <v>17</v>
      </c>
      <c r="E2240" s="24" t="s">
        <v>26</v>
      </c>
      <c r="F2240" s="24" t="s">
        <v>27</v>
      </c>
      <c r="G2240" s="24" t="s">
        <v>217</v>
      </c>
      <c r="H2240" s="26">
        <v>39</v>
      </c>
      <c r="I2240" s="24" t="s">
        <v>29</v>
      </c>
      <c r="J2240" s="36">
        <v>45474</v>
      </c>
      <c r="K2240" s="24" t="s">
        <v>22</v>
      </c>
    </row>
    <row r="2241" spans="1:11" x14ac:dyDescent="0.2">
      <c r="A2241" s="27" t="s">
        <v>5622</v>
      </c>
      <c r="B2241" s="27" t="s">
        <v>5623</v>
      </c>
      <c r="C2241" s="27" t="s">
        <v>5624</v>
      </c>
      <c r="D2241" s="27" t="s">
        <v>17</v>
      </c>
      <c r="E2241" s="27" t="s">
        <v>42</v>
      </c>
      <c r="F2241" s="27" t="s">
        <v>43</v>
      </c>
      <c r="G2241" s="27" t="s">
        <v>59</v>
      </c>
      <c r="H2241" s="29">
        <v>63</v>
      </c>
      <c r="I2241" s="27" t="s">
        <v>21</v>
      </c>
      <c r="J2241" s="37">
        <v>45474</v>
      </c>
      <c r="K2241" s="27" t="s">
        <v>22</v>
      </c>
    </row>
    <row r="2242" spans="1:11" x14ac:dyDescent="0.2">
      <c r="A2242" s="24" t="s">
        <v>5625</v>
      </c>
      <c r="B2242" s="24" t="s">
        <v>5626</v>
      </c>
      <c r="C2242" s="24" t="s">
        <v>5627</v>
      </c>
      <c r="D2242" s="24" t="s">
        <v>17</v>
      </c>
      <c r="E2242" s="24" t="s">
        <v>42</v>
      </c>
      <c r="F2242" s="24" t="s">
        <v>43</v>
      </c>
      <c r="G2242" s="24" t="s">
        <v>28</v>
      </c>
      <c r="H2242" s="26">
        <v>106</v>
      </c>
      <c r="I2242" s="24" t="s">
        <v>29</v>
      </c>
      <c r="J2242" s="36">
        <v>45483</v>
      </c>
      <c r="K2242" s="24" t="s">
        <v>22</v>
      </c>
    </row>
    <row r="2243" spans="1:11" x14ac:dyDescent="0.2">
      <c r="A2243" s="27" t="s">
        <v>5628</v>
      </c>
      <c r="B2243" s="27" t="s">
        <v>5629</v>
      </c>
      <c r="C2243" s="27" t="s">
        <v>2484</v>
      </c>
      <c r="D2243" s="27" t="s">
        <v>17</v>
      </c>
      <c r="E2243" s="27" t="s">
        <v>42</v>
      </c>
      <c r="F2243" s="27" t="s">
        <v>43</v>
      </c>
      <c r="G2243" s="27" t="s">
        <v>28</v>
      </c>
      <c r="H2243" s="29">
        <v>90</v>
      </c>
      <c r="I2243" s="27" t="s">
        <v>29</v>
      </c>
      <c r="J2243" s="37">
        <v>45502</v>
      </c>
      <c r="K2243" s="27" t="s">
        <v>22</v>
      </c>
    </row>
    <row r="2244" spans="1:11" x14ac:dyDescent="0.2">
      <c r="A2244" s="24" t="s">
        <v>5630</v>
      </c>
      <c r="B2244" s="24" t="s">
        <v>5631</v>
      </c>
      <c r="C2244" s="24" t="s">
        <v>1931</v>
      </c>
      <c r="D2244" s="24" t="s">
        <v>17</v>
      </c>
      <c r="E2244" s="24" t="s">
        <v>18</v>
      </c>
      <c r="F2244" s="24" t="s">
        <v>19</v>
      </c>
      <c r="G2244" s="24" t="s">
        <v>44</v>
      </c>
      <c r="H2244" s="26">
        <v>120</v>
      </c>
      <c r="I2244" s="24" t="s">
        <v>29</v>
      </c>
      <c r="J2244" s="36">
        <v>45481</v>
      </c>
      <c r="K2244" s="24" t="s">
        <v>22</v>
      </c>
    </row>
    <row r="2245" spans="1:11" x14ac:dyDescent="0.2">
      <c r="A2245" s="27" t="s">
        <v>5632</v>
      </c>
      <c r="B2245" s="27" t="s">
        <v>5633</v>
      </c>
      <c r="C2245" s="27" t="s">
        <v>5038</v>
      </c>
      <c r="D2245" s="27" t="s">
        <v>17</v>
      </c>
      <c r="E2245" s="27" t="s">
        <v>33</v>
      </c>
      <c r="F2245" s="27" t="s">
        <v>34</v>
      </c>
      <c r="G2245" s="27" t="s">
        <v>28</v>
      </c>
      <c r="H2245" s="29">
        <v>104</v>
      </c>
      <c r="I2245" s="27" t="s">
        <v>29</v>
      </c>
      <c r="J2245" s="37">
        <v>45474</v>
      </c>
      <c r="K2245" s="27" t="s">
        <v>22</v>
      </c>
    </row>
    <row r="2246" spans="1:11" x14ac:dyDescent="0.2">
      <c r="A2246" s="24" t="s">
        <v>5634</v>
      </c>
      <c r="B2246" s="24" t="s">
        <v>5635</v>
      </c>
      <c r="C2246" s="24" t="s">
        <v>5636</v>
      </c>
      <c r="D2246" s="24" t="s">
        <v>17</v>
      </c>
      <c r="E2246" s="24" t="s">
        <v>42</v>
      </c>
      <c r="F2246" s="24" t="s">
        <v>43</v>
      </c>
      <c r="G2246" s="24" t="s">
        <v>28</v>
      </c>
      <c r="H2246" s="26">
        <v>150</v>
      </c>
      <c r="I2246" s="24" t="s">
        <v>29</v>
      </c>
      <c r="J2246" s="36">
        <v>45489</v>
      </c>
      <c r="K2246" s="24" t="s">
        <v>22</v>
      </c>
    </row>
    <row r="2247" spans="1:11" x14ac:dyDescent="0.2">
      <c r="A2247" s="27" t="s">
        <v>5637</v>
      </c>
      <c r="B2247" s="27" t="s">
        <v>5638</v>
      </c>
      <c r="C2247" s="27" t="s">
        <v>71</v>
      </c>
      <c r="D2247" s="27" t="s">
        <v>17</v>
      </c>
      <c r="E2247" s="27" t="s">
        <v>42</v>
      </c>
      <c r="F2247" s="27" t="s">
        <v>43</v>
      </c>
      <c r="G2247" s="27" t="s">
        <v>28</v>
      </c>
      <c r="H2247" s="29">
        <v>378</v>
      </c>
      <c r="I2247" s="27" t="s">
        <v>29</v>
      </c>
      <c r="J2247" s="37">
        <v>45484</v>
      </c>
      <c r="K2247" s="27" t="s">
        <v>22</v>
      </c>
    </row>
    <row r="2248" spans="1:11" x14ac:dyDescent="0.2">
      <c r="A2248" s="24" t="s">
        <v>5639</v>
      </c>
      <c r="B2248" s="24" t="s">
        <v>5640</v>
      </c>
      <c r="C2248" s="24" t="s">
        <v>1333</v>
      </c>
      <c r="D2248" s="24" t="s">
        <v>17</v>
      </c>
      <c r="E2248" s="24" t="s">
        <v>18</v>
      </c>
      <c r="F2248" s="24" t="s">
        <v>19</v>
      </c>
      <c r="G2248" s="24" t="s">
        <v>20</v>
      </c>
      <c r="H2248" s="26">
        <v>24</v>
      </c>
      <c r="I2248" s="24" t="s">
        <v>21</v>
      </c>
      <c r="J2248" s="36">
        <v>45476</v>
      </c>
      <c r="K2248" s="24" t="s">
        <v>22</v>
      </c>
    </row>
    <row r="2249" spans="1:11" x14ac:dyDescent="0.2">
      <c r="A2249" s="27" t="s">
        <v>5641</v>
      </c>
      <c r="B2249" s="27" t="s">
        <v>5642</v>
      </c>
      <c r="C2249" s="27" t="s">
        <v>1038</v>
      </c>
      <c r="D2249" s="27" t="s">
        <v>17</v>
      </c>
      <c r="E2249" s="27" t="s">
        <v>26</v>
      </c>
      <c r="F2249" s="27" t="s">
        <v>27</v>
      </c>
      <c r="G2249" s="27" t="s">
        <v>28</v>
      </c>
      <c r="H2249" s="29">
        <v>12</v>
      </c>
      <c r="I2249" s="27" t="s">
        <v>29</v>
      </c>
      <c r="J2249" s="37">
        <v>45475</v>
      </c>
      <c r="K2249" s="27" t="s">
        <v>22</v>
      </c>
    </row>
    <row r="2250" spans="1:11" x14ac:dyDescent="0.2">
      <c r="A2250" s="24" t="s">
        <v>5643</v>
      </c>
      <c r="B2250" s="24" t="s">
        <v>5644</v>
      </c>
      <c r="C2250" s="24" t="s">
        <v>251</v>
      </c>
      <c r="D2250" s="24" t="s">
        <v>17</v>
      </c>
      <c r="E2250" s="24" t="s">
        <v>48</v>
      </c>
      <c r="F2250" s="24" t="s">
        <v>49</v>
      </c>
      <c r="G2250" s="24" t="s">
        <v>44</v>
      </c>
      <c r="H2250" s="26">
        <v>155</v>
      </c>
      <c r="I2250" s="24" t="s">
        <v>21</v>
      </c>
      <c r="J2250" s="36">
        <v>45475</v>
      </c>
      <c r="K2250" s="24" t="s">
        <v>22</v>
      </c>
    </row>
    <row r="2251" spans="1:11" x14ac:dyDescent="0.2">
      <c r="A2251" s="27" t="s">
        <v>5645</v>
      </c>
      <c r="B2251" s="27" t="s">
        <v>5646</v>
      </c>
      <c r="C2251" s="27" t="s">
        <v>5647</v>
      </c>
      <c r="D2251" s="27" t="s">
        <v>17</v>
      </c>
      <c r="E2251" s="27" t="s">
        <v>26</v>
      </c>
      <c r="F2251" s="27" t="s">
        <v>27</v>
      </c>
      <c r="G2251" s="27" t="s">
        <v>28</v>
      </c>
      <c r="H2251" s="29">
        <v>144</v>
      </c>
      <c r="I2251" s="27" t="s">
        <v>29</v>
      </c>
      <c r="J2251" s="37">
        <v>45497</v>
      </c>
      <c r="K2251" s="27" t="s">
        <v>22</v>
      </c>
    </row>
    <row r="2252" spans="1:11" x14ac:dyDescent="0.2">
      <c r="A2252" s="24" t="s">
        <v>5648</v>
      </c>
      <c r="B2252" s="24" t="s">
        <v>5649</v>
      </c>
      <c r="C2252" s="24" t="s">
        <v>68</v>
      </c>
      <c r="D2252" s="24" t="s">
        <v>17</v>
      </c>
      <c r="E2252" s="24" t="s">
        <v>26</v>
      </c>
      <c r="F2252" s="24" t="s">
        <v>27</v>
      </c>
      <c r="G2252" s="24" t="s">
        <v>44</v>
      </c>
      <c r="H2252" s="26">
        <v>47</v>
      </c>
      <c r="I2252" s="24" t="s">
        <v>21</v>
      </c>
      <c r="J2252" s="36">
        <v>45478</v>
      </c>
      <c r="K2252" s="24" t="s">
        <v>22</v>
      </c>
    </row>
    <row r="2253" spans="1:11" x14ac:dyDescent="0.2">
      <c r="A2253" s="27" t="s">
        <v>5650</v>
      </c>
      <c r="B2253" s="27" t="s">
        <v>5651</v>
      </c>
      <c r="C2253" s="27" t="s">
        <v>437</v>
      </c>
      <c r="D2253" s="27" t="s">
        <v>17</v>
      </c>
      <c r="E2253" s="27" t="s">
        <v>18</v>
      </c>
      <c r="F2253" s="27" t="s">
        <v>19</v>
      </c>
      <c r="G2253" s="27" t="s">
        <v>20</v>
      </c>
      <c r="H2253" s="29">
        <v>13</v>
      </c>
      <c r="I2253" s="27" t="s">
        <v>21</v>
      </c>
      <c r="J2253" s="37">
        <v>45484</v>
      </c>
      <c r="K2253" s="27" t="s">
        <v>22</v>
      </c>
    </row>
    <row r="2254" spans="1:11" x14ac:dyDescent="0.2">
      <c r="A2254" s="24" t="s">
        <v>5652</v>
      </c>
      <c r="B2254" s="24" t="s">
        <v>5653</v>
      </c>
      <c r="C2254" s="24" t="s">
        <v>146</v>
      </c>
      <c r="D2254" s="24" t="s">
        <v>17</v>
      </c>
      <c r="E2254" s="24" t="s">
        <v>18</v>
      </c>
      <c r="F2254" s="24" t="s">
        <v>19</v>
      </c>
      <c r="G2254" s="24" t="s">
        <v>20</v>
      </c>
      <c r="H2254" s="26">
        <v>46</v>
      </c>
      <c r="I2254" s="24" t="s">
        <v>21</v>
      </c>
      <c r="J2254" s="36">
        <v>45491</v>
      </c>
      <c r="K2254" s="24" t="s">
        <v>22</v>
      </c>
    </row>
    <row r="2255" spans="1:11" x14ac:dyDescent="0.2">
      <c r="A2255" s="27" t="s">
        <v>5654</v>
      </c>
      <c r="B2255" s="27" t="s">
        <v>5655</v>
      </c>
      <c r="C2255" s="27" t="s">
        <v>500</v>
      </c>
      <c r="D2255" s="27" t="s">
        <v>17</v>
      </c>
      <c r="E2255" s="27" t="s">
        <v>18</v>
      </c>
      <c r="F2255" s="27" t="s">
        <v>19</v>
      </c>
      <c r="G2255" s="27" t="s">
        <v>20</v>
      </c>
      <c r="H2255" s="29">
        <v>42</v>
      </c>
      <c r="I2255" s="27" t="s">
        <v>21</v>
      </c>
      <c r="J2255" s="37">
        <v>45479</v>
      </c>
      <c r="K2255" s="27" t="s">
        <v>22</v>
      </c>
    </row>
    <row r="2256" spans="1:11" x14ac:dyDescent="0.2">
      <c r="A2256" s="24" t="s">
        <v>5656</v>
      </c>
      <c r="B2256" s="24" t="s">
        <v>5657</v>
      </c>
      <c r="C2256" s="24" t="s">
        <v>55</v>
      </c>
      <c r="D2256" s="24" t="s">
        <v>17</v>
      </c>
      <c r="E2256" s="24" t="s">
        <v>18</v>
      </c>
      <c r="F2256" s="24" t="s">
        <v>19</v>
      </c>
      <c r="G2256" s="24" t="s">
        <v>20</v>
      </c>
      <c r="H2256" s="26">
        <v>12</v>
      </c>
      <c r="I2256" s="24" t="s">
        <v>21</v>
      </c>
      <c r="J2256" s="36">
        <v>45484</v>
      </c>
      <c r="K2256" s="24" t="s">
        <v>22</v>
      </c>
    </row>
    <row r="2257" spans="1:11" x14ac:dyDescent="0.2">
      <c r="A2257" s="27" t="s">
        <v>5658</v>
      </c>
      <c r="B2257" s="27" t="s">
        <v>5659</v>
      </c>
      <c r="C2257" s="27" t="s">
        <v>1895</v>
      </c>
      <c r="D2257" s="27" t="s">
        <v>17</v>
      </c>
      <c r="E2257" s="27" t="s">
        <v>18</v>
      </c>
      <c r="F2257" s="27" t="s">
        <v>19</v>
      </c>
      <c r="G2257" s="27" t="s">
        <v>28</v>
      </c>
      <c r="H2257" s="29">
        <v>196</v>
      </c>
      <c r="I2257" s="27" t="s">
        <v>29</v>
      </c>
      <c r="J2257" s="37">
        <v>45496</v>
      </c>
      <c r="K2257" s="27" t="s">
        <v>22</v>
      </c>
    </row>
    <row r="2258" spans="1:11" x14ac:dyDescent="0.2">
      <c r="A2258" s="24" t="s">
        <v>5660</v>
      </c>
      <c r="B2258" s="24" t="s">
        <v>5661</v>
      </c>
      <c r="C2258" s="24" t="s">
        <v>5662</v>
      </c>
      <c r="D2258" s="24" t="s">
        <v>17</v>
      </c>
      <c r="E2258" s="24" t="s">
        <v>26</v>
      </c>
      <c r="F2258" s="24" t="s">
        <v>27</v>
      </c>
      <c r="G2258" s="24" t="s">
        <v>217</v>
      </c>
      <c r="H2258" s="26">
        <v>165</v>
      </c>
      <c r="I2258" s="24" t="s">
        <v>29</v>
      </c>
      <c r="J2258" s="36">
        <v>45481</v>
      </c>
      <c r="K2258" s="24" t="s">
        <v>22</v>
      </c>
    </row>
    <row r="2259" spans="1:11" x14ac:dyDescent="0.2">
      <c r="A2259" s="27" t="s">
        <v>5663</v>
      </c>
      <c r="B2259" s="27" t="s">
        <v>5664</v>
      </c>
      <c r="C2259" s="27" t="s">
        <v>4827</v>
      </c>
      <c r="D2259" s="27" t="s">
        <v>17</v>
      </c>
      <c r="E2259" s="27" t="s">
        <v>48</v>
      </c>
      <c r="F2259" s="27" t="s">
        <v>49</v>
      </c>
      <c r="G2259" s="27" t="s">
        <v>20</v>
      </c>
      <c r="H2259" s="29">
        <v>60</v>
      </c>
      <c r="I2259" s="27" t="s">
        <v>21</v>
      </c>
      <c r="J2259" s="37">
        <v>45485</v>
      </c>
      <c r="K2259" s="27" t="s">
        <v>22</v>
      </c>
    </row>
    <row r="2260" spans="1:11" x14ac:dyDescent="0.2">
      <c r="A2260" s="24" t="s">
        <v>5665</v>
      </c>
      <c r="B2260" s="24" t="s">
        <v>5666</v>
      </c>
      <c r="C2260" s="24" t="s">
        <v>5667</v>
      </c>
      <c r="D2260" s="24" t="s">
        <v>17</v>
      </c>
      <c r="E2260" s="24" t="s">
        <v>18</v>
      </c>
      <c r="F2260" s="24" t="s">
        <v>19</v>
      </c>
      <c r="G2260" s="24" t="s">
        <v>217</v>
      </c>
      <c r="H2260" s="26">
        <v>40</v>
      </c>
      <c r="I2260" s="24" t="s">
        <v>29</v>
      </c>
      <c r="J2260" s="36">
        <v>45474</v>
      </c>
      <c r="K2260" s="24" t="s">
        <v>22</v>
      </c>
    </row>
    <row r="2261" spans="1:11" x14ac:dyDescent="0.2">
      <c r="A2261" s="27" t="s">
        <v>5668</v>
      </c>
      <c r="B2261" s="27" t="s">
        <v>5669</v>
      </c>
      <c r="C2261" s="27" t="s">
        <v>2663</v>
      </c>
      <c r="D2261" s="27" t="s">
        <v>17</v>
      </c>
      <c r="E2261" s="27" t="s">
        <v>42</v>
      </c>
      <c r="F2261" s="27" t="s">
        <v>43</v>
      </c>
      <c r="G2261" s="27" t="s">
        <v>44</v>
      </c>
      <c r="H2261" s="29">
        <v>963</v>
      </c>
      <c r="I2261" s="27" t="s">
        <v>21</v>
      </c>
      <c r="J2261" s="37">
        <v>45484</v>
      </c>
      <c r="K2261" s="27" t="s">
        <v>22</v>
      </c>
    </row>
    <row r="2262" spans="1:11" x14ac:dyDescent="0.2">
      <c r="A2262" s="24" t="s">
        <v>5670</v>
      </c>
      <c r="B2262" s="24" t="s">
        <v>5671</v>
      </c>
      <c r="C2262" s="24" t="s">
        <v>5672</v>
      </c>
      <c r="D2262" s="24" t="s">
        <v>17</v>
      </c>
      <c r="E2262" s="24" t="s">
        <v>26</v>
      </c>
      <c r="F2262" s="24" t="s">
        <v>27</v>
      </c>
      <c r="G2262" s="24" t="s">
        <v>28</v>
      </c>
      <c r="H2262" s="26">
        <v>54</v>
      </c>
      <c r="I2262" s="24" t="s">
        <v>29</v>
      </c>
      <c r="J2262" s="36">
        <v>45482</v>
      </c>
      <c r="K2262" s="24" t="s">
        <v>22</v>
      </c>
    </row>
    <row r="2263" spans="1:11" x14ac:dyDescent="0.2">
      <c r="A2263" s="27" t="s">
        <v>5673</v>
      </c>
      <c r="B2263" s="27" t="s">
        <v>5674</v>
      </c>
      <c r="C2263" s="27" t="s">
        <v>5675</v>
      </c>
      <c r="D2263" s="27" t="s">
        <v>17</v>
      </c>
      <c r="E2263" s="27" t="s">
        <v>18</v>
      </c>
      <c r="F2263" s="27" t="s">
        <v>19</v>
      </c>
      <c r="G2263" s="27" t="s">
        <v>28</v>
      </c>
      <c r="H2263" s="29">
        <v>79</v>
      </c>
      <c r="I2263" s="27" t="s">
        <v>29</v>
      </c>
      <c r="J2263" s="37">
        <v>45490</v>
      </c>
      <c r="K2263" s="27" t="s">
        <v>22</v>
      </c>
    </row>
    <row r="2264" spans="1:11" x14ac:dyDescent="0.2">
      <c r="A2264" s="24" t="s">
        <v>5676</v>
      </c>
      <c r="B2264" s="24" t="s">
        <v>5677</v>
      </c>
      <c r="C2264" s="24" t="s">
        <v>5678</v>
      </c>
      <c r="D2264" s="24" t="s">
        <v>17</v>
      </c>
      <c r="E2264" s="24" t="s">
        <v>48</v>
      </c>
      <c r="F2264" s="24" t="s">
        <v>49</v>
      </c>
      <c r="G2264" s="24" t="s">
        <v>28</v>
      </c>
      <c r="H2264" s="26">
        <v>72</v>
      </c>
      <c r="I2264" s="24" t="s">
        <v>29</v>
      </c>
      <c r="J2264" s="36">
        <v>45497</v>
      </c>
      <c r="K2264" s="24" t="s">
        <v>22</v>
      </c>
    </row>
    <row r="2265" spans="1:11" x14ac:dyDescent="0.2">
      <c r="A2265" s="27" t="s">
        <v>5679</v>
      </c>
      <c r="B2265" s="27" t="s">
        <v>5680</v>
      </c>
      <c r="C2265" s="27" t="s">
        <v>1502</v>
      </c>
      <c r="D2265" s="27" t="s">
        <v>17</v>
      </c>
      <c r="E2265" s="27" t="s">
        <v>18</v>
      </c>
      <c r="F2265" s="27" t="s">
        <v>19</v>
      </c>
      <c r="G2265" s="27" t="s">
        <v>59</v>
      </c>
      <c r="H2265" s="29">
        <v>106</v>
      </c>
      <c r="I2265" s="27" t="s">
        <v>21</v>
      </c>
      <c r="J2265" s="37">
        <v>45488</v>
      </c>
      <c r="K2265" s="27" t="s">
        <v>22</v>
      </c>
    </row>
    <row r="2266" spans="1:11" x14ac:dyDescent="0.2">
      <c r="A2266" s="24" t="s">
        <v>5681</v>
      </c>
      <c r="B2266" s="24" t="s">
        <v>5682</v>
      </c>
      <c r="C2266" s="24" t="s">
        <v>55</v>
      </c>
      <c r="D2266" s="24" t="s">
        <v>17</v>
      </c>
      <c r="E2266" s="24" t="s">
        <v>42</v>
      </c>
      <c r="F2266" s="24" t="s">
        <v>43</v>
      </c>
      <c r="G2266" s="24" t="s">
        <v>20</v>
      </c>
      <c r="H2266" s="26">
        <v>301</v>
      </c>
      <c r="I2266" s="24" t="s">
        <v>21</v>
      </c>
      <c r="J2266" s="36">
        <v>45481</v>
      </c>
      <c r="K2266" s="24" t="s">
        <v>22</v>
      </c>
    </row>
    <row r="2267" spans="1:11" x14ac:dyDescent="0.2">
      <c r="A2267" s="27" t="s">
        <v>5683</v>
      </c>
      <c r="B2267" s="27" t="s">
        <v>5684</v>
      </c>
      <c r="C2267" s="27" t="s">
        <v>2501</v>
      </c>
      <c r="D2267" s="27" t="s">
        <v>17</v>
      </c>
      <c r="E2267" s="27" t="s">
        <v>26</v>
      </c>
      <c r="F2267" s="27" t="s">
        <v>27</v>
      </c>
      <c r="G2267" s="27" t="s">
        <v>28</v>
      </c>
      <c r="H2267" s="29">
        <v>18</v>
      </c>
      <c r="I2267" s="27" t="s">
        <v>29</v>
      </c>
      <c r="J2267" s="37">
        <v>45498</v>
      </c>
      <c r="K2267" s="27" t="s">
        <v>22</v>
      </c>
    </row>
    <row r="2268" spans="1:11" x14ac:dyDescent="0.2">
      <c r="A2268" s="24" t="s">
        <v>5685</v>
      </c>
      <c r="B2268" s="24" t="s">
        <v>5686</v>
      </c>
      <c r="C2268" s="24" t="s">
        <v>55</v>
      </c>
      <c r="D2268" s="24" t="s">
        <v>17</v>
      </c>
      <c r="E2268" s="24" t="s">
        <v>26</v>
      </c>
      <c r="F2268" s="24" t="s">
        <v>27</v>
      </c>
      <c r="G2268" s="24" t="s">
        <v>44</v>
      </c>
      <c r="H2268" s="26">
        <v>38</v>
      </c>
      <c r="I2268" s="24" t="s">
        <v>29</v>
      </c>
      <c r="J2268" s="36">
        <v>45490</v>
      </c>
      <c r="K2268" s="24" t="s">
        <v>22</v>
      </c>
    </row>
    <row r="2269" spans="1:11" x14ac:dyDescent="0.2">
      <c r="A2269" s="27" t="s">
        <v>5687</v>
      </c>
      <c r="B2269" s="27" t="s">
        <v>5688</v>
      </c>
      <c r="C2269" s="27" t="s">
        <v>5689</v>
      </c>
      <c r="D2269" s="27" t="s">
        <v>17</v>
      </c>
      <c r="E2269" s="27" t="s">
        <v>18</v>
      </c>
      <c r="F2269" s="27" t="s">
        <v>19</v>
      </c>
      <c r="G2269" s="27" t="s">
        <v>20</v>
      </c>
      <c r="H2269" s="29">
        <v>8</v>
      </c>
      <c r="I2269" s="27" t="s">
        <v>21</v>
      </c>
      <c r="J2269" s="37">
        <v>45502</v>
      </c>
      <c r="K2269" s="27" t="s">
        <v>22</v>
      </c>
    </row>
    <row r="2270" spans="1:11" x14ac:dyDescent="0.2">
      <c r="A2270" s="24" t="s">
        <v>5690</v>
      </c>
      <c r="B2270" s="24" t="s">
        <v>5691</v>
      </c>
      <c r="C2270" s="24" t="s">
        <v>97</v>
      </c>
      <c r="D2270" s="24" t="s">
        <v>17</v>
      </c>
      <c r="E2270" s="24" t="s">
        <v>18</v>
      </c>
      <c r="F2270" s="24" t="s">
        <v>19</v>
      </c>
      <c r="G2270" s="24" t="s">
        <v>20</v>
      </c>
      <c r="H2270" s="26">
        <v>91</v>
      </c>
      <c r="I2270" s="24" t="s">
        <v>21</v>
      </c>
      <c r="J2270" s="36">
        <v>45488</v>
      </c>
      <c r="K2270" s="24" t="s">
        <v>22</v>
      </c>
    </row>
    <row r="2271" spans="1:11" x14ac:dyDescent="0.2">
      <c r="A2271" s="27" t="s">
        <v>5692</v>
      </c>
      <c r="B2271" s="27" t="s">
        <v>5693</v>
      </c>
      <c r="C2271" s="27" t="s">
        <v>5694</v>
      </c>
      <c r="D2271" s="27" t="s">
        <v>17</v>
      </c>
      <c r="E2271" s="27" t="s">
        <v>42</v>
      </c>
      <c r="F2271" s="27" t="s">
        <v>43</v>
      </c>
      <c r="G2271" s="27" t="s">
        <v>28</v>
      </c>
      <c r="H2271" s="29">
        <v>226</v>
      </c>
      <c r="I2271" s="27" t="s">
        <v>29</v>
      </c>
      <c r="J2271" s="37">
        <v>45474</v>
      </c>
      <c r="K2271" s="27" t="s">
        <v>22</v>
      </c>
    </row>
    <row r="2272" spans="1:11" x14ac:dyDescent="0.2">
      <c r="A2272" s="24" t="s">
        <v>5695</v>
      </c>
      <c r="B2272" s="24" t="s">
        <v>5696</v>
      </c>
      <c r="C2272" s="24" t="s">
        <v>97</v>
      </c>
      <c r="D2272" s="24" t="s">
        <v>17</v>
      </c>
      <c r="E2272" s="24" t="s">
        <v>18</v>
      </c>
      <c r="F2272" s="24" t="s">
        <v>19</v>
      </c>
      <c r="G2272" s="24" t="s">
        <v>28</v>
      </c>
      <c r="H2272" s="26">
        <v>70</v>
      </c>
      <c r="I2272" s="24" t="s">
        <v>29</v>
      </c>
      <c r="J2272" s="36">
        <v>45504</v>
      </c>
      <c r="K2272" s="24" t="s">
        <v>22</v>
      </c>
    </row>
    <row r="2273" spans="1:11" x14ac:dyDescent="0.2">
      <c r="A2273" s="27" t="s">
        <v>5697</v>
      </c>
      <c r="B2273" s="27" t="s">
        <v>5698</v>
      </c>
      <c r="C2273" s="27" t="s">
        <v>5699</v>
      </c>
      <c r="D2273" s="27" t="s">
        <v>17</v>
      </c>
      <c r="E2273" s="27" t="s">
        <v>18</v>
      </c>
      <c r="F2273" s="27" t="s">
        <v>19</v>
      </c>
      <c r="G2273" s="27" t="s">
        <v>116</v>
      </c>
      <c r="H2273" s="29">
        <v>0</v>
      </c>
      <c r="I2273" s="27" t="s">
        <v>21</v>
      </c>
      <c r="J2273" s="37">
        <v>45488</v>
      </c>
      <c r="K2273" s="27" t="s">
        <v>22</v>
      </c>
    </row>
    <row r="2274" spans="1:11" x14ac:dyDescent="0.2">
      <c r="A2274" s="24" t="s">
        <v>5700</v>
      </c>
      <c r="B2274" s="24" t="s">
        <v>5701</v>
      </c>
      <c r="C2274" s="24" t="s">
        <v>1444</v>
      </c>
      <c r="D2274" s="24" t="s">
        <v>17</v>
      </c>
      <c r="E2274" s="24" t="s">
        <v>18</v>
      </c>
      <c r="F2274" s="24" t="s">
        <v>19</v>
      </c>
      <c r="G2274" s="24" t="s">
        <v>28</v>
      </c>
      <c r="H2274" s="26">
        <v>150</v>
      </c>
      <c r="I2274" s="24" t="s">
        <v>29</v>
      </c>
      <c r="J2274" s="36">
        <v>45477</v>
      </c>
      <c r="K2274" s="24" t="s">
        <v>22</v>
      </c>
    </row>
    <row r="2275" spans="1:11" x14ac:dyDescent="0.2">
      <c r="A2275" s="27" t="s">
        <v>5702</v>
      </c>
      <c r="B2275" s="27" t="s">
        <v>5703</v>
      </c>
      <c r="C2275" s="27" t="s">
        <v>4908</v>
      </c>
      <c r="D2275" s="27" t="s">
        <v>17</v>
      </c>
      <c r="E2275" s="27" t="s">
        <v>26</v>
      </c>
      <c r="F2275" s="27" t="s">
        <v>27</v>
      </c>
      <c r="G2275" s="27" t="s">
        <v>20</v>
      </c>
      <c r="H2275" s="29">
        <v>38</v>
      </c>
      <c r="I2275" s="27" t="s">
        <v>21</v>
      </c>
      <c r="J2275" s="37">
        <v>45482</v>
      </c>
      <c r="K2275" s="27" t="s">
        <v>22</v>
      </c>
    </row>
    <row r="2276" spans="1:11" x14ac:dyDescent="0.2">
      <c r="A2276" s="24" t="s">
        <v>5704</v>
      </c>
      <c r="B2276" s="24" t="s">
        <v>5705</v>
      </c>
      <c r="C2276" s="24" t="s">
        <v>801</v>
      </c>
      <c r="D2276" s="24" t="s">
        <v>17</v>
      </c>
      <c r="E2276" s="24" t="s">
        <v>48</v>
      </c>
      <c r="F2276" s="24" t="s">
        <v>49</v>
      </c>
      <c r="G2276" s="24" t="s">
        <v>28</v>
      </c>
      <c r="H2276" s="26">
        <v>30</v>
      </c>
      <c r="I2276" s="24" t="s">
        <v>29</v>
      </c>
      <c r="J2276" s="36">
        <v>45488</v>
      </c>
      <c r="K2276" s="24" t="s">
        <v>22</v>
      </c>
    </row>
    <row r="2277" spans="1:11" x14ac:dyDescent="0.2">
      <c r="A2277" s="27" t="s">
        <v>5706</v>
      </c>
      <c r="B2277" s="27" t="s">
        <v>5707</v>
      </c>
      <c r="C2277" s="27" t="s">
        <v>1853</v>
      </c>
      <c r="D2277" s="27" t="s">
        <v>17</v>
      </c>
      <c r="E2277" s="27" t="s">
        <v>48</v>
      </c>
      <c r="F2277" s="27" t="s">
        <v>49</v>
      </c>
      <c r="G2277" s="27" t="s">
        <v>20</v>
      </c>
      <c r="H2277" s="29">
        <v>126</v>
      </c>
      <c r="I2277" s="27" t="s">
        <v>21</v>
      </c>
      <c r="J2277" s="37">
        <v>45492</v>
      </c>
      <c r="K2277" s="27" t="s">
        <v>22</v>
      </c>
    </row>
    <row r="2278" spans="1:11" x14ac:dyDescent="0.2">
      <c r="A2278" s="24" t="s">
        <v>5708</v>
      </c>
      <c r="B2278" s="24" t="s">
        <v>5709</v>
      </c>
      <c r="C2278" s="24" t="s">
        <v>5710</v>
      </c>
      <c r="D2278" s="24" t="s">
        <v>17</v>
      </c>
      <c r="E2278" s="24" t="s">
        <v>18</v>
      </c>
      <c r="F2278" s="24" t="s">
        <v>19</v>
      </c>
      <c r="G2278" s="24" t="s">
        <v>28</v>
      </c>
      <c r="H2278" s="26">
        <v>200</v>
      </c>
      <c r="I2278" s="24" t="s">
        <v>29</v>
      </c>
      <c r="J2278" s="36">
        <v>45491</v>
      </c>
      <c r="K2278" s="24" t="s">
        <v>22</v>
      </c>
    </row>
    <row r="2279" spans="1:11" x14ac:dyDescent="0.2">
      <c r="A2279" s="27" t="s">
        <v>5711</v>
      </c>
      <c r="B2279" s="27" t="s">
        <v>5712</v>
      </c>
      <c r="C2279" s="27" t="s">
        <v>1422</v>
      </c>
      <c r="D2279" s="27" t="s">
        <v>17</v>
      </c>
      <c r="E2279" s="27" t="s">
        <v>18</v>
      </c>
      <c r="F2279" s="27" t="s">
        <v>19</v>
      </c>
      <c r="G2279" s="27" t="s">
        <v>20</v>
      </c>
      <c r="H2279" s="29">
        <v>40</v>
      </c>
      <c r="I2279" s="27" t="s">
        <v>21</v>
      </c>
      <c r="J2279" s="37">
        <v>45504</v>
      </c>
      <c r="K2279" s="27" t="s">
        <v>22</v>
      </c>
    </row>
    <row r="2280" spans="1:11" x14ac:dyDescent="0.2">
      <c r="A2280" s="24" t="s">
        <v>5713</v>
      </c>
      <c r="B2280" s="24" t="s">
        <v>5714</v>
      </c>
      <c r="C2280" s="24" t="s">
        <v>2916</v>
      </c>
      <c r="D2280" s="24" t="s">
        <v>17</v>
      </c>
      <c r="E2280" s="24" t="s">
        <v>18</v>
      </c>
      <c r="F2280" s="24" t="s">
        <v>19</v>
      </c>
      <c r="G2280" s="24" t="s">
        <v>28</v>
      </c>
      <c r="H2280" s="26">
        <v>24</v>
      </c>
      <c r="I2280" s="24" t="s">
        <v>29</v>
      </c>
      <c r="J2280" s="36">
        <v>45496</v>
      </c>
      <c r="K2280" s="24" t="s">
        <v>22</v>
      </c>
    </row>
    <row r="2281" spans="1:11" x14ac:dyDescent="0.2">
      <c r="A2281" s="27" t="s">
        <v>5715</v>
      </c>
      <c r="B2281" s="27" t="s">
        <v>5716</v>
      </c>
      <c r="C2281" s="27" t="s">
        <v>437</v>
      </c>
      <c r="D2281" s="27" t="s">
        <v>17</v>
      </c>
      <c r="E2281" s="27" t="s">
        <v>42</v>
      </c>
      <c r="F2281" s="27" t="s">
        <v>43</v>
      </c>
      <c r="G2281" s="27" t="s">
        <v>44</v>
      </c>
      <c r="H2281" s="29">
        <v>89</v>
      </c>
      <c r="I2281" s="27" t="s">
        <v>21</v>
      </c>
      <c r="J2281" s="37">
        <v>45478</v>
      </c>
      <c r="K2281" s="27" t="s">
        <v>22</v>
      </c>
    </row>
    <row r="2282" spans="1:11" x14ac:dyDescent="0.2">
      <c r="A2282" s="24" t="s">
        <v>5717</v>
      </c>
      <c r="B2282" s="24" t="s">
        <v>5718</v>
      </c>
      <c r="C2282" s="24" t="s">
        <v>5719</v>
      </c>
      <c r="D2282" s="24" t="s">
        <v>17</v>
      </c>
      <c r="E2282" s="24" t="s">
        <v>48</v>
      </c>
      <c r="F2282" s="24" t="s">
        <v>49</v>
      </c>
      <c r="G2282" s="24" t="s">
        <v>217</v>
      </c>
      <c r="H2282" s="26">
        <v>30</v>
      </c>
      <c r="I2282" s="24" t="s">
        <v>29</v>
      </c>
      <c r="J2282" s="36">
        <v>45474</v>
      </c>
      <c r="K2282" s="24" t="s">
        <v>22</v>
      </c>
    </row>
    <row r="2283" spans="1:11" x14ac:dyDescent="0.2">
      <c r="A2283" s="27" t="s">
        <v>5720</v>
      </c>
      <c r="B2283" s="27" t="s">
        <v>5721</v>
      </c>
      <c r="C2283" s="27" t="s">
        <v>1535</v>
      </c>
      <c r="D2283" s="27" t="s">
        <v>17</v>
      </c>
      <c r="E2283" s="27" t="s">
        <v>26</v>
      </c>
      <c r="F2283" s="27" t="s">
        <v>27</v>
      </c>
      <c r="G2283" s="27" t="s">
        <v>28</v>
      </c>
      <c r="H2283" s="29">
        <v>40</v>
      </c>
      <c r="I2283" s="27" t="s">
        <v>29</v>
      </c>
      <c r="J2283" s="37">
        <v>45513</v>
      </c>
      <c r="K2283" s="27" t="s">
        <v>22</v>
      </c>
    </row>
    <row r="2284" spans="1:11" x14ac:dyDescent="0.2">
      <c r="A2284" s="24" t="s">
        <v>5722</v>
      </c>
      <c r="B2284" s="24" t="s">
        <v>5723</v>
      </c>
      <c r="C2284" s="24" t="s">
        <v>197</v>
      </c>
      <c r="D2284" s="24" t="s">
        <v>17</v>
      </c>
      <c r="E2284" s="24" t="s">
        <v>18</v>
      </c>
      <c r="F2284" s="24" t="s">
        <v>19</v>
      </c>
      <c r="G2284" s="24" t="s">
        <v>28</v>
      </c>
      <c r="H2284" s="26">
        <v>132</v>
      </c>
      <c r="I2284" s="24" t="s">
        <v>29</v>
      </c>
      <c r="J2284" s="36">
        <v>45525</v>
      </c>
      <c r="K2284" s="24" t="s">
        <v>22</v>
      </c>
    </row>
    <row r="2285" spans="1:11" x14ac:dyDescent="0.2">
      <c r="A2285" s="27" t="s">
        <v>5724</v>
      </c>
      <c r="B2285" s="27" t="s">
        <v>5725</v>
      </c>
      <c r="C2285" s="27" t="s">
        <v>5726</v>
      </c>
      <c r="D2285" s="27" t="s">
        <v>17</v>
      </c>
      <c r="E2285" s="27" t="s">
        <v>18</v>
      </c>
      <c r="F2285" s="27" t="s">
        <v>19</v>
      </c>
      <c r="G2285" s="27" t="s">
        <v>28</v>
      </c>
      <c r="H2285" s="29">
        <v>21</v>
      </c>
      <c r="I2285" s="27" t="s">
        <v>29</v>
      </c>
      <c r="J2285" s="37">
        <v>45533</v>
      </c>
      <c r="K2285" s="27" t="s">
        <v>22</v>
      </c>
    </row>
    <row r="2286" spans="1:11" x14ac:dyDescent="0.2">
      <c r="A2286" s="24" t="s">
        <v>5727</v>
      </c>
      <c r="B2286" s="24" t="s">
        <v>5728</v>
      </c>
      <c r="C2286" s="24" t="s">
        <v>5729</v>
      </c>
      <c r="D2286" s="24" t="s">
        <v>17</v>
      </c>
      <c r="E2286" s="24" t="s">
        <v>48</v>
      </c>
      <c r="F2286" s="24" t="s">
        <v>49</v>
      </c>
      <c r="G2286" s="24" t="s">
        <v>44</v>
      </c>
      <c r="H2286" s="26">
        <v>30</v>
      </c>
      <c r="I2286" s="24" t="s">
        <v>29</v>
      </c>
      <c r="J2286" s="36">
        <v>45532</v>
      </c>
      <c r="K2286" s="24" t="s">
        <v>22</v>
      </c>
    </row>
    <row r="2287" spans="1:11" x14ac:dyDescent="0.2">
      <c r="A2287" s="27" t="s">
        <v>5730</v>
      </c>
      <c r="B2287" s="27" t="s">
        <v>5731</v>
      </c>
      <c r="C2287" s="27" t="s">
        <v>5732</v>
      </c>
      <c r="D2287" s="27" t="s">
        <v>17</v>
      </c>
      <c r="E2287" s="27" t="s">
        <v>18</v>
      </c>
      <c r="F2287" s="27" t="s">
        <v>19</v>
      </c>
      <c r="G2287" s="27" t="s">
        <v>20</v>
      </c>
      <c r="H2287" s="29">
        <v>60</v>
      </c>
      <c r="I2287" s="27" t="s">
        <v>21</v>
      </c>
      <c r="J2287" s="37">
        <v>45524</v>
      </c>
      <c r="K2287" s="27" t="s">
        <v>22</v>
      </c>
    </row>
    <row r="2288" spans="1:11" x14ac:dyDescent="0.2">
      <c r="A2288" s="24" t="s">
        <v>5733</v>
      </c>
      <c r="B2288" s="24" t="s">
        <v>5734</v>
      </c>
      <c r="C2288" s="24" t="s">
        <v>5735</v>
      </c>
      <c r="D2288" s="24" t="s">
        <v>17</v>
      </c>
      <c r="E2288" s="24" t="s">
        <v>18</v>
      </c>
      <c r="F2288" s="24" t="s">
        <v>19</v>
      </c>
      <c r="G2288" s="24" t="s">
        <v>20</v>
      </c>
      <c r="H2288" s="26">
        <v>32</v>
      </c>
      <c r="I2288" s="24" t="s">
        <v>21</v>
      </c>
      <c r="J2288" s="36">
        <v>45530</v>
      </c>
      <c r="K2288" s="24" t="s">
        <v>22</v>
      </c>
    </row>
    <row r="2289" spans="1:11" x14ac:dyDescent="0.2">
      <c r="A2289" s="27" t="s">
        <v>5736</v>
      </c>
      <c r="B2289" s="27" t="s">
        <v>5737</v>
      </c>
      <c r="C2289" s="27" t="s">
        <v>194</v>
      </c>
      <c r="D2289" s="27" t="s">
        <v>17</v>
      </c>
      <c r="E2289" s="27" t="s">
        <v>18</v>
      </c>
      <c r="F2289" s="27" t="s">
        <v>19</v>
      </c>
      <c r="G2289" s="27" t="s">
        <v>28</v>
      </c>
      <c r="H2289" s="29">
        <v>21</v>
      </c>
      <c r="I2289" s="27" t="s">
        <v>29</v>
      </c>
      <c r="J2289" s="37">
        <v>45530</v>
      </c>
      <c r="K2289" s="27" t="s">
        <v>22</v>
      </c>
    </row>
    <row r="2290" spans="1:11" x14ac:dyDescent="0.2">
      <c r="A2290" s="24" t="s">
        <v>5738</v>
      </c>
      <c r="B2290" s="24" t="s">
        <v>5739</v>
      </c>
      <c r="C2290" s="24" t="s">
        <v>5740</v>
      </c>
      <c r="D2290" s="24" t="s">
        <v>17</v>
      </c>
      <c r="E2290" s="24" t="s">
        <v>18</v>
      </c>
      <c r="F2290" s="24" t="s">
        <v>19</v>
      </c>
      <c r="G2290" s="24" t="s">
        <v>28</v>
      </c>
      <c r="H2290" s="26">
        <v>70</v>
      </c>
      <c r="I2290" s="24" t="s">
        <v>29</v>
      </c>
      <c r="J2290" s="36">
        <v>45509</v>
      </c>
      <c r="K2290" s="24" t="s">
        <v>22</v>
      </c>
    </row>
    <row r="2291" spans="1:11" x14ac:dyDescent="0.2">
      <c r="A2291" s="27" t="s">
        <v>5741</v>
      </c>
      <c r="B2291" s="27" t="s">
        <v>5742</v>
      </c>
      <c r="C2291" s="27" t="s">
        <v>5743</v>
      </c>
      <c r="D2291" s="27" t="s">
        <v>17</v>
      </c>
      <c r="E2291" s="27" t="s">
        <v>18</v>
      </c>
      <c r="F2291" s="27" t="s">
        <v>19</v>
      </c>
      <c r="G2291" s="27" t="s">
        <v>44</v>
      </c>
      <c r="H2291" s="29">
        <v>58</v>
      </c>
      <c r="I2291" s="27" t="s">
        <v>21</v>
      </c>
      <c r="J2291" s="37">
        <v>45505</v>
      </c>
      <c r="K2291" s="27" t="s">
        <v>22</v>
      </c>
    </row>
    <row r="2292" spans="1:11" x14ac:dyDescent="0.2">
      <c r="A2292" s="24" t="s">
        <v>5744</v>
      </c>
      <c r="B2292" s="24" t="s">
        <v>5745</v>
      </c>
      <c r="C2292" s="24" t="s">
        <v>5746</v>
      </c>
      <c r="D2292" s="24" t="s">
        <v>17</v>
      </c>
      <c r="E2292" s="24" t="s">
        <v>26</v>
      </c>
      <c r="F2292" s="24" t="s">
        <v>27</v>
      </c>
      <c r="G2292" s="24" t="s">
        <v>28</v>
      </c>
      <c r="H2292" s="26">
        <v>29</v>
      </c>
      <c r="I2292" s="24" t="s">
        <v>29</v>
      </c>
      <c r="J2292" s="36">
        <v>45516</v>
      </c>
      <c r="K2292" s="24" t="s">
        <v>22</v>
      </c>
    </row>
    <row r="2293" spans="1:11" x14ac:dyDescent="0.2">
      <c r="A2293" s="27" t="s">
        <v>5747</v>
      </c>
      <c r="B2293" s="27" t="s">
        <v>5748</v>
      </c>
      <c r="C2293" s="27" t="s">
        <v>220</v>
      </c>
      <c r="D2293" s="27" t="s">
        <v>17</v>
      </c>
      <c r="E2293" s="27" t="s">
        <v>42</v>
      </c>
      <c r="F2293" s="27" t="s">
        <v>43</v>
      </c>
      <c r="G2293" s="27" t="s">
        <v>59</v>
      </c>
      <c r="H2293" s="29">
        <v>16</v>
      </c>
      <c r="I2293" s="27" t="s">
        <v>21</v>
      </c>
      <c r="J2293" s="37">
        <v>45532</v>
      </c>
      <c r="K2293" s="27" t="s">
        <v>22</v>
      </c>
    </row>
    <row r="2294" spans="1:11" x14ac:dyDescent="0.2">
      <c r="A2294" s="24" t="s">
        <v>5749</v>
      </c>
      <c r="B2294" s="24" t="s">
        <v>5750</v>
      </c>
      <c r="C2294" s="24" t="s">
        <v>325</v>
      </c>
      <c r="D2294" s="24" t="s">
        <v>17</v>
      </c>
      <c r="E2294" s="24" t="s">
        <v>18</v>
      </c>
      <c r="F2294" s="24" t="s">
        <v>19</v>
      </c>
      <c r="G2294" s="24" t="s">
        <v>20</v>
      </c>
      <c r="H2294" s="26">
        <v>14</v>
      </c>
      <c r="I2294" s="24" t="s">
        <v>21</v>
      </c>
      <c r="J2294" s="36">
        <v>45530</v>
      </c>
      <c r="K2294" s="24" t="s">
        <v>22</v>
      </c>
    </row>
    <row r="2295" spans="1:11" x14ac:dyDescent="0.2">
      <c r="A2295" s="27" t="s">
        <v>5751</v>
      </c>
      <c r="B2295" s="27" t="s">
        <v>5752</v>
      </c>
      <c r="C2295" s="27" t="s">
        <v>670</v>
      </c>
      <c r="D2295" s="27" t="s">
        <v>17</v>
      </c>
      <c r="E2295" s="27" t="s">
        <v>18</v>
      </c>
      <c r="F2295" s="27" t="s">
        <v>19</v>
      </c>
      <c r="G2295" s="27" t="s">
        <v>28</v>
      </c>
      <c r="H2295" s="29">
        <v>36</v>
      </c>
      <c r="I2295" s="27" t="s">
        <v>29</v>
      </c>
      <c r="J2295" s="37">
        <v>45506</v>
      </c>
      <c r="K2295" s="27" t="s">
        <v>22</v>
      </c>
    </row>
    <row r="2296" spans="1:11" x14ac:dyDescent="0.2">
      <c r="A2296" s="24" t="s">
        <v>5753</v>
      </c>
      <c r="B2296" s="24" t="s">
        <v>5754</v>
      </c>
      <c r="C2296" s="24" t="s">
        <v>5755</v>
      </c>
      <c r="D2296" s="24" t="s">
        <v>17</v>
      </c>
      <c r="E2296" s="24" t="s">
        <v>18</v>
      </c>
      <c r="F2296" s="24" t="s">
        <v>19</v>
      </c>
      <c r="G2296" s="24" t="s">
        <v>28</v>
      </c>
      <c r="H2296" s="26">
        <v>108</v>
      </c>
      <c r="I2296" s="24" t="s">
        <v>29</v>
      </c>
      <c r="J2296" s="36">
        <v>45531</v>
      </c>
      <c r="K2296" s="24" t="s">
        <v>22</v>
      </c>
    </row>
    <row r="2297" spans="1:11" x14ac:dyDescent="0.2">
      <c r="A2297" s="27" t="s">
        <v>5756</v>
      </c>
      <c r="B2297" s="27" t="s">
        <v>5757</v>
      </c>
      <c r="C2297" s="27" t="s">
        <v>97</v>
      </c>
      <c r="D2297" s="27" t="s">
        <v>17</v>
      </c>
      <c r="E2297" s="27" t="s">
        <v>42</v>
      </c>
      <c r="F2297" s="27" t="s">
        <v>43</v>
      </c>
      <c r="G2297" s="27" t="s">
        <v>28</v>
      </c>
      <c r="H2297" s="29">
        <v>620</v>
      </c>
      <c r="I2297" s="27" t="s">
        <v>29</v>
      </c>
      <c r="J2297" s="37">
        <v>45516</v>
      </c>
      <c r="K2297" s="27" t="s">
        <v>22</v>
      </c>
    </row>
    <row r="2298" spans="1:11" x14ac:dyDescent="0.2">
      <c r="A2298" s="24" t="s">
        <v>5758</v>
      </c>
      <c r="B2298" s="24" t="s">
        <v>5759</v>
      </c>
      <c r="C2298" s="24" t="s">
        <v>5760</v>
      </c>
      <c r="D2298" s="24" t="s">
        <v>17</v>
      </c>
      <c r="E2298" s="24" t="s">
        <v>42</v>
      </c>
      <c r="F2298" s="24" t="s">
        <v>43</v>
      </c>
      <c r="G2298" s="24" t="s">
        <v>44</v>
      </c>
      <c r="H2298" s="26">
        <v>161</v>
      </c>
      <c r="I2298" s="24" t="s">
        <v>21</v>
      </c>
      <c r="J2298" s="36">
        <v>45512</v>
      </c>
      <c r="K2298" s="24" t="s">
        <v>22</v>
      </c>
    </row>
    <row r="2299" spans="1:11" x14ac:dyDescent="0.2">
      <c r="A2299" s="27" t="s">
        <v>5761</v>
      </c>
      <c r="B2299" s="27" t="s">
        <v>5762</v>
      </c>
      <c r="C2299" s="27" t="s">
        <v>363</v>
      </c>
      <c r="D2299" s="27" t="s">
        <v>17</v>
      </c>
      <c r="E2299" s="27" t="s">
        <v>18</v>
      </c>
      <c r="F2299" s="27" t="s">
        <v>19</v>
      </c>
      <c r="G2299" s="27" t="s">
        <v>20</v>
      </c>
      <c r="H2299" s="29">
        <v>66</v>
      </c>
      <c r="I2299" s="27" t="s">
        <v>21</v>
      </c>
      <c r="J2299" s="37">
        <v>45523</v>
      </c>
      <c r="K2299" s="27" t="s">
        <v>22</v>
      </c>
    </row>
    <row r="2300" spans="1:11" x14ac:dyDescent="0.2">
      <c r="A2300" s="24" t="s">
        <v>5763</v>
      </c>
      <c r="B2300" s="24" t="s">
        <v>5764</v>
      </c>
      <c r="C2300" s="24" t="s">
        <v>3089</v>
      </c>
      <c r="D2300" s="24" t="s">
        <v>17</v>
      </c>
      <c r="E2300" s="24" t="s">
        <v>163</v>
      </c>
      <c r="F2300" s="24" t="s">
        <v>164</v>
      </c>
      <c r="G2300" s="24" t="s">
        <v>20</v>
      </c>
      <c r="H2300" s="26">
        <v>20</v>
      </c>
      <c r="I2300" s="24" t="s">
        <v>21</v>
      </c>
      <c r="J2300" s="36">
        <v>45525</v>
      </c>
      <c r="K2300" s="24" t="s">
        <v>22</v>
      </c>
    </row>
    <row r="2301" spans="1:11" x14ac:dyDescent="0.2">
      <c r="A2301" s="27" t="s">
        <v>5765</v>
      </c>
      <c r="B2301" s="27" t="s">
        <v>5766</v>
      </c>
      <c r="C2301" s="27" t="s">
        <v>450</v>
      </c>
      <c r="D2301" s="27" t="s">
        <v>17</v>
      </c>
      <c r="E2301" s="27" t="s">
        <v>48</v>
      </c>
      <c r="F2301" s="27" t="s">
        <v>49</v>
      </c>
      <c r="G2301" s="27" t="s">
        <v>28</v>
      </c>
      <c r="H2301" s="29">
        <v>370</v>
      </c>
      <c r="I2301" s="27" t="s">
        <v>29</v>
      </c>
      <c r="J2301" s="37">
        <v>45519</v>
      </c>
      <c r="K2301" s="27" t="s">
        <v>22</v>
      </c>
    </row>
    <row r="2302" spans="1:11" x14ac:dyDescent="0.2">
      <c r="A2302" s="24" t="s">
        <v>5767</v>
      </c>
      <c r="B2302" s="24" t="s">
        <v>5768</v>
      </c>
      <c r="C2302" s="24" t="s">
        <v>106</v>
      </c>
      <c r="D2302" s="24" t="s">
        <v>17</v>
      </c>
      <c r="E2302" s="24" t="s">
        <v>18</v>
      </c>
      <c r="F2302" s="24" t="s">
        <v>19</v>
      </c>
      <c r="G2302" s="24" t="s">
        <v>28</v>
      </c>
      <c r="H2302" s="26">
        <v>12</v>
      </c>
      <c r="I2302" s="24" t="s">
        <v>29</v>
      </c>
      <c r="J2302" s="36">
        <v>45510</v>
      </c>
      <c r="K2302" s="24" t="s">
        <v>22</v>
      </c>
    </row>
    <row r="2303" spans="1:11" x14ac:dyDescent="0.2">
      <c r="A2303" s="27" t="s">
        <v>5769</v>
      </c>
      <c r="B2303" s="27" t="s">
        <v>5770</v>
      </c>
      <c r="C2303" s="27" t="s">
        <v>5771</v>
      </c>
      <c r="D2303" s="27" t="s">
        <v>17</v>
      </c>
      <c r="E2303" s="27" t="s">
        <v>48</v>
      </c>
      <c r="F2303" s="27" t="s">
        <v>49</v>
      </c>
      <c r="G2303" s="27" t="s">
        <v>44</v>
      </c>
      <c r="H2303" s="29">
        <v>93</v>
      </c>
      <c r="I2303" s="27" t="s">
        <v>29</v>
      </c>
      <c r="J2303" s="37">
        <v>45530</v>
      </c>
      <c r="K2303" s="27" t="s">
        <v>22</v>
      </c>
    </row>
    <row r="2304" spans="1:11" x14ac:dyDescent="0.2">
      <c r="A2304" s="24" t="s">
        <v>5772</v>
      </c>
      <c r="B2304" s="24" t="s">
        <v>5773</v>
      </c>
      <c r="C2304" s="24" t="s">
        <v>5774</v>
      </c>
      <c r="D2304" s="24" t="s">
        <v>17</v>
      </c>
      <c r="E2304" s="24" t="s">
        <v>26</v>
      </c>
      <c r="F2304" s="24" t="s">
        <v>27</v>
      </c>
      <c r="G2304" s="24" t="s">
        <v>28</v>
      </c>
      <c r="H2304" s="26">
        <v>290</v>
      </c>
      <c r="I2304" s="24" t="s">
        <v>29</v>
      </c>
      <c r="J2304" s="36">
        <v>45517</v>
      </c>
      <c r="K2304" s="24" t="s">
        <v>22</v>
      </c>
    </row>
    <row r="2305" spans="1:11" x14ac:dyDescent="0.2">
      <c r="A2305" s="27" t="s">
        <v>5775</v>
      </c>
      <c r="B2305" s="27" t="s">
        <v>5776</v>
      </c>
      <c r="C2305" s="27" t="s">
        <v>1850</v>
      </c>
      <c r="D2305" s="27" t="s">
        <v>17</v>
      </c>
      <c r="E2305" s="27" t="s">
        <v>42</v>
      </c>
      <c r="F2305" s="27" t="s">
        <v>43</v>
      </c>
      <c r="G2305" s="27" t="s">
        <v>44</v>
      </c>
      <c r="H2305" s="29">
        <v>140</v>
      </c>
      <c r="I2305" s="27" t="s">
        <v>29</v>
      </c>
      <c r="J2305" s="37">
        <v>45512</v>
      </c>
      <c r="K2305" s="27" t="s">
        <v>22</v>
      </c>
    </row>
    <row r="2306" spans="1:11" x14ac:dyDescent="0.2">
      <c r="A2306" s="24" t="s">
        <v>5777</v>
      </c>
      <c r="B2306" s="24" t="s">
        <v>5778</v>
      </c>
      <c r="C2306" s="24" t="s">
        <v>5779</v>
      </c>
      <c r="D2306" s="24" t="s">
        <v>17</v>
      </c>
      <c r="E2306" s="24" t="s">
        <v>163</v>
      </c>
      <c r="F2306" s="24" t="s">
        <v>164</v>
      </c>
      <c r="G2306" s="24" t="s">
        <v>28</v>
      </c>
      <c r="H2306" s="26">
        <v>30</v>
      </c>
      <c r="I2306" s="24" t="s">
        <v>29</v>
      </c>
      <c r="J2306" s="36">
        <v>45505</v>
      </c>
      <c r="K2306" s="24" t="s">
        <v>22</v>
      </c>
    </row>
    <row r="2307" spans="1:11" x14ac:dyDescent="0.2">
      <c r="A2307" s="27" t="s">
        <v>5780</v>
      </c>
      <c r="B2307" s="27" t="s">
        <v>5781</v>
      </c>
      <c r="C2307" s="27" t="s">
        <v>1110</v>
      </c>
      <c r="D2307" s="27" t="s">
        <v>17</v>
      </c>
      <c r="E2307" s="27" t="s">
        <v>81</v>
      </c>
      <c r="F2307" s="27" t="s">
        <v>82</v>
      </c>
      <c r="G2307" s="27" t="s">
        <v>28</v>
      </c>
      <c r="H2307" s="29">
        <v>28</v>
      </c>
      <c r="I2307" s="27" t="s">
        <v>29</v>
      </c>
      <c r="J2307" s="37">
        <v>45518</v>
      </c>
      <c r="K2307" s="27" t="s">
        <v>22</v>
      </c>
    </row>
    <row r="2308" spans="1:11" x14ac:dyDescent="0.2">
      <c r="A2308" s="24" t="s">
        <v>5782</v>
      </c>
      <c r="B2308" s="24" t="s">
        <v>5783</v>
      </c>
      <c r="C2308" s="24" t="s">
        <v>106</v>
      </c>
      <c r="D2308" s="24" t="s">
        <v>17</v>
      </c>
      <c r="E2308" s="24" t="s">
        <v>18</v>
      </c>
      <c r="F2308" s="24" t="s">
        <v>19</v>
      </c>
      <c r="G2308" s="24" t="s">
        <v>20</v>
      </c>
      <c r="H2308" s="26">
        <v>60</v>
      </c>
      <c r="I2308" s="24" t="s">
        <v>21</v>
      </c>
      <c r="J2308" s="36">
        <v>45511</v>
      </c>
      <c r="K2308" s="24" t="s">
        <v>22</v>
      </c>
    </row>
    <row r="2309" spans="1:11" x14ac:dyDescent="0.2">
      <c r="A2309" s="27" t="s">
        <v>5784</v>
      </c>
      <c r="B2309" s="27" t="s">
        <v>5785</v>
      </c>
      <c r="C2309" s="27" t="s">
        <v>5786</v>
      </c>
      <c r="D2309" s="27" t="s">
        <v>17</v>
      </c>
      <c r="E2309" s="27" t="s">
        <v>18</v>
      </c>
      <c r="F2309" s="27" t="s">
        <v>19</v>
      </c>
      <c r="G2309" s="27" t="s">
        <v>217</v>
      </c>
      <c r="H2309" s="29">
        <v>82</v>
      </c>
      <c r="I2309" s="27" t="s">
        <v>29</v>
      </c>
      <c r="J2309" s="37">
        <v>45505</v>
      </c>
      <c r="K2309" s="27" t="s">
        <v>22</v>
      </c>
    </row>
    <row r="2310" spans="1:11" x14ac:dyDescent="0.2">
      <c r="A2310" s="24" t="s">
        <v>5787</v>
      </c>
      <c r="B2310" s="24" t="s">
        <v>5788</v>
      </c>
      <c r="C2310" s="24" t="s">
        <v>1158</v>
      </c>
      <c r="D2310" s="24" t="s">
        <v>17</v>
      </c>
      <c r="E2310" s="24" t="s">
        <v>48</v>
      </c>
      <c r="F2310" s="24" t="s">
        <v>49</v>
      </c>
      <c r="G2310" s="24" t="s">
        <v>44</v>
      </c>
      <c r="H2310" s="26">
        <v>3</v>
      </c>
      <c r="I2310" s="24" t="s">
        <v>21</v>
      </c>
      <c r="J2310" s="36">
        <v>45524</v>
      </c>
      <c r="K2310" s="24" t="s">
        <v>22</v>
      </c>
    </row>
    <row r="2311" spans="1:11" x14ac:dyDescent="0.2">
      <c r="A2311" s="27" t="s">
        <v>5789</v>
      </c>
      <c r="B2311" s="27" t="s">
        <v>5790</v>
      </c>
      <c r="C2311" s="27" t="s">
        <v>5791</v>
      </c>
      <c r="D2311" s="27" t="s">
        <v>17</v>
      </c>
      <c r="E2311" s="27" t="s">
        <v>18</v>
      </c>
      <c r="F2311" s="27" t="s">
        <v>19</v>
      </c>
      <c r="G2311" s="27" t="s">
        <v>20</v>
      </c>
      <c r="H2311" s="29">
        <v>20</v>
      </c>
      <c r="I2311" s="27" t="s">
        <v>21</v>
      </c>
      <c r="J2311" s="37">
        <v>45522</v>
      </c>
      <c r="K2311" s="27" t="s">
        <v>22</v>
      </c>
    </row>
    <row r="2312" spans="1:11" x14ac:dyDescent="0.2">
      <c r="A2312" s="24" t="s">
        <v>5792</v>
      </c>
      <c r="B2312" s="24" t="s">
        <v>5793</v>
      </c>
      <c r="C2312" s="24" t="s">
        <v>194</v>
      </c>
      <c r="D2312" s="24" t="s">
        <v>17</v>
      </c>
      <c r="E2312" s="24" t="s">
        <v>18</v>
      </c>
      <c r="F2312" s="24" t="s">
        <v>19</v>
      </c>
      <c r="G2312" s="24" t="s">
        <v>28</v>
      </c>
      <c r="H2312" s="26">
        <v>22</v>
      </c>
      <c r="I2312" s="24" t="s">
        <v>29</v>
      </c>
      <c r="J2312" s="36">
        <v>45506</v>
      </c>
      <c r="K2312" s="24" t="s">
        <v>22</v>
      </c>
    </row>
    <row r="2313" spans="1:11" x14ac:dyDescent="0.2">
      <c r="A2313" s="27" t="s">
        <v>5794</v>
      </c>
      <c r="B2313" s="27" t="s">
        <v>5795</v>
      </c>
      <c r="C2313" s="27" t="s">
        <v>687</v>
      </c>
      <c r="D2313" s="27" t="s">
        <v>17</v>
      </c>
      <c r="E2313" s="27" t="s">
        <v>18</v>
      </c>
      <c r="F2313" s="27" t="s">
        <v>19</v>
      </c>
      <c r="G2313" s="27" t="s">
        <v>20</v>
      </c>
      <c r="H2313" s="29">
        <v>24</v>
      </c>
      <c r="I2313" s="27" t="s">
        <v>21</v>
      </c>
      <c r="J2313" s="37">
        <v>45530</v>
      </c>
      <c r="K2313" s="27" t="s">
        <v>22</v>
      </c>
    </row>
    <row r="2314" spans="1:11" x14ac:dyDescent="0.2">
      <c r="A2314" s="24" t="s">
        <v>5796</v>
      </c>
      <c r="B2314" s="24" t="s">
        <v>5797</v>
      </c>
      <c r="C2314" s="24" t="s">
        <v>526</v>
      </c>
      <c r="D2314" s="24" t="s">
        <v>17</v>
      </c>
      <c r="E2314" s="24" t="s">
        <v>18</v>
      </c>
      <c r="F2314" s="24" t="s">
        <v>19</v>
      </c>
      <c r="G2314" s="24" t="s">
        <v>20</v>
      </c>
      <c r="H2314" s="26">
        <v>132</v>
      </c>
      <c r="I2314" s="24" t="s">
        <v>21</v>
      </c>
      <c r="J2314" s="36">
        <v>45520</v>
      </c>
      <c r="K2314" s="24" t="s">
        <v>22</v>
      </c>
    </row>
    <row r="2315" spans="1:11" x14ac:dyDescent="0.2">
      <c r="A2315" s="27" t="s">
        <v>5798</v>
      </c>
      <c r="B2315" s="27" t="s">
        <v>5799</v>
      </c>
      <c r="C2315" s="27" t="s">
        <v>172</v>
      </c>
      <c r="D2315" s="27" t="s">
        <v>17</v>
      </c>
      <c r="E2315" s="27" t="s">
        <v>18</v>
      </c>
      <c r="F2315" s="27" t="s">
        <v>19</v>
      </c>
      <c r="G2315" s="27" t="s">
        <v>28</v>
      </c>
      <c r="H2315" s="29">
        <v>6</v>
      </c>
      <c r="I2315" s="27" t="s">
        <v>29</v>
      </c>
      <c r="J2315" s="37">
        <v>45527</v>
      </c>
      <c r="K2315" s="27" t="s">
        <v>22</v>
      </c>
    </row>
    <row r="2316" spans="1:11" x14ac:dyDescent="0.2">
      <c r="A2316" s="24" t="s">
        <v>5800</v>
      </c>
      <c r="B2316" s="24" t="s">
        <v>5801</v>
      </c>
      <c r="C2316" s="24" t="s">
        <v>223</v>
      </c>
      <c r="D2316" s="24" t="s">
        <v>17</v>
      </c>
      <c r="E2316" s="24" t="s">
        <v>26</v>
      </c>
      <c r="F2316" s="24" t="s">
        <v>27</v>
      </c>
      <c r="G2316" s="24" t="s">
        <v>217</v>
      </c>
      <c r="H2316" s="26">
        <v>252</v>
      </c>
      <c r="I2316" s="24" t="s">
        <v>29</v>
      </c>
      <c r="J2316" s="36">
        <v>45530</v>
      </c>
      <c r="K2316" s="24" t="s">
        <v>22</v>
      </c>
    </row>
    <row r="2317" spans="1:11" x14ac:dyDescent="0.2">
      <c r="A2317" s="27" t="s">
        <v>5802</v>
      </c>
      <c r="B2317" s="27" t="s">
        <v>5803</v>
      </c>
      <c r="C2317" s="27" t="s">
        <v>5804</v>
      </c>
      <c r="D2317" s="27" t="s">
        <v>17</v>
      </c>
      <c r="E2317" s="27" t="s">
        <v>42</v>
      </c>
      <c r="F2317" s="27" t="s">
        <v>43</v>
      </c>
      <c r="G2317" s="27" t="s">
        <v>28</v>
      </c>
      <c r="H2317" s="29">
        <v>46</v>
      </c>
      <c r="I2317" s="27" t="s">
        <v>29</v>
      </c>
      <c r="J2317" s="37">
        <v>45510</v>
      </c>
      <c r="K2317" s="27" t="s">
        <v>22</v>
      </c>
    </row>
    <row r="2318" spans="1:11" x14ac:dyDescent="0.2">
      <c r="A2318" s="24" t="s">
        <v>5805</v>
      </c>
      <c r="B2318" s="24" t="s">
        <v>5806</v>
      </c>
      <c r="C2318" s="24" t="s">
        <v>5807</v>
      </c>
      <c r="D2318" s="24" t="s">
        <v>17</v>
      </c>
      <c r="E2318" s="24" t="s">
        <v>42</v>
      </c>
      <c r="F2318" s="24" t="s">
        <v>43</v>
      </c>
      <c r="G2318" s="24" t="s">
        <v>28</v>
      </c>
      <c r="H2318" s="26">
        <v>570</v>
      </c>
      <c r="I2318" s="24" t="s">
        <v>29</v>
      </c>
      <c r="J2318" s="36">
        <v>45524</v>
      </c>
      <c r="K2318" s="24" t="s">
        <v>22</v>
      </c>
    </row>
    <row r="2319" spans="1:11" x14ac:dyDescent="0.2">
      <c r="A2319" s="27" t="s">
        <v>5808</v>
      </c>
      <c r="B2319" s="27" t="s">
        <v>5809</v>
      </c>
      <c r="C2319" s="27" t="s">
        <v>5810</v>
      </c>
      <c r="D2319" s="27" t="s">
        <v>17</v>
      </c>
      <c r="E2319" s="27" t="s">
        <v>163</v>
      </c>
      <c r="F2319" s="27" t="s">
        <v>164</v>
      </c>
      <c r="G2319" s="27" t="s">
        <v>116</v>
      </c>
      <c r="H2319" s="29">
        <v>0</v>
      </c>
      <c r="I2319" s="27" t="s">
        <v>21</v>
      </c>
      <c r="J2319" s="37">
        <v>45535</v>
      </c>
      <c r="K2319" s="27" t="s">
        <v>22</v>
      </c>
    </row>
    <row r="2320" spans="1:11" x14ac:dyDescent="0.2">
      <c r="A2320" s="24" t="s">
        <v>5811</v>
      </c>
      <c r="B2320" s="24" t="s">
        <v>5812</v>
      </c>
      <c r="C2320" s="24" t="s">
        <v>5813</v>
      </c>
      <c r="D2320" s="24" t="s">
        <v>17</v>
      </c>
      <c r="E2320" s="24" t="s">
        <v>26</v>
      </c>
      <c r="F2320" s="24" t="s">
        <v>27</v>
      </c>
      <c r="G2320" s="24" t="s">
        <v>227</v>
      </c>
      <c r="H2320" s="26">
        <v>450</v>
      </c>
      <c r="I2320" s="24" t="s">
        <v>29</v>
      </c>
      <c r="J2320" s="36">
        <v>45531</v>
      </c>
      <c r="K2320" s="24" t="s">
        <v>22</v>
      </c>
    </row>
    <row r="2321" spans="1:11" x14ac:dyDescent="0.2">
      <c r="A2321" s="27" t="s">
        <v>5814</v>
      </c>
      <c r="B2321" s="27" t="s">
        <v>5815</v>
      </c>
      <c r="C2321" s="27" t="s">
        <v>71</v>
      </c>
      <c r="D2321" s="27" t="s">
        <v>17</v>
      </c>
      <c r="E2321" s="27" t="s">
        <v>18</v>
      </c>
      <c r="F2321" s="27" t="s">
        <v>19</v>
      </c>
      <c r="G2321" s="27" t="s">
        <v>217</v>
      </c>
      <c r="H2321" s="29">
        <v>90</v>
      </c>
      <c r="I2321" s="27" t="s">
        <v>29</v>
      </c>
      <c r="J2321" s="37">
        <v>45534</v>
      </c>
      <c r="K2321" s="27" t="s">
        <v>22</v>
      </c>
    </row>
    <row r="2322" spans="1:11" x14ac:dyDescent="0.2">
      <c r="A2322" s="24" t="s">
        <v>5816</v>
      </c>
      <c r="B2322" s="24" t="s">
        <v>5817</v>
      </c>
      <c r="C2322" s="24" t="s">
        <v>5818</v>
      </c>
      <c r="D2322" s="24" t="s">
        <v>17</v>
      </c>
      <c r="E2322" s="24" t="s">
        <v>18</v>
      </c>
      <c r="F2322" s="24" t="s">
        <v>19</v>
      </c>
      <c r="G2322" s="24" t="s">
        <v>44</v>
      </c>
      <c r="H2322" s="26">
        <v>144</v>
      </c>
      <c r="I2322" s="24" t="s">
        <v>21</v>
      </c>
      <c r="J2322" s="36">
        <v>45517</v>
      </c>
      <c r="K2322" s="24" t="s">
        <v>22</v>
      </c>
    </row>
    <row r="2323" spans="1:11" x14ac:dyDescent="0.2">
      <c r="A2323" s="27" t="s">
        <v>5819</v>
      </c>
      <c r="B2323" s="27" t="s">
        <v>5820</v>
      </c>
      <c r="C2323" s="27" t="s">
        <v>5821</v>
      </c>
      <c r="D2323" s="27" t="s">
        <v>17</v>
      </c>
      <c r="E2323" s="27" t="s">
        <v>18</v>
      </c>
      <c r="F2323" s="27" t="s">
        <v>19</v>
      </c>
      <c r="G2323" s="27" t="s">
        <v>217</v>
      </c>
      <c r="H2323" s="29">
        <v>16</v>
      </c>
      <c r="I2323" s="27" t="s">
        <v>29</v>
      </c>
      <c r="J2323" s="37">
        <v>45505</v>
      </c>
      <c r="K2323" s="27" t="s">
        <v>22</v>
      </c>
    </row>
    <row r="2324" spans="1:11" x14ac:dyDescent="0.2">
      <c r="A2324" s="24" t="s">
        <v>5822</v>
      </c>
      <c r="B2324" s="24" t="s">
        <v>5823</v>
      </c>
      <c r="C2324" s="24" t="s">
        <v>5824</v>
      </c>
      <c r="D2324" s="24" t="s">
        <v>17</v>
      </c>
      <c r="E2324" s="24" t="s">
        <v>42</v>
      </c>
      <c r="F2324" s="24" t="s">
        <v>43</v>
      </c>
      <c r="G2324" s="24" t="s">
        <v>217</v>
      </c>
      <c r="H2324" s="26">
        <v>42</v>
      </c>
      <c r="I2324" s="24" t="s">
        <v>29</v>
      </c>
      <c r="J2324" s="36">
        <v>45505</v>
      </c>
      <c r="K2324" s="24" t="s">
        <v>22</v>
      </c>
    </row>
    <row r="2325" spans="1:11" x14ac:dyDescent="0.2">
      <c r="A2325" s="27" t="s">
        <v>5825</v>
      </c>
      <c r="B2325" s="27" t="s">
        <v>5826</v>
      </c>
      <c r="C2325" s="27" t="s">
        <v>97</v>
      </c>
      <c r="D2325" s="27" t="s">
        <v>17</v>
      </c>
      <c r="E2325" s="27" t="s">
        <v>42</v>
      </c>
      <c r="F2325" s="27" t="s">
        <v>43</v>
      </c>
      <c r="G2325" s="27" t="s">
        <v>28</v>
      </c>
      <c r="H2325" s="29">
        <v>1018</v>
      </c>
      <c r="I2325" s="27" t="s">
        <v>29</v>
      </c>
      <c r="J2325" s="37">
        <v>45511</v>
      </c>
      <c r="K2325" s="27" t="s">
        <v>22</v>
      </c>
    </row>
    <row r="2326" spans="1:11" x14ac:dyDescent="0.2">
      <c r="A2326" s="24" t="s">
        <v>5827</v>
      </c>
      <c r="B2326" s="24" t="s">
        <v>5828</v>
      </c>
      <c r="C2326" s="24" t="s">
        <v>5829</v>
      </c>
      <c r="D2326" s="24" t="s">
        <v>17</v>
      </c>
      <c r="E2326" s="24" t="s">
        <v>42</v>
      </c>
      <c r="F2326" s="24" t="s">
        <v>43</v>
      </c>
      <c r="G2326" s="24" t="s">
        <v>28</v>
      </c>
      <c r="H2326" s="26">
        <v>66</v>
      </c>
      <c r="I2326" s="24" t="s">
        <v>29</v>
      </c>
      <c r="J2326" s="36">
        <v>45534</v>
      </c>
      <c r="K2326" s="24" t="s">
        <v>22</v>
      </c>
    </row>
    <row r="2327" spans="1:11" x14ac:dyDescent="0.2">
      <c r="A2327" s="27" t="s">
        <v>5830</v>
      </c>
      <c r="B2327" s="27" t="s">
        <v>5831</v>
      </c>
      <c r="C2327" s="27" t="s">
        <v>325</v>
      </c>
      <c r="D2327" s="27" t="s">
        <v>17</v>
      </c>
      <c r="E2327" s="27" t="s">
        <v>42</v>
      </c>
      <c r="F2327" s="27" t="s">
        <v>43</v>
      </c>
      <c r="G2327" s="27" t="s">
        <v>28</v>
      </c>
      <c r="H2327" s="29">
        <v>278</v>
      </c>
      <c r="I2327" s="27" t="s">
        <v>29</v>
      </c>
      <c r="J2327" s="37">
        <v>45532</v>
      </c>
      <c r="K2327" s="27" t="s">
        <v>22</v>
      </c>
    </row>
    <row r="2328" spans="1:11" x14ac:dyDescent="0.2">
      <c r="A2328" s="24" t="s">
        <v>5832</v>
      </c>
      <c r="B2328" s="24" t="s">
        <v>5833</v>
      </c>
      <c r="C2328" s="24" t="s">
        <v>882</v>
      </c>
      <c r="D2328" s="24" t="s">
        <v>17</v>
      </c>
      <c r="E2328" s="24" t="s">
        <v>48</v>
      </c>
      <c r="F2328" s="24" t="s">
        <v>49</v>
      </c>
      <c r="G2328" s="24" t="s">
        <v>44</v>
      </c>
      <c r="H2328" s="26">
        <v>42</v>
      </c>
      <c r="I2328" s="24" t="s">
        <v>29</v>
      </c>
      <c r="J2328" s="36">
        <v>45517</v>
      </c>
      <c r="K2328" s="24" t="s">
        <v>22</v>
      </c>
    </row>
    <row r="2329" spans="1:11" x14ac:dyDescent="0.2">
      <c r="A2329" s="27" t="s">
        <v>5834</v>
      </c>
      <c r="B2329" s="27" t="s">
        <v>5835</v>
      </c>
      <c r="C2329" s="27" t="s">
        <v>5836</v>
      </c>
      <c r="D2329" s="27" t="s">
        <v>17</v>
      </c>
      <c r="E2329" s="27" t="s">
        <v>48</v>
      </c>
      <c r="F2329" s="27" t="s">
        <v>49</v>
      </c>
      <c r="G2329" s="27" t="s">
        <v>20</v>
      </c>
      <c r="H2329" s="29">
        <v>170</v>
      </c>
      <c r="I2329" s="27" t="s">
        <v>21</v>
      </c>
      <c r="J2329" s="37">
        <v>45530</v>
      </c>
      <c r="K2329" s="27" t="s">
        <v>22</v>
      </c>
    </row>
    <row r="2330" spans="1:11" x14ac:dyDescent="0.2">
      <c r="A2330" s="24" t="s">
        <v>5837</v>
      </c>
      <c r="B2330" s="24" t="s">
        <v>5838</v>
      </c>
      <c r="C2330" s="24" t="s">
        <v>334</v>
      </c>
      <c r="D2330" s="24" t="s">
        <v>17</v>
      </c>
      <c r="E2330" s="24" t="s">
        <v>48</v>
      </c>
      <c r="F2330" s="24" t="s">
        <v>49</v>
      </c>
      <c r="G2330" s="24" t="s">
        <v>28</v>
      </c>
      <c r="H2330" s="26">
        <v>60</v>
      </c>
      <c r="I2330" s="24" t="s">
        <v>29</v>
      </c>
      <c r="J2330" s="36">
        <v>45505</v>
      </c>
      <c r="K2330" s="24" t="s">
        <v>22</v>
      </c>
    </row>
    <row r="2331" spans="1:11" x14ac:dyDescent="0.2">
      <c r="A2331" s="27" t="s">
        <v>5839</v>
      </c>
      <c r="B2331" s="27" t="s">
        <v>5840</v>
      </c>
      <c r="C2331" s="27" t="s">
        <v>5841</v>
      </c>
      <c r="D2331" s="27" t="s">
        <v>17</v>
      </c>
      <c r="E2331" s="27" t="s">
        <v>18</v>
      </c>
      <c r="F2331" s="27" t="s">
        <v>19</v>
      </c>
      <c r="G2331" s="27" t="s">
        <v>44</v>
      </c>
      <c r="H2331" s="29">
        <v>10</v>
      </c>
      <c r="I2331" s="27" t="s">
        <v>21</v>
      </c>
      <c r="J2331" s="37">
        <v>45531</v>
      </c>
      <c r="K2331" s="27" t="s">
        <v>22</v>
      </c>
    </row>
    <row r="2332" spans="1:11" x14ac:dyDescent="0.2">
      <c r="A2332" s="24" t="s">
        <v>5842</v>
      </c>
      <c r="B2332" s="24" t="s">
        <v>5843</v>
      </c>
      <c r="C2332" s="24" t="s">
        <v>1441</v>
      </c>
      <c r="D2332" s="24" t="s">
        <v>17</v>
      </c>
      <c r="E2332" s="24" t="s">
        <v>48</v>
      </c>
      <c r="F2332" s="24" t="s">
        <v>49</v>
      </c>
      <c r="G2332" s="24" t="s">
        <v>20</v>
      </c>
      <c r="H2332" s="26">
        <v>303</v>
      </c>
      <c r="I2332" s="24" t="s">
        <v>21</v>
      </c>
      <c r="J2332" s="36">
        <v>45518</v>
      </c>
      <c r="K2332" s="24" t="s">
        <v>22</v>
      </c>
    </row>
    <row r="2333" spans="1:11" x14ac:dyDescent="0.2">
      <c r="A2333" s="27" t="s">
        <v>5844</v>
      </c>
      <c r="B2333" s="27" t="s">
        <v>5845</v>
      </c>
      <c r="C2333" s="27" t="s">
        <v>5846</v>
      </c>
      <c r="D2333" s="27" t="s">
        <v>17</v>
      </c>
      <c r="E2333" s="27" t="s">
        <v>48</v>
      </c>
      <c r="F2333" s="27" t="s">
        <v>49</v>
      </c>
      <c r="G2333" s="27" t="s">
        <v>217</v>
      </c>
      <c r="H2333" s="29">
        <v>60</v>
      </c>
      <c r="I2333" s="27" t="s">
        <v>29</v>
      </c>
      <c r="J2333" s="37">
        <v>45505</v>
      </c>
      <c r="K2333" s="27" t="s">
        <v>22</v>
      </c>
    </row>
    <row r="2334" spans="1:11" x14ac:dyDescent="0.2">
      <c r="A2334" s="24" t="s">
        <v>5847</v>
      </c>
      <c r="B2334" s="24" t="s">
        <v>5848</v>
      </c>
      <c r="C2334" s="24" t="s">
        <v>667</v>
      </c>
      <c r="D2334" s="24" t="s">
        <v>17</v>
      </c>
      <c r="E2334" s="24" t="s">
        <v>42</v>
      </c>
      <c r="F2334" s="24" t="s">
        <v>43</v>
      </c>
      <c r="G2334" s="24" t="s">
        <v>44</v>
      </c>
      <c r="H2334" s="26">
        <v>546</v>
      </c>
      <c r="I2334" s="24" t="s">
        <v>21</v>
      </c>
      <c r="J2334" s="36">
        <v>45505</v>
      </c>
      <c r="K2334" s="24" t="s">
        <v>22</v>
      </c>
    </row>
    <row r="2335" spans="1:11" x14ac:dyDescent="0.2">
      <c r="A2335" s="27" t="s">
        <v>5849</v>
      </c>
      <c r="B2335" s="27" t="s">
        <v>5850</v>
      </c>
      <c r="C2335" s="27" t="s">
        <v>97</v>
      </c>
      <c r="D2335" s="27" t="s">
        <v>17</v>
      </c>
      <c r="E2335" s="27" t="s">
        <v>18</v>
      </c>
      <c r="F2335" s="27" t="s">
        <v>19</v>
      </c>
      <c r="G2335" s="27" t="s">
        <v>20</v>
      </c>
      <c r="H2335" s="29">
        <v>12</v>
      </c>
      <c r="I2335" s="27" t="s">
        <v>21</v>
      </c>
      <c r="J2335" s="37">
        <v>45510</v>
      </c>
      <c r="K2335" s="27" t="s">
        <v>22</v>
      </c>
    </row>
    <row r="2336" spans="1:11" x14ac:dyDescent="0.2">
      <c r="A2336" s="24" t="s">
        <v>5851</v>
      </c>
      <c r="B2336" s="24" t="s">
        <v>5852</v>
      </c>
      <c r="C2336" s="24" t="s">
        <v>5853</v>
      </c>
      <c r="D2336" s="24" t="s">
        <v>17</v>
      </c>
      <c r="E2336" s="24" t="s">
        <v>48</v>
      </c>
      <c r="F2336" s="24" t="s">
        <v>49</v>
      </c>
      <c r="G2336" s="24" t="s">
        <v>217</v>
      </c>
      <c r="H2336" s="26">
        <v>60</v>
      </c>
      <c r="I2336" s="24" t="s">
        <v>29</v>
      </c>
      <c r="J2336" s="36">
        <v>45505</v>
      </c>
      <c r="K2336" s="24" t="s">
        <v>22</v>
      </c>
    </row>
    <row r="2337" spans="1:11" x14ac:dyDescent="0.2">
      <c r="A2337" s="27" t="s">
        <v>5854</v>
      </c>
      <c r="B2337" s="27" t="s">
        <v>5855</v>
      </c>
      <c r="C2337" s="27" t="s">
        <v>55</v>
      </c>
      <c r="D2337" s="27" t="s">
        <v>17</v>
      </c>
      <c r="E2337" s="27" t="s">
        <v>26</v>
      </c>
      <c r="F2337" s="27" t="s">
        <v>27</v>
      </c>
      <c r="G2337" s="27" t="s">
        <v>28</v>
      </c>
      <c r="H2337" s="29">
        <v>90</v>
      </c>
      <c r="I2337" s="27" t="s">
        <v>29</v>
      </c>
      <c r="J2337" s="37">
        <v>45520</v>
      </c>
      <c r="K2337" s="27" t="s">
        <v>22</v>
      </c>
    </row>
    <row r="2338" spans="1:11" x14ac:dyDescent="0.2">
      <c r="A2338" s="24" t="s">
        <v>5856</v>
      </c>
      <c r="B2338" s="24" t="s">
        <v>5857</v>
      </c>
      <c r="C2338" s="24" t="s">
        <v>5858</v>
      </c>
      <c r="D2338" s="24" t="s">
        <v>17</v>
      </c>
      <c r="E2338" s="24" t="s">
        <v>48</v>
      </c>
      <c r="F2338" s="24" t="s">
        <v>49</v>
      </c>
      <c r="G2338" s="24" t="s">
        <v>44</v>
      </c>
      <c r="H2338" s="26">
        <v>108</v>
      </c>
      <c r="I2338" s="24" t="s">
        <v>29</v>
      </c>
      <c r="J2338" s="36">
        <v>45509</v>
      </c>
      <c r="K2338" s="24" t="s">
        <v>22</v>
      </c>
    </row>
    <row r="2339" spans="1:11" x14ac:dyDescent="0.2">
      <c r="A2339" s="27" t="s">
        <v>5859</v>
      </c>
      <c r="B2339" s="27" t="s">
        <v>5860</v>
      </c>
      <c r="C2339" s="27" t="s">
        <v>97</v>
      </c>
      <c r="D2339" s="27" t="s">
        <v>17</v>
      </c>
      <c r="E2339" s="27" t="s">
        <v>18</v>
      </c>
      <c r="F2339" s="27" t="s">
        <v>19</v>
      </c>
      <c r="G2339" s="27" t="s">
        <v>20</v>
      </c>
      <c r="H2339" s="29">
        <v>14</v>
      </c>
      <c r="I2339" s="27" t="s">
        <v>21</v>
      </c>
      <c r="J2339" s="37">
        <v>45523</v>
      </c>
      <c r="K2339" s="27" t="s">
        <v>22</v>
      </c>
    </row>
    <row r="2340" spans="1:11" x14ac:dyDescent="0.2">
      <c r="A2340" s="24" t="s">
        <v>5861</v>
      </c>
      <c r="B2340" s="24" t="s">
        <v>5862</v>
      </c>
      <c r="C2340" s="24" t="s">
        <v>106</v>
      </c>
      <c r="D2340" s="24" t="s">
        <v>17</v>
      </c>
      <c r="E2340" s="24" t="s">
        <v>18</v>
      </c>
      <c r="F2340" s="24" t="s">
        <v>19</v>
      </c>
      <c r="G2340" s="24" t="s">
        <v>20</v>
      </c>
      <c r="H2340" s="26">
        <v>30</v>
      </c>
      <c r="I2340" s="24" t="s">
        <v>21</v>
      </c>
      <c r="J2340" s="36">
        <v>45516</v>
      </c>
      <c r="K2340" s="24" t="s">
        <v>22</v>
      </c>
    </row>
    <row r="2341" spans="1:11" x14ac:dyDescent="0.2">
      <c r="A2341" s="27" t="s">
        <v>5863</v>
      </c>
      <c r="B2341" s="27" t="s">
        <v>5864</v>
      </c>
      <c r="C2341" s="27" t="s">
        <v>4370</v>
      </c>
      <c r="D2341" s="27" t="s">
        <v>17</v>
      </c>
      <c r="E2341" s="27" t="s">
        <v>18</v>
      </c>
      <c r="F2341" s="27" t="s">
        <v>19</v>
      </c>
      <c r="G2341" s="27" t="s">
        <v>20</v>
      </c>
      <c r="H2341" s="29">
        <v>56</v>
      </c>
      <c r="I2341" s="27" t="s">
        <v>21</v>
      </c>
      <c r="J2341" s="37">
        <v>45513</v>
      </c>
      <c r="K2341" s="27" t="s">
        <v>22</v>
      </c>
    </row>
    <row r="2342" spans="1:11" x14ac:dyDescent="0.2">
      <c r="A2342" s="24" t="s">
        <v>5865</v>
      </c>
      <c r="B2342" s="24" t="s">
        <v>5866</v>
      </c>
      <c r="C2342" s="24" t="s">
        <v>1883</v>
      </c>
      <c r="D2342" s="24" t="s">
        <v>17</v>
      </c>
      <c r="E2342" s="24" t="s">
        <v>18</v>
      </c>
      <c r="F2342" s="24" t="s">
        <v>19</v>
      </c>
      <c r="G2342" s="24" t="s">
        <v>217</v>
      </c>
      <c r="H2342" s="26">
        <v>40</v>
      </c>
      <c r="I2342" s="24" t="s">
        <v>29</v>
      </c>
      <c r="J2342" s="36">
        <v>45520</v>
      </c>
      <c r="K2342" s="24" t="s">
        <v>22</v>
      </c>
    </row>
    <row r="2343" spans="1:11" x14ac:dyDescent="0.2">
      <c r="A2343" s="27" t="s">
        <v>5867</v>
      </c>
      <c r="B2343" s="27" t="s">
        <v>5868</v>
      </c>
      <c r="C2343" s="27" t="s">
        <v>5869</v>
      </c>
      <c r="D2343" s="27" t="s">
        <v>17</v>
      </c>
      <c r="E2343" s="27" t="s">
        <v>18</v>
      </c>
      <c r="F2343" s="27" t="s">
        <v>19</v>
      </c>
      <c r="G2343" s="27" t="s">
        <v>20</v>
      </c>
      <c r="H2343" s="29">
        <v>41</v>
      </c>
      <c r="I2343" s="27" t="s">
        <v>21</v>
      </c>
      <c r="J2343" s="37">
        <v>45523</v>
      </c>
      <c r="K2343" s="27" t="s">
        <v>22</v>
      </c>
    </row>
    <row r="2344" spans="1:11" x14ac:dyDescent="0.2">
      <c r="A2344" s="24" t="s">
        <v>5870</v>
      </c>
      <c r="B2344" s="24" t="s">
        <v>5871</v>
      </c>
      <c r="C2344" s="24" t="s">
        <v>68</v>
      </c>
      <c r="D2344" s="24" t="s">
        <v>17</v>
      </c>
      <c r="E2344" s="24" t="s">
        <v>26</v>
      </c>
      <c r="F2344" s="24" t="s">
        <v>27</v>
      </c>
      <c r="G2344" s="24" t="s">
        <v>28</v>
      </c>
      <c r="H2344" s="26">
        <v>118</v>
      </c>
      <c r="I2344" s="24" t="s">
        <v>29</v>
      </c>
      <c r="J2344" s="36">
        <v>45513</v>
      </c>
      <c r="K2344" s="24" t="s">
        <v>22</v>
      </c>
    </row>
    <row r="2345" spans="1:11" x14ac:dyDescent="0.2">
      <c r="A2345" s="27" t="s">
        <v>5872</v>
      </c>
      <c r="B2345" s="27" t="s">
        <v>5873</v>
      </c>
      <c r="C2345" s="27" t="s">
        <v>1422</v>
      </c>
      <c r="D2345" s="27" t="s">
        <v>17</v>
      </c>
      <c r="E2345" s="27" t="s">
        <v>18</v>
      </c>
      <c r="F2345" s="27" t="s">
        <v>19</v>
      </c>
      <c r="G2345" s="27" t="s">
        <v>44</v>
      </c>
      <c r="H2345" s="29">
        <v>37</v>
      </c>
      <c r="I2345" s="27" t="s">
        <v>29</v>
      </c>
      <c r="J2345" s="37">
        <v>45510</v>
      </c>
      <c r="K2345" s="27" t="s">
        <v>22</v>
      </c>
    </row>
    <row r="2346" spans="1:11" x14ac:dyDescent="0.2">
      <c r="A2346" s="24" t="s">
        <v>5874</v>
      </c>
      <c r="B2346" s="24" t="s">
        <v>5875</v>
      </c>
      <c r="C2346" s="24" t="s">
        <v>1926</v>
      </c>
      <c r="D2346" s="24" t="s">
        <v>17</v>
      </c>
      <c r="E2346" s="24" t="s">
        <v>18</v>
      </c>
      <c r="F2346" s="24" t="s">
        <v>19</v>
      </c>
      <c r="G2346" s="24" t="s">
        <v>28</v>
      </c>
      <c r="H2346" s="26">
        <v>36</v>
      </c>
      <c r="I2346" s="24" t="s">
        <v>29</v>
      </c>
      <c r="J2346" s="36">
        <v>45526</v>
      </c>
      <c r="K2346" s="24" t="s">
        <v>22</v>
      </c>
    </row>
    <row r="2347" spans="1:11" x14ac:dyDescent="0.2">
      <c r="A2347" s="27" t="s">
        <v>5876</v>
      </c>
      <c r="B2347" s="27" t="s">
        <v>5877</v>
      </c>
      <c r="C2347" s="27" t="s">
        <v>810</v>
      </c>
      <c r="D2347" s="27" t="s">
        <v>17</v>
      </c>
      <c r="E2347" s="27" t="s">
        <v>18</v>
      </c>
      <c r="F2347" s="27" t="s">
        <v>19</v>
      </c>
      <c r="G2347" s="27" t="s">
        <v>28</v>
      </c>
      <c r="H2347" s="29">
        <v>24</v>
      </c>
      <c r="I2347" s="27" t="s">
        <v>29</v>
      </c>
      <c r="J2347" s="37">
        <v>45530</v>
      </c>
      <c r="K2347" s="27" t="s">
        <v>22</v>
      </c>
    </row>
    <row r="2348" spans="1:11" x14ac:dyDescent="0.2">
      <c r="A2348" s="24" t="s">
        <v>5878</v>
      </c>
      <c r="B2348" s="24" t="s">
        <v>5879</v>
      </c>
      <c r="C2348" s="24" t="s">
        <v>5880</v>
      </c>
      <c r="D2348" s="24" t="s">
        <v>17</v>
      </c>
      <c r="E2348" s="24" t="s">
        <v>42</v>
      </c>
      <c r="F2348" s="24" t="s">
        <v>43</v>
      </c>
      <c r="G2348" s="24" t="s">
        <v>44</v>
      </c>
      <c r="H2348" s="26">
        <v>99</v>
      </c>
      <c r="I2348" s="24" t="s">
        <v>21</v>
      </c>
      <c r="J2348" s="36">
        <v>45533</v>
      </c>
      <c r="K2348" s="24" t="s">
        <v>22</v>
      </c>
    </row>
    <row r="2349" spans="1:11" x14ac:dyDescent="0.2">
      <c r="A2349" s="27" t="s">
        <v>5881</v>
      </c>
      <c r="B2349" s="27" t="s">
        <v>5882</v>
      </c>
      <c r="C2349" s="27" t="s">
        <v>5883</v>
      </c>
      <c r="D2349" s="27" t="s">
        <v>17</v>
      </c>
      <c r="E2349" s="27" t="s">
        <v>48</v>
      </c>
      <c r="F2349" s="27" t="s">
        <v>49</v>
      </c>
      <c r="G2349" s="27" t="s">
        <v>28</v>
      </c>
      <c r="H2349" s="29">
        <v>90</v>
      </c>
      <c r="I2349" s="27" t="s">
        <v>29</v>
      </c>
      <c r="J2349" s="37">
        <v>45512</v>
      </c>
      <c r="K2349" s="27" t="s">
        <v>22</v>
      </c>
    </row>
    <row r="2350" spans="1:11" x14ac:dyDescent="0.2">
      <c r="A2350" s="24" t="s">
        <v>5884</v>
      </c>
      <c r="B2350" s="24" t="s">
        <v>5885</v>
      </c>
      <c r="C2350" s="24" t="s">
        <v>298</v>
      </c>
      <c r="D2350" s="24" t="s">
        <v>17</v>
      </c>
      <c r="E2350" s="24" t="s">
        <v>81</v>
      </c>
      <c r="F2350" s="24" t="s">
        <v>82</v>
      </c>
      <c r="G2350" s="24" t="s">
        <v>28</v>
      </c>
      <c r="H2350" s="26">
        <v>350</v>
      </c>
      <c r="I2350" s="24" t="s">
        <v>29</v>
      </c>
      <c r="J2350" s="36">
        <v>45531</v>
      </c>
      <c r="K2350" s="24" t="s">
        <v>22</v>
      </c>
    </row>
    <row r="2351" spans="1:11" x14ac:dyDescent="0.2">
      <c r="A2351" s="27" t="s">
        <v>5886</v>
      </c>
      <c r="B2351" s="27" t="s">
        <v>5887</v>
      </c>
      <c r="C2351" s="27" t="s">
        <v>1161</v>
      </c>
      <c r="D2351" s="27" t="s">
        <v>17</v>
      </c>
      <c r="E2351" s="27" t="s">
        <v>48</v>
      </c>
      <c r="F2351" s="27" t="s">
        <v>49</v>
      </c>
      <c r="G2351" s="27" t="s">
        <v>59</v>
      </c>
      <c r="H2351" s="29">
        <v>15</v>
      </c>
      <c r="I2351" s="27" t="s">
        <v>21</v>
      </c>
      <c r="J2351" s="37">
        <v>45524</v>
      </c>
      <c r="K2351" s="27" t="s">
        <v>22</v>
      </c>
    </row>
    <row r="2352" spans="1:11" x14ac:dyDescent="0.2">
      <c r="A2352" s="24" t="s">
        <v>5888</v>
      </c>
      <c r="B2352" s="24" t="s">
        <v>5889</v>
      </c>
      <c r="C2352" s="24" t="s">
        <v>2331</v>
      </c>
      <c r="D2352" s="24" t="s">
        <v>17</v>
      </c>
      <c r="E2352" s="24" t="s">
        <v>48</v>
      </c>
      <c r="F2352" s="24" t="s">
        <v>49</v>
      </c>
      <c r="G2352" s="24" t="s">
        <v>44</v>
      </c>
      <c r="H2352" s="26">
        <v>110</v>
      </c>
      <c r="I2352" s="24" t="s">
        <v>29</v>
      </c>
      <c r="J2352" s="36">
        <v>45509</v>
      </c>
      <c r="K2352" s="24" t="s">
        <v>22</v>
      </c>
    </row>
    <row r="2353" spans="1:11" x14ac:dyDescent="0.2">
      <c r="A2353" s="27" t="s">
        <v>5890</v>
      </c>
      <c r="B2353" s="27" t="s">
        <v>5891</v>
      </c>
      <c r="C2353" s="27" t="s">
        <v>5729</v>
      </c>
      <c r="D2353" s="27" t="s">
        <v>17</v>
      </c>
      <c r="E2353" s="27" t="s">
        <v>48</v>
      </c>
      <c r="F2353" s="27" t="s">
        <v>49</v>
      </c>
      <c r="G2353" s="27" t="s">
        <v>44</v>
      </c>
      <c r="H2353" s="29">
        <v>14</v>
      </c>
      <c r="I2353" s="27" t="s">
        <v>21</v>
      </c>
      <c r="J2353" s="37">
        <v>45525</v>
      </c>
      <c r="K2353" s="27" t="s">
        <v>22</v>
      </c>
    </row>
    <row r="2354" spans="1:11" x14ac:dyDescent="0.2">
      <c r="A2354" s="24" t="s">
        <v>5892</v>
      </c>
      <c r="B2354" s="24" t="s">
        <v>5893</v>
      </c>
      <c r="C2354" s="24" t="s">
        <v>5894</v>
      </c>
      <c r="D2354" s="24" t="s">
        <v>17</v>
      </c>
      <c r="E2354" s="24" t="s">
        <v>48</v>
      </c>
      <c r="F2354" s="24" t="s">
        <v>49</v>
      </c>
      <c r="G2354" s="24" t="s">
        <v>20</v>
      </c>
      <c r="H2354" s="26">
        <v>14</v>
      </c>
      <c r="I2354" s="24" t="s">
        <v>21</v>
      </c>
      <c r="J2354" s="36">
        <v>45523</v>
      </c>
      <c r="K2354" s="24" t="s">
        <v>22</v>
      </c>
    </row>
    <row r="2355" spans="1:11" x14ac:dyDescent="0.2">
      <c r="A2355" s="27" t="s">
        <v>5895</v>
      </c>
      <c r="B2355" s="27" t="s">
        <v>5896</v>
      </c>
      <c r="C2355" s="27" t="s">
        <v>595</v>
      </c>
      <c r="D2355" s="27" t="s">
        <v>17</v>
      </c>
      <c r="E2355" s="27" t="s">
        <v>42</v>
      </c>
      <c r="F2355" s="27" t="s">
        <v>43</v>
      </c>
      <c r="G2355" s="27" t="s">
        <v>44</v>
      </c>
      <c r="H2355" s="29">
        <v>211</v>
      </c>
      <c r="I2355" s="27" t="s">
        <v>21</v>
      </c>
      <c r="J2355" s="37">
        <v>45525</v>
      </c>
      <c r="K2355" s="27" t="s">
        <v>22</v>
      </c>
    </row>
    <row r="2356" spans="1:11" x14ac:dyDescent="0.2">
      <c r="A2356" s="24" t="s">
        <v>5897</v>
      </c>
      <c r="B2356" s="24" t="s">
        <v>5898</v>
      </c>
      <c r="C2356" s="24" t="s">
        <v>85</v>
      </c>
      <c r="D2356" s="24" t="s">
        <v>17</v>
      </c>
      <c r="E2356" s="24" t="s">
        <v>42</v>
      </c>
      <c r="F2356" s="24" t="s">
        <v>43</v>
      </c>
      <c r="G2356" s="24" t="s">
        <v>28</v>
      </c>
      <c r="H2356" s="26">
        <v>170</v>
      </c>
      <c r="I2356" s="24" t="s">
        <v>29</v>
      </c>
      <c r="J2356" s="36">
        <v>45509</v>
      </c>
      <c r="K2356" s="24" t="s">
        <v>22</v>
      </c>
    </row>
    <row r="2357" spans="1:11" x14ac:dyDescent="0.2">
      <c r="A2357" s="27" t="s">
        <v>5899</v>
      </c>
      <c r="B2357" s="27" t="s">
        <v>5900</v>
      </c>
      <c r="C2357" s="27" t="s">
        <v>5901</v>
      </c>
      <c r="D2357" s="27" t="s">
        <v>17</v>
      </c>
      <c r="E2357" s="27" t="s">
        <v>26</v>
      </c>
      <c r="F2357" s="27" t="s">
        <v>27</v>
      </c>
      <c r="G2357" s="27" t="s">
        <v>28</v>
      </c>
      <c r="H2357" s="29">
        <v>120</v>
      </c>
      <c r="I2357" s="27" t="s">
        <v>29</v>
      </c>
      <c r="J2357" s="37">
        <v>45518</v>
      </c>
      <c r="K2357" s="27" t="s">
        <v>22</v>
      </c>
    </row>
    <row r="2358" spans="1:11" x14ac:dyDescent="0.2">
      <c r="A2358" s="24" t="s">
        <v>5902</v>
      </c>
      <c r="B2358" s="24" t="s">
        <v>5903</v>
      </c>
      <c r="C2358" s="24" t="s">
        <v>2484</v>
      </c>
      <c r="D2358" s="24" t="s">
        <v>17</v>
      </c>
      <c r="E2358" s="24" t="s">
        <v>42</v>
      </c>
      <c r="F2358" s="24" t="s">
        <v>43</v>
      </c>
      <c r="G2358" s="24" t="s">
        <v>20</v>
      </c>
      <c r="H2358" s="26">
        <v>31</v>
      </c>
      <c r="I2358" s="24" t="s">
        <v>21</v>
      </c>
      <c r="J2358" s="36">
        <v>45531</v>
      </c>
      <c r="K2358" s="24" t="s">
        <v>22</v>
      </c>
    </row>
    <row r="2359" spans="1:11" x14ac:dyDescent="0.2">
      <c r="A2359" s="27" t="s">
        <v>5904</v>
      </c>
      <c r="B2359" s="27" t="s">
        <v>5905</v>
      </c>
      <c r="C2359" s="27" t="s">
        <v>687</v>
      </c>
      <c r="D2359" s="27" t="s">
        <v>17</v>
      </c>
      <c r="E2359" s="27" t="s">
        <v>48</v>
      </c>
      <c r="F2359" s="27" t="s">
        <v>49</v>
      </c>
      <c r="G2359" s="27" t="s">
        <v>20</v>
      </c>
      <c r="H2359" s="29">
        <v>448</v>
      </c>
      <c r="I2359" s="27" t="s">
        <v>21</v>
      </c>
      <c r="J2359" s="37">
        <v>45511</v>
      </c>
      <c r="K2359" s="27" t="s">
        <v>22</v>
      </c>
    </row>
    <row r="2360" spans="1:11" x14ac:dyDescent="0.2">
      <c r="A2360" s="24" t="s">
        <v>5906</v>
      </c>
      <c r="B2360" s="24" t="s">
        <v>5907</v>
      </c>
      <c r="C2360" s="24" t="s">
        <v>85</v>
      </c>
      <c r="D2360" s="24" t="s">
        <v>17</v>
      </c>
      <c r="E2360" s="24" t="s">
        <v>18</v>
      </c>
      <c r="F2360" s="24" t="s">
        <v>19</v>
      </c>
      <c r="G2360" s="24" t="s">
        <v>20</v>
      </c>
      <c r="H2360" s="26">
        <v>11</v>
      </c>
      <c r="I2360" s="24" t="s">
        <v>21</v>
      </c>
      <c r="J2360" s="36">
        <v>45525</v>
      </c>
      <c r="K2360" s="24" t="s">
        <v>22</v>
      </c>
    </row>
    <row r="2361" spans="1:11" x14ac:dyDescent="0.2">
      <c r="A2361" s="27" t="s">
        <v>5908</v>
      </c>
      <c r="B2361" s="27" t="s">
        <v>5909</v>
      </c>
      <c r="C2361" s="27" t="s">
        <v>5910</v>
      </c>
      <c r="D2361" s="27" t="s">
        <v>17</v>
      </c>
      <c r="E2361" s="27" t="s">
        <v>18</v>
      </c>
      <c r="F2361" s="27" t="s">
        <v>19</v>
      </c>
      <c r="G2361" s="27" t="s">
        <v>28</v>
      </c>
      <c r="H2361" s="29">
        <v>18</v>
      </c>
      <c r="I2361" s="27" t="s">
        <v>29</v>
      </c>
      <c r="J2361" s="37">
        <v>45526</v>
      </c>
      <c r="K2361" s="27" t="s">
        <v>22</v>
      </c>
    </row>
    <row r="2362" spans="1:11" x14ac:dyDescent="0.2">
      <c r="A2362" s="24" t="s">
        <v>5911</v>
      </c>
      <c r="B2362" s="24" t="s">
        <v>5912</v>
      </c>
      <c r="C2362" s="24" t="s">
        <v>5913</v>
      </c>
      <c r="D2362" s="24" t="s">
        <v>17</v>
      </c>
      <c r="E2362" s="24" t="s">
        <v>163</v>
      </c>
      <c r="F2362" s="24" t="s">
        <v>164</v>
      </c>
      <c r="G2362" s="24" t="s">
        <v>20</v>
      </c>
      <c r="H2362" s="26">
        <v>77</v>
      </c>
      <c r="I2362" s="24" t="s">
        <v>21</v>
      </c>
      <c r="J2362" s="36">
        <v>45525</v>
      </c>
      <c r="K2362" s="24" t="s">
        <v>22</v>
      </c>
    </row>
    <row r="2363" spans="1:11" x14ac:dyDescent="0.2">
      <c r="A2363" s="27" t="s">
        <v>5914</v>
      </c>
      <c r="B2363" s="27" t="s">
        <v>5915</v>
      </c>
      <c r="C2363" s="27" t="s">
        <v>5916</v>
      </c>
      <c r="D2363" s="27" t="s">
        <v>17</v>
      </c>
      <c r="E2363" s="27" t="s">
        <v>26</v>
      </c>
      <c r="F2363" s="27" t="s">
        <v>27</v>
      </c>
      <c r="G2363" s="27" t="s">
        <v>28</v>
      </c>
      <c r="H2363" s="29">
        <v>50</v>
      </c>
      <c r="I2363" s="27" t="s">
        <v>29</v>
      </c>
      <c r="J2363" s="37">
        <v>45520</v>
      </c>
      <c r="K2363" s="27" t="s">
        <v>22</v>
      </c>
    </row>
    <row r="2364" spans="1:11" x14ac:dyDescent="0.2">
      <c r="A2364" s="24" t="s">
        <v>5917</v>
      </c>
      <c r="B2364" s="24" t="s">
        <v>5918</v>
      </c>
      <c r="C2364" s="24" t="s">
        <v>213</v>
      </c>
      <c r="D2364" s="24" t="s">
        <v>17</v>
      </c>
      <c r="E2364" s="24" t="s">
        <v>18</v>
      </c>
      <c r="F2364" s="24" t="s">
        <v>19</v>
      </c>
      <c r="G2364" s="24" t="s">
        <v>20</v>
      </c>
      <c r="H2364" s="26">
        <v>22</v>
      </c>
      <c r="I2364" s="24" t="s">
        <v>21</v>
      </c>
      <c r="J2364" s="36">
        <v>45518</v>
      </c>
      <c r="K2364" s="24" t="s">
        <v>22</v>
      </c>
    </row>
    <row r="2365" spans="1:11" x14ac:dyDescent="0.2">
      <c r="A2365" s="27" t="s">
        <v>5919</v>
      </c>
      <c r="B2365" s="27" t="s">
        <v>5920</v>
      </c>
      <c r="C2365" s="27" t="s">
        <v>5921</v>
      </c>
      <c r="D2365" s="27" t="s">
        <v>17</v>
      </c>
      <c r="E2365" s="27" t="s">
        <v>42</v>
      </c>
      <c r="F2365" s="27" t="s">
        <v>43</v>
      </c>
      <c r="G2365" s="27" t="s">
        <v>116</v>
      </c>
      <c r="H2365" s="29">
        <v>0</v>
      </c>
      <c r="I2365" s="27" t="s">
        <v>21</v>
      </c>
      <c r="J2365" s="37">
        <v>45505</v>
      </c>
      <c r="K2365" s="27" t="s">
        <v>22</v>
      </c>
    </row>
    <row r="2366" spans="1:11" x14ac:dyDescent="0.2">
      <c r="A2366" s="24" t="s">
        <v>5922</v>
      </c>
      <c r="B2366" s="24" t="s">
        <v>5923</v>
      </c>
      <c r="C2366" s="24" t="s">
        <v>109</v>
      </c>
      <c r="D2366" s="24" t="s">
        <v>17</v>
      </c>
      <c r="E2366" s="24" t="s">
        <v>18</v>
      </c>
      <c r="F2366" s="24" t="s">
        <v>19</v>
      </c>
      <c r="G2366" s="24" t="s">
        <v>28</v>
      </c>
      <c r="H2366" s="26">
        <v>45</v>
      </c>
      <c r="I2366" s="24" t="s">
        <v>29</v>
      </c>
      <c r="J2366" s="36">
        <v>45532</v>
      </c>
      <c r="K2366" s="24" t="s">
        <v>22</v>
      </c>
    </row>
    <row r="2367" spans="1:11" x14ac:dyDescent="0.2">
      <c r="A2367" s="27" t="s">
        <v>5924</v>
      </c>
      <c r="B2367" s="27" t="s">
        <v>5925</v>
      </c>
      <c r="C2367" s="27" t="s">
        <v>97</v>
      </c>
      <c r="D2367" s="27" t="s">
        <v>17</v>
      </c>
      <c r="E2367" s="27" t="s">
        <v>48</v>
      </c>
      <c r="F2367" s="27" t="s">
        <v>49</v>
      </c>
      <c r="G2367" s="27" t="s">
        <v>20</v>
      </c>
      <c r="H2367" s="29">
        <v>36</v>
      </c>
      <c r="I2367" s="27" t="s">
        <v>21</v>
      </c>
      <c r="J2367" s="37">
        <v>45509</v>
      </c>
      <c r="K2367" s="27" t="s">
        <v>22</v>
      </c>
    </row>
    <row r="2368" spans="1:11" x14ac:dyDescent="0.2">
      <c r="A2368" s="24" t="s">
        <v>5926</v>
      </c>
      <c r="B2368" s="24" t="s">
        <v>5927</v>
      </c>
      <c r="C2368" s="24" t="s">
        <v>325</v>
      </c>
      <c r="D2368" s="24" t="s">
        <v>17</v>
      </c>
      <c r="E2368" s="24" t="s">
        <v>48</v>
      </c>
      <c r="F2368" s="24" t="s">
        <v>49</v>
      </c>
      <c r="G2368" s="24" t="s">
        <v>44</v>
      </c>
      <c r="H2368" s="26">
        <v>700</v>
      </c>
      <c r="I2368" s="24" t="s">
        <v>29</v>
      </c>
      <c r="J2368" s="36">
        <v>45512</v>
      </c>
      <c r="K2368" s="24" t="s">
        <v>22</v>
      </c>
    </row>
    <row r="2369" spans="1:11" x14ac:dyDescent="0.2">
      <c r="A2369" s="27" t="s">
        <v>5928</v>
      </c>
      <c r="B2369" s="27" t="s">
        <v>5929</v>
      </c>
      <c r="C2369" s="27" t="s">
        <v>429</v>
      </c>
      <c r="D2369" s="27" t="s">
        <v>17</v>
      </c>
      <c r="E2369" s="27" t="s">
        <v>18</v>
      </c>
      <c r="F2369" s="27" t="s">
        <v>19</v>
      </c>
      <c r="G2369" s="27" t="s">
        <v>20</v>
      </c>
      <c r="H2369" s="29">
        <v>36</v>
      </c>
      <c r="I2369" s="27" t="s">
        <v>21</v>
      </c>
      <c r="J2369" s="37">
        <v>45534</v>
      </c>
      <c r="K2369" s="27" t="s">
        <v>22</v>
      </c>
    </row>
    <row r="2370" spans="1:11" x14ac:dyDescent="0.2">
      <c r="A2370" s="24" t="s">
        <v>5930</v>
      </c>
      <c r="B2370" s="24" t="s">
        <v>5931</v>
      </c>
      <c r="C2370" s="24" t="s">
        <v>5932</v>
      </c>
      <c r="D2370" s="24" t="s">
        <v>17</v>
      </c>
      <c r="E2370" s="24" t="s">
        <v>18</v>
      </c>
      <c r="F2370" s="24" t="s">
        <v>19</v>
      </c>
      <c r="G2370" s="24" t="s">
        <v>28</v>
      </c>
      <c r="H2370" s="26">
        <v>220</v>
      </c>
      <c r="I2370" s="24" t="s">
        <v>29</v>
      </c>
      <c r="J2370" s="36">
        <v>45517</v>
      </c>
      <c r="K2370" s="24" t="s">
        <v>22</v>
      </c>
    </row>
    <row r="2371" spans="1:11" x14ac:dyDescent="0.2">
      <c r="A2371" s="27" t="s">
        <v>5933</v>
      </c>
      <c r="B2371" s="27" t="s">
        <v>5934</v>
      </c>
      <c r="C2371" s="27" t="s">
        <v>97</v>
      </c>
      <c r="D2371" s="27" t="s">
        <v>17</v>
      </c>
      <c r="E2371" s="27" t="s">
        <v>18</v>
      </c>
      <c r="F2371" s="27" t="s">
        <v>19</v>
      </c>
      <c r="G2371" s="27" t="s">
        <v>20</v>
      </c>
      <c r="H2371" s="29">
        <v>147</v>
      </c>
      <c r="I2371" s="27" t="s">
        <v>21</v>
      </c>
      <c r="J2371" s="37">
        <v>45506</v>
      </c>
      <c r="K2371" s="27" t="s">
        <v>22</v>
      </c>
    </row>
    <row r="2372" spans="1:11" x14ac:dyDescent="0.2">
      <c r="A2372" s="24" t="s">
        <v>5935</v>
      </c>
      <c r="B2372" s="24" t="s">
        <v>5936</v>
      </c>
      <c r="C2372" s="24" t="s">
        <v>354</v>
      </c>
      <c r="D2372" s="24" t="s">
        <v>17</v>
      </c>
      <c r="E2372" s="24" t="s">
        <v>18</v>
      </c>
      <c r="F2372" s="24" t="s">
        <v>19</v>
      </c>
      <c r="G2372" s="24" t="s">
        <v>20</v>
      </c>
      <c r="H2372" s="26">
        <v>36</v>
      </c>
      <c r="I2372" s="24" t="s">
        <v>21</v>
      </c>
      <c r="J2372" s="36">
        <v>45506</v>
      </c>
      <c r="K2372" s="24" t="s">
        <v>22</v>
      </c>
    </row>
    <row r="2373" spans="1:11" x14ac:dyDescent="0.2">
      <c r="A2373" s="27" t="s">
        <v>5937</v>
      </c>
      <c r="B2373" s="27" t="s">
        <v>5938</v>
      </c>
      <c r="C2373" s="27" t="s">
        <v>5939</v>
      </c>
      <c r="D2373" s="27" t="s">
        <v>17</v>
      </c>
      <c r="E2373" s="27" t="s">
        <v>18</v>
      </c>
      <c r="F2373" s="27" t="s">
        <v>19</v>
      </c>
      <c r="G2373" s="27" t="s">
        <v>20</v>
      </c>
      <c r="H2373" s="29">
        <v>30</v>
      </c>
      <c r="I2373" s="27" t="s">
        <v>21</v>
      </c>
      <c r="J2373" s="37">
        <v>45523</v>
      </c>
      <c r="K2373" s="27" t="s">
        <v>22</v>
      </c>
    </row>
    <row r="2374" spans="1:11" x14ac:dyDescent="0.2">
      <c r="A2374" s="24" t="s">
        <v>5940</v>
      </c>
      <c r="B2374" s="24" t="s">
        <v>5941</v>
      </c>
      <c r="C2374" s="24" t="s">
        <v>146</v>
      </c>
      <c r="D2374" s="24" t="s">
        <v>17</v>
      </c>
      <c r="E2374" s="24" t="s">
        <v>42</v>
      </c>
      <c r="F2374" s="24" t="s">
        <v>43</v>
      </c>
      <c r="G2374" s="24" t="s">
        <v>44</v>
      </c>
      <c r="H2374" s="26">
        <v>10212</v>
      </c>
      <c r="I2374" s="24" t="s">
        <v>21</v>
      </c>
      <c r="J2374" s="36">
        <v>45505</v>
      </c>
      <c r="K2374" s="24" t="s">
        <v>22</v>
      </c>
    </row>
    <row r="2375" spans="1:11" x14ac:dyDescent="0.2">
      <c r="A2375" s="27" t="s">
        <v>5942</v>
      </c>
      <c r="B2375" s="27" t="s">
        <v>5943</v>
      </c>
      <c r="C2375" s="27" t="s">
        <v>526</v>
      </c>
      <c r="D2375" s="27" t="s">
        <v>17</v>
      </c>
      <c r="E2375" s="27" t="s">
        <v>18</v>
      </c>
      <c r="F2375" s="27" t="s">
        <v>19</v>
      </c>
      <c r="G2375" s="27" t="s">
        <v>28</v>
      </c>
      <c r="H2375" s="29">
        <v>48</v>
      </c>
      <c r="I2375" s="27" t="s">
        <v>29</v>
      </c>
      <c r="J2375" s="37">
        <v>45519</v>
      </c>
      <c r="K2375" s="27" t="s">
        <v>22</v>
      </c>
    </row>
    <row r="2376" spans="1:11" x14ac:dyDescent="0.2">
      <c r="A2376" s="24" t="s">
        <v>5944</v>
      </c>
      <c r="B2376" s="24" t="s">
        <v>5945</v>
      </c>
      <c r="C2376" s="24" t="s">
        <v>5746</v>
      </c>
      <c r="D2376" s="24" t="s">
        <v>17</v>
      </c>
      <c r="E2376" s="24" t="s">
        <v>26</v>
      </c>
      <c r="F2376" s="24" t="s">
        <v>27</v>
      </c>
      <c r="G2376" s="24" t="s">
        <v>28</v>
      </c>
      <c r="H2376" s="26">
        <v>29</v>
      </c>
      <c r="I2376" s="24" t="s">
        <v>29</v>
      </c>
      <c r="J2376" s="36">
        <v>45505</v>
      </c>
      <c r="K2376" s="24" t="s">
        <v>22</v>
      </c>
    </row>
    <row r="2377" spans="1:11" x14ac:dyDescent="0.2">
      <c r="A2377" s="27" t="s">
        <v>5946</v>
      </c>
      <c r="B2377" s="27" t="s">
        <v>5947</v>
      </c>
      <c r="C2377" s="27" t="s">
        <v>3202</v>
      </c>
      <c r="D2377" s="27" t="s">
        <v>17</v>
      </c>
      <c r="E2377" s="27" t="s">
        <v>48</v>
      </c>
      <c r="F2377" s="27" t="s">
        <v>49</v>
      </c>
      <c r="G2377" s="27" t="s">
        <v>28</v>
      </c>
      <c r="H2377" s="29">
        <v>171</v>
      </c>
      <c r="I2377" s="27" t="s">
        <v>29</v>
      </c>
      <c r="J2377" s="37">
        <v>45518</v>
      </c>
      <c r="K2377" s="27" t="s">
        <v>22</v>
      </c>
    </row>
    <row r="2378" spans="1:11" x14ac:dyDescent="0.2">
      <c r="A2378" s="24" t="s">
        <v>5948</v>
      </c>
      <c r="B2378" s="24" t="s">
        <v>5949</v>
      </c>
      <c r="C2378" s="24" t="s">
        <v>97</v>
      </c>
      <c r="D2378" s="24" t="s">
        <v>17</v>
      </c>
      <c r="E2378" s="24" t="s">
        <v>42</v>
      </c>
      <c r="F2378" s="24" t="s">
        <v>43</v>
      </c>
      <c r="G2378" s="24" t="s">
        <v>116</v>
      </c>
      <c r="H2378" s="26">
        <v>0</v>
      </c>
      <c r="I2378" s="24" t="s">
        <v>21</v>
      </c>
      <c r="J2378" s="36">
        <v>45506</v>
      </c>
      <c r="K2378" s="24" t="s">
        <v>22</v>
      </c>
    </row>
    <row r="2379" spans="1:11" x14ac:dyDescent="0.2">
      <c r="A2379" s="27" t="s">
        <v>5950</v>
      </c>
      <c r="B2379" s="27" t="s">
        <v>5951</v>
      </c>
      <c r="C2379" s="27" t="s">
        <v>106</v>
      </c>
      <c r="D2379" s="27" t="s">
        <v>17</v>
      </c>
      <c r="E2379" s="27" t="s">
        <v>18</v>
      </c>
      <c r="F2379" s="27" t="s">
        <v>19</v>
      </c>
      <c r="G2379" s="27" t="s">
        <v>20</v>
      </c>
      <c r="H2379" s="29">
        <v>26</v>
      </c>
      <c r="I2379" s="27" t="s">
        <v>21</v>
      </c>
      <c r="J2379" s="37">
        <v>45523</v>
      </c>
      <c r="K2379" s="27" t="s">
        <v>22</v>
      </c>
    </row>
    <row r="2380" spans="1:11" x14ac:dyDescent="0.2">
      <c r="A2380" s="24" t="s">
        <v>5952</v>
      </c>
      <c r="B2380" s="24" t="s">
        <v>5953</v>
      </c>
      <c r="C2380" s="24" t="s">
        <v>251</v>
      </c>
      <c r="D2380" s="24" t="s">
        <v>17</v>
      </c>
      <c r="E2380" s="24" t="s">
        <v>26</v>
      </c>
      <c r="F2380" s="24" t="s">
        <v>27</v>
      </c>
      <c r="G2380" s="24" t="s">
        <v>28</v>
      </c>
      <c r="H2380" s="26">
        <v>58</v>
      </c>
      <c r="I2380" s="24" t="s">
        <v>29</v>
      </c>
      <c r="J2380" s="36">
        <v>45518</v>
      </c>
      <c r="K2380" s="24" t="s">
        <v>22</v>
      </c>
    </row>
    <row r="2381" spans="1:11" x14ac:dyDescent="0.2">
      <c r="A2381" s="27" t="s">
        <v>5954</v>
      </c>
      <c r="B2381" s="27" t="s">
        <v>5955</v>
      </c>
      <c r="C2381" s="27" t="s">
        <v>5956</v>
      </c>
      <c r="D2381" s="27" t="s">
        <v>17</v>
      </c>
      <c r="E2381" s="27" t="s">
        <v>42</v>
      </c>
      <c r="F2381" s="27" t="s">
        <v>43</v>
      </c>
      <c r="G2381" s="27" t="s">
        <v>44</v>
      </c>
      <c r="H2381" s="29">
        <v>605</v>
      </c>
      <c r="I2381" s="27" t="s">
        <v>21</v>
      </c>
      <c r="J2381" s="37">
        <v>45534</v>
      </c>
      <c r="K2381" s="27" t="s">
        <v>22</v>
      </c>
    </row>
    <row r="2382" spans="1:11" x14ac:dyDescent="0.2">
      <c r="A2382" s="24" t="s">
        <v>5957</v>
      </c>
      <c r="B2382" s="24" t="s">
        <v>5958</v>
      </c>
      <c r="C2382" s="24" t="s">
        <v>4722</v>
      </c>
      <c r="D2382" s="24" t="s">
        <v>17</v>
      </c>
      <c r="E2382" s="24" t="s">
        <v>33</v>
      </c>
      <c r="F2382" s="24" t="s">
        <v>34</v>
      </c>
      <c r="G2382" s="24" t="s">
        <v>20</v>
      </c>
      <c r="H2382" s="26">
        <v>390</v>
      </c>
      <c r="I2382" s="24" t="s">
        <v>21</v>
      </c>
      <c r="J2382" s="36">
        <v>45523</v>
      </c>
      <c r="K2382" s="24" t="s">
        <v>22</v>
      </c>
    </row>
    <row r="2383" spans="1:11" x14ac:dyDescent="0.2">
      <c r="A2383" s="27" t="s">
        <v>5959</v>
      </c>
      <c r="B2383" s="27" t="s">
        <v>5960</v>
      </c>
      <c r="C2383" s="27" t="s">
        <v>213</v>
      </c>
      <c r="D2383" s="27" t="s">
        <v>17</v>
      </c>
      <c r="E2383" s="27" t="s">
        <v>18</v>
      </c>
      <c r="F2383" s="27" t="s">
        <v>19</v>
      </c>
      <c r="G2383" s="27" t="s">
        <v>20</v>
      </c>
      <c r="H2383" s="29">
        <v>23</v>
      </c>
      <c r="I2383" s="27" t="s">
        <v>21</v>
      </c>
      <c r="J2383" s="37">
        <v>45527</v>
      </c>
      <c r="K2383" s="27" t="s">
        <v>22</v>
      </c>
    </row>
    <row r="2384" spans="1:11" x14ac:dyDescent="0.2">
      <c r="A2384" s="24" t="s">
        <v>5961</v>
      </c>
      <c r="B2384" s="24" t="s">
        <v>5962</v>
      </c>
      <c r="C2384" s="24" t="s">
        <v>1737</v>
      </c>
      <c r="D2384" s="24" t="s">
        <v>17</v>
      </c>
      <c r="E2384" s="24" t="s">
        <v>26</v>
      </c>
      <c r="F2384" s="24" t="s">
        <v>27</v>
      </c>
      <c r="G2384" s="24" t="s">
        <v>28</v>
      </c>
      <c r="H2384" s="26">
        <v>78</v>
      </c>
      <c r="I2384" s="24" t="s">
        <v>29</v>
      </c>
      <c r="J2384" s="36">
        <v>45533</v>
      </c>
      <c r="K2384" s="24" t="s">
        <v>22</v>
      </c>
    </row>
    <row r="2385" spans="1:11" x14ac:dyDescent="0.2">
      <c r="A2385" s="27" t="s">
        <v>5963</v>
      </c>
      <c r="B2385" s="27" t="s">
        <v>5964</v>
      </c>
      <c r="C2385" s="27" t="s">
        <v>827</v>
      </c>
      <c r="D2385" s="27" t="s">
        <v>17</v>
      </c>
      <c r="E2385" s="27" t="s">
        <v>42</v>
      </c>
      <c r="F2385" s="27" t="s">
        <v>43</v>
      </c>
      <c r="G2385" s="27" t="s">
        <v>28</v>
      </c>
      <c r="H2385" s="29">
        <v>469</v>
      </c>
      <c r="I2385" s="27" t="s">
        <v>29</v>
      </c>
      <c r="J2385" s="37">
        <v>45506</v>
      </c>
      <c r="K2385" s="27" t="s">
        <v>22</v>
      </c>
    </row>
    <row r="2386" spans="1:11" x14ac:dyDescent="0.2">
      <c r="A2386" s="24" t="s">
        <v>5965</v>
      </c>
      <c r="B2386" s="24" t="s">
        <v>5966</v>
      </c>
      <c r="C2386" s="24" t="s">
        <v>5967</v>
      </c>
      <c r="D2386" s="24" t="s">
        <v>17</v>
      </c>
      <c r="E2386" s="24" t="s">
        <v>18</v>
      </c>
      <c r="F2386" s="24" t="s">
        <v>19</v>
      </c>
      <c r="G2386" s="24" t="s">
        <v>217</v>
      </c>
      <c r="H2386" s="26">
        <v>34</v>
      </c>
      <c r="I2386" s="24" t="s">
        <v>29</v>
      </c>
      <c r="J2386" s="36">
        <v>45505</v>
      </c>
      <c r="K2386" s="24" t="s">
        <v>22</v>
      </c>
    </row>
    <row r="2387" spans="1:11" x14ac:dyDescent="0.2">
      <c r="A2387" s="27" t="s">
        <v>5968</v>
      </c>
      <c r="B2387" s="27" t="s">
        <v>5969</v>
      </c>
      <c r="C2387" s="27" t="s">
        <v>4060</v>
      </c>
      <c r="D2387" s="27" t="s">
        <v>17</v>
      </c>
      <c r="E2387" s="27" t="s">
        <v>42</v>
      </c>
      <c r="F2387" s="27" t="s">
        <v>43</v>
      </c>
      <c r="G2387" s="27" t="s">
        <v>44</v>
      </c>
      <c r="H2387" s="29">
        <v>350</v>
      </c>
      <c r="I2387" s="27" t="s">
        <v>29</v>
      </c>
      <c r="J2387" s="37">
        <v>45513</v>
      </c>
      <c r="K2387" s="27" t="s">
        <v>22</v>
      </c>
    </row>
    <row r="2388" spans="1:11" x14ac:dyDescent="0.2">
      <c r="A2388" s="24" t="s">
        <v>5970</v>
      </c>
      <c r="B2388" s="24" t="s">
        <v>5971</v>
      </c>
      <c r="C2388" s="24" t="s">
        <v>106</v>
      </c>
      <c r="D2388" s="24" t="s">
        <v>17</v>
      </c>
      <c r="E2388" s="24" t="s">
        <v>42</v>
      </c>
      <c r="F2388" s="24" t="s">
        <v>43</v>
      </c>
      <c r="G2388" s="24" t="s">
        <v>28</v>
      </c>
      <c r="H2388" s="26">
        <v>11000</v>
      </c>
      <c r="I2388" s="24" t="s">
        <v>29</v>
      </c>
      <c r="J2388" s="36">
        <v>45517</v>
      </c>
      <c r="K2388" s="24" t="s">
        <v>22</v>
      </c>
    </row>
    <row r="2389" spans="1:11" x14ac:dyDescent="0.2">
      <c r="A2389" s="27" t="s">
        <v>5972</v>
      </c>
      <c r="B2389" s="27" t="s">
        <v>5973</v>
      </c>
      <c r="C2389" s="27" t="s">
        <v>450</v>
      </c>
      <c r="D2389" s="27" t="s">
        <v>17</v>
      </c>
      <c r="E2389" s="27" t="s">
        <v>48</v>
      </c>
      <c r="F2389" s="27" t="s">
        <v>49</v>
      </c>
      <c r="G2389" s="27" t="s">
        <v>28</v>
      </c>
      <c r="H2389" s="29">
        <v>705</v>
      </c>
      <c r="I2389" s="27" t="s">
        <v>29</v>
      </c>
      <c r="J2389" s="37">
        <v>45509</v>
      </c>
      <c r="K2389" s="27" t="s">
        <v>22</v>
      </c>
    </row>
    <row r="2390" spans="1:11" x14ac:dyDescent="0.2">
      <c r="A2390" s="24" t="s">
        <v>5974</v>
      </c>
      <c r="B2390" s="24" t="s">
        <v>5975</v>
      </c>
      <c r="C2390" s="24" t="s">
        <v>68</v>
      </c>
      <c r="D2390" s="24" t="s">
        <v>17</v>
      </c>
      <c r="E2390" s="24" t="s">
        <v>26</v>
      </c>
      <c r="F2390" s="24" t="s">
        <v>27</v>
      </c>
      <c r="G2390" s="24" t="s">
        <v>28</v>
      </c>
      <c r="H2390" s="26">
        <v>528</v>
      </c>
      <c r="I2390" s="24" t="s">
        <v>29</v>
      </c>
      <c r="J2390" s="36">
        <v>45516</v>
      </c>
      <c r="K2390" s="24" t="s">
        <v>22</v>
      </c>
    </row>
    <row r="2391" spans="1:11" x14ac:dyDescent="0.2">
      <c r="A2391" s="27" t="s">
        <v>5976</v>
      </c>
      <c r="B2391" s="27" t="s">
        <v>5977</v>
      </c>
      <c r="C2391" s="27" t="s">
        <v>5978</v>
      </c>
      <c r="D2391" s="27" t="s">
        <v>17</v>
      </c>
      <c r="E2391" s="27" t="s">
        <v>18</v>
      </c>
      <c r="F2391" s="27" t="s">
        <v>19</v>
      </c>
      <c r="G2391" s="27" t="s">
        <v>20</v>
      </c>
      <c r="H2391" s="29">
        <v>49</v>
      </c>
      <c r="I2391" s="27" t="s">
        <v>21</v>
      </c>
      <c r="J2391" s="37">
        <v>45524</v>
      </c>
      <c r="K2391" s="27" t="s">
        <v>22</v>
      </c>
    </row>
    <row r="2392" spans="1:11" x14ac:dyDescent="0.2">
      <c r="A2392" s="24" t="s">
        <v>5979</v>
      </c>
      <c r="B2392" s="24" t="s">
        <v>5980</v>
      </c>
      <c r="C2392" s="24" t="s">
        <v>3630</v>
      </c>
      <c r="D2392" s="24" t="s">
        <v>17</v>
      </c>
      <c r="E2392" s="24" t="s">
        <v>18</v>
      </c>
      <c r="F2392" s="24" t="s">
        <v>19</v>
      </c>
      <c r="G2392" s="24" t="s">
        <v>38</v>
      </c>
      <c r="H2392" s="26">
        <v>44</v>
      </c>
      <c r="I2392" s="24" t="s">
        <v>29</v>
      </c>
      <c r="J2392" s="36">
        <v>45530</v>
      </c>
      <c r="K2392" s="24" t="s">
        <v>22</v>
      </c>
    </row>
    <row r="2393" spans="1:11" x14ac:dyDescent="0.2">
      <c r="A2393" s="27" t="s">
        <v>5981</v>
      </c>
      <c r="B2393" s="27" t="s">
        <v>5982</v>
      </c>
      <c r="C2393" s="27" t="s">
        <v>5983</v>
      </c>
      <c r="D2393" s="27" t="s">
        <v>17</v>
      </c>
      <c r="E2393" s="27" t="s">
        <v>18</v>
      </c>
      <c r="F2393" s="27" t="s">
        <v>19</v>
      </c>
      <c r="G2393" s="27" t="s">
        <v>44</v>
      </c>
      <c r="H2393" s="29">
        <v>41</v>
      </c>
      <c r="I2393" s="27" t="s">
        <v>21</v>
      </c>
      <c r="J2393" s="37">
        <v>45532</v>
      </c>
      <c r="K2393" s="27" t="s">
        <v>22</v>
      </c>
    </row>
    <row r="2394" spans="1:11" x14ac:dyDescent="0.2">
      <c r="A2394" s="24" t="s">
        <v>5984</v>
      </c>
      <c r="B2394" s="24" t="s">
        <v>5985</v>
      </c>
      <c r="C2394" s="24" t="s">
        <v>2988</v>
      </c>
      <c r="D2394" s="24" t="s">
        <v>17</v>
      </c>
      <c r="E2394" s="24" t="s">
        <v>26</v>
      </c>
      <c r="F2394" s="24" t="s">
        <v>27</v>
      </c>
      <c r="G2394" s="24" t="s">
        <v>44</v>
      </c>
      <c r="H2394" s="26">
        <v>48</v>
      </c>
      <c r="I2394" s="24" t="s">
        <v>21</v>
      </c>
      <c r="J2394" s="36">
        <v>45535</v>
      </c>
      <c r="K2394" s="24" t="s">
        <v>22</v>
      </c>
    </row>
    <row r="2395" spans="1:11" x14ac:dyDescent="0.2">
      <c r="A2395" s="27" t="s">
        <v>5986</v>
      </c>
      <c r="B2395" s="27" t="s">
        <v>5987</v>
      </c>
      <c r="C2395" s="27" t="s">
        <v>2397</v>
      </c>
      <c r="D2395" s="27" t="s">
        <v>17</v>
      </c>
      <c r="E2395" s="27" t="s">
        <v>18</v>
      </c>
      <c r="F2395" s="27" t="s">
        <v>19</v>
      </c>
      <c r="G2395" s="27" t="s">
        <v>44</v>
      </c>
      <c r="H2395" s="29">
        <v>27</v>
      </c>
      <c r="I2395" s="27" t="s">
        <v>21</v>
      </c>
      <c r="J2395" s="37">
        <v>45526</v>
      </c>
      <c r="K2395" s="27" t="s">
        <v>22</v>
      </c>
    </row>
    <row r="2396" spans="1:11" x14ac:dyDescent="0.2">
      <c r="A2396" s="24" t="s">
        <v>5988</v>
      </c>
      <c r="B2396" s="24" t="s">
        <v>5989</v>
      </c>
      <c r="C2396" s="24" t="s">
        <v>5990</v>
      </c>
      <c r="D2396" s="24" t="s">
        <v>17</v>
      </c>
      <c r="E2396" s="24" t="s">
        <v>48</v>
      </c>
      <c r="F2396" s="24" t="s">
        <v>49</v>
      </c>
      <c r="G2396" s="24" t="s">
        <v>20</v>
      </c>
      <c r="H2396" s="26">
        <v>5</v>
      </c>
      <c r="I2396" s="24" t="s">
        <v>21</v>
      </c>
      <c r="J2396" s="36">
        <v>45532</v>
      </c>
      <c r="K2396" s="24" t="s">
        <v>22</v>
      </c>
    </row>
    <row r="2397" spans="1:11" x14ac:dyDescent="0.2">
      <c r="A2397" s="27" t="s">
        <v>5991</v>
      </c>
      <c r="B2397" s="27" t="s">
        <v>5992</v>
      </c>
      <c r="C2397" s="27" t="s">
        <v>5993</v>
      </c>
      <c r="D2397" s="27" t="s">
        <v>17</v>
      </c>
      <c r="E2397" s="27" t="s">
        <v>81</v>
      </c>
      <c r="F2397" s="27" t="s">
        <v>82</v>
      </c>
      <c r="G2397" s="27" t="s">
        <v>59</v>
      </c>
      <c r="H2397" s="29">
        <v>2</v>
      </c>
      <c r="I2397" s="27" t="s">
        <v>21</v>
      </c>
      <c r="J2397" s="37">
        <v>45525</v>
      </c>
      <c r="K2397" s="27" t="s">
        <v>22</v>
      </c>
    </row>
    <row r="2398" spans="1:11" x14ac:dyDescent="0.2">
      <c r="A2398" s="24" t="s">
        <v>5994</v>
      </c>
      <c r="B2398" s="24" t="s">
        <v>5995</v>
      </c>
      <c r="C2398" s="24" t="s">
        <v>494</v>
      </c>
      <c r="D2398" s="24" t="s">
        <v>17</v>
      </c>
      <c r="E2398" s="24" t="s">
        <v>42</v>
      </c>
      <c r="F2398" s="24" t="s">
        <v>43</v>
      </c>
      <c r="G2398" s="24" t="s">
        <v>217</v>
      </c>
      <c r="H2398" s="26">
        <v>542</v>
      </c>
      <c r="I2398" s="24" t="s">
        <v>29</v>
      </c>
      <c r="J2398" s="36">
        <v>45505</v>
      </c>
      <c r="K2398" s="24" t="s">
        <v>22</v>
      </c>
    </row>
    <row r="2399" spans="1:11" x14ac:dyDescent="0.2">
      <c r="A2399" s="27" t="s">
        <v>5996</v>
      </c>
      <c r="B2399" s="27" t="s">
        <v>5997</v>
      </c>
      <c r="C2399" s="27" t="s">
        <v>5998</v>
      </c>
      <c r="D2399" s="27" t="s">
        <v>17</v>
      </c>
      <c r="E2399" s="27" t="s">
        <v>18</v>
      </c>
      <c r="F2399" s="27" t="s">
        <v>19</v>
      </c>
      <c r="G2399" s="27" t="s">
        <v>28</v>
      </c>
      <c r="H2399" s="29">
        <v>30</v>
      </c>
      <c r="I2399" s="27" t="s">
        <v>29</v>
      </c>
      <c r="J2399" s="37">
        <v>45526</v>
      </c>
      <c r="K2399" s="27" t="s">
        <v>22</v>
      </c>
    </row>
    <row r="2400" spans="1:11" x14ac:dyDescent="0.2">
      <c r="A2400" s="24" t="s">
        <v>5999</v>
      </c>
      <c r="B2400" s="24" t="s">
        <v>6000</v>
      </c>
      <c r="C2400" s="24" t="s">
        <v>3136</v>
      </c>
      <c r="D2400" s="24" t="s">
        <v>17</v>
      </c>
      <c r="E2400" s="24" t="s">
        <v>42</v>
      </c>
      <c r="F2400" s="24" t="s">
        <v>43</v>
      </c>
      <c r="G2400" s="24" t="s">
        <v>44</v>
      </c>
      <c r="H2400" s="26">
        <v>840</v>
      </c>
      <c r="I2400" s="24" t="s">
        <v>29</v>
      </c>
      <c r="J2400" s="36">
        <v>45524</v>
      </c>
      <c r="K2400" s="24" t="s">
        <v>22</v>
      </c>
    </row>
    <row r="2401" spans="1:11" x14ac:dyDescent="0.2">
      <c r="A2401" s="27" t="s">
        <v>6001</v>
      </c>
      <c r="B2401" s="27" t="s">
        <v>6002</v>
      </c>
      <c r="C2401" s="27" t="s">
        <v>68</v>
      </c>
      <c r="D2401" s="27" t="s">
        <v>17</v>
      </c>
      <c r="E2401" s="27" t="s">
        <v>48</v>
      </c>
      <c r="F2401" s="27" t="s">
        <v>49</v>
      </c>
      <c r="G2401" s="27" t="s">
        <v>217</v>
      </c>
      <c r="H2401" s="29">
        <v>240</v>
      </c>
      <c r="I2401" s="27" t="s">
        <v>29</v>
      </c>
      <c r="J2401" s="37">
        <v>45505</v>
      </c>
      <c r="K2401" s="27" t="s">
        <v>22</v>
      </c>
    </row>
    <row r="2402" spans="1:11" x14ac:dyDescent="0.2">
      <c r="A2402" s="24" t="s">
        <v>6003</v>
      </c>
      <c r="B2402" s="24" t="s">
        <v>6004</v>
      </c>
      <c r="C2402" s="24" t="s">
        <v>1050</v>
      </c>
      <c r="D2402" s="24" t="s">
        <v>17</v>
      </c>
      <c r="E2402" s="24" t="s">
        <v>42</v>
      </c>
      <c r="F2402" s="24" t="s">
        <v>43</v>
      </c>
      <c r="G2402" s="24" t="s">
        <v>217</v>
      </c>
      <c r="H2402" s="26">
        <v>142</v>
      </c>
      <c r="I2402" s="24" t="s">
        <v>29</v>
      </c>
      <c r="J2402" s="36">
        <v>45516</v>
      </c>
      <c r="K2402" s="24" t="s">
        <v>22</v>
      </c>
    </row>
    <row r="2403" spans="1:11" x14ac:dyDescent="0.2">
      <c r="A2403" s="27" t="s">
        <v>6005</v>
      </c>
      <c r="B2403" s="27" t="s">
        <v>6006</v>
      </c>
      <c r="C2403" s="27" t="s">
        <v>6007</v>
      </c>
      <c r="D2403" s="27" t="s">
        <v>17</v>
      </c>
      <c r="E2403" s="27" t="s">
        <v>163</v>
      </c>
      <c r="F2403" s="27" t="s">
        <v>164</v>
      </c>
      <c r="G2403" s="27" t="s">
        <v>20</v>
      </c>
      <c r="H2403" s="29">
        <v>11</v>
      </c>
      <c r="I2403" s="27" t="s">
        <v>21</v>
      </c>
      <c r="J2403" s="37">
        <v>45517</v>
      </c>
      <c r="K2403" s="27" t="s">
        <v>22</v>
      </c>
    </row>
    <row r="2404" spans="1:11" x14ac:dyDescent="0.2">
      <c r="A2404" s="24" t="s">
        <v>6008</v>
      </c>
      <c r="B2404" s="24" t="s">
        <v>6009</v>
      </c>
      <c r="C2404" s="24" t="s">
        <v>185</v>
      </c>
      <c r="D2404" s="24" t="s">
        <v>17</v>
      </c>
      <c r="E2404" s="24" t="s">
        <v>42</v>
      </c>
      <c r="F2404" s="24" t="s">
        <v>43</v>
      </c>
      <c r="G2404" s="24" t="s">
        <v>20</v>
      </c>
      <c r="H2404" s="26">
        <v>192</v>
      </c>
      <c r="I2404" s="24" t="s">
        <v>21</v>
      </c>
      <c r="J2404" s="36">
        <v>45517</v>
      </c>
      <c r="K2404" s="24" t="s">
        <v>22</v>
      </c>
    </row>
    <row r="2405" spans="1:11" x14ac:dyDescent="0.2">
      <c r="A2405" s="27" t="s">
        <v>6010</v>
      </c>
      <c r="B2405" s="27" t="s">
        <v>6011</v>
      </c>
      <c r="C2405" s="27" t="s">
        <v>122</v>
      </c>
      <c r="D2405" s="27" t="s">
        <v>17</v>
      </c>
      <c r="E2405" s="27" t="s">
        <v>18</v>
      </c>
      <c r="F2405" s="27" t="s">
        <v>19</v>
      </c>
      <c r="G2405" s="27" t="s">
        <v>28</v>
      </c>
      <c r="H2405" s="29">
        <v>396</v>
      </c>
      <c r="I2405" s="27" t="s">
        <v>29</v>
      </c>
      <c r="J2405" s="37">
        <v>45510</v>
      </c>
      <c r="K2405" s="27" t="s">
        <v>22</v>
      </c>
    </row>
    <row r="2406" spans="1:11" x14ac:dyDescent="0.2">
      <c r="A2406" s="24" t="s">
        <v>6012</v>
      </c>
      <c r="B2406" s="24" t="s">
        <v>6013</v>
      </c>
      <c r="C2406" s="24" t="s">
        <v>6014</v>
      </c>
      <c r="D2406" s="24" t="s">
        <v>17</v>
      </c>
      <c r="E2406" s="24" t="s">
        <v>18</v>
      </c>
      <c r="F2406" s="24" t="s">
        <v>19</v>
      </c>
      <c r="G2406" s="24" t="s">
        <v>20</v>
      </c>
      <c r="H2406" s="26">
        <v>105</v>
      </c>
      <c r="I2406" s="24" t="s">
        <v>21</v>
      </c>
      <c r="J2406" s="36">
        <v>45530</v>
      </c>
      <c r="K2406" s="24" t="s">
        <v>22</v>
      </c>
    </row>
    <row r="2407" spans="1:11" x14ac:dyDescent="0.2">
      <c r="A2407" s="27" t="s">
        <v>6015</v>
      </c>
      <c r="B2407" s="27" t="s">
        <v>6016</v>
      </c>
      <c r="C2407" s="27" t="s">
        <v>6017</v>
      </c>
      <c r="D2407" s="27" t="s">
        <v>17</v>
      </c>
      <c r="E2407" s="27" t="s">
        <v>33</v>
      </c>
      <c r="F2407" s="27" t="s">
        <v>34</v>
      </c>
      <c r="G2407" s="27" t="s">
        <v>28</v>
      </c>
      <c r="H2407" s="29">
        <v>375</v>
      </c>
      <c r="I2407" s="27" t="s">
        <v>29</v>
      </c>
      <c r="J2407" s="37">
        <v>45533</v>
      </c>
      <c r="K2407" s="27" t="s">
        <v>22</v>
      </c>
    </row>
    <row r="2408" spans="1:11" x14ac:dyDescent="0.2">
      <c r="A2408" s="24" t="s">
        <v>6018</v>
      </c>
      <c r="B2408" s="24" t="s">
        <v>6019</v>
      </c>
      <c r="C2408" s="24" t="s">
        <v>6020</v>
      </c>
      <c r="D2408" s="24" t="s">
        <v>17</v>
      </c>
      <c r="E2408" s="24" t="s">
        <v>26</v>
      </c>
      <c r="F2408" s="24" t="s">
        <v>27</v>
      </c>
      <c r="G2408" s="24" t="s">
        <v>44</v>
      </c>
      <c r="H2408" s="26">
        <v>3</v>
      </c>
      <c r="I2408" s="24" t="s">
        <v>21</v>
      </c>
      <c r="J2408" s="36">
        <v>45510</v>
      </c>
      <c r="K2408" s="24" t="s">
        <v>22</v>
      </c>
    </row>
    <row r="2409" spans="1:11" x14ac:dyDescent="0.2">
      <c r="A2409" s="27" t="s">
        <v>6021</v>
      </c>
      <c r="B2409" s="27" t="s">
        <v>6022</v>
      </c>
      <c r="C2409" s="27" t="s">
        <v>1307</v>
      </c>
      <c r="D2409" s="27" t="s">
        <v>17</v>
      </c>
      <c r="E2409" s="27" t="s">
        <v>48</v>
      </c>
      <c r="F2409" s="27" t="s">
        <v>49</v>
      </c>
      <c r="G2409" s="27" t="s">
        <v>44</v>
      </c>
      <c r="H2409" s="29">
        <v>42</v>
      </c>
      <c r="I2409" s="27" t="s">
        <v>21</v>
      </c>
      <c r="J2409" s="37">
        <v>45515</v>
      </c>
      <c r="K2409" s="27" t="s">
        <v>22</v>
      </c>
    </row>
    <row r="2410" spans="1:11" x14ac:dyDescent="0.2">
      <c r="A2410" s="24" t="s">
        <v>6023</v>
      </c>
      <c r="B2410" s="24" t="s">
        <v>6024</v>
      </c>
      <c r="C2410" s="24" t="s">
        <v>260</v>
      </c>
      <c r="D2410" s="24" t="s">
        <v>17</v>
      </c>
      <c r="E2410" s="24" t="s">
        <v>18</v>
      </c>
      <c r="F2410" s="24" t="s">
        <v>19</v>
      </c>
      <c r="G2410" s="24" t="s">
        <v>20</v>
      </c>
      <c r="H2410" s="26">
        <v>400</v>
      </c>
      <c r="I2410" s="24" t="s">
        <v>21</v>
      </c>
      <c r="J2410" s="36">
        <v>45516</v>
      </c>
      <c r="K2410" s="24" t="s">
        <v>22</v>
      </c>
    </row>
    <row r="2411" spans="1:11" x14ac:dyDescent="0.2">
      <c r="A2411" s="27" t="s">
        <v>6025</v>
      </c>
      <c r="B2411" s="27" t="s">
        <v>6026</v>
      </c>
      <c r="C2411" s="27" t="s">
        <v>1260</v>
      </c>
      <c r="D2411" s="27" t="s">
        <v>17</v>
      </c>
      <c r="E2411" s="27" t="s">
        <v>18</v>
      </c>
      <c r="F2411" s="27" t="s">
        <v>19</v>
      </c>
      <c r="G2411" s="27" t="s">
        <v>116</v>
      </c>
      <c r="H2411" s="29">
        <v>0</v>
      </c>
      <c r="I2411" s="27" t="s">
        <v>21</v>
      </c>
      <c r="J2411" s="37">
        <v>45506</v>
      </c>
      <c r="K2411" s="27" t="s">
        <v>22</v>
      </c>
    </row>
    <row r="2412" spans="1:11" x14ac:dyDescent="0.2">
      <c r="A2412" s="24" t="s">
        <v>6027</v>
      </c>
      <c r="B2412" s="24" t="s">
        <v>6028</v>
      </c>
      <c r="C2412" s="24" t="s">
        <v>3504</v>
      </c>
      <c r="D2412" s="24" t="s">
        <v>17</v>
      </c>
      <c r="E2412" s="24" t="s">
        <v>81</v>
      </c>
      <c r="F2412" s="24" t="s">
        <v>82</v>
      </c>
      <c r="G2412" s="24" t="s">
        <v>20</v>
      </c>
      <c r="H2412" s="26">
        <v>889</v>
      </c>
      <c r="I2412" s="24" t="s">
        <v>21</v>
      </c>
      <c r="J2412" s="36">
        <v>45512</v>
      </c>
      <c r="K2412" s="24" t="s">
        <v>22</v>
      </c>
    </row>
    <row r="2413" spans="1:11" x14ac:dyDescent="0.2">
      <c r="A2413" s="27" t="s">
        <v>6029</v>
      </c>
      <c r="B2413" s="27" t="s">
        <v>6030</v>
      </c>
      <c r="C2413" s="27" t="s">
        <v>55</v>
      </c>
      <c r="D2413" s="27" t="s">
        <v>17</v>
      </c>
      <c r="E2413" s="27" t="s">
        <v>42</v>
      </c>
      <c r="F2413" s="27" t="s">
        <v>43</v>
      </c>
      <c r="G2413" s="27" t="s">
        <v>44</v>
      </c>
      <c r="H2413" s="29">
        <v>3000</v>
      </c>
      <c r="I2413" s="27" t="s">
        <v>29</v>
      </c>
      <c r="J2413" s="37">
        <v>45509</v>
      </c>
      <c r="K2413" s="27" t="s">
        <v>22</v>
      </c>
    </row>
    <row r="2414" spans="1:11" x14ac:dyDescent="0.2">
      <c r="A2414" s="24" t="s">
        <v>6031</v>
      </c>
      <c r="B2414" s="24" t="s">
        <v>6032</v>
      </c>
      <c r="C2414" s="24" t="s">
        <v>6033</v>
      </c>
      <c r="D2414" s="24" t="s">
        <v>17</v>
      </c>
      <c r="E2414" s="24" t="s">
        <v>48</v>
      </c>
      <c r="F2414" s="24" t="s">
        <v>49</v>
      </c>
      <c r="G2414" s="24" t="s">
        <v>28</v>
      </c>
      <c r="H2414" s="26">
        <v>27</v>
      </c>
      <c r="I2414" s="24" t="s">
        <v>29</v>
      </c>
      <c r="J2414" s="36">
        <v>45533</v>
      </c>
      <c r="K2414" s="24" t="s">
        <v>22</v>
      </c>
    </row>
    <row r="2415" spans="1:11" x14ac:dyDescent="0.2">
      <c r="A2415" s="27" t="s">
        <v>6034</v>
      </c>
      <c r="B2415" s="27" t="s">
        <v>6035</v>
      </c>
      <c r="C2415" s="27" t="s">
        <v>146</v>
      </c>
      <c r="D2415" s="27" t="s">
        <v>17</v>
      </c>
      <c r="E2415" s="27" t="s">
        <v>18</v>
      </c>
      <c r="F2415" s="27" t="s">
        <v>19</v>
      </c>
      <c r="G2415" s="27" t="s">
        <v>28</v>
      </c>
      <c r="H2415" s="29">
        <v>84</v>
      </c>
      <c r="I2415" s="27" t="s">
        <v>29</v>
      </c>
      <c r="J2415" s="37">
        <v>45518</v>
      </c>
      <c r="K2415" s="27" t="s">
        <v>22</v>
      </c>
    </row>
    <row r="2416" spans="1:11" x14ac:dyDescent="0.2">
      <c r="A2416" s="24" t="s">
        <v>6036</v>
      </c>
      <c r="B2416" s="24" t="s">
        <v>6037</v>
      </c>
      <c r="C2416" s="24" t="s">
        <v>6038</v>
      </c>
      <c r="D2416" s="24" t="s">
        <v>17</v>
      </c>
      <c r="E2416" s="24" t="s">
        <v>26</v>
      </c>
      <c r="F2416" s="24" t="s">
        <v>27</v>
      </c>
      <c r="G2416" s="24" t="s">
        <v>28</v>
      </c>
      <c r="H2416" s="26">
        <v>36</v>
      </c>
      <c r="I2416" s="24" t="s">
        <v>29</v>
      </c>
      <c r="J2416" s="36">
        <v>45523</v>
      </c>
      <c r="K2416" s="24" t="s">
        <v>22</v>
      </c>
    </row>
    <row r="2417" spans="1:11" x14ac:dyDescent="0.2">
      <c r="A2417" s="27" t="s">
        <v>6039</v>
      </c>
      <c r="B2417" s="27" t="s">
        <v>6040</v>
      </c>
      <c r="C2417" s="27" t="s">
        <v>6041</v>
      </c>
      <c r="D2417" s="27" t="s">
        <v>17</v>
      </c>
      <c r="E2417" s="27" t="s">
        <v>48</v>
      </c>
      <c r="F2417" s="27" t="s">
        <v>49</v>
      </c>
      <c r="G2417" s="27" t="s">
        <v>20</v>
      </c>
      <c r="H2417" s="29">
        <v>30</v>
      </c>
      <c r="I2417" s="27" t="s">
        <v>21</v>
      </c>
      <c r="J2417" s="37">
        <v>45518</v>
      </c>
      <c r="K2417" s="27" t="s">
        <v>22</v>
      </c>
    </row>
    <row r="2418" spans="1:11" x14ac:dyDescent="0.2">
      <c r="A2418" s="24" t="s">
        <v>6042</v>
      </c>
      <c r="B2418" s="24" t="s">
        <v>6043</v>
      </c>
      <c r="C2418" s="24" t="s">
        <v>6044</v>
      </c>
      <c r="D2418" s="24" t="s">
        <v>17</v>
      </c>
      <c r="E2418" s="24" t="s">
        <v>42</v>
      </c>
      <c r="F2418" s="24" t="s">
        <v>43</v>
      </c>
      <c r="G2418" s="24" t="s">
        <v>44</v>
      </c>
      <c r="H2418" s="26">
        <v>279</v>
      </c>
      <c r="I2418" s="24" t="s">
        <v>29</v>
      </c>
      <c r="J2418" s="36">
        <v>45510</v>
      </c>
      <c r="K2418" s="24" t="s">
        <v>22</v>
      </c>
    </row>
    <row r="2419" spans="1:11" x14ac:dyDescent="0.2">
      <c r="A2419" s="27" t="s">
        <v>6045</v>
      </c>
      <c r="B2419" s="27" t="s">
        <v>6046</v>
      </c>
      <c r="C2419" s="27" t="s">
        <v>6047</v>
      </c>
      <c r="D2419" s="27" t="s">
        <v>17</v>
      </c>
      <c r="E2419" s="27" t="s">
        <v>18</v>
      </c>
      <c r="F2419" s="27" t="s">
        <v>19</v>
      </c>
      <c r="G2419" s="27" t="s">
        <v>28</v>
      </c>
      <c r="H2419" s="29">
        <v>50</v>
      </c>
      <c r="I2419" s="27" t="s">
        <v>29</v>
      </c>
      <c r="J2419" s="37">
        <v>45534</v>
      </c>
      <c r="K2419" s="27" t="s">
        <v>22</v>
      </c>
    </row>
    <row r="2420" spans="1:11" x14ac:dyDescent="0.2">
      <c r="A2420" s="24" t="s">
        <v>6048</v>
      </c>
      <c r="B2420" s="24" t="s">
        <v>6049</v>
      </c>
      <c r="C2420" s="24" t="s">
        <v>3536</v>
      </c>
      <c r="D2420" s="24" t="s">
        <v>17</v>
      </c>
      <c r="E2420" s="24" t="s">
        <v>18</v>
      </c>
      <c r="F2420" s="24" t="s">
        <v>19</v>
      </c>
      <c r="G2420" s="24" t="s">
        <v>20</v>
      </c>
      <c r="H2420" s="26">
        <v>240</v>
      </c>
      <c r="I2420" s="24" t="s">
        <v>21</v>
      </c>
      <c r="J2420" s="36">
        <v>45534</v>
      </c>
      <c r="K2420" s="24" t="s">
        <v>22</v>
      </c>
    </row>
    <row r="2421" spans="1:11" x14ac:dyDescent="0.2">
      <c r="A2421" s="27" t="s">
        <v>6050</v>
      </c>
      <c r="B2421" s="27" t="s">
        <v>6051</v>
      </c>
      <c r="C2421" s="27" t="s">
        <v>5786</v>
      </c>
      <c r="D2421" s="27" t="s">
        <v>17</v>
      </c>
      <c r="E2421" s="27" t="s">
        <v>18</v>
      </c>
      <c r="F2421" s="27" t="s">
        <v>19</v>
      </c>
      <c r="G2421" s="27" t="s">
        <v>217</v>
      </c>
      <c r="H2421" s="29">
        <v>12</v>
      </c>
      <c r="I2421" s="27" t="s">
        <v>29</v>
      </c>
      <c r="J2421" s="37">
        <v>45505</v>
      </c>
      <c r="K2421" s="27" t="s">
        <v>22</v>
      </c>
    </row>
    <row r="2422" spans="1:11" x14ac:dyDescent="0.2">
      <c r="A2422" s="24" t="s">
        <v>6052</v>
      </c>
      <c r="B2422" s="24" t="s">
        <v>6053</v>
      </c>
      <c r="C2422" s="24" t="s">
        <v>6054</v>
      </c>
      <c r="D2422" s="24" t="s">
        <v>17</v>
      </c>
      <c r="E2422" s="24" t="s">
        <v>48</v>
      </c>
      <c r="F2422" s="24" t="s">
        <v>49</v>
      </c>
      <c r="G2422" s="24" t="s">
        <v>28</v>
      </c>
      <c r="H2422" s="26">
        <v>70</v>
      </c>
      <c r="I2422" s="24" t="s">
        <v>29</v>
      </c>
      <c r="J2422" s="36">
        <v>45505</v>
      </c>
      <c r="K2422" s="24" t="s">
        <v>22</v>
      </c>
    </row>
    <row r="2423" spans="1:11" x14ac:dyDescent="0.2">
      <c r="A2423" s="27" t="s">
        <v>6055</v>
      </c>
      <c r="B2423" s="27" t="s">
        <v>6056</v>
      </c>
      <c r="C2423" s="27" t="s">
        <v>6057</v>
      </c>
      <c r="D2423" s="27" t="s">
        <v>17</v>
      </c>
      <c r="E2423" s="27" t="s">
        <v>163</v>
      </c>
      <c r="F2423" s="27" t="s">
        <v>164</v>
      </c>
      <c r="G2423" s="27" t="s">
        <v>20</v>
      </c>
      <c r="H2423" s="29">
        <v>8</v>
      </c>
      <c r="I2423" s="27" t="s">
        <v>21</v>
      </c>
      <c r="J2423" s="37">
        <v>45526</v>
      </c>
      <c r="K2423" s="27" t="s">
        <v>22</v>
      </c>
    </row>
    <row r="2424" spans="1:11" x14ac:dyDescent="0.2">
      <c r="A2424" s="24" t="s">
        <v>6058</v>
      </c>
      <c r="B2424" s="24" t="s">
        <v>6059</v>
      </c>
      <c r="C2424" s="24" t="s">
        <v>213</v>
      </c>
      <c r="D2424" s="24" t="s">
        <v>17</v>
      </c>
      <c r="E2424" s="24" t="s">
        <v>18</v>
      </c>
      <c r="F2424" s="24" t="s">
        <v>19</v>
      </c>
      <c r="G2424" s="24" t="s">
        <v>20</v>
      </c>
      <c r="H2424" s="26">
        <v>6</v>
      </c>
      <c r="I2424" s="24" t="s">
        <v>21</v>
      </c>
      <c r="J2424" s="36">
        <v>45534</v>
      </c>
      <c r="K2424" s="24" t="s">
        <v>22</v>
      </c>
    </row>
    <row r="2425" spans="1:11" x14ac:dyDescent="0.2">
      <c r="A2425" s="27" t="s">
        <v>6060</v>
      </c>
      <c r="B2425" s="27" t="s">
        <v>6061</v>
      </c>
      <c r="C2425" s="27" t="s">
        <v>1883</v>
      </c>
      <c r="D2425" s="27" t="s">
        <v>17</v>
      </c>
      <c r="E2425" s="27" t="s">
        <v>18</v>
      </c>
      <c r="F2425" s="27" t="s">
        <v>19</v>
      </c>
      <c r="G2425" s="27" t="s">
        <v>28</v>
      </c>
      <c r="H2425" s="29">
        <v>111</v>
      </c>
      <c r="I2425" s="27" t="s">
        <v>29</v>
      </c>
      <c r="J2425" s="37">
        <v>45516</v>
      </c>
      <c r="K2425" s="27" t="s">
        <v>22</v>
      </c>
    </row>
    <row r="2426" spans="1:11" x14ac:dyDescent="0.2">
      <c r="A2426" s="24" t="s">
        <v>6062</v>
      </c>
      <c r="B2426" s="24" t="s">
        <v>6063</v>
      </c>
      <c r="C2426" s="24" t="s">
        <v>3057</v>
      </c>
      <c r="D2426" s="24" t="s">
        <v>17</v>
      </c>
      <c r="E2426" s="24" t="s">
        <v>18</v>
      </c>
      <c r="F2426" s="24" t="s">
        <v>19</v>
      </c>
      <c r="G2426" s="24" t="s">
        <v>28</v>
      </c>
      <c r="H2426" s="26">
        <v>121</v>
      </c>
      <c r="I2426" s="24" t="s">
        <v>29</v>
      </c>
      <c r="J2426" s="36">
        <v>45532</v>
      </c>
      <c r="K2426" s="24" t="s">
        <v>22</v>
      </c>
    </row>
    <row r="2427" spans="1:11" x14ac:dyDescent="0.2">
      <c r="A2427" s="27" t="s">
        <v>6064</v>
      </c>
      <c r="B2427" s="27" t="s">
        <v>6065</v>
      </c>
      <c r="C2427" s="27" t="s">
        <v>6066</v>
      </c>
      <c r="D2427" s="27" t="s">
        <v>17</v>
      </c>
      <c r="E2427" s="27" t="s">
        <v>48</v>
      </c>
      <c r="F2427" s="27" t="s">
        <v>49</v>
      </c>
      <c r="G2427" s="27" t="s">
        <v>20</v>
      </c>
      <c r="H2427" s="29">
        <v>26</v>
      </c>
      <c r="I2427" s="27" t="s">
        <v>21</v>
      </c>
      <c r="J2427" s="37">
        <v>45505</v>
      </c>
      <c r="K2427" s="27" t="s">
        <v>22</v>
      </c>
    </row>
    <row r="2428" spans="1:11" x14ac:dyDescent="0.2">
      <c r="A2428" s="24" t="s">
        <v>6067</v>
      </c>
      <c r="B2428" s="24" t="s">
        <v>6068</v>
      </c>
      <c r="C2428" s="24" t="s">
        <v>6069</v>
      </c>
      <c r="D2428" s="24" t="s">
        <v>17</v>
      </c>
      <c r="E2428" s="24" t="s">
        <v>48</v>
      </c>
      <c r="F2428" s="24" t="s">
        <v>49</v>
      </c>
      <c r="G2428" s="24" t="s">
        <v>227</v>
      </c>
      <c r="H2428" s="26">
        <v>276</v>
      </c>
      <c r="I2428" s="24" t="s">
        <v>29</v>
      </c>
      <c r="J2428" s="36">
        <v>45506</v>
      </c>
      <c r="K2428" s="24" t="s">
        <v>22</v>
      </c>
    </row>
    <row r="2429" spans="1:11" x14ac:dyDescent="0.2">
      <c r="A2429" s="27" t="s">
        <v>6070</v>
      </c>
      <c r="B2429" s="27" t="s">
        <v>6071</v>
      </c>
      <c r="C2429" s="27" t="s">
        <v>298</v>
      </c>
      <c r="D2429" s="27" t="s">
        <v>17</v>
      </c>
      <c r="E2429" s="27" t="s">
        <v>42</v>
      </c>
      <c r="F2429" s="27" t="s">
        <v>43</v>
      </c>
      <c r="G2429" s="27" t="s">
        <v>44</v>
      </c>
      <c r="H2429" s="29">
        <v>640</v>
      </c>
      <c r="I2429" s="27" t="s">
        <v>29</v>
      </c>
      <c r="J2429" s="37">
        <v>45532</v>
      </c>
      <c r="K2429" s="27" t="s">
        <v>22</v>
      </c>
    </row>
    <row r="2430" spans="1:11" x14ac:dyDescent="0.2">
      <c r="A2430" s="24" t="s">
        <v>6072</v>
      </c>
      <c r="B2430" s="24" t="s">
        <v>6073</v>
      </c>
      <c r="C2430" s="24" t="s">
        <v>6074</v>
      </c>
      <c r="D2430" s="24" t="s">
        <v>17</v>
      </c>
      <c r="E2430" s="24" t="s">
        <v>81</v>
      </c>
      <c r="F2430" s="24" t="s">
        <v>82</v>
      </c>
      <c r="G2430" s="24" t="s">
        <v>28</v>
      </c>
      <c r="H2430" s="26">
        <v>406</v>
      </c>
      <c r="I2430" s="24" t="s">
        <v>29</v>
      </c>
      <c r="J2430" s="36">
        <v>45512</v>
      </c>
      <c r="K2430" s="24" t="s">
        <v>22</v>
      </c>
    </row>
    <row r="2431" spans="1:11" x14ac:dyDescent="0.2">
      <c r="A2431" s="27" t="s">
        <v>6075</v>
      </c>
      <c r="B2431" s="27" t="s">
        <v>6076</v>
      </c>
      <c r="C2431" s="27" t="s">
        <v>208</v>
      </c>
      <c r="D2431" s="27" t="s">
        <v>17</v>
      </c>
      <c r="E2431" s="27" t="s">
        <v>42</v>
      </c>
      <c r="F2431" s="27" t="s">
        <v>43</v>
      </c>
      <c r="G2431" s="27" t="s">
        <v>28</v>
      </c>
      <c r="H2431" s="29">
        <v>160</v>
      </c>
      <c r="I2431" s="27" t="s">
        <v>29</v>
      </c>
      <c r="J2431" s="37">
        <v>45525</v>
      </c>
      <c r="K2431" s="27" t="s">
        <v>22</v>
      </c>
    </row>
    <row r="2432" spans="1:11" x14ac:dyDescent="0.2">
      <c r="A2432" s="24" t="s">
        <v>6077</v>
      </c>
      <c r="B2432" s="24" t="s">
        <v>6078</v>
      </c>
      <c r="C2432" s="24" t="s">
        <v>6079</v>
      </c>
      <c r="D2432" s="24" t="s">
        <v>17</v>
      </c>
      <c r="E2432" s="24" t="s">
        <v>48</v>
      </c>
      <c r="F2432" s="24" t="s">
        <v>49</v>
      </c>
      <c r="G2432" s="24" t="s">
        <v>28</v>
      </c>
      <c r="H2432" s="26">
        <v>70</v>
      </c>
      <c r="I2432" s="24" t="s">
        <v>29</v>
      </c>
      <c r="J2432" s="36">
        <v>45505</v>
      </c>
      <c r="K2432" s="24" t="s">
        <v>22</v>
      </c>
    </row>
    <row r="2433" spans="1:11" x14ac:dyDescent="0.2">
      <c r="A2433" s="27" t="s">
        <v>6080</v>
      </c>
      <c r="B2433" s="27" t="s">
        <v>6081</v>
      </c>
      <c r="C2433" s="27" t="s">
        <v>3917</v>
      </c>
      <c r="D2433" s="27" t="s">
        <v>17</v>
      </c>
      <c r="E2433" s="27" t="s">
        <v>18</v>
      </c>
      <c r="F2433" s="27" t="s">
        <v>19</v>
      </c>
      <c r="G2433" s="27" t="s">
        <v>20</v>
      </c>
      <c r="H2433" s="29">
        <v>12</v>
      </c>
      <c r="I2433" s="27" t="s">
        <v>21</v>
      </c>
      <c r="J2433" s="37">
        <v>45505</v>
      </c>
      <c r="K2433" s="27" t="s">
        <v>22</v>
      </c>
    </row>
    <row r="2434" spans="1:11" x14ac:dyDescent="0.2">
      <c r="A2434" s="24" t="s">
        <v>6082</v>
      </c>
      <c r="B2434" s="24" t="s">
        <v>6083</v>
      </c>
      <c r="C2434" s="24" t="s">
        <v>6084</v>
      </c>
      <c r="D2434" s="24" t="s">
        <v>17</v>
      </c>
      <c r="E2434" s="24" t="s">
        <v>18</v>
      </c>
      <c r="F2434" s="24" t="s">
        <v>19</v>
      </c>
      <c r="G2434" s="24" t="s">
        <v>116</v>
      </c>
      <c r="H2434" s="26">
        <v>0</v>
      </c>
      <c r="I2434" s="24" t="s">
        <v>21</v>
      </c>
      <c r="J2434" s="36">
        <v>45534</v>
      </c>
      <c r="K2434" s="24" t="s">
        <v>22</v>
      </c>
    </row>
    <row r="2435" spans="1:11" x14ac:dyDescent="0.2">
      <c r="A2435" s="27" t="s">
        <v>6085</v>
      </c>
      <c r="B2435" s="27" t="s">
        <v>6086</v>
      </c>
      <c r="C2435" s="27" t="s">
        <v>340</v>
      </c>
      <c r="D2435" s="27" t="s">
        <v>17</v>
      </c>
      <c r="E2435" s="27" t="s">
        <v>18</v>
      </c>
      <c r="F2435" s="27" t="s">
        <v>19</v>
      </c>
      <c r="G2435" s="27" t="s">
        <v>44</v>
      </c>
      <c r="H2435" s="29">
        <v>141</v>
      </c>
      <c r="I2435" s="27" t="s">
        <v>29</v>
      </c>
      <c r="J2435" s="37">
        <v>45511</v>
      </c>
      <c r="K2435" s="27" t="s">
        <v>22</v>
      </c>
    </row>
    <row r="2436" spans="1:11" x14ac:dyDescent="0.2">
      <c r="A2436" s="24" t="s">
        <v>6087</v>
      </c>
      <c r="B2436" s="24" t="s">
        <v>6088</v>
      </c>
      <c r="C2436" s="24" t="s">
        <v>687</v>
      </c>
      <c r="D2436" s="24" t="s">
        <v>17</v>
      </c>
      <c r="E2436" s="24" t="s">
        <v>18</v>
      </c>
      <c r="F2436" s="24" t="s">
        <v>19</v>
      </c>
      <c r="G2436" s="24" t="s">
        <v>20</v>
      </c>
      <c r="H2436" s="26">
        <v>73</v>
      </c>
      <c r="I2436" s="24" t="s">
        <v>21</v>
      </c>
      <c r="J2436" s="36">
        <v>45513</v>
      </c>
      <c r="K2436" s="24" t="s">
        <v>22</v>
      </c>
    </row>
    <row r="2437" spans="1:11" x14ac:dyDescent="0.2">
      <c r="A2437" s="27" t="s">
        <v>6089</v>
      </c>
      <c r="B2437" s="27" t="s">
        <v>6090</v>
      </c>
      <c r="C2437" s="27" t="s">
        <v>6091</v>
      </c>
      <c r="D2437" s="27" t="s">
        <v>17</v>
      </c>
      <c r="E2437" s="27" t="s">
        <v>18</v>
      </c>
      <c r="F2437" s="27" t="s">
        <v>19</v>
      </c>
      <c r="G2437" s="27" t="s">
        <v>20</v>
      </c>
      <c r="H2437" s="29">
        <v>108</v>
      </c>
      <c r="I2437" s="27" t="s">
        <v>21</v>
      </c>
      <c r="J2437" s="37">
        <v>45511</v>
      </c>
      <c r="K2437" s="27" t="s">
        <v>22</v>
      </c>
    </row>
    <row r="2438" spans="1:11" x14ac:dyDescent="0.2">
      <c r="A2438" s="24" t="s">
        <v>6092</v>
      </c>
      <c r="B2438" s="24" t="s">
        <v>6093</v>
      </c>
      <c r="C2438" s="24" t="s">
        <v>746</v>
      </c>
      <c r="D2438" s="24" t="s">
        <v>17</v>
      </c>
      <c r="E2438" s="24" t="s">
        <v>42</v>
      </c>
      <c r="F2438" s="24" t="s">
        <v>43</v>
      </c>
      <c r="G2438" s="24" t="s">
        <v>44</v>
      </c>
      <c r="H2438" s="26">
        <v>117</v>
      </c>
      <c r="I2438" s="24" t="s">
        <v>29</v>
      </c>
      <c r="J2438" s="36">
        <v>45531</v>
      </c>
      <c r="K2438" s="24" t="s">
        <v>22</v>
      </c>
    </row>
    <row r="2439" spans="1:11" x14ac:dyDescent="0.2">
      <c r="A2439" s="27" t="s">
        <v>6094</v>
      </c>
      <c r="B2439" s="27" t="s">
        <v>6095</v>
      </c>
      <c r="C2439" s="27" t="s">
        <v>450</v>
      </c>
      <c r="D2439" s="27" t="s">
        <v>17</v>
      </c>
      <c r="E2439" s="27" t="s">
        <v>18</v>
      </c>
      <c r="F2439" s="27" t="s">
        <v>19</v>
      </c>
      <c r="G2439" s="27" t="s">
        <v>20</v>
      </c>
      <c r="H2439" s="29">
        <v>52</v>
      </c>
      <c r="I2439" s="27" t="s">
        <v>21</v>
      </c>
      <c r="J2439" s="37">
        <v>45527</v>
      </c>
      <c r="K2439" s="27" t="s">
        <v>22</v>
      </c>
    </row>
    <row r="2440" spans="1:11" x14ac:dyDescent="0.2">
      <c r="A2440" s="24" t="s">
        <v>6096</v>
      </c>
      <c r="B2440" s="24" t="s">
        <v>6097</v>
      </c>
      <c r="C2440" s="24" t="s">
        <v>6098</v>
      </c>
      <c r="D2440" s="24" t="s">
        <v>17</v>
      </c>
      <c r="E2440" s="24" t="s">
        <v>18</v>
      </c>
      <c r="F2440" s="24" t="s">
        <v>19</v>
      </c>
      <c r="G2440" s="24" t="s">
        <v>28</v>
      </c>
      <c r="H2440" s="26">
        <v>144</v>
      </c>
      <c r="I2440" s="24" t="s">
        <v>29</v>
      </c>
      <c r="J2440" s="36">
        <v>45523</v>
      </c>
      <c r="K2440" s="24" t="s">
        <v>22</v>
      </c>
    </row>
    <row r="2441" spans="1:11" x14ac:dyDescent="0.2">
      <c r="A2441" s="27" t="s">
        <v>6099</v>
      </c>
      <c r="B2441" s="27" t="s">
        <v>6100</v>
      </c>
      <c r="C2441" s="27" t="s">
        <v>5760</v>
      </c>
      <c r="D2441" s="27" t="s">
        <v>17</v>
      </c>
      <c r="E2441" s="27" t="s">
        <v>42</v>
      </c>
      <c r="F2441" s="27" t="s">
        <v>43</v>
      </c>
      <c r="G2441" s="27" t="s">
        <v>44</v>
      </c>
      <c r="H2441" s="29">
        <v>246</v>
      </c>
      <c r="I2441" s="27" t="s">
        <v>29</v>
      </c>
      <c r="J2441" s="37">
        <v>45513</v>
      </c>
      <c r="K2441" s="27" t="s">
        <v>22</v>
      </c>
    </row>
    <row r="2442" spans="1:11" x14ac:dyDescent="0.2">
      <c r="A2442" s="24" t="s">
        <v>6101</v>
      </c>
      <c r="B2442" s="24" t="s">
        <v>6102</v>
      </c>
      <c r="C2442" s="24" t="s">
        <v>6103</v>
      </c>
      <c r="D2442" s="24" t="s">
        <v>17</v>
      </c>
      <c r="E2442" s="24" t="s">
        <v>18</v>
      </c>
      <c r="F2442" s="24" t="s">
        <v>19</v>
      </c>
      <c r="G2442" s="24" t="s">
        <v>28</v>
      </c>
      <c r="H2442" s="26">
        <v>130</v>
      </c>
      <c r="I2442" s="24" t="s">
        <v>29</v>
      </c>
      <c r="J2442" s="36">
        <v>45526</v>
      </c>
      <c r="K2442" s="24" t="s">
        <v>22</v>
      </c>
    </row>
    <row r="2443" spans="1:11" x14ac:dyDescent="0.2">
      <c r="A2443" s="27" t="s">
        <v>6104</v>
      </c>
      <c r="B2443" s="27" t="s">
        <v>6105</v>
      </c>
      <c r="C2443" s="27" t="s">
        <v>429</v>
      </c>
      <c r="D2443" s="27" t="s">
        <v>17</v>
      </c>
      <c r="E2443" s="27" t="s">
        <v>26</v>
      </c>
      <c r="F2443" s="27" t="s">
        <v>27</v>
      </c>
      <c r="G2443" s="27" t="s">
        <v>59</v>
      </c>
      <c r="H2443" s="29">
        <v>5</v>
      </c>
      <c r="I2443" s="27" t="s">
        <v>21</v>
      </c>
      <c r="J2443" s="37">
        <v>45523</v>
      </c>
      <c r="K2443" s="27" t="s">
        <v>22</v>
      </c>
    </row>
    <row r="2444" spans="1:11" x14ac:dyDescent="0.2">
      <c r="A2444" s="24" t="s">
        <v>6106</v>
      </c>
      <c r="B2444" s="24" t="s">
        <v>6107</v>
      </c>
      <c r="C2444" s="24" t="s">
        <v>4207</v>
      </c>
      <c r="D2444" s="24" t="s">
        <v>17</v>
      </c>
      <c r="E2444" s="24" t="s">
        <v>18</v>
      </c>
      <c r="F2444" s="24" t="s">
        <v>19</v>
      </c>
      <c r="G2444" s="24" t="s">
        <v>28</v>
      </c>
      <c r="H2444" s="26">
        <v>30</v>
      </c>
      <c r="I2444" s="24" t="s">
        <v>29</v>
      </c>
      <c r="J2444" s="36">
        <v>45527</v>
      </c>
      <c r="K2444" s="24" t="s">
        <v>22</v>
      </c>
    </row>
    <row r="2445" spans="1:11" x14ac:dyDescent="0.2">
      <c r="A2445" s="27" t="s">
        <v>6108</v>
      </c>
      <c r="B2445" s="27" t="s">
        <v>6109</v>
      </c>
      <c r="C2445" s="27" t="s">
        <v>106</v>
      </c>
      <c r="D2445" s="27" t="s">
        <v>17</v>
      </c>
      <c r="E2445" s="27" t="s">
        <v>18</v>
      </c>
      <c r="F2445" s="27" t="s">
        <v>19</v>
      </c>
      <c r="G2445" s="27" t="s">
        <v>20</v>
      </c>
      <c r="H2445" s="29">
        <v>32</v>
      </c>
      <c r="I2445" s="27" t="s">
        <v>21</v>
      </c>
      <c r="J2445" s="37">
        <v>45524</v>
      </c>
      <c r="K2445" s="27" t="s">
        <v>22</v>
      </c>
    </row>
    <row r="2446" spans="1:11" x14ac:dyDescent="0.2">
      <c r="A2446" s="24" t="s">
        <v>6110</v>
      </c>
      <c r="B2446" s="24" t="s">
        <v>6111</v>
      </c>
      <c r="C2446" s="24" t="s">
        <v>2200</v>
      </c>
      <c r="D2446" s="24" t="s">
        <v>17</v>
      </c>
      <c r="E2446" s="24" t="s">
        <v>18</v>
      </c>
      <c r="F2446" s="24" t="s">
        <v>19</v>
      </c>
      <c r="G2446" s="24" t="s">
        <v>20</v>
      </c>
      <c r="H2446" s="26">
        <v>24</v>
      </c>
      <c r="I2446" s="24" t="s">
        <v>21</v>
      </c>
      <c r="J2446" s="36">
        <v>45527</v>
      </c>
      <c r="K2446" s="24" t="s">
        <v>22</v>
      </c>
    </row>
    <row r="2447" spans="1:11" x14ac:dyDescent="0.2">
      <c r="A2447" s="27" t="s">
        <v>6112</v>
      </c>
      <c r="B2447" s="27" t="s">
        <v>6113</v>
      </c>
      <c r="C2447" s="27" t="s">
        <v>1116</v>
      </c>
      <c r="D2447" s="27" t="s">
        <v>17</v>
      </c>
      <c r="E2447" s="27" t="s">
        <v>18</v>
      </c>
      <c r="F2447" s="27" t="s">
        <v>19</v>
      </c>
      <c r="G2447" s="27" t="s">
        <v>20</v>
      </c>
      <c r="H2447" s="29">
        <v>6</v>
      </c>
      <c r="I2447" s="27" t="s">
        <v>21</v>
      </c>
      <c r="J2447" s="37">
        <v>45525</v>
      </c>
      <c r="K2447" s="27" t="s">
        <v>22</v>
      </c>
    </row>
    <row r="2448" spans="1:11" x14ac:dyDescent="0.2">
      <c r="A2448" s="24" t="s">
        <v>6114</v>
      </c>
      <c r="B2448" s="24" t="s">
        <v>6115</v>
      </c>
      <c r="C2448" s="24" t="s">
        <v>921</v>
      </c>
      <c r="D2448" s="24" t="s">
        <v>17</v>
      </c>
      <c r="E2448" s="24" t="s">
        <v>48</v>
      </c>
      <c r="F2448" s="24" t="s">
        <v>49</v>
      </c>
      <c r="G2448" s="24" t="s">
        <v>20</v>
      </c>
      <c r="H2448" s="26">
        <v>209</v>
      </c>
      <c r="I2448" s="24" t="s">
        <v>21</v>
      </c>
      <c r="J2448" s="36">
        <v>45531</v>
      </c>
      <c r="K2448" s="24" t="s">
        <v>22</v>
      </c>
    </row>
    <row r="2449" spans="1:11" x14ac:dyDescent="0.2">
      <c r="A2449" s="27" t="s">
        <v>6116</v>
      </c>
      <c r="B2449" s="27" t="s">
        <v>6117</v>
      </c>
      <c r="C2449" s="27" t="s">
        <v>6118</v>
      </c>
      <c r="D2449" s="27" t="s">
        <v>17</v>
      </c>
      <c r="E2449" s="27" t="s">
        <v>48</v>
      </c>
      <c r="F2449" s="27" t="s">
        <v>49</v>
      </c>
      <c r="G2449" s="27" t="s">
        <v>44</v>
      </c>
      <c r="H2449" s="29">
        <v>150</v>
      </c>
      <c r="I2449" s="27" t="s">
        <v>29</v>
      </c>
      <c r="J2449" s="37">
        <v>45510</v>
      </c>
      <c r="K2449" s="27" t="s">
        <v>22</v>
      </c>
    </row>
    <row r="2450" spans="1:11" x14ac:dyDescent="0.2">
      <c r="A2450" s="24" t="s">
        <v>6119</v>
      </c>
      <c r="B2450" s="24" t="s">
        <v>6120</v>
      </c>
      <c r="C2450" s="24" t="s">
        <v>1053</v>
      </c>
      <c r="D2450" s="24" t="s">
        <v>17</v>
      </c>
      <c r="E2450" s="24" t="s">
        <v>18</v>
      </c>
      <c r="F2450" s="24" t="s">
        <v>19</v>
      </c>
      <c r="G2450" s="24" t="s">
        <v>20</v>
      </c>
      <c r="H2450" s="26">
        <v>29</v>
      </c>
      <c r="I2450" s="24" t="s">
        <v>21</v>
      </c>
      <c r="J2450" s="36">
        <v>45519</v>
      </c>
      <c r="K2450" s="24" t="s">
        <v>22</v>
      </c>
    </row>
    <row r="2451" spans="1:11" x14ac:dyDescent="0.2">
      <c r="A2451" s="27" t="s">
        <v>6121</v>
      </c>
      <c r="B2451" s="27" t="s">
        <v>6122</v>
      </c>
      <c r="C2451" s="27" t="s">
        <v>115</v>
      </c>
      <c r="D2451" s="27" t="s">
        <v>17</v>
      </c>
      <c r="E2451" s="27" t="s">
        <v>81</v>
      </c>
      <c r="F2451" s="27" t="s">
        <v>82</v>
      </c>
      <c r="G2451" s="27" t="s">
        <v>28</v>
      </c>
      <c r="H2451" s="29">
        <v>124</v>
      </c>
      <c r="I2451" s="27" t="s">
        <v>29</v>
      </c>
      <c r="J2451" s="37">
        <v>45532</v>
      </c>
      <c r="K2451" s="27" t="s">
        <v>22</v>
      </c>
    </row>
    <row r="2452" spans="1:11" x14ac:dyDescent="0.2">
      <c r="A2452" s="24" t="s">
        <v>6123</v>
      </c>
      <c r="B2452" s="24" t="s">
        <v>6124</v>
      </c>
      <c r="C2452" s="24" t="s">
        <v>6125</v>
      </c>
      <c r="D2452" s="24" t="s">
        <v>17</v>
      </c>
      <c r="E2452" s="24" t="s">
        <v>26</v>
      </c>
      <c r="F2452" s="24" t="s">
        <v>27</v>
      </c>
      <c r="G2452" s="24" t="s">
        <v>44</v>
      </c>
      <c r="H2452" s="26">
        <v>18</v>
      </c>
      <c r="I2452" s="24" t="s">
        <v>29</v>
      </c>
      <c r="J2452" s="36">
        <v>45511</v>
      </c>
      <c r="K2452" s="24" t="s">
        <v>22</v>
      </c>
    </row>
    <row r="2453" spans="1:11" x14ac:dyDescent="0.2">
      <c r="A2453" s="27" t="s">
        <v>6126</v>
      </c>
      <c r="B2453" s="27" t="s">
        <v>6127</v>
      </c>
      <c r="C2453" s="27" t="s">
        <v>298</v>
      </c>
      <c r="D2453" s="27" t="s">
        <v>17</v>
      </c>
      <c r="E2453" s="27" t="s">
        <v>18</v>
      </c>
      <c r="F2453" s="27" t="s">
        <v>19</v>
      </c>
      <c r="G2453" s="27" t="s">
        <v>28</v>
      </c>
      <c r="H2453" s="29">
        <v>134</v>
      </c>
      <c r="I2453" s="27" t="s">
        <v>29</v>
      </c>
      <c r="J2453" s="37">
        <v>45532</v>
      </c>
      <c r="K2453" s="27" t="s">
        <v>22</v>
      </c>
    </row>
    <row r="2454" spans="1:11" x14ac:dyDescent="0.2">
      <c r="A2454" s="24" t="s">
        <v>6128</v>
      </c>
      <c r="B2454" s="24" t="s">
        <v>6129</v>
      </c>
      <c r="C2454" s="24" t="s">
        <v>6130</v>
      </c>
      <c r="D2454" s="24" t="s">
        <v>17</v>
      </c>
      <c r="E2454" s="24" t="s">
        <v>48</v>
      </c>
      <c r="F2454" s="24" t="s">
        <v>49</v>
      </c>
      <c r="G2454" s="24" t="s">
        <v>28</v>
      </c>
      <c r="H2454" s="26">
        <v>90</v>
      </c>
      <c r="I2454" s="24" t="s">
        <v>29</v>
      </c>
      <c r="J2454" s="36">
        <v>45505</v>
      </c>
      <c r="K2454" s="24" t="s">
        <v>22</v>
      </c>
    </row>
    <row r="2455" spans="1:11" x14ac:dyDescent="0.2">
      <c r="A2455" s="27" t="s">
        <v>6131</v>
      </c>
      <c r="B2455" s="27" t="s">
        <v>6132</v>
      </c>
      <c r="C2455" s="27" t="s">
        <v>97</v>
      </c>
      <c r="D2455" s="27" t="s">
        <v>17</v>
      </c>
      <c r="E2455" s="27" t="s">
        <v>18</v>
      </c>
      <c r="F2455" s="27" t="s">
        <v>19</v>
      </c>
      <c r="G2455" s="27" t="s">
        <v>20</v>
      </c>
      <c r="H2455" s="29">
        <v>40</v>
      </c>
      <c r="I2455" s="27" t="s">
        <v>21</v>
      </c>
      <c r="J2455" s="37">
        <v>45531</v>
      </c>
      <c r="K2455" s="27" t="s">
        <v>22</v>
      </c>
    </row>
    <row r="2456" spans="1:11" x14ac:dyDescent="0.2">
      <c r="A2456" s="24" t="s">
        <v>6133</v>
      </c>
      <c r="B2456" s="24" t="s">
        <v>6134</v>
      </c>
      <c r="C2456" s="24" t="s">
        <v>230</v>
      </c>
      <c r="D2456" s="24" t="s">
        <v>17</v>
      </c>
      <c r="E2456" s="24" t="s">
        <v>42</v>
      </c>
      <c r="F2456" s="24" t="s">
        <v>43</v>
      </c>
      <c r="G2456" s="24" t="s">
        <v>44</v>
      </c>
      <c r="H2456" s="26">
        <v>582</v>
      </c>
      <c r="I2456" s="24" t="s">
        <v>29</v>
      </c>
      <c r="J2456" s="36">
        <v>45531</v>
      </c>
      <c r="K2456" s="24" t="s">
        <v>22</v>
      </c>
    </row>
    <row r="2457" spans="1:11" x14ac:dyDescent="0.2">
      <c r="A2457" s="27" t="s">
        <v>6135</v>
      </c>
      <c r="B2457" s="27" t="s">
        <v>6136</v>
      </c>
      <c r="C2457" s="27" t="s">
        <v>251</v>
      </c>
      <c r="D2457" s="27" t="s">
        <v>17</v>
      </c>
      <c r="E2457" s="27" t="s">
        <v>26</v>
      </c>
      <c r="F2457" s="27" t="s">
        <v>27</v>
      </c>
      <c r="G2457" s="27" t="s">
        <v>28</v>
      </c>
      <c r="H2457" s="29">
        <v>161</v>
      </c>
      <c r="I2457" s="27" t="s">
        <v>29</v>
      </c>
      <c r="J2457" s="37">
        <v>45519</v>
      </c>
      <c r="K2457" s="27" t="s">
        <v>22</v>
      </c>
    </row>
    <row r="2458" spans="1:11" x14ac:dyDescent="0.2">
      <c r="A2458" s="24" t="s">
        <v>6137</v>
      </c>
      <c r="B2458" s="24" t="s">
        <v>6138</v>
      </c>
      <c r="C2458" s="24" t="s">
        <v>687</v>
      </c>
      <c r="D2458" s="24" t="s">
        <v>17</v>
      </c>
      <c r="E2458" s="24" t="s">
        <v>18</v>
      </c>
      <c r="F2458" s="24" t="s">
        <v>19</v>
      </c>
      <c r="G2458" s="24" t="s">
        <v>20</v>
      </c>
      <c r="H2458" s="26">
        <v>42</v>
      </c>
      <c r="I2458" s="24" t="s">
        <v>21</v>
      </c>
      <c r="J2458" s="36">
        <v>45524</v>
      </c>
      <c r="K2458" s="24" t="s">
        <v>22</v>
      </c>
    </row>
    <row r="2459" spans="1:11" x14ac:dyDescent="0.2">
      <c r="A2459" s="27" t="s">
        <v>6139</v>
      </c>
      <c r="B2459" s="27" t="s">
        <v>6140</v>
      </c>
      <c r="C2459" s="27" t="s">
        <v>1793</v>
      </c>
      <c r="D2459" s="27" t="s">
        <v>17</v>
      </c>
      <c r="E2459" s="27" t="s">
        <v>48</v>
      </c>
      <c r="F2459" s="27" t="s">
        <v>49</v>
      </c>
      <c r="G2459" s="27" t="s">
        <v>28</v>
      </c>
      <c r="H2459" s="29">
        <v>12</v>
      </c>
      <c r="I2459" s="27" t="s">
        <v>29</v>
      </c>
      <c r="J2459" s="37">
        <v>45519</v>
      </c>
      <c r="K2459" s="27" t="s">
        <v>22</v>
      </c>
    </row>
    <row r="2460" spans="1:11" x14ac:dyDescent="0.2">
      <c r="A2460" s="24" t="s">
        <v>6141</v>
      </c>
      <c r="B2460" s="24" t="s">
        <v>6142</v>
      </c>
      <c r="C2460" s="24" t="s">
        <v>1687</v>
      </c>
      <c r="D2460" s="24" t="s">
        <v>17</v>
      </c>
      <c r="E2460" s="24" t="s">
        <v>42</v>
      </c>
      <c r="F2460" s="24" t="s">
        <v>43</v>
      </c>
      <c r="G2460" s="24" t="s">
        <v>28</v>
      </c>
      <c r="H2460" s="26">
        <v>520</v>
      </c>
      <c r="I2460" s="24" t="s">
        <v>29</v>
      </c>
      <c r="J2460" s="36">
        <v>45505</v>
      </c>
      <c r="K2460" s="24" t="s">
        <v>22</v>
      </c>
    </row>
    <row r="2461" spans="1:11" x14ac:dyDescent="0.2">
      <c r="A2461" s="27" t="s">
        <v>6143</v>
      </c>
      <c r="B2461" s="27" t="s">
        <v>6144</v>
      </c>
      <c r="C2461" s="27" t="s">
        <v>6145</v>
      </c>
      <c r="D2461" s="27" t="s">
        <v>17</v>
      </c>
      <c r="E2461" s="27" t="s">
        <v>18</v>
      </c>
      <c r="F2461" s="27" t="s">
        <v>19</v>
      </c>
      <c r="G2461" s="27" t="s">
        <v>20</v>
      </c>
      <c r="H2461" s="29">
        <v>24</v>
      </c>
      <c r="I2461" s="27" t="s">
        <v>21</v>
      </c>
      <c r="J2461" s="37">
        <v>45517</v>
      </c>
      <c r="K2461" s="27" t="s">
        <v>22</v>
      </c>
    </row>
    <row r="2462" spans="1:11" x14ac:dyDescent="0.2">
      <c r="A2462" s="24" t="s">
        <v>6146</v>
      </c>
      <c r="B2462" s="24" t="s">
        <v>6147</v>
      </c>
      <c r="C2462" s="24" t="s">
        <v>3847</v>
      </c>
      <c r="D2462" s="24" t="s">
        <v>17</v>
      </c>
      <c r="E2462" s="24" t="s">
        <v>48</v>
      </c>
      <c r="F2462" s="24" t="s">
        <v>49</v>
      </c>
      <c r="G2462" s="24" t="s">
        <v>28</v>
      </c>
      <c r="H2462" s="26">
        <v>120</v>
      </c>
      <c r="I2462" s="24" t="s">
        <v>29</v>
      </c>
      <c r="J2462" s="36">
        <v>45511</v>
      </c>
      <c r="K2462" s="24" t="s">
        <v>22</v>
      </c>
    </row>
    <row r="2463" spans="1:11" x14ac:dyDescent="0.2">
      <c r="A2463" s="27" t="s">
        <v>6148</v>
      </c>
      <c r="B2463" s="27" t="s">
        <v>6149</v>
      </c>
      <c r="C2463" s="27" t="s">
        <v>1312</v>
      </c>
      <c r="D2463" s="27" t="s">
        <v>17</v>
      </c>
      <c r="E2463" s="27" t="s">
        <v>18</v>
      </c>
      <c r="F2463" s="27" t="s">
        <v>19</v>
      </c>
      <c r="G2463" s="27" t="s">
        <v>44</v>
      </c>
      <c r="H2463" s="29">
        <v>16</v>
      </c>
      <c r="I2463" s="27" t="s">
        <v>29</v>
      </c>
      <c r="J2463" s="37">
        <v>45518</v>
      </c>
      <c r="K2463" s="27" t="s">
        <v>22</v>
      </c>
    </row>
    <row r="2464" spans="1:11" x14ac:dyDescent="0.2">
      <c r="A2464" s="24" t="s">
        <v>6150</v>
      </c>
      <c r="B2464" s="24" t="s">
        <v>6151</v>
      </c>
      <c r="C2464" s="24" t="s">
        <v>437</v>
      </c>
      <c r="D2464" s="24" t="s">
        <v>17</v>
      </c>
      <c r="E2464" s="24" t="s">
        <v>18</v>
      </c>
      <c r="F2464" s="24" t="s">
        <v>19</v>
      </c>
      <c r="G2464" s="24" t="s">
        <v>20</v>
      </c>
      <c r="H2464" s="26">
        <v>231</v>
      </c>
      <c r="I2464" s="24" t="s">
        <v>21</v>
      </c>
      <c r="J2464" s="36">
        <v>45510</v>
      </c>
      <c r="K2464" s="24" t="s">
        <v>22</v>
      </c>
    </row>
    <row r="2465" spans="1:11" x14ac:dyDescent="0.2">
      <c r="A2465" s="27" t="s">
        <v>6152</v>
      </c>
      <c r="B2465" s="27" t="s">
        <v>6153</v>
      </c>
      <c r="C2465" s="27" t="s">
        <v>6154</v>
      </c>
      <c r="D2465" s="27" t="s">
        <v>17</v>
      </c>
      <c r="E2465" s="27" t="s">
        <v>18</v>
      </c>
      <c r="F2465" s="27" t="s">
        <v>19</v>
      </c>
      <c r="G2465" s="27" t="s">
        <v>217</v>
      </c>
      <c r="H2465" s="29">
        <v>9</v>
      </c>
      <c r="I2465" s="27" t="s">
        <v>29</v>
      </c>
      <c r="J2465" s="37">
        <v>45505</v>
      </c>
      <c r="K2465" s="27" t="s">
        <v>22</v>
      </c>
    </row>
    <row r="2466" spans="1:11" x14ac:dyDescent="0.2">
      <c r="A2466" s="24" t="s">
        <v>6155</v>
      </c>
      <c r="B2466" s="24" t="s">
        <v>6156</v>
      </c>
      <c r="C2466" s="24" t="s">
        <v>4350</v>
      </c>
      <c r="D2466" s="24" t="s">
        <v>17</v>
      </c>
      <c r="E2466" s="24" t="s">
        <v>48</v>
      </c>
      <c r="F2466" s="24" t="s">
        <v>49</v>
      </c>
      <c r="G2466" s="24" t="s">
        <v>20</v>
      </c>
      <c r="H2466" s="26">
        <v>46</v>
      </c>
      <c r="I2466" s="24" t="s">
        <v>21</v>
      </c>
      <c r="J2466" s="36">
        <v>45520</v>
      </c>
      <c r="K2466" s="24" t="s">
        <v>22</v>
      </c>
    </row>
    <row r="2467" spans="1:11" x14ac:dyDescent="0.2">
      <c r="A2467" s="27" t="s">
        <v>6157</v>
      </c>
      <c r="B2467" s="27" t="s">
        <v>6158</v>
      </c>
      <c r="C2467" s="27" t="s">
        <v>6020</v>
      </c>
      <c r="D2467" s="27" t="s">
        <v>17</v>
      </c>
      <c r="E2467" s="27" t="s">
        <v>33</v>
      </c>
      <c r="F2467" s="27" t="s">
        <v>34</v>
      </c>
      <c r="G2467" s="27" t="s">
        <v>28</v>
      </c>
      <c r="H2467" s="29">
        <v>66</v>
      </c>
      <c r="I2467" s="27" t="s">
        <v>29</v>
      </c>
      <c r="J2467" s="37">
        <v>45532</v>
      </c>
      <c r="K2467" s="27" t="s">
        <v>22</v>
      </c>
    </row>
    <row r="2468" spans="1:11" x14ac:dyDescent="0.2">
      <c r="A2468" s="24" t="s">
        <v>6159</v>
      </c>
      <c r="B2468" s="24" t="s">
        <v>6160</v>
      </c>
      <c r="C2468" s="24" t="s">
        <v>106</v>
      </c>
      <c r="D2468" s="24" t="s">
        <v>17</v>
      </c>
      <c r="E2468" s="24" t="s">
        <v>48</v>
      </c>
      <c r="F2468" s="24" t="s">
        <v>49</v>
      </c>
      <c r="G2468" s="24" t="s">
        <v>59</v>
      </c>
      <c r="H2468" s="26">
        <v>85</v>
      </c>
      <c r="I2468" s="24" t="s">
        <v>21</v>
      </c>
      <c r="J2468" s="36">
        <v>45532</v>
      </c>
      <c r="K2468" s="24" t="s">
        <v>22</v>
      </c>
    </row>
    <row r="2469" spans="1:11" x14ac:dyDescent="0.2">
      <c r="A2469" s="27" t="s">
        <v>6161</v>
      </c>
      <c r="B2469" s="27" t="s">
        <v>6162</v>
      </c>
      <c r="C2469" s="27" t="s">
        <v>6163</v>
      </c>
      <c r="D2469" s="27" t="s">
        <v>17</v>
      </c>
      <c r="E2469" s="27" t="s">
        <v>26</v>
      </c>
      <c r="F2469" s="27" t="s">
        <v>27</v>
      </c>
      <c r="G2469" s="27" t="s">
        <v>28</v>
      </c>
      <c r="H2469" s="29">
        <v>12</v>
      </c>
      <c r="I2469" s="27" t="s">
        <v>29</v>
      </c>
      <c r="J2469" s="37">
        <v>45520</v>
      </c>
      <c r="K2469" s="27" t="s">
        <v>22</v>
      </c>
    </row>
    <row r="2470" spans="1:11" x14ac:dyDescent="0.2">
      <c r="A2470" s="24" t="s">
        <v>6164</v>
      </c>
      <c r="B2470" s="24" t="s">
        <v>6165</v>
      </c>
      <c r="C2470" s="24" t="s">
        <v>6166</v>
      </c>
      <c r="D2470" s="24" t="s">
        <v>17</v>
      </c>
      <c r="E2470" s="24" t="s">
        <v>42</v>
      </c>
      <c r="F2470" s="24" t="s">
        <v>43</v>
      </c>
      <c r="G2470" s="24" t="s">
        <v>20</v>
      </c>
      <c r="H2470" s="26">
        <v>150</v>
      </c>
      <c r="I2470" s="24" t="s">
        <v>21</v>
      </c>
      <c r="J2470" s="36">
        <v>45533</v>
      </c>
      <c r="K2470" s="24" t="s">
        <v>22</v>
      </c>
    </row>
    <row r="2471" spans="1:11" x14ac:dyDescent="0.2">
      <c r="A2471" s="27" t="s">
        <v>6167</v>
      </c>
      <c r="B2471" s="27" t="s">
        <v>6168</v>
      </c>
      <c r="C2471" s="27" t="s">
        <v>746</v>
      </c>
      <c r="D2471" s="27" t="s">
        <v>17</v>
      </c>
      <c r="E2471" s="27" t="s">
        <v>42</v>
      </c>
      <c r="F2471" s="27" t="s">
        <v>43</v>
      </c>
      <c r="G2471" s="27" t="s">
        <v>44</v>
      </c>
      <c r="H2471" s="29">
        <v>195</v>
      </c>
      <c r="I2471" s="27" t="s">
        <v>29</v>
      </c>
      <c r="J2471" s="37">
        <v>45531</v>
      </c>
      <c r="K2471" s="27" t="s">
        <v>22</v>
      </c>
    </row>
    <row r="2472" spans="1:11" x14ac:dyDescent="0.2">
      <c r="A2472" s="24" t="s">
        <v>6169</v>
      </c>
      <c r="B2472" s="24" t="s">
        <v>6170</v>
      </c>
      <c r="C2472" s="24" t="s">
        <v>2484</v>
      </c>
      <c r="D2472" s="24" t="s">
        <v>17</v>
      </c>
      <c r="E2472" s="24" t="s">
        <v>18</v>
      </c>
      <c r="F2472" s="24" t="s">
        <v>19</v>
      </c>
      <c r="G2472" s="24" t="s">
        <v>20</v>
      </c>
      <c r="H2472" s="26">
        <v>14</v>
      </c>
      <c r="I2472" s="24" t="s">
        <v>21</v>
      </c>
      <c r="J2472" s="36">
        <v>45509</v>
      </c>
      <c r="K2472" s="24" t="s">
        <v>22</v>
      </c>
    </row>
    <row r="2473" spans="1:11" x14ac:dyDescent="0.2">
      <c r="A2473" s="27" t="s">
        <v>6171</v>
      </c>
      <c r="B2473" s="27" t="s">
        <v>6172</v>
      </c>
      <c r="C2473" s="27" t="s">
        <v>6173</v>
      </c>
      <c r="D2473" s="27" t="s">
        <v>17</v>
      </c>
      <c r="E2473" s="27" t="s">
        <v>81</v>
      </c>
      <c r="F2473" s="27" t="s">
        <v>82</v>
      </c>
      <c r="G2473" s="27" t="s">
        <v>116</v>
      </c>
      <c r="H2473" s="29">
        <v>0</v>
      </c>
      <c r="I2473" s="27" t="s">
        <v>21</v>
      </c>
      <c r="J2473" s="37">
        <v>45505</v>
      </c>
      <c r="K2473" s="27" t="s">
        <v>22</v>
      </c>
    </row>
    <row r="2474" spans="1:11" x14ac:dyDescent="0.2">
      <c r="A2474" s="24" t="s">
        <v>6174</v>
      </c>
      <c r="B2474" s="24" t="s">
        <v>6175</v>
      </c>
      <c r="C2474" s="24" t="s">
        <v>1147</v>
      </c>
      <c r="D2474" s="24" t="s">
        <v>17</v>
      </c>
      <c r="E2474" s="24" t="s">
        <v>18</v>
      </c>
      <c r="F2474" s="24" t="s">
        <v>19</v>
      </c>
      <c r="G2474" s="24" t="s">
        <v>20</v>
      </c>
      <c r="H2474" s="26">
        <v>64</v>
      </c>
      <c r="I2474" s="24" t="s">
        <v>21</v>
      </c>
      <c r="J2474" s="36">
        <v>45510</v>
      </c>
      <c r="K2474" s="24" t="s">
        <v>22</v>
      </c>
    </row>
    <row r="2475" spans="1:11" x14ac:dyDescent="0.2">
      <c r="A2475" s="27" t="s">
        <v>6176</v>
      </c>
      <c r="B2475" s="27" t="s">
        <v>6177</v>
      </c>
      <c r="C2475" s="27" t="s">
        <v>97</v>
      </c>
      <c r="D2475" s="27" t="s">
        <v>17</v>
      </c>
      <c r="E2475" s="27" t="s">
        <v>18</v>
      </c>
      <c r="F2475" s="27" t="s">
        <v>19</v>
      </c>
      <c r="G2475" s="27" t="s">
        <v>20</v>
      </c>
      <c r="H2475" s="29">
        <v>16</v>
      </c>
      <c r="I2475" s="27" t="s">
        <v>21</v>
      </c>
      <c r="J2475" s="37">
        <v>45512</v>
      </c>
      <c r="K2475" s="27" t="s">
        <v>22</v>
      </c>
    </row>
    <row r="2476" spans="1:11" x14ac:dyDescent="0.2">
      <c r="A2476" s="24" t="s">
        <v>6178</v>
      </c>
      <c r="B2476" s="24" t="s">
        <v>6179</v>
      </c>
      <c r="C2476" s="24" t="s">
        <v>1883</v>
      </c>
      <c r="D2476" s="24" t="s">
        <v>17</v>
      </c>
      <c r="E2476" s="24" t="s">
        <v>18</v>
      </c>
      <c r="F2476" s="24" t="s">
        <v>19</v>
      </c>
      <c r="G2476" s="24" t="s">
        <v>28</v>
      </c>
      <c r="H2476" s="26">
        <v>10</v>
      </c>
      <c r="I2476" s="24" t="s">
        <v>29</v>
      </c>
      <c r="J2476" s="36">
        <v>45531</v>
      </c>
      <c r="K2476" s="24" t="s">
        <v>22</v>
      </c>
    </row>
    <row r="2477" spans="1:11" x14ac:dyDescent="0.2">
      <c r="A2477" s="27" t="s">
        <v>6180</v>
      </c>
      <c r="B2477" s="27" t="s">
        <v>6181</v>
      </c>
      <c r="C2477" s="27" t="s">
        <v>331</v>
      </c>
      <c r="D2477" s="27" t="s">
        <v>17</v>
      </c>
      <c r="E2477" s="27" t="s">
        <v>18</v>
      </c>
      <c r="F2477" s="27" t="s">
        <v>19</v>
      </c>
      <c r="G2477" s="27" t="s">
        <v>20</v>
      </c>
      <c r="H2477" s="29">
        <v>18</v>
      </c>
      <c r="I2477" s="27" t="s">
        <v>21</v>
      </c>
      <c r="J2477" s="37">
        <v>45516</v>
      </c>
      <c r="K2477" s="27" t="s">
        <v>22</v>
      </c>
    </row>
    <row r="2478" spans="1:11" x14ac:dyDescent="0.2">
      <c r="A2478" s="24" t="s">
        <v>6182</v>
      </c>
      <c r="B2478" s="24" t="s">
        <v>6183</v>
      </c>
      <c r="C2478" s="24" t="s">
        <v>6184</v>
      </c>
      <c r="D2478" s="24" t="s">
        <v>17</v>
      </c>
      <c r="E2478" s="24" t="s">
        <v>33</v>
      </c>
      <c r="F2478" s="24" t="s">
        <v>34</v>
      </c>
      <c r="G2478" s="24" t="s">
        <v>44</v>
      </c>
      <c r="H2478" s="26">
        <v>984</v>
      </c>
      <c r="I2478" s="24" t="s">
        <v>21</v>
      </c>
      <c r="J2478" s="36">
        <v>45511</v>
      </c>
      <c r="K2478" s="24" t="s">
        <v>22</v>
      </c>
    </row>
    <row r="2479" spans="1:11" x14ac:dyDescent="0.2">
      <c r="A2479" s="27" t="s">
        <v>6185</v>
      </c>
      <c r="B2479" s="27" t="s">
        <v>6186</v>
      </c>
      <c r="C2479" s="27" t="s">
        <v>1147</v>
      </c>
      <c r="D2479" s="27" t="s">
        <v>17</v>
      </c>
      <c r="E2479" s="27" t="s">
        <v>18</v>
      </c>
      <c r="F2479" s="27" t="s">
        <v>19</v>
      </c>
      <c r="G2479" s="27" t="s">
        <v>20</v>
      </c>
      <c r="H2479" s="29">
        <v>25</v>
      </c>
      <c r="I2479" s="27" t="s">
        <v>21</v>
      </c>
      <c r="J2479" s="37">
        <v>45520</v>
      </c>
      <c r="K2479" s="27" t="s">
        <v>22</v>
      </c>
    </row>
    <row r="2480" spans="1:11" x14ac:dyDescent="0.2">
      <c r="A2480" s="24" t="s">
        <v>6187</v>
      </c>
      <c r="B2480" s="24" t="s">
        <v>6188</v>
      </c>
      <c r="C2480" s="24" t="s">
        <v>6189</v>
      </c>
      <c r="D2480" s="24" t="s">
        <v>17</v>
      </c>
      <c r="E2480" s="24" t="s">
        <v>18</v>
      </c>
      <c r="F2480" s="24" t="s">
        <v>19</v>
      </c>
      <c r="G2480" s="24" t="s">
        <v>44</v>
      </c>
      <c r="H2480" s="26">
        <v>40</v>
      </c>
      <c r="I2480" s="24" t="s">
        <v>29</v>
      </c>
      <c r="J2480" s="36">
        <v>45532</v>
      </c>
      <c r="K2480" s="24" t="s">
        <v>22</v>
      </c>
    </row>
    <row r="2481" spans="1:11" x14ac:dyDescent="0.2">
      <c r="A2481" s="27" t="s">
        <v>6190</v>
      </c>
      <c r="B2481" s="27" t="s">
        <v>6191</v>
      </c>
      <c r="C2481" s="27" t="s">
        <v>1014</v>
      </c>
      <c r="D2481" s="27" t="s">
        <v>17</v>
      </c>
      <c r="E2481" s="27" t="s">
        <v>18</v>
      </c>
      <c r="F2481" s="27" t="s">
        <v>19</v>
      </c>
      <c r="G2481" s="27" t="s">
        <v>38</v>
      </c>
      <c r="H2481" s="29">
        <v>30</v>
      </c>
      <c r="I2481" s="27" t="s">
        <v>29</v>
      </c>
      <c r="J2481" s="37">
        <v>45533</v>
      </c>
      <c r="K2481" s="27" t="s">
        <v>22</v>
      </c>
    </row>
    <row r="2482" spans="1:11" x14ac:dyDescent="0.2">
      <c r="A2482" s="24" t="s">
        <v>6192</v>
      </c>
      <c r="B2482" s="24" t="s">
        <v>6193</v>
      </c>
      <c r="C2482" s="24" t="s">
        <v>4542</v>
      </c>
      <c r="D2482" s="24" t="s">
        <v>17</v>
      </c>
      <c r="E2482" s="24" t="s">
        <v>18</v>
      </c>
      <c r="F2482" s="24" t="s">
        <v>19</v>
      </c>
      <c r="G2482" s="24" t="s">
        <v>28</v>
      </c>
      <c r="H2482" s="26">
        <v>30</v>
      </c>
      <c r="I2482" s="24" t="s">
        <v>29</v>
      </c>
      <c r="J2482" s="36">
        <v>45510</v>
      </c>
      <c r="K2482" s="24" t="s">
        <v>22</v>
      </c>
    </row>
    <row r="2483" spans="1:11" x14ac:dyDescent="0.2">
      <c r="A2483" s="27" t="s">
        <v>6194</v>
      </c>
      <c r="B2483" s="27" t="s">
        <v>6195</v>
      </c>
      <c r="C2483" s="27" t="s">
        <v>6196</v>
      </c>
      <c r="D2483" s="27" t="s">
        <v>17</v>
      </c>
      <c r="E2483" s="27" t="s">
        <v>18</v>
      </c>
      <c r="F2483" s="27" t="s">
        <v>19</v>
      </c>
      <c r="G2483" s="27" t="s">
        <v>28</v>
      </c>
      <c r="H2483" s="29">
        <v>70</v>
      </c>
      <c r="I2483" s="27" t="s">
        <v>29</v>
      </c>
      <c r="J2483" s="37">
        <v>45506</v>
      </c>
      <c r="K2483" s="27" t="s">
        <v>22</v>
      </c>
    </row>
    <row r="2484" spans="1:11" x14ac:dyDescent="0.2">
      <c r="A2484" s="24" t="s">
        <v>6197</v>
      </c>
      <c r="B2484" s="24" t="s">
        <v>6198</v>
      </c>
      <c r="C2484" s="24" t="s">
        <v>2309</v>
      </c>
      <c r="D2484" s="24" t="s">
        <v>17</v>
      </c>
      <c r="E2484" s="24" t="s">
        <v>18</v>
      </c>
      <c r="F2484" s="24" t="s">
        <v>19</v>
      </c>
      <c r="G2484" s="24" t="s">
        <v>44</v>
      </c>
      <c r="H2484" s="26">
        <v>60</v>
      </c>
      <c r="I2484" s="24" t="s">
        <v>29</v>
      </c>
      <c r="J2484" s="36">
        <v>45520</v>
      </c>
      <c r="K2484" s="24" t="s">
        <v>22</v>
      </c>
    </row>
    <row r="2485" spans="1:11" x14ac:dyDescent="0.2">
      <c r="A2485" s="27" t="s">
        <v>6199</v>
      </c>
      <c r="B2485" s="27" t="s">
        <v>6200</v>
      </c>
      <c r="C2485" s="27" t="s">
        <v>208</v>
      </c>
      <c r="D2485" s="27" t="s">
        <v>17</v>
      </c>
      <c r="E2485" s="27" t="s">
        <v>26</v>
      </c>
      <c r="F2485" s="27" t="s">
        <v>27</v>
      </c>
      <c r="G2485" s="27" t="s">
        <v>59</v>
      </c>
      <c r="H2485" s="29">
        <v>7</v>
      </c>
      <c r="I2485" s="27" t="s">
        <v>21</v>
      </c>
      <c r="J2485" s="37">
        <v>45517</v>
      </c>
      <c r="K2485" s="27" t="s">
        <v>22</v>
      </c>
    </row>
    <row r="2486" spans="1:11" x14ac:dyDescent="0.2">
      <c r="A2486" s="24" t="s">
        <v>6201</v>
      </c>
      <c r="B2486" s="24" t="s">
        <v>6202</v>
      </c>
      <c r="C2486" s="24" t="s">
        <v>97</v>
      </c>
      <c r="D2486" s="24" t="s">
        <v>17</v>
      </c>
      <c r="E2486" s="24" t="s">
        <v>18</v>
      </c>
      <c r="F2486" s="24" t="s">
        <v>19</v>
      </c>
      <c r="G2486" s="24" t="s">
        <v>20</v>
      </c>
      <c r="H2486" s="26">
        <v>28</v>
      </c>
      <c r="I2486" s="24" t="s">
        <v>21</v>
      </c>
      <c r="J2486" s="36">
        <v>45509</v>
      </c>
      <c r="K2486" s="24" t="s">
        <v>22</v>
      </c>
    </row>
    <row r="2487" spans="1:11" x14ac:dyDescent="0.2">
      <c r="A2487" s="27" t="s">
        <v>6203</v>
      </c>
      <c r="B2487" s="27" t="s">
        <v>6204</v>
      </c>
      <c r="C2487" s="27" t="s">
        <v>6205</v>
      </c>
      <c r="D2487" s="27" t="s">
        <v>17</v>
      </c>
      <c r="E2487" s="27" t="s">
        <v>26</v>
      </c>
      <c r="F2487" s="27" t="s">
        <v>27</v>
      </c>
      <c r="G2487" s="27" t="s">
        <v>28</v>
      </c>
      <c r="H2487" s="29">
        <v>75</v>
      </c>
      <c r="I2487" s="27" t="s">
        <v>29</v>
      </c>
      <c r="J2487" s="37">
        <v>45523</v>
      </c>
      <c r="K2487" s="27" t="s">
        <v>22</v>
      </c>
    </row>
    <row r="2488" spans="1:11" x14ac:dyDescent="0.2">
      <c r="A2488" s="24" t="s">
        <v>6206</v>
      </c>
      <c r="B2488" s="24" t="s">
        <v>6207</v>
      </c>
      <c r="C2488" s="24" t="s">
        <v>437</v>
      </c>
      <c r="D2488" s="24" t="s">
        <v>17</v>
      </c>
      <c r="E2488" s="24" t="s">
        <v>81</v>
      </c>
      <c r="F2488" s="24" t="s">
        <v>82</v>
      </c>
      <c r="G2488" s="24" t="s">
        <v>44</v>
      </c>
      <c r="H2488" s="26">
        <v>102</v>
      </c>
      <c r="I2488" s="24" t="s">
        <v>21</v>
      </c>
      <c r="J2488" s="36">
        <v>45510</v>
      </c>
      <c r="K2488" s="24" t="s">
        <v>22</v>
      </c>
    </row>
    <row r="2489" spans="1:11" x14ac:dyDescent="0.2">
      <c r="A2489" s="27" t="s">
        <v>6208</v>
      </c>
      <c r="B2489" s="27" t="s">
        <v>6209</v>
      </c>
      <c r="C2489" s="27" t="s">
        <v>2397</v>
      </c>
      <c r="D2489" s="27" t="s">
        <v>17</v>
      </c>
      <c r="E2489" s="27" t="s">
        <v>18</v>
      </c>
      <c r="F2489" s="27" t="s">
        <v>19</v>
      </c>
      <c r="G2489" s="27" t="s">
        <v>44</v>
      </c>
      <c r="H2489" s="29">
        <v>24</v>
      </c>
      <c r="I2489" s="27" t="s">
        <v>21</v>
      </c>
      <c r="J2489" s="37">
        <v>45535</v>
      </c>
      <c r="K2489" s="27" t="s">
        <v>22</v>
      </c>
    </row>
    <row r="2490" spans="1:11" x14ac:dyDescent="0.2">
      <c r="A2490" s="24" t="s">
        <v>6210</v>
      </c>
      <c r="B2490" s="24" t="s">
        <v>6211</v>
      </c>
      <c r="C2490" s="24" t="s">
        <v>97</v>
      </c>
      <c r="D2490" s="24" t="s">
        <v>17</v>
      </c>
      <c r="E2490" s="24" t="s">
        <v>42</v>
      </c>
      <c r="F2490" s="24" t="s">
        <v>43</v>
      </c>
      <c r="G2490" s="24" t="s">
        <v>28</v>
      </c>
      <c r="H2490" s="26">
        <v>500</v>
      </c>
      <c r="I2490" s="24" t="s">
        <v>29</v>
      </c>
      <c r="J2490" s="36">
        <v>45505</v>
      </c>
      <c r="K2490" s="24" t="s">
        <v>22</v>
      </c>
    </row>
    <row r="2491" spans="1:11" x14ac:dyDescent="0.2">
      <c r="A2491" s="27" t="s">
        <v>6212</v>
      </c>
      <c r="B2491" s="27" t="s">
        <v>6213</v>
      </c>
      <c r="C2491" s="27" t="s">
        <v>4519</v>
      </c>
      <c r="D2491" s="27" t="s">
        <v>17</v>
      </c>
      <c r="E2491" s="27" t="s">
        <v>26</v>
      </c>
      <c r="F2491" s="27" t="s">
        <v>27</v>
      </c>
      <c r="G2491" s="27" t="s">
        <v>44</v>
      </c>
      <c r="H2491" s="29">
        <v>20</v>
      </c>
      <c r="I2491" s="27" t="s">
        <v>29</v>
      </c>
      <c r="J2491" s="37">
        <v>45505</v>
      </c>
      <c r="K2491" s="27" t="s">
        <v>22</v>
      </c>
    </row>
    <row r="2492" spans="1:11" x14ac:dyDescent="0.2">
      <c r="A2492" s="24" t="s">
        <v>6214</v>
      </c>
      <c r="B2492" s="24" t="s">
        <v>6215</v>
      </c>
      <c r="C2492" s="24" t="s">
        <v>85</v>
      </c>
      <c r="D2492" s="24" t="s">
        <v>17</v>
      </c>
      <c r="E2492" s="24" t="s">
        <v>42</v>
      </c>
      <c r="F2492" s="24" t="s">
        <v>43</v>
      </c>
      <c r="G2492" s="24" t="s">
        <v>28</v>
      </c>
      <c r="H2492" s="26">
        <v>675</v>
      </c>
      <c r="I2492" s="24" t="s">
        <v>29</v>
      </c>
      <c r="J2492" s="36">
        <v>45523</v>
      </c>
      <c r="K2492" s="24" t="s">
        <v>22</v>
      </c>
    </row>
    <row r="2493" spans="1:11" x14ac:dyDescent="0.2">
      <c r="A2493" s="27" t="s">
        <v>6216</v>
      </c>
      <c r="B2493" s="27" t="s">
        <v>6217</v>
      </c>
      <c r="C2493" s="27" t="s">
        <v>340</v>
      </c>
      <c r="D2493" s="27" t="s">
        <v>17</v>
      </c>
      <c r="E2493" s="27" t="s">
        <v>48</v>
      </c>
      <c r="F2493" s="27" t="s">
        <v>49</v>
      </c>
      <c r="G2493" s="27" t="s">
        <v>116</v>
      </c>
      <c r="H2493" s="29">
        <v>0</v>
      </c>
      <c r="I2493" s="27" t="s">
        <v>21</v>
      </c>
      <c r="J2493" s="37">
        <v>45520</v>
      </c>
      <c r="K2493" s="27" t="s">
        <v>22</v>
      </c>
    </row>
    <row r="2494" spans="1:11" x14ac:dyDescent="0.2">
      <c r="A2494" s="24" t="s">
        <v>6218</v>
      </c>
      <c r="B2494" s="24" t="s">
        <v>6219</v>
      </c>
      <c r="C2494" s="24" t="s">
        <v>6220</v>
      </c>
      <c r="D2494" s="24" t="s">
        <v>17</v>
      </c>
      <c r="E2494" s="24" t="s">
        <v>163</v>
      </c>
      <c r="F2494" s="24" t="s">
        <v>164</v>
      </c>
      <c r="G2494" s="24" t="s">
        <v>28</v>
      </c>
      <c r="H2494" s="26">
        <v>45</v>
      </c>
      <c r="I2494" s="24" t="s">
        <v>29</v>
      </c>
      <c r="J2494" s="36">
        <v>45505</v>
      </c>
      <c r="K2494" s="24" t="s">
        <v>22</v>
      </c>
    </row>
    <row r="2495" spans="1:11" x14ac:dyDescent="0.2">
      <c r="A2495" s="27" t="s">
        <v>6221</v>
      </c>
      <c r="B2495" s="27" t="s">
        <v>6222</v>
      </c>
      <c r="C2495" s="27" t="s">
        <v>2574</v>
      </c>
      <c r="D2495" s="27" t="s">
        <v>17</v>
      </c>
      <c r="E2495" s="27" t="s">
        <v>18</v>
      </c>
      <c r="F2495" s="27" t="s">
        <v>19</v>
      </c>
      <c r="G2495" s="27" t="s">
        <v>28</v>
      </c>
      <c r="H2495" s="29">
        <v>36</v>
      </c>
      <c r="I2495" s="27" t="s">
        <v>29</v>
      </c>
      <c r="J2495" s="37">
        <v>45534</v>
      </c>
      <c r="K2495" s="27" t="s">
        <v>22</v>
      </c>
    </row>
    <row r="2496" spans="1:11" x14ac:dyDescent="0.2">
      <c r="A2496" s="24" t="s">
        <v>6223</v>
      </c>
      <c r="B2496" s="24" t="s">
        <v>6224</v>
      </c>
      <c r="C2496" s="24" t="s">
        <v>6225</v>
      </c>
      <c r="D2496" s="24" t="s">
        <v>17</v>
      </c>
      <c r="E2496" s="24" t="s">
        <v>26</v>
      </c>
      <c r="F2496" s="24" t="s">
        <v>27</v>
      </c>
      <c r="G2496" s="24" t="s">
        <v>28</v>
      </c>
      <c r="H2496" s="26">
        <v>15</v>
      </c>
      <c r="I2496" s="24" t="s">
        <v>29</v>
      </c>
      <c r="J2496" s="36">
        <v>45526</v>
      </c>
      <c r="K2496" s="24" t="s">
        <v>22</v>
      </c>
    </row>
    <row r="2497" spans="1:11" x14ac:dyDescent="0.2">
      <c r="A2497" s="27" t="s">
        <v>6226</v>
      </c>
      <c r="B2497" s="27" t="s">
        <v>6227</v>
      </c>
      <c r="C2497" s="27" t="s">
        <v>6228</v>
      </c>
      <c r="D2497" s="27" t="s">
        <v>17</v>
      </c>
      <c r="E2497" s="27" t="s">
        <v>42</v>
      </c>
      <c r="F2497" s="27" t="s">
        <v>43</v>
      </c>
      <c r="G2497" s="27" t="s">
        <v>20</v>
      </c>
      <c r="H2497" s="29">
        <v>3</v>
      </c>
      <c r="I2497" s="27" t="s">
        <v>21</v>
      </c>
      <c r="J2497" s="37">
        <v>45534</v>
      </c>
      <c r="K2497" s="27" t="s">
        <v>22</v>
      </c>
    </row>
    <row r="2498" spans="1:11" x14ac:dyDescent="0.2">
      <c r="A2498" s="24" t="s">
        <v>6229</v>
      </c>
      <c r="B2498" s="24" t="s">
        <v>6230</v>
      </c>
      <c r="C2498" s="24" t="s">
        <v>194</v>
      </c>
      <c r="D2498" s="24" t="s">
        <v>17</v>
      </c>
      <c r="E2498" s="24" t="s">
        <v>18</v>
      </c>
      <c r="F2498" s="24" t="s">
        <v>19</v>
      </c>
      <c r="G2498" s="24" t="s">
        <v>28</v>
      </c>
      <c r="H2498" s="26">
        <v>20</v>
      </c>
      <c r="I2498" s="24" t="s">
        <v>29</v>
      </c>
      <c r="J2498" s="36">
        <v>45528</v>
      </c>
      <c r="K2498" s="24" t="s">
        <v>22</v>
      </c>
    </row>
    <row r="2499" spans="1:11" x14ac:dyDescent="0.2">
      <c r="A2499" s="27" t="s">
        <v>6231</v>
      </c>
      <c r="B2499" s="27" t="s">
        <v>6232</v>
      </c>
      <c r="C2499" s="27" t="s">
        <v>708</v>
      </c>
      <c r="D2499" s="27" t="s">
        <v>17</v>
      </c>
      <c r="E2499" s="27" t="s">
        <v>18</v>
      </c>
      <c r="F2499" s="27" t="s">
        <v>19</v>
      </c>
      <c r="G2499" s="27" t="s">
        <v>28</v>
      </c>
      <c r="H2499" s="29">
        <v>90</v>
      </c>
      <c r="I2499" s="27" t="s">
        <v>29</v>
      </c>
      <c r="J2499" s="37">
        <v>45510</v>
      </c>
      <c r="K2499" s="27" t="s">
        <v>22</v>
      </c>
    </row>
    <row r="2500" spans="1:11" x14ac:dyDescent="0.2">
      <c r="A2500" s="24" t="s">
        <v>6233</v>
      </c>
      <c r="B2500" s="24" t="s">
        <v>6234</v>
      </c>
      <c r="C2500" s="24" t="s">
        <v>6235</v>
      </c>
      <c r="D2500" s="24" t="s">
        <v>17</v>
      </c>
      <c r="E2500" s="24" t="s">
        <v>48</v>
      </c>
      <c r="F2500" s="24" t="s">
        <v>49</v>
      </c>
      <c r="G2500" s="24" t="s">
        <v>59</v>
      </c>
      <c r="H2500" s="26">
        <v>3</v>
      </c>
      <c r="I2500" s="24" t="s">
        <v>21</v>
      </c>
      <c r="J2500" s="36">
        <v>45520</v>
      </c>
      <c r="K2500" s="24" t="s">
        <v>22</v>
      </c>
    </row>
    <row r="2501" spans="1:11" x14ac:dyDescent="0.2">
      <c r="A2501" s="27" t="s">
        <v>6236</v>
      </c>
      <c r="B2501" s="27" t="s">
        <v>6237</v>
      </c>
      <c r="C2501" s="27" t="s">
        <v>6238</v>
      </c>
      <c r="D2501" s="27" t="s">
        <v>17</v>
      </c>
      <c r="E2501" s="27" t="s">
        <v>48</v>
      </c>
      <c r="F2501" s="27" t="s">
        <v>49</v>
      </c>
      <c r="G2501" s="27" t="s">
        <v>217</v>
      </c>
      <c r="H2501" s="29">
        <v>40</v>
      </c>
      <c r="I2501" s="27" t="s">
        <v>29</v>
      </c>
      <c r="J2501" s="37">
        <v>45505</v>
      </c>
      <c r="K2501" s="27" t="s">
        <v>22</v>
      </c>
    </row>
    <row r="2502" spans="1:11" x14ac:dyDescent="0.2">
      <c r="A2502" s="24" t="s">
        <v>6239</v>
      </c>
      <c r="B2502" s="24" t="s">
        <v>6240</v>
      </c>
      <c r="C2502" s="24" t="s">
        <v>6241</v>
      </c>
      <c r="D2502" s="24" t="s">
        <v>17</v>
      </c>
      <c r="E2502" s="24" t="s">
        <v>18</v>
      </c>
      <c r="F2502" s="24" t="s">
        <v>19</v>
      </c>
      <c r="G2502" s="24" t="s">
        <v>28</v>
      </c>
      <c r="H2502" s="26">
        <v>12</v>
      </c>
      <c r="I2502" s="24" t="s">
        <v>29</v>
      </c>
      <c r="J2502" s="36">
        <v>45527</v>
      </c>
      <c r="K2502" s="24" t="s">
        <v>22</v>
      </c>
    </row>
    <row r="2503" spans="1:11" x14ac:dyDescent="0.2">
      <c r="A2503" s="27" t="s">
        <v>6242</v>
      </c>
      <c r="B2503" s="27" t="s">
        <v>6243</v>
      </c>
      <c r="C2503" s="27" t="s">
        <v>1147</v>
      </c>
      <c r="D2503" s="27" t="s">
        <v>17</v>
      </c>
      <c r="E2503" s="27" t="s">
        <v>18</v>
      </c>
      <c r="F2503" s="27" t="s">
        <v>19</v>
      </c>
      <c r="G2503" s="27" t="s">
        <v>20</v>
      </c>
      <c r="H2503" s="29">
        <v>48</v>
      </c>
      <c r="I2503" s="27" t="s">
        <v>21</v>
      </c>
      <c r="J2503" s="37">
        <v>45519</v>
      </c>
      <c r="K2503" s="27" t="s">
        <v>22</v>
      </c>
    </row>
    <row r="2504" spans="1:11" x14ac:dyDescent="0.2">
      <c r="A2504" s="24" t="s">
        <v>6244</v>
      </c>
      <c r="B2504" s="24" t="s">
        <v>6245</v>
      </c>
      <c r="C2504" s="24" t="s">
        <v>277</v>
      </c>
      <c r="D2504" s="24" t="s">
        <v>17</v>
      </c>
      <c r="E2504" s="24" t="s">
        <v>18</v>
      </c>
      <c r="F2504" s="24" t="s">
        <v>19</v>
      </c>
      <c r="G2504" s="24" t="s">
        <v>20</v>
      </c>
      <c r="H2504" s="26">
        <v>69</v>
      </c>
      <c r="I2504" s="24" t="s">
        <v>21</v>
      </c>
      <c r="J2504" s="36">
        <v>45533</v>
      </c>
      <c r="K2504" s="24" t="s">
        <v>22</v>
      </c>
    </row>
    <row r="2505" spans="1:11" x14ac:dyDescent="0.2">
      <c r="A2505" s="27" t="s">
        <v>6246</v>
      </c>
      <c r="B2505" s="27" t="s">
        <v>6247</v>
      </c>
      <c r="C2505" s="27" t="s">
        <v>1147</v>
      </c>
      <c r="D2505" s="27" t="s">
        <v>17</v>
      </c>
      <c r="E2505" s="27" t="s">
        <v>48</v>
      </c>
      <c r="F2505" s="27" t="s">
        <v>49</v>
      </c>
      <c r="G2505" s="27" t="s">
        <v>217</v>
      </c>
      <c r="H2505" s="29">
        <v>108</v>
      </c>
      <c r="I2505" s="27" t="s">
        <v>29</v>
      </c>
      <c r="J2505" s="37">
        <v>45505</v>
      </c>
      <c r="K2505" s="27" t="s">
        <v>22</v>
      </c>
    </row>
    <row r="2506" spans="1:11" x14ac:dyDescent="0.2">
      <c r="A2506" s="24" t="s">
        <v>6248</v>
      </c>
      <c r="B2506" s="24" t="s">
        <v>6249</v>
      </c>
      <c r="C2506" s="24" t="s">
        <v>194</v>
      </c>
      <c r="D2506" s="24" t="s">
        <v>17</v>
      </c>
      <c r="E2506" s="24" t="s">
        <v>42</v>
      </c>
      <c r="F2506" s="24" t="s">
        <v>43</v>
      </c>
      <c r="G2506" s="24" t="s">
        <v>28</v>
      </c>
      <c r="H2506" s="26">
        <v>714</v>
      </c>
      <c r="I2506" s="24" t="s">
        <v>29</v>
      </c>
      <c r="J2506" s="36">
        <v>45511</v>
      </c>
      <c r="K2506" s="24" t="s">
        <v>22</v>
      </c>
    </row>
    <row r="2507" spans="1:11" x14ac:dyDescent="0.2">
      <c r="A2507" s="27" t="s">
        <v>6250</v>
      </c>
      <c r="B2507" s="27" t="s">
        <v>6251</v>
      </c>
      <c r="C2507" s="27" t="s">
        <v>6252</v>
      </c>
      <c r="D2507" s="27" t="s">
        <v>17</v>
      </c>
      <c r="E2507" s="27" t="s">
        <v>18</v>
      </c>
      <c r="F2507" s="27" t="s">
        <v>19</v>
      </c>
      <c r="G2507" s="27" t="s">
        <v>38</v>
      </c>
      <c r="H2507" s="29">
        <v>24</v>
      </c>
      <c r="I2507" s="27" t="s">
        <v>29</v>
      </c>
      <c r="J2507" s="37">
        <v>45505</v>
      </c>
      <c r="K2507" s="27" t="s">
        <v>22</v>
      </c>
    </row>
    <row r="2508" spans="1:11" x14ac:dyDescent="0.2">
      <c r="A2508" s="24" t="s">
        <v>6253</v>
      </c>
      <c r="B2508" s="24" t="s">
        <v>6254</v>
      </c>
      <c r="C2508" s="24" t="s">
        <v>85</v>
      </c>
      <c r="D2508" s="24" t="s">
        <v>17</v>
      </c>
      <c r="E2508" s="24" t="s">
        <v>48</v>
      </c>
      <c r="F2508" s="24" t="s">
        <v>49</v>
      </c>
      <c r="G2508" s="24" t="s">
        <v>28</v>
      </c>
      <c r="H2508" s="26">
        <v>60</v>
      </c>
      <c r="I2508" s="24" t="s">
        <v>29</v>
      </c>
      <c r="J2508" s="36">
        <v>45518</v>
      </c>
      <c r="K2508" s="24" t="s">
        <v>22</v>
      </c>
    </row>
    <row r="2509" spans="1:11" x14ac:dyDescent="0.2">
      <c r="A2509" s="27" t="s">
        <v>6255</v>
      </c>
      <c r="B2509" s="27" t="s">
        <v>6256</v>
      </c>
      <c r="C2509" s="27" t="s">
        <v>6257</v>
      </c>
      <c r="D2509" s="27" t="s">
        <v>17</v>
      </c>
      <c r="E2509" s="27" t="s">
        <v>26</v>
      </c>
      <c r="F2509" s="27" t="s">
        <v>27</v>
      </c>
      <c r="G2509" s="27" t="s">
        <v>28</v>
      </c>
      <c r="H2509" s="29">
        <v>8</v>
      </c>
      <c r="I2509" s="27" t="s">
        <v>29</v>
      </c>
      <c r="J2509" s="37">
        <v>45517</v>
      </c>
      <c r="K2509" s="27" t="s">
        <v>22</v>
      </c>
    </row>
    <row r="2510" spans="1:11" x14ac:dyDescent="0.2">
      <c r="A2510" s="24" t="s">
        <v>6258</v>
      </c>
      <c r="B2510" s="24" t="s">
        <v>6259</v>
      </c>
      <c r="C2510" s="24" t="s">
        <v>134</v>
      </c>
      <c r="D2510" s="24" t="s">
        <v>17</v>
      </c>
      <c r="E2510" s="24" t="s">
        <v>18</v>
      </c>
      <c r="F2510" s="24" t="s">
        <v>19</v>
      </c>
      <c r="G2510" s="24" t="s">
        <v>20</v>
      </c>
      <c r="H2510" s="26">
        <v>32</v>
      </c>
      <c r="I2510" s="24" t="s">
        <v>21</v>
      </c>
      <c r="J2510" s="36">
        <v>45530</v>
      </c>
      <c r="K2510" s="24" t="s">
        <v>22</v>
      </c>
    </row>
    <row r="2511" spans="1:11" x14ac:dyDescent="0.2">
      <c r="A2511" s="27" t="s">
        <v>6260</v>
      </c>
      <c r="B2511" s="27" t="s">
        <v>6261</v>
      </c>
      <c r="C2511" s="27" t="s">
        <v>4253</v>
      </c>
      <c r="D2511" s="27" t="s">
        <v>17</v>
      </c>
      <c r="E2511" s="27" t="s">
        <v>48</v>
      </c>
      <c r="F2511" s="27" t="s">
        <v>49</v>
      </c>
      <c r="G2511" s="27" t="s">
        <v>28</v>
      </c>
      <c r="H2511" s="29">
        <v>34</v>
      </c>
      <c r="I2511" s="27" t="s">
        <v>29</v>
      </c>
      <c r="J2511" s="37">
        <v>45511</v>
      </c>
      <c r="K2511" s="27" t="s">
        <v>22</v>
      </c>
    </row>
    <row r="2512" spans="1:11" x14ac:dyDescent="0.2">
      <c r="A2512" s="24" t="s">
        <v>6262</v>
      </c>
      <c r="B2512" s="24" t="s">
        <v>6263</v>
      </c>
      <c r="C2512" s="24" t="s">
        <v>6264</v>
      </c>
      <c r="D2512" s="24" t="s">
        <v>17</v>
      </c>
      <c r="E2512" s="24" t="s">
        <v>18</v>
      </c>
      <c r="F2512" s="24" t="s">
        <v>19</v>
      </c>
      <c r="G2512" s="24" t="s">
        <v>20</v>
      </c>
      <c r="H2512" s="26">
        <v>95</v>
      </c>
      <c r="I2512" s="24" t="s">
        <v>21</v>
      </c>
      <c r="J2512" s="36">
        <v>45511</v>
      </c>
      <c r="K2512" s="24" t="s">
        <v>22</v>
      </c>
    </row>
    <row r="2513" spans="1:11" x14ac:dyDescent="0.2">
      <c r="A2513" s="27" t="s">
        <v>6265</v>
      </c>
      <c r="B2513" s="27" t="s">
        <v>6266</v>
      </c>
      <c r="C2513" s="27" t="s">
        <v>708</v>
      </c>
      <c r="D2513" s="27" t="s">
        <v>17</v>
      </c>
      <c r="E2513" s="27" t="s">
        <v>81</v>
      </c>
      <c r="F2513" s="27" t="s">
        <v>82</v>
      </c>
      <c r="G2513" s="27" t="s">
        <v>28</v>
      </c>
      <c r="H2513" s="29">
        <v>250</v>
      </c>
      <c r="I2513" s="27" t="s">
        <v>29</v>
      </c>
      <c r="J2513" s="37">
        <v>45530</v>
      </c>
      <c r="K2513" s="27" t="s">
        <v>22</v>
      </c>
    </row>
    <row r="2514" spans="1:11" x14ac:dyDescent="0.2">
      <c r="A2514" s="24" t="s">
        <v>6267</v>
      </c>
      <c r="B2514" s="24" t="s">
        <v>6268</v>
      </c>
      <c r="C2514" s="24" t="s">
        <v>6269</v>
      </c>
      <c r="D2514" s="24" t="s">
        <v>17</v>
      </c>
      <c r="E2514" s="24" t="s">
        <v>18</v>
      </c>
      <c r="F2514" s="24" t="s">
        <v>19</v>
      </c>
      <c r="G2514" s="24" t="s">
        <v>28</v>
      </c>
      <c r="H2514" s="26">
        <v>48</v>
      </c>
      <c r="I2514" s="24" t="s">
        <v>29</v>
      </c>
      <c r="J2514" s="36">
        <v>45516</v>
      </c>
      <c r="K2514" s="24" t="s">
        <v>22</v>
      </c>
    </row>
    <row r="2515" spans="1:11" x14ac:dyDescent="0.2">
      <c r="A2515" s="27" t="s">
        <v>6270</v>
      </c>
      <c r="B2515" s="27" t="s">
        <v>6271</v>
      </c>
      <c r="C2515" s="27" t="s">
        <v>97</v>
      </c>
      <c r="D2515" s="27" t="s">
        <v>17</v>
      </c>
      <c r="E2515" s="27" t="s">
        <v>48</v>
      </c>
      <c r="F2515" s="27" t="s">
        <v>49</v>
      </c>
      <c r="G2515" s="27" t="s">
        <v>28</v>
      </c>
      <c r="H2515" s="29">
        <v>110</v>
      </c>
      <c r="I2515" s="27" t="s">
        <v>29</v>
      </c>
      <c r="J2515" s="37">
        <v>45526</v>
      </c>
      <c r="K2515" s="27" t="s">
        <v>22</v>
      </c>
    </row>
    <row r="2516" spans="1:11" x14ac:dyDescent="0.2">
      <c r="A2516" s="24" t="s">
        <v>6272</v>
      </c>
      <c r="B2516" s="24" t="s">
        <v>6273</v>
      </c>
      <c r="C2516" s="24" t="s">
        <v>6274</v>
      </c>
      <c r="D2516" s="24" t="s">
        <v>17</v>
      </c>
      <c r="E2516" s="24" t="s">
        <v>18</v>
      </c>
      <c r="F2516" s="24" t="s">
        <v>19</v>
      </c>
      <c r="G2516" s="24" t="s">
        <v>28</v>
      </c>
      <c r="H2516" s="26">
        <v>110</v>
      </c>
      <c r="I2516" s="24" t="s">
        <v>29</v>
      </c>
      <c r="J2516" s="36">
        <v>45526</v>
      </c>
      <c r="K2516" s="24" t="s">
        <v>22</v>
      </c>
    </row>
    <row r="2517" spans="1:11" x14ac:dyDescent="0.2">
      <c r="A2517" s="27" t="s">
        <v>6275</v>
      </c>
      <c r="B2517" s="27" t="s">
        <v>6276</v>
      </c>
      <c r="C2517" s="27" t="s">
        <v>6277</v>
      </c>
      <c r="D2517" s="27" t="s">
        <v>17</v>
      </c>
      <c r="E2517" s="27" t="s">
        <v>48</v>
      </c>
      <c r="F2517" s="27" t="s">
        <v>49</v>
      </c>
      <c r="G2517" s="27" t="s">
        <v>20</v>
      </c>
      <c r="H2517" s="29">
        <v>161</v>
      </c>
      <c r="I2517" s="27" t="s">
        <v>21</v>
      </c>
      <c r="J2517" s="37">
        <v>45509</v>
      </c>
      <c r="K2517" s="27" t="s">
        <v>22</v>
      </c>
    </row>
    <row r="2518" spans="1:11" x14ac:dyDescent="0.2">
      <c r="A2518" s="24" t="s">
        <v>6278</v>
      </c>
      <c r="B2518" s="24" t="s">
        <v>6279</v>
      </c>
      <c r="C2518" s="24" t="s">
        <v>97</v>
      </c>
      <c r="D2518" s="24" t="s">
        <v>17</v>
      </c>
      <c r="E2518" s="24" t="s">
        <v>48</v>
      </c>
      <c r="F2518" s="24" t="s">
        <v>49</v>
      </c>
      <c r="G2518" s="24" t="s">
        <v>44</v>
      </c>
      <c r="H2518" s="26">
        <v>120</v>
      </c>
      <c r="I2518" s="24" t="s">
        <v>21</v>
      </c>
      <c r="J2518" s="36">
        <v>45532</v>
      </c>
      <c r="K2518" s="24" t="s">
        <v>22</v>
      </c>
    </row>
    <row r="2519" spans="1:11" x14ac:dyDescent="0.2">
      <c r="A2519" s="27" t="s">
        <v>6280</v>
      </c>
      <c r="B2519" s="27" t="s">
        <v>6281</v>
      </c>
      <c r="C2519" s="27" t="s">
        <v>6282</v>
      </c>
      <c r="D2519" s="27" t="s">
        <v>17</v>
      </c>
      <c r="E2519" s="27" t="s">
        <v>26</v>
      </c>
      <c r="F2519" s="27" t="s">
        <v>27</v>
      </c>
      <c r="G2519" s="27" t="s">
        <v>28</v>
      </c>
      <c r="H2519" s="29">
        <v>126</v>
      </c>
      <c r="I2519" s="27" t="s">
        <v>29</v>
      </c>
      <c r="J2519" s="37">
        <v>45527</v>
      </c>
      <c r="K2519" s="27" t="s">
        <v>22</v>
      </c>
    </row>
    <row r="2520" spans="1:11" x14ac:dyDescent="0.2">
      <c r="A2520" s="24" t="s">
        <v>6283</v>
      </c>
      <c r="B2520" s="24" t="s">
        <v>6284</v>
      </c>
      <c r="C2520" s="24" t="s">
        <v>97</v>
      </c>
      <c r="D2520" s="24" t="s">
        <v>17</v>
      </c>
      <c r="E2520" s="24" t="s">
        <v>18</v>
      </c>
      <c r="F2520" s="24" t="s">
        <v>19</v>
      </c>
      <c r="G2520" s="24" t="s">
        <v>20</v>
      </c>
      <c r="H2520" s="26">
        <v>32</v>
      </c>
      <c r="I2520" s="24" t="s">
        <v>21</v>
      </c>
      <c r="J2520" s="36">
        <v>45510</v>
      </c>
      <c r="K2520" s="24" t="s">
        <v>22</v>
      </c>
    </row>
    <row r="2521" spans="1:11" x14ac:dyDescent="0.2">
      <c r="A2521" s="27" t="s">
        <v>6285</v>
      </c>
      <c r="B2521" s="27" t="s">
        <v>6286</v>
      </c>
      <c r="C2521" s="27" t="s">
        <v>6287</v>
      </c>
      <c r="D2521" s="27" t="s">
        <v>17</v>
      </c>
      <c r="E2521" s="27" t="s">
        <v>48</v>
      </c>
      <c r="F2521" s="27" t="s">
        <v>49</v>
      </c>
      <c r="G2521" s="27" t="s">
        <v>44</v>
      </c>
      <c r="H2521" s="29">
        <v>136</v>
      </c>
      <c r="I2521" s="27" t="s">
        <v>21</v>
      </c>
      <c r="J2521" s="37">
        <v>45526</v>
      </c>
      <c r="K2521" s="27" t="s">
        <v>22</v>
      </c>
    </row>
    <row r="2522" spans="1:11" x14ac:dyDescent="0.2">
      <c r="A2522" s="24" t="s">
        <v>6288</v>
      </c>
      <c r="B2522" s="24" t="s">
        <v>6289</v>
      </c>
      <c r="C2522" s="24" t="s">
        <v>25</v>
      </c>
      <c r="D2522" s="24" t="s">
        <v>17</v>
      </c>
      <c r="E2522" s="24" t="s">
        <v>18</v>
      </c>
      <c r="F2522" s="24" t="s">
        <v>19</v>
      </c>
      <c r="G2522" s="24" t="s">
        <v>28</v>
      </c>
      <c r="H2522" s="26">
        <v>170</v>
      </c>
      <c r="I2522" s="24" t="s">
        <v>29</v>
      </c>
      <c r="J2522" s="36">
        <v>45510</v>
      </c>
      <c r="K2522" s="24" t="s">
        <v>22</v>
      </c>
    </row>
    <row r="2523" spans="1:11" x14ac:dyDescent="0.2">
      <c r="A2523" s="27" t="s">
        <v>6290</v>
      </c>
      <c r="B2523" s="27" t="s">
        <v>6291</v>
      </c>
      <c r="C2523" s="27" t="s">
        <v>6292</v>
      </c>
      <c r="D2523" s="27" t="s">
        <v>17</v>
      </c>
      <c r="E2523" s="27" t="s">
        <v>18</v>
      </c>
      <c r="F2523" s="27" t="s">
        <v>19</v>
      </c>
      <c r="G2523" s="27" t="s">
        <v>20</v>
      </c>
      <c r="H2523" s="29">
        <v>9</v>
      </c>
      <c r="I2523" s="27" t="s">
        <v>21</v>
      </c>
      <c r="J2523" s="37">
        <v>45531</v>
      </c>
      <c r="K2523" s="27" t="s">
        <v>22</v>
      </c>
    </row>
    <row r="2524" spans="1:11" x14ac:dyDescent="0.2">
      <c r="A2524" s="24" t="s">
        <v>6293</v>
      </c>
      <c r="B2524" s="24" t="s">
        <v>6294</v>
      </c>
      <c r="C2524" s="24" t="s">
        <v>6295</v>
      </c>
      <c r="D2524" s="24" t="s">
        <v>17</v>
      </c>
      <c r="E2524" s="24" t="s">
        <v>18</v>
      </c>
      <c r="F2524" s="24" t="s">
        <v>19</v>
      </c>
      <c r="G2524" s="24" t="s">
        <v>20</v>
      </c>
      <c r="H2524" s="26">
        <v>6</v>
      </c>
      <c r="I2524" s="24" t="s">
        <v>21</v>
      </c>
      <c r="J2524" s="36">
        <v>45534</v>
      </c>
      <c r="K2524" s="24" t="s">
        <v>22</v>
      </c>
    </row>
    <row r="2525" spans="1:11" x14ac:dyDescent="0.2">
      <c r="A2525" s="27" t="s">
        <v>6296</v>
      </c>
      <c r="B2525" s="27" t="s">
        <v>6297</v>
      </c>
      <c r="C2525" s="27" t="s">
        <v>801</v>
      </c>
      <c r="D2525" s="27" t="s">
        <v>17</v>
      </c>
      <c r="E2525" s="27" t="s">
        <v>48</v>
      </c>
      <c r="F2525" s="27" t="s">
        <v>49</v>
      </c>
      <c r="G2525" s="27" t="s">
        <v>44</v>
      </c>
      <c r="H2525" s="29">
        <v>118</v>
      </c>
      <c r="I2525" s="27" t="s">
        <v>21</v>
      </c>
      <c r="J2525" s="37">
        <v>45513</v>
      </c>
      <c r="K2525" s="27" t="s">
        <v>22</v>
      </c>
    </row>
    <row r="2526" spans="1:11" x14ac:dyDescent="0.2">
      <c r="A2526" s="24" t="s">
        <v>6298</v>
      </c>
      <c r="B2526" s="24" t="s">
        <v>6299</v>
      </c>
      <c r="C2526" s="24" t="s">
        <v>5147</v>
      </c>
      <c r="D2526" s="24" t="s">
        <v>17</v>
      </c>
      <c r="E2526" s="24" t="s">
        <v>48</v>
      </c>
      <c r="F2526" s="24" t="s">
        <v>49</v>
      </c>
      <c r="G2526" s="24" t="s">
        <v>44</v>
      </c>
      <c r="H2526" s="26">
        <v>32</v>
      </c>
      <c r="I2526" s="24" t="s">
        <v>29</v>
      </c>
      <c r="J2526" s="36">
        <v>45505</v>
      </c>
      <c r="K2526" s="24" t="s">
        <v>22</v>
      </c>
    </row>
    <row r="2527" spans="1:11" x14ac:dyDescent="0.2">
      <c r="A2527" s="27" t="s">
        <v>6300</v>
      </c>
      <c r="B2527" s="27" t="s">
        <v>6301</v>
      </c>
      <c r="C2527" s="27" t="s">
        <v>1053</v>
      </c>
      <c r="D2527" s="27" t="s">
        <v>17</v>
      </c>
      <c r="E2527" s="27" t="s">
        <v>48</v>
      </c>
      <c r="F2527" s="27" t="s">
        <v>49</v>
      </c>
      <c r="G2527" s="27" t="s">
        <v>44</v>
      </c>
      <c r="H2527" s="29">
        <v>90</v>
      </c>
      <c r="I2527" s="27" t="s">
        <v>29</v>
      </c>
      <c r="J2527" s="37">
        <v>45534</v>
      </c>
      <c r="K2527" s="27" t="s">
        <v>22</v>
      </c>
    </row>
    <row r="2528" spans="1:11" x14ac:dyDescent="0.2">
      <c r="A2528" s="24" t="s">
        <v>6302</v>
      </c>
      <c r="B2528" s="24" t="s">
        <v>6303</v>
      </c>
      <c r="C2528" s="24" t="s">
        <v>2048</v>
      </c>
      <c r="D2528" s="24" t="s">
        <v>17</v>
      </c>
      <c r="E2528" s="24" t="s">
        <v>18</v>
      </c>
      <c r="F2528" s="24" t="s">
        <v>19</v>
      </c>
      <c r="G2528" s="24" t="s">
        <v>28</v>
      </c>
      <c r="H2528" s="26">
        <v>70</v>
      </c>
      <c r="I2528" s="24" t="s">
        <v>29</v>
      </c>
      <c r="J2528" s="36">
        <v>45521</v>
      </c>
      <c r="K2528" s="24" t="s">
        <v>22</v>
      </c>
    </row>
    <row r="2529" spans="1:11" x14ac:dyDescent="0.2">
      <c r="A2529" s="27" t="s">
        <v>6304</v>
      </c>
      <c r="B2529" s="27" t="s">
        <v>6305</v>
      </c>
      <c r="C2529" s="27" t="s">
        <v>146</v>
      </c>
      <c r="D2529" s="27" t="s">
        <v>17</v>
      </c>
      <c r="E2529" s="27" t="s">
        <v>42</v>
      </c>
      <c r="F2529" s="27" t="s">
        <v>43</v>
      </c>
      <c r="G2529" s="27" t="s">
        <v>20</v>
      </c>
      <c r="H2529" s="29">
        <v>2621</v>
      </c>
      <c r="I2529" s="27" t="s">
        <v>21</v>
      </c>
      <c r="J2529" s="37">
        <v>45509</v>
      </c>
      <c r="K2529" s="27" t="s">
        <v>22</v>
      </c>
    </row>
    <row r="2530" spans="1:11" x14ac:dyDescent="0.2">
      <c r="A2530" s="24" t="s">
        <v>6306</v>
      </c>
      <c r="B2530" s="24" t="s">
        <v>6307</v>
      </c>
      <c r="C2530" s="24" t="s">
        <v>6308</v>
      </c>
      <c r="D2530" s="24" t="s">
        <v>17</v>
      </c>
      <c r="E2530" s="24" t="s">
        <v>48</v>
      </c>
      <c r="F2530" s="24" t="s">
        <v>49</v>
      </c>
      <c r="G2530" s="24" t="s">
        <v>28</v>
      </c>
      <c r="H2530" s="26">
        <v>120</v>
      </c>
      <c r="I2530" s="24" t="s">
        <v>29</v>
      </c>
      <c r="J2530" s="36">
        <v>45526</v>
      </c>
      <c r="K2530" s="24" t="s">
        <v>22</v>
      </c>
    </row>
    <row r="2531" spans="1:11" x14ac:dyDescent="0.2">
      <c r="A2531" s="27" t="s">
        <v>6309</v>
      </c>
      <c r="B2531" s="27" t="s">
        <v>6310</v>
      </c>
      <c r="C2531" s="27" t="s">
        <v>71</v>
      </c>
      <c r="D2531" s="27" t="s">
        <v>17</v>
      </c>
      <c r="E2531" s="27" t="s">
        <v>18</v>
      </c>
      <c r="F2531" s="27" t="s">
        <v>19</v>
      </c>
      <c r="G2531" s="27" t="s">
        <v>20</v>
      </c>
      <c r="H2531" s="29">
        <v>198</v>
      </c>
      <c r="I2531" s="27" t="s">
        <v>21</v>
      </c>
      <c r="J2531" s="37">
        <v>45535</v>
      </c>
      <c r="K2531" s="27" t="s">
        <v>22</v>
      </c>
    </row>
    <row r="2532" spans="1:11" x14ac:dyDescent="0.2">
      <c r="A2532" s="24" t="s">
        <v>6311</v>
      </c>
      <c r="B2532" s="24" t="s">
        <v>6312</v>
      </c>
      <c r="C2532" s="24" t="s">
        <v>2048</v>
      </c>
      <c r="D2532" s="24" t="s">
        <v>17</v>
      </c>
      <c r="E2532" s="24" t="s">
        <v>48</v>
      </c>
      <c r="F2532" s="24" t="s">
        <v>49</v>
      </c>
      <c r="G2532" s="24" t="s">
        <v>28</v>
      </c>
      <c r="H2532" s="26">
        <v>135</v>
      </c>
      <c r="I2532" s="24" t="s">
        <v>29</v>
      </c>
      <c r="J2532" s="36">
        <v>45508</v>
      </c>
      <c r="K2532" s="24" t="s">
        <v>22</v>
      </c>
    </row>
    <row r="2533" spans="1:11" x14ac:dyDescent="0.2">
      <c r="A2533" s="27" t="s">
        <v>6313</v>
      </c>
      <c r="B2533" s="27" t="s">
        <v>6314</v>
      </c>
      <c r="C2533" s="27" t="s">
        <v>325</v>
      </c>
      <c r="D2533" s="27" t="s">
        <v>17</v>
      </c>
      <c r="E2533" s="27" t="s">
        <v>18</v>
      </c>
      <c r="F2533" s="27" t="s">
        <v>19</v>
      </c>
      <c r="G2533" s="27" t="s">
        <v>20</v>
      </c>
      <c r="H2533" s="29">
        <v>75</v>
      </c>
      <c r="I2533" s="27" t="s">
        <v>21</v>
      </c>
      <c r="J2533" s="37">
        <v>45511</v>
      </c>
      <c r="K2533" s="27" t="s">
        <v>22</v>
      </c>
    </row>
    <row r="2534" spans="1:11" x14ac:dyDescent="0.2">
      <c r="A2534" s="24" t="s">
        <v>6315</v>
      </c>
      <c r="B2534" s="24" t="s">
        <v>6316</v>
      </c>
      <c r="C2534" s="24" t="s">
        <v>3113</v>
      </c>
      <c r="D2534" s="24" t="s">
        <v>17</v>
      </c>
      <c r="E2534" s="24" t="s">
        <v>42</v>
      </c>
      <c r="F2534" s="24" t="s">
        <v>43</v>
      </c>
      <c r="G2534" s="24" t="s">
        <v>20</v>
      </c>
      <c r="H2534" s="26">
        <v>569</v>
      </c>
      <c r="I2534" s="24" t="s">
        <v>21</v>
      </c>
      <c r="J2534" s="36">
        <v>45519</v>
      </c>
      <c r="K2534" s="24" t="s">
        <v>22</v>
      </c>
    </row>
    <row r="2535" spans="1:11" x14ac:dyDescent="0.2">
      <c r="A2535" s="27" t="s">
        <v>6317</v>
      </c>
      <c r="B2535" s="27" t="s">
        <v>6318</v>
      </c>
      <c r="C2535" s="27" t="s">
        <v>4888</v>
      </c>
      <c r="D2535" s="27" t="s">
        <v>17</v>
      </c>
      <c r="E2535" s="27" t="s">
        <v>48</v>
      </c>
      <c r="F2535" s="27" t="s">
        <v>49</v>
      </c>
      <c r="G2535" s="27" t="s">
        <v>20</v>
      </c>
      <c r="H2535" s="29">
        <v>64</v>
      </c>
      <c r="I2535" s="27" t="s">
        <v>21</v>
      </c>
      <c r="J2535" s="37">
        <v>45512</v>
      </c>
      <c r="K2535" s="27" t="s">
        <v>22</v>
      </c>
    </row>
    <row r="2536" spans="1:11" x14ac:dyDescent="0.2">
      <c r="A2536" s="24" t="s">
        <v>6319</v>
      </c>
      <c r="B2536" s="24" t="s">
        <v>6320</v>
      </c>
      <c r="C2536" s="24" t="s">
        <v>5493</v>
      </c>
      <c r="D2536" s="24" t="s">
        <v>17</v>
      </c>
      <c r="E2536" s="24" t="s">
        <v>18</v>
      </c>
      <c r="F2536" s="24" t="s">
        <v>19</v>
      </c>
      <c r="G2536" s="24" t="s">
        <v>44</v>
      </c>
      <c r="H2536" s="26">
        <v>72</v>
      </c>
      <c r="I2536" s="24" t="s">
        <v>29</v>
      </c>
      <c r="J2536" s="36">
        <v>45507</v>
      </c>
      <c r="K2536" s="24" t="s">
        <v>22</v>
      </c>
    </row>
    <row r="2537" spans="1:11" x14ac:dyDescent="0.2">
      <c r="A2537" s="27" t="s">
        <v>6321</v>
      </c>
      <c r="B2537" s="27" t="s">
        <v>6322</v>
      </c>
      <c r="C2537" s="27" t="s">
        <v>1796</v>
      </c>
      <c r="D2537" s="27" t="s">
        <v>17</v>
      </c>
      <c r="E2537" s="27" t="s">
        <v>48</v>
      </c>
      <c r="F2537" s="27" t="s">
        <v>49</v>
      </c>
      <c r="G2537" s="27" t="s">
        <v>217</v>
      </c>
      <c r="H2537" s="29">
        <v>60</v>
      </c>
      <c r="I2537" s="27" t="s">
        <v>29</v>
      </c>
      <c r="J2537" s="37">
        <v>45514</v>
      </c>
      <c r="K2537" s="27" t="s">
        <v>22</v>
      </c>
    </row>
    <row r="2538" spans="1:11" x14ac:dyDescent="0.2">
      <c r="A2538" s="24" t="s">
        <v>6323</v>
      </c>
      <c r="B2538" s="24" t="s">
        <v>6324</v>
      </c>
      <c r="C2538" s="24" t="s">
        <v>213</v>
      </c>
      <c r="D2538" s="24" t="s">
        <v>17</v>
      </c>
      <c r="E2538" s="24" t="s">
        <v>18</v>
      </c>
      <c r="F2538" s="24" t="s">
        <v>19</v>
      </c>
      <c r="G2538" s="24" t="s">
        <v>20</v>
      </c>
      <c r="H2538" s="26">
        <v>82</v>
      </c>
      <c r="I2538" s="24" t="s">
        <v>21</v>
      </c>
      <c r="J2538" s="36">
        <v>45532</v>
      </c>
      <c r="K2538" s="24" t="s">
        <v>22</v>
      </c>
    </row>
    <row r="2539" spans="1:11" x14ac:dyDescent="0.2">
      <c r="A2539" s="27" t="s">
        <v>6325</v>
      </c>
      <c r="B2539" s="27" t="s">
        <v>6326</v>
      </c>
      <c r="C2539" s="27" t="s">
        <v>5689</v>
      </c>
      <c r="D2539" s="27" t="s">
        <v>17</v>
      </c>
      <c r="E2539" s="27" t="s">
        <v>42</v>
      </c>
      <c r="F2539" s="27" t="s">
        <v>43</v>
      </c>
      <c r="G2539" s="27" t="s">
        <v>217</v>
      </c>
      <c r="H2539" s="29">
        <v>428</v>
      </c>
      <c r="I2539" s="27" t="s">
        <v>29</v>
      </c>
      <c r="J2539" s="37">
        <v>45505</v>
      </c>
      <c r="K2539" s="27" t="s">
        <v>22</v>
      </c>
    </row>
    <row r="2540" spans="1:11" x14ac:dyDescent="0.2">
      <c r="A2540" s="24" t="s">
        <v>6327</v>
      </c>
      <c r="B2540" s="24" t="s">
        <v>6328</v>
      </c>
      <c r="C2540" s="24" t="s">
        <v>6329</v>
      </c>
      <c r="D2540" s="24" t="s">
        <v>17</v>
      </c>
      <c r="E2540" s="24" t="s">
        <v>48</v>
      </c>
      <c r="F2540" s="24" t="s">
        <v>49</v>
      </c>
      <c r="G2540" s="24" t="s">
        <v>20</v>
      </c>
      <c r="H2540" s="26">
        <v>18</v>
      </c>
      <c r="I2540" s="24" t="s">
        <v>21</v>
      </c>
      <c r="J2540" s="36">
        <v>45519</v>
      </c>
      <c r="K2540" s="24" t="s">
        <v>22</v>
      </c>
    </row>
    <row r="2541" spans="1:11" x14ac:dyDescent="0.2">
      <c r="A2541" s="27" t="s">
        <v>6330</v>
      </c>
      <c r="B2541" s="27" t="s">
        <v>6331</v>
      </c>
      <c r="C2541" s="27" t="s">
        <v>5617</v>
      </c>
      <c r="D2541" s="27" t="s">
        <v>17</v>
      </c>
      <c r="E2541" s="27" t="s">
        <v>18</v>
      </c>
      <c r="F2541" s="27" t="s">
        <v>19</v>
      </c>
      <c r="G2541" s="27" t="s">
        <v>20</v>
      </c>
      <c r="H2541" s="29">
        <v>72</v>
      </c>
      <c r="I2541" s="27" t="s">
        <v>21</v>
      </c>
      <c r="J2541" s="37">
        <v>45530</v>
      </c>
      <c r="K2541" s="27" t="s">
        <v>22</v>
      </c>
    </row>
    <row r="2542" spans="1:11" x14ac:dyDescent="0.2">
      <c r="A2542" s="24" t="s">
        <v>6332</v>
      </c>
      <c r="B2542" s="24" t="s">
        <v>6333</v>
      </c>
      <c r="C2542" s="24" t="s">
        <v>4253</v>
      </c>
      <c r="D2542" s="24" t="s">
        <v>17</v>
      </c>
      <c r="E2542" s="24" t="s">
        <v>18</v>
      </c>
      <c r="F2542" s="24" t="s">
        <v>19</v>
      </c>
      <c r="G2542" s="24" t="s">
        <v>28</v>
      </c>
      <c r="H2542" s="26">
        <v>10</v>
      </c>
      <c r="I2542" s="24" t="s">
        <v>29</v>
      </c>
      <c r="J2542" s="36">
        <v>45527</v>
      </c>
      <c r="K2542" s="24" t="s">
        <v>22</v>
      </c>
    </row>
    <row r="2543" spans="1:11" x14ac:dyDescent="0.2">
      <c r="A2543" s="27" t="s">
        <v>6334</v>
      </c>
      <c r="B2543" s="27" t="s">
        <v>6335</v>
      </c>
      <c r="C2543" s="27" t="s">
        <v>251</v>
      </c>
      <c r="D2543" s="27" t="s">
        <v>17</v>
      </c>
      <c r="E2543" s="27" t="s">
        <v>48</v>
      </c>
      <c r="F2543" s="27" t="s">
        <v>49</v>
      </c>
      <c r="G2543" s="27" t="s">
        <v>44</v>
      </c>
      <c r="H2543" s="29">
        <v>84</v>
      </c>
      <c r="I2543" s="27" t="s">
        <v>21</v>
      </c>
      <c r="J2543" s="37">
        <v>45509</v>
      </c>
      <c r="K2543" s="27" t="s">
        <v>22</v>
      </c>
    </row>
    <row r="2544" spans="1:11" x14ac:dyDescent="0.2">
      <c r="A2544" s="24" t="s">
        <v>6336</v>
      </c>
      <c r="B2544" s="24" t="s">
        <v>6337</v>
      </c>
      <c r="C2544" s="24" t="s">
        <v>2331</v>
      </c>
      <c r="D2544" s="24" t="s">
        <v>17</v>
      </c>
      <c r="E2544" s="24" t="s">
        <v>48</v>
      </c>
      <c r="F2544" s="24" t="s">
        <v>49</v>
      </c>
      <c r="G2544" s="24" t="s">
        <v>44</v>
      </c>
      <c r="H2544" s="26">
        <v>83</v>
      </c>
      <c r="I2544" s="24" t="s">
        <v>21</v>
      </c>
      <c r="J2544" s="36">
        <v>45530</v>
      </c>
      <c r="K2544" s="24" t="s">
        <v>22</v>
      </c>
    </row>
    <row r="2545" spans="1:11" x14ac:dyDescent="0.2">
      <c r="A2545" s="27" t="s">
        <v>6338</v>
      </c>
      <c r="B2545" s="27" t="s">
        <v>6339</v>
      </c>
      <c r="C2545" s="27" t="s">
        <v>687</v>
      </c>
      <c r="D2545" s="27" t="s">
        <v>17</v>
      </c>
      <c r="E2545" s="27" t="s">
        <v>18</v>
      </c>
      <c r="F2545" s="27" t="s">
        <v>19</v>
      </c>
      <c r="G2545" s="27" t="s">
        <v>20</v>
      </c>
      <c r="H2545" s="29">
        <v>82</v>
      </c>
      <c r="I2545" s="27" t="s">
        <v>21</v>
      </c>
      <c r="J2545" s="37">
        <v>45511</v>
      </c>
      <c r="K2545" s="27" t="s">
        <v>22</v>
      </c>
    </row>
    <row r="2546" spans="1:11" x14ac:dyDescent="0.2">
      <c r="A2546" s="24" t="s">
        <v>6340</v>
      </c>
      <c r="B2546" s="24" t="s">
        <v>6341</v>
      </c>
      <c r="C2546" s="24" t="s">
        <v>1147</v>
      </c>
      <c r="D2546" s="24" t="s">
        <v>17</v>
      </c>
      <c r="E2546" s="24" t="s">
        <v>18</v>
      </c>
      <c r="F2546" s="24" t="s">
        <v>19</v>
      </c>
      <c r="G2546" s="24" t="s">
        <v>217</v>
      </c>
      <c r="H2546" s="26">
        <v>144</v>
      </c>
      <c r="I2546" s="24" t="s">
        <v>29</v>
      </c>
      <c r="J2546" s="36">
        <v>45509</v>
      </c>
      <c r="K2546" s="24" t="s">
        <v>22</v>
      </c>
    </row>
    <row r="2547" spans="1:11" x14ac:dyDescent="0.2">
      <c r="A2547" s="27" t="s">
        <v>6342</v>
      </c>
      <c r="B2547" s="27" t="s">
        <v>6343</v>
      </c>
      <c r="C2547" s="27" t="s">
        <v>6344</v>
      </c>
      <c r="D2547" s="27" t="s">
        <v>17</v>
      </c>
      <c r="E2547" s="27" t="s">
        <v>48</v>
      </c>
      <c r="F2547" s="27" t="s">
        <v>49</v>
      </c>
      <c r="G2547" s="27" t="s">
        <v>28</v>
      </c>
      <c r="H2547" s="29">
        <v>50</v>
      </c>
      <c r="I2547" s="27" t="s">
        <v>29</v>
      </c>
      <c r="J2547" s="37">
        <v>45505</v>
      </c>
      <c r="K2547" s="27" t="s">
        <v>22</v>
      </c>
    </row>
    <row r="2548" spans="1:11" x14ac:dyDescent="0.2">
      <c r="A2548" s="24" t="s">
        <v>6345</v>
      </c>
      <c r="B2548" s="24" t="s">
        <v>6346</v>
      </c>
      <c r="C2548" s="24" t="s">
        <v>3153</v>
      </c>
      <c r="D2548" s="24" t="s">
        <v>17</v>
      </c>
      <c r="E2548" s="24" t="s">
        <v>18</v>
      </c>
      <c r="F2548" s="24" t="s">
        <v>19</v>
      </c>
      <c r="G2548" s="24" t="s">
        <v>20</v>
      </c>
      <c r="H2548" s="26">
        <v>48</v>
      </c>
      <c r="I2548" s="24" t="s">
        <v>21</v>
      </c>
      <c r="J2548" s="36">
        <v>45534</v>
      </c>
      <c r="K2548" s="24" t="s">
        <v>22</v>
      </c>
    </row>
    <row r="2549" spans="1:11" x14ac:dyDescent="0.2">
      <c r="A2549" s="27" t="s">
        <v>6347</v>
      </c>
      <c r="B2549" s="27" t="s">
        <v>6348</v>
      </c>
      <c r="C2549" s="27" t="s">
        <v>5385</v>
      </c>
      <c r="D2549" s="27" t="s">
        <v>17</v>
      </c>
      <c r="E2549" s="27" t="s">
        <v>48</v>
      </c>
      <c r="F2549" s="27" t="s">
        <v>49</v>
      </c>
      <c r="G2549" s="27" t="s">
        <v>20</v>
      </c>
      <c r="H2549" s="29">
        <v>5</v>
      </c>
      <c r="I2549" s="27" t="s">
        <v>21</v>
      </c>
      <c r="J2549" s="37">
        <v>45505</v>
      </c>
      <c r="K2549" s="27" t="s">
        <v>22</v>
      </c>
    </row>
    <row r="2550" spans="1:11" x14ac:dyDescent="0.2">
      <c r="A2550" s="24" t="s">
        <v>6349</v>
      </c>
      <c r="B2550" s="24" t="s">
        <v>6350</v>
      </c>
      <c r="C2550" s="24" t="s">
        <v>97</v>
      </c>
      <c r="D2550" s="24" t="s">
        <v>17</v>
      </c>
      <c r="E2550" s="24" t="s">
        <v>48</v>
      </c>
      <c r="F2550" s="24" t="s">
        <v>49</v>
      </c>
      <c r="G2550" s="24" t="s">
        <v>28</v>
      </c>
      <c r="H2550" s="26">
        <v>180</v>
      </c>
      <c r="I2550" s="24" t="s">
        <v>29</v>
      </c>
      <c r="J2550" s="36">
        <v>45531</v>
      </c>
      <c r="K2550" s="24" t="s">
        <v>22</v>
      </c>
    </row>
    <row r="2551" spans="1:11" x14ac:dyDescent="0.2">
      <c r="A2551" s="27" t="s">
        <v>6351</v>
      </c>
      <c r="B2551" s="27" t="s">
        <v>6352</v>
      </c>
      <c r="C2551" s="27" t="s">
        <v>1523</v>
      </c>
      <c r="D2551" s="27" t="s">
        <v>17</v>
      </c>
      <c r="E2551" s="27" t="s">
        <v>42</v>
      </c>
      <c r="F2551" s="27" t="s">
        <v>43</v>
      </c>
      <c r="G2551" s="27" t="s">
        <v>44</v>
      </c>
      <c r="H2551" s="29">
        <v>180</v>
      </c>
      <c r="I2551" s="27" t="s">
        <v>29</v>
      </c>
      <c r="J2551" s="37">
        <v>45506</v>
      </c>
      <c r="K2551" s="27" t="s">
        <v>22</v>
      </c>
    </row>
    <row r="2552" spans="1:11" x14ac:dyDescent="0.2">
      <c r="A2552" s="24" t="s">
        <v>6353</v>
      </c>
      <c r="B2552" s="24" t="s">
        <v>6354</v>
      </c>
      <c r="C2552" s="24" t="s">
        <v>6355</v>
      </c>
      <c r="D2552" s="24" t="s">
        <v>17</v>
      </c>
      <c r="E2552" s="24" t="s">
        <v>26</v>
      </c>
      <c r="F2552" s="24" t="s">
        <v>27</v>
      </c>
      <c r="G2552" s="24" t="s">
        <v>28</v>
      </c>
      <c r="H2552" s="26">
        <v>51</v>
      </c>
      <c r="I2552" s="24" t="s">
        <v>29</v>
      </c>
      <c r="J2552" s="36">
        <v>45524</v>
      </c>
      <c r="K2552" s="24" t="s">
        <v>22</v>
      </c>
    </row>
    <row r="2553" spans="1:11" x14ac:dyDescent="0.2">
      <c r="A2553" s="27" t="s">
        <v>6356</v>
      </c>
      <c r="B2553" s="27" t="s">
        <v>6357</v>
      </c>
      <c r="C2553" s="27" t="s">
        <v>1931</v>
      </c>
      <c r="D2553" s="27" t="s">
        <v>17</v>
      </c>
      <c r="E2553" s="27" t="s">
        <v>18</v>
      </c>
      <c r="F2553" s="27" t="s">
        <v>19</v>
      </c>
      <c r="G2553" s="27" t="s">
        <v>20</v>
      </c>
      <c r="H2553" s="29">
        <v>30</v>
      </c>
      <c r="I2553" s="27" t="s">
        <v>21</v>
      </c>
      <c r="J2553" s="37">
        <v>45523</v>
      </c>
      <c r="K2553" s="27" t="s">
        <v>22</v>
      </c>
    </row>
    <row r="2554" spans="1:11" x14ac:dyDescent="0.2">
      <c r="A2554" s="24" t="s">
        <v>6358</v>
      </c>
      <c r="B2554" s="24" t="s">
        <v>6359</v>
      </c>
      <c r="C2554" s="24" t="s">
        <v>6360</v>
      </c>
      <c r="D2554" s="24" t="s">
        <v>17</v>
      </c>
      <c r="E2554" s="24" t="s">
        <v>18</v>
      </c>
      <c r="F2554" s="24" t="s">
        <v>19</v>
      </c>
      <c r="G2554" s="24" t="s">
        <v>20</v>
      </c>
      <c r="H2554" s="26">
        <v>32</v>
      </c>
      <c r="I2554" s="24" t="s">
        <v>21</v>
      </c>
      <c r="J2554" s="36">
        <v>45534</v>
      </c>
      <c r="K2554" s="24" t="s">
        <v>22</v>
      </c>
    </row>
    <row r="2555" spans="1:11" x14ac:dyDescent="0.2">
      <c r="A2555" s="27" t="s">
        <v>6361</v>
      </c>
      <c r="B2555" s="27" t="s">
        <v>6362</v>
      </c>
      <c r="C2555" s="27" t="s">
        <v>6363</v>
      </c>
      <c r="D2555" s="27" t="s">
        <v>17</v>
      </c>
      <c r="E2555" s="27" t="s">
        <v>48</v>
      </c>
      <c r="F2555" s="27" t="s">
        <v>49</v>
      </c>
      <c r="G2555" s="27" t="s">
        <v>20</v>
      </c>
      <c r="H2555" s="29">
        <v>469</v>
      </c>
      <c r="I2555" s="27" t="s">
        <v>21</v>
      </c>
      <c r="J2555" s="37">
        <v>45520</v>
      </c>
      <c r="K2555" s="27" t="s">
        <v>22</v>
      </c>
    </row>
    <row r="2556" spans="1:11" x14ac:dyDescent="0.2">
      <c r="A2556" s="24" t="s">
        <v>6364</v>
      </c>
      <c r="B2556" s="24" t="s">
        <v>6365</v>
      </c>
      <c r="C2556" s="24" t="s">
        <v>6366</v>
      </c>
      <c r="D2556" s="24" t="s">
        <v>17</v>
      </c>
      <c r="E2556" s="24" t="s">
        <v>42</v>
      </c>
      <c r="F2556" s="24" t="s">
        <v>43</v>
      </c>
      <c r="G2556" s="24" t="s">
        <v>28</v>
      </c>
      <c r="H2556" s="26">
        <v>392</v>
      </c>
      <c r="I2556" s="24" t="s">
        <v>29</v>
      </c>
      <c r="J2556" s="36">
        <v>45511</v>
      </c>
      <c r="K2556" s="24" t="s">
        <v>22</v>
      </c>
    </row>
    <row r="2557" spans="1:11" x14ac:dyDescent="0.2">
      <c r="A2557" s="27" t="s">
        <v>6367</v>
      </c>
      <c r="B2557" s="27" t="s">
        <v>6368</v>
      </c>
      <c r="C2557" s="27" t="s">
        <v>6369</v>
      </c>
      <c r="D2557" s="27" t="s">
        <v>17</v>
      </c>
      <c r="E2557" s="27" t="s">
        <v>48</v>
      </c>
      <c r="F2557" s="27" t="s">
        <v>49</v>
      </c>
      <c r="G2557" s="27" t="s">
        <v>116</v>
      </c>
      <c r="H2557" s="29">
        <v>0</v>
      </c>
      <c r="I2557" s="27" t="s">
        <v>21</v>
      </c>
      <c r="J2557" s="37">
        <v>45519</v>
      </c>
      <c r="K2557" s="27" t="s">
        <v>22</v>
      </c>
    </row>
    <row r="2558" spans="1:11" x14ac:dyDescent="0.2">
      <c r="A2558" s="24" t="s">
        <v>6370</v>
      </c>
      <c r="B2558" s="24" t="s">
        <v>6371</v>
      </c>
      <c r="C2558" s="24" t="s">
        <v>3595</v>
      </c>
      <c r="D2558" s="24" t="s">
        <v>17</v>
      </c>
      <c r="E2558" s="24" t="s">
        <v>42</v>
      </c>
      <c r="F2558" s="24" t="s">
        <v>43</v>
      </c>
      <c r="G2558" s="24" t="s">
        <v>44</v>
      </c>
      <c r="H2558" s="26">
        <v>675</v>
      </c>
      <c r="I2558" s="24" t="s">
        <v>29</v>
      </c>
      <c r="J2558" s="36">
        <v>45527</v>
      </c>
      <c r="K2558" s="24" t="s">
        <v>22</v>
      </c>
    </row>
    <row r="2559" spans="1:11" x14ac:dyDescent="0.2">
      <c r="A2559" s="27" t="s">
        <v>6372</v>
      </c>
      <c r="B2559" s="27" t="s">
        <v>6373</v>
      </c>
      <c r="C2559" s="27" t="s">
        <v>1663</v>
      </c>
      <c r="D2559" s="27" t="s">
        <v>17</v>
      </c>
      <c r="E2559" s="27" t="s">
        <v>48</v>
      </c>
      <c r="F2559" s="27" t="s">
        <v>49</v>
      </c>
      <c r="G2559" s="27" t="s">
        <v>28</v>
      </c>
      <c r="H2559" s="29">
        <v>117</v>
      </c>
      <c r="I2559" s="27" t="s">
        <v>29</v>
      </c>
      <c r="J2559" s="37">
        <v>45509</v>
      </c>
      <c r="K2559" s="27" t="s">
        <v>22</v>
      </c>
    </row>
    <row r="2560" spans="1:11" x14ac:dyDescent="0.2">
      <c r="A2560" s="24" t="s">
        <v>6374</v>
      </c>
      <c r="B2560" s="24" t="s">
        <v>6375</v>
      </c>
      <c r="C2560" s="24" t="s">
        <v>708</v>
      </c>
      <c r="D2560" s="24" t="s">
        <v>17</v>
      </c>
      <c r="E2560" s="24" t="s">
        <v>26</v>
      </c>
      <c r="F2560" s="24" t="s">
        <v>27</v>
      </c>
      <c r="G2560" s="24" t="s">
        <v>28</v>
      </c>
      <c r="H2560" s="26">
        <v>220</v>
      </c>
      <c r="I2560" s="24" t="s">
        <v>29</v>
      </c>
      <c r="J2560" s="36">
        <v>45511</v>
      </c>
      <c r="K2560" s="24" t="s">
        <v>22</v>
      </c>
    </row>
    <row r="2561" spans="1:11" x14ac:dyDescent="0.2">
      <c r="A2561" s="27" t="s">
        <v>6376</v>
      </c>
      <c r="B2561" s="27" t="s">
        <v>6377</v>
      </c>
      <c r="C2561" s="27" t="s">
        <v>726</v>
      </c>
      <c r="D2561" s="27" t="s">
        <v>17</v>
      </c>
      <c r="E2561" s="27" t="s">
        <v>18</v>
      </c>
      <c r="F2561" s="27" t="s">
        <v>19</v>
      </c>
      <c r="G2561" s="27" t="s">
        <v>28</v>
      </c>
      <c r="H2561" s="29">
        <v>6</v>
      </c>
      <c r="I2561" s="27" t="s">
        <v>29</v>
      </c>
      <c r="J2561" s="37">
        <v>45505</v>
      </c>
      <c r="K2561" s="27" t="s">
        <v>22</v>
      </c>
    </row>
    <row r="2562" spans="1:11" x14ac:dyDescent="0.2">
      <c r="A2562" s="24" t="s">
        <v>6378</v>
      </c>
      <c r="B2562" s="24" t="s">
        <v>6379</v>
      </c>
      <c r="C2562" s="24" t="s">
        <v>106</v>
      </c>
      <c r="D2562" s="24" t="s">
        <v>17</v>
      </c>
      <c r="E2562" s="24" t="s">
        <v>18</v>
      </c>
      <c r="F2562" s="24" t="s">
        <v>19</v>
      </c>
      <c r="G2562" s="24" t="s">
        <v>20</v>
      </c>
      <c r="H2562" s="26">
        <v>8</v>
      </c>
      <c r="I2562" s="24" t="s">
        <v>21</v>
      </c>
      <c r="J2562" s="36">
        <v>45530</v>
      </c>
      <c r="K2562" s="24" t="s">
        <v>22</v>
      </c>
    </row>
    <row r="2563" spans="1:11" x14ac:dyDescent="0.2">
      <c r="A2563" s="27" t="s">
        <v>6380</v>
      </c>
      <c r="B2563" s="27" t="s">
        <v>6381</v>
      </c>
      <c r="C2563" s="27" t="s">
        <v>2222</v>
      </c>
      <c r="D2563" s="27" t="s">
        <v>17</v>
      </c>
      <c r="E2563" s="27" t="s">
        <v>42</v>
      </c>
      <c r="F2563" s="27" t="s">
        <v>43</v>
      </c>
      <c r="G2563" s="27" t="s">
        <v>28</v>
      </c>
      <c r="H2563" s="29">
        <v>450</v>
      </c>
      <c r="I2563" s="27" t="s">
        <v>29</v>
      </c>
      <c r="J2563" s="37">
        <v>45527</v>
      </c>
      <c r="K2563" s="27" t="s">
        <v>22</v>
      </c>
    </row>
    <row r="2564" spans="1:11" x14ac:dyDescent="0.2">
      <c r="A2564" s="24" t="s">
        <v>6382</v>
      </c>
      <c r="B2564" s="24" t="s">
        <v>6383</v>
      </c>
      <c r="C2564" s="24" t="s">
        <v>5786</v>
      </c>
      <c r="D2564" s="24" t="s">
        <v>17</v>
      </c>
      <c r="E2564" s="24" t="s">
        <v>42</v>
      </c>
      <c r="F2564" s="24" t="s">
        <v>43</v>
      </c>
      <c r="G2564" s="24" t="s">
        <v>217</v>
      </c>
      <c r="H2564" s="26">
        <v>280</v>
      </c>
      <c r="I2564" s="24" t="s">
        <v>29</v>
      </c>
      <c r="J2564" s="36">
        <v>45505</v>
      </c>
      <c r="K2564" s="24" t="s">
        <v>22</v>
      </c>
    </row>
    <row r="2565" spans="1:11" x14ac:dyDescent="0.2">
      <c r="A2565" s="27" t="s">
        <v>6384</v>
      </c>
      <c r="B2565" s="27" t="s">
        <v>6385</v>
      </c>
      <c r="C2565" s="27" t="s">
        <v>109</v>
      </c>
      <c r="D2565" s="27" t="s">
        <v>17</v>
      </c>
      <c r="E2565" s="27" t="s">
        <v>42</v>
      </c>
      <c r="F2565" s="27" t="s">
        <v>43</v>
      </c>
      <c r="G2565" s="27" t="s">
        <v>28</v>
      </c>
      <c r="H2565" s="29">
        <v>360</v>
      </c>
      <c r="I2565" s="27" t="s">
        <v>29</v>
      </c>
      <c r="J2565" s="37">
        <v>45517</v>
      </c>
      <c r="K2565" s="27" t="s">
        <v>22</v>
      </c>
    </row>
    <row r="2566" spans="1:11" x14ac:dyDescent="0.2">
      <c r="A2566" s="24" t="s">
        <v>6386</v>
      </c>
      <c r="B2566" s="24" t="s">
        <v>6387</v>
      </c>
      <c r="C2566" s="24" t="s">
        <v>5883</v>
      </c>
      <c r="D2566" s="24" t="s">
        <v>17</v>
      </c>
      <c r="E2566" s="24" t="s">
        <v>33</v>
      </c>
      <c r="F2566" s="24" t="s">
        <v>34</v>
      </c>
      <c r="G2566" s="24" t="s">
        <v>28</v>
      </c>
      <c r="H2566" s="26">
        <v>120</v>
      </c>
      <c r="I2566" s="24" t="s">
        <v>29</v>
      </c>
      <c r="J2566" s="36">
        <v>45520</v>
      </c>
      <c r="K2566" s="24" t="s">
        <v>22</v>
      </c>
    </row>
    <row r="2567" spans="1:11" x14ac:dyDescent="0.2">
      <c r="A2567" s="27" t="s">
        <v>6388</v>
      </c>
      <c r="B2567" s="27" t="s">
        <v>6389</v>
      </c>
      <c r="C2567" s="27" t="s">
        <v>6390</v>
      </c>
      <c r="D2567" s="27" t="s">
        <v>17</v>
      </c>
      <c r="E2567" s="27" t="s">
        <v>48</v>
      </c>
      <c r="F2567" s="27" t="s">
        <v>49</v>
      </c>
      <c r="G2567" s="27" t="s">
        <v>28</v>
      </c>
      <c r="H2567" s="29">
        <v>60</v>
      </c>
      <c r="I2567" s="27" t="s">
        <v>29</v>
      </c>
      <c r="J2567" s="37">
        <v>45510</v>
      </c>
      <c r="K2567" s="27" t="s">
        <v>22</v>
      </c>
    </row>
    <row r="2568" spans="1:11" x14ac:dyDescent="0.2">
      <c r="A2568" s="24" t="s">
        <v>6391</v>
      </c>
      <c r="B2568" s="24" t="s">
        <v>6392</v>
      </c>
      <c r="C2568" s="24" t="s">
        <v>6393</v>
      </c>
      <c r="D2568" s="24" t="s">
        <v>17</v>
      </c>
      <c r="E2568" s="24" t="s">
        <v>81</v>
      </c>
      <c r="F2568" s="24" t="s">
        <v>82</v>
      </c>
      <c r="G2568" s="24" t="s">
        <v>28</v>
      </c>
      <c r="H2568" s="26">
        <v>24000</v>
      </c>
      <c r="I2568" s="24" t="s">
        <v>29</v>
      </c>
      <c r="J2568" s="36">
        <v>45526</v>
      </c>
      <c r="K2568" s="24" t="s">
        <v>22</v>
      </c>
    </row>
    <row r="2569" spans="1:11" x14ac:dyDescent="0.2">
      <c r="A2569" s="27" t="s">
        <v>6394</v>
      </c>
      <c r="B2569" s="27" t="s">
        <v>6395</v>
      </c>
      <c r="C2569" s="27" t="s">
        <v>551</v>
      </c>
      <c r="D2569" s="27" t="s">
        <v>17</v>
      </c>
      <c r="E2569" s="27" t="s">
        <v>18</v>
      </c>
      <c r="F2569" s="27" t="s">
        <v>19</v>
      </c>
      <c r="G2569" s="27" t="s">
        <v>20</v>
      </c>
      <c r="H2569" s="29">
        <v>100</v>
      </c>
      <c r="I2569" s="27" t="s">
        <v>21</v>
      </c>
      <c r="J2569" s="37">
        <v>45517</v>
      </c>
      <c r="K2569" s="27" t="s">
        <v>22</v>
      </c>
    </row>
    <row r="2570" spans="1:11" x14ac:dyDescent="0.2">
      <c r="A2570" s="24" t="s">
        <v>6396</v>
      </c>
      <c r="B2570" s="24" t="s">
        <v>6397</v>
      </c>
      <c r="C2570" s="24" t="s">
        <v>251</v>
      </c>
      <c r="D2570" s="24" t="s">
        <v>17</v>
      </c>
      <c r="E2570" s="24" t="s">
        <v>42</v>
      </c>
      <c r="F2570" s="24" t="s">
        <v>43</v>
      </c>
      <c r="G2570" s="24" t="s">
        <v>28</v>
      </c>
      <c r="H2570" s="26">
        <v>50</v>
      </c>
      <c r="I2570" s="24" t="s">
        <v>29</v>
      </c>
      <c r="J2570" s="36">
        <v>45517</v>
      </c>
      <c r="K2570" s="24" t="s">
        <v>22</v>
      </c>
    </row>
    <row r="2571" spans="1:11" x14ac:dyDescent="0.2">
      <c r="A2571" s="27" t="s">
        <v>6398</v>
      </c>
      <c r="B2571" s="27" t="s">
        <v>6399</v>
      </c>
      <c r="C2571" s="27" t="s">
        <v>97</v>
      </c>
      <c r="D2571" s="27" t="s">
        <v>17</v>
      </c>
      <c r="E2571" s="27" t="s">
        <v>18</v>
      </c>
      <c r="F2571" s="27" t="s">
        <v>19</v>
      </c>
      <c r="G2571" s="27" t="s">
        <v>20</v>
      </c>
      <c r="H2571" s="29">
        <v>31</v>
      </c>
      <c r="I2571" s="27" t="s">
        <v>21</v>
      </c>
      <c r="J2571" s="37">
        <v>45519</v>
      </c>
      <c r="K2571" s="27" t="s">
        <v>22</v>
      </c>
    </row>
    <row r="2572" spans="1:11" x14ac:dyDescent="0.2">
      <c r="A2572" s="24" t="s">
        <v>6400</v>
      </c>
      <c r="B2572" s="24" t="s">
        <v>6401</v>
      </c>
      <c r="C2572" s="24" t="s">
        <v>55</v>
      </c>
      <c r="D2572" s="24" t="s">
        <v>17</v>
      </c>
      <c r="E2572" s="24" t="s">
        <v>26</v>
      </c>
      <c r="F2572" s="24" t="s">
        <v>27</v>
      </c>
      <c r="G2572" s="24" t="s">
        <v>28</v>
      </c>
      <c r="H2572" s="26">
        <v>210</v>
      </c>
      <c r="I2572" s="24" t="s">
        <v>29</v>
      </c>
      <c r="J2572" s="36">
        <v>45511</v>
      </c>
      <c r="K2572" s="24" t="s">
        <v>22</v>
      </c>
    </row>
    <row r="2573" spans="1:11" x14ac:dyDescent="0.2">
      <c r="A2573" s="27" t="s">
        <v>6402</v>
      </c>
      <c r="B2573" s="27" t="s">
        <v>6403</v>
      </c>
      <c r="C2573" s="27" t="s">
        <v>2621</v>
      </c>
      <c r="D2573" s="27" t="s">
        <v>17</v>
      </c>
      <c r="E2573" s="27" t="s">
        <v>18</v>
      </c>
      <c r="F2573" s="27" t="s">
        <v>19</v>
      </c>
      <c r="G2573" s="27" t="s">
        <v>20</v>
      </c>
      <c r="H2573" s="29">
        <v>66</v>
      </c>
      <c r="I2573" s="27" t="s">
        <v>21</v>
      </c>
      <c r="J2573" s="37">
        <v>45517</v>
      </c>
      <c r="K2573" s="27" t="s">
        <v>22</v>
      </c>
    </row>
    <row r="2574" spans="1:11" x14ac:dyDescent="0.2">
      <c r="A2574" s="24" t="s">
        <v>6404</v>
      </c>
      <c r="B2574" s="24" t="s">
        <v>6405</v>
      </c>
      <c r="C2574" s="24" t="s">
        <v>526</v>
      </c>
      <c r="D2574" s="24" t="s">
        <v>17</v>
      </c>
      <c r="E2574" s="24" t="s">
        <v>48</v>
      </c>
      <c r="F2574" s="24" t="s">
        <v>49</v>
      </c>
      <c r="G2574" s="24" t="s">
        <v>44</v>
      </c>
      <c r="H2574" s="26">
        <v>450</v>
      </c>
      <c r="I2574" s="24" t="s">
        <v>29</v>
      </c>
      <c r="J2574" s="36">
        <v>45526</v>
      </c>
      <c r="K2574" s="24" t="s">
        <v>22</v>
      </c>
    </row>
    <row r="2575" spans="1:11" x14ac:dyDescent="0.2">
      <c r="A2575" s="27" t="s">
        <v>6406</v>
      </c>
      <c r="B2575" s="27" t="s">
        <v>6407</v>
      </c>
      <c r="C2575" s="27" t="s">
        <v>2817</v>
      </c>
      <c r="D2575" s="27" t="s">
        <v>17</v>
      </c>
      <c r="E2575" s="27" t="s">
        <v>42</v>
      </c>
      <c r="F2575" s="27" t="s">
        <v>43</v>
      </c>
      <c r="G2575" s="27" t="s">
        <v>28</v>
      </c>
      <c r="H2575" s="29">
        <v>120</v>
      </c>
      <c r="I2575" s="27" t="s">
        <v>29</v>
      </c>
      <c r="J2575" s="37">
        <v>45525</v>
      </c>
      <c r="K2575" s="27" t="s">
        <v>22</v>
      </c>
    </row>
    <row r="2576" spans="1:11" x14ac:dyDescent="0.2">
      <c r="A2576" s="24" t="s">
        <v>6408</v>
      </c>
      <c r="B2576" s="24" t="s">
        <v>6409</v>
      </c>
      <c r="C2576" s="24" t="s">
        <v>6410</v>
      </c>
      <c r="D2576" s="24" t="s">
        <v>17</v>
      </c>
      <c r="E2576" s="24" t="s">
        <v>48</v>
      </c>
      <c r="F2576" s="24" t="s">
        <v>49</v>
      </c>
      <c r="G2576" s="24" t="s">
        <v>28</v>
      </c>
      <c r="H2576" s="26">
        <v>30</v>
      </c>
      <c r="I2576" s="24" t="s">
        <v>29</v>
      </c>
      <c r="J2576" s="36">
        <v>45516</v>
      </c>
      <c r="K2576" s="24" t="s">
        <v>22</v>
      </c>
    </row>
    <row r="2577" spans="1:11" x14ac:dyDescent="0.2">
      <c r="A2577" s="27" t="s">
        <v>6411</v>
      </c>
      <c r="B2577" s="27" t="s">
        <v>6412</v>
      </c>
      <c r="C2577" s="27" t="s">
        <v>1678</v>
      </c>
      <c r="D2577" s="27" t="s">
        <v>17</v>
      </c>
      <c r="E2577" s="27" t="s">
        <v>18</v>
      </c>
      <c r="F2577" s="27" t="s">
        <v>19</v>
      </c>
      <c r="G2577" s="27" t="s">
        <v>20</v>
      </c>
      <c r="H2577" s="29">
        <v>24</v>
      </c>
      <c r="I2577" s="27" t="s">
        <v>21</v>
      </c>
      <c r="J2577" s="37">
        <v>45508</v>
      </c>
      <c r="K2577" s="27" t="s">
        <v>22</v>
      </c>
    </row>
    <row r="2578" spans="1:11" x14ac:dyDescent="0.2">
      <c r="A2578" s="24" t="s">
        <v>6413</v>
      </c>
      <c r="B2578" s="24" t="s">
        <v>6414</v>
      </c>
      <c r="C2578" s="24" t="s">
        <v>97</v>
      </c>
      <c r="D2578" s="24" t="s">
        <v>17</v>
      </c>
      <c r="E2578" s="24" t="s">
        <v>18</v>
      </c>
      <c r="F2578" s="24" t="s">
        <v>19</v>
      </c>
      <c r="G2578" s="24" t="s">
        <v>20</v>
      </c>
      <c r="H2578" s="26">
        <v>30</v>
      </c>
      <c r="I2578" s="24" t="s">
        <v>21</v>
      </c>
      <c r="J2578" s="36">
        <v>45506</v>
      </c>
      <c r="K2578" s="24" t="s">
        <v>22</v>
      </c>
    </row>
    <row r="2579" spans="1:11" x14ac:dyDescent="0.2">
      <c r="A2579" s="27" t="s">
        <v>6415</v>
      </c>
      <c r="B2579" s="27" t="s">
        <v>6416</v>
      </c>
      <c r="C2579" s="27" t="s">
        <v>6417</v>
      </c>
      <c r="D2579" s="27" t="s">
        <v>17</v>
      </c>
      <c r="E2579" s="27" t="s">
        <v>18</v>
      </c>
      <c r="F2579" s="27" t="s">
        <v>19</v>
      </c>
      <c r="G2579" s="27" t="s">
        <v>28</v>
      </c>
      <c r="H2579" s="29">
        <v>52</v>
      </c>
      <c r="I2579" s="27" t="s">
        <v>29</v>
      </c>
      <c r="J2579" s="37">
        <v>45505</v>
      </c>
      <c r="K2579" s="27" t="s">
        <v>22</v>
      </c>
    </row>
    <row r="2580" spans="1:11" x14ac:dyDescent="0.2">
      <c r="A2580" s="24" t="s">
        <v>6418</v>
      </c>
      <c r="B2580" s="24" t="s">
        <v>6419</v>
      </c>
      <c r="C2580" s="24" t="s">
        <v>6420</v>
      </c>
      <c r="D2580" s="24" t="s">
        <v>17</v>
      </c>
      <c r="E2580" s="24" t="s">
        <v>81</v>
      </c>
      <c r="F2580" s="24" t="s">
        <v>82</v>
      </c>
      <c r="G2580" s="24" t="s">
        <v>28</v>
      </c>
      <c r="H2580" s="26">
        <v>25</v>
      </c>
      <c r="I2580" s="24" t="s">
        <v>29</v>
      </c>
      <c r="J2580" s="36">
        <v>45535</v>
      </c>
      <c r="K2580" s="24" t="s">
        <v>22</v>
      </c>
    </row>
    <row r="2581" spans="1:11" x14ac:dyDescent="0.2">
      <c r="A2581" s="27" t="s">
        <v>6421</v>
      </c>
      <c r="B2581" s="27" t="s">
        <v>6422</v>
      </c>
      <c r="C2581" s="27" t="s">
        <v>1726</v>
      </c>
      <c r="D2581" s="27" t="s">
        <v>17</v>
      </c>
      <c r="E2581" s="27" t="s">
        <v>42</v>
      </c>
      <c r="F2581" s="27" t="s">
        <v>43</v>
      </c>
      <c r="G2581" s="27" t="s">
        <v>20</v>
      </c>
      <c r="H2581" s="29">
        <v>190</v>
      </c>
      <c r="I2581" s="27" t="s">
        <v>21</v>
      </c>
      <c r="J2581" s="37">
        <v>45523</v>
      </c>
      <c r="K2581" s="27" t="s">
        <v>22</v>
      </c>
    </row>
    <row r="2582" spans="1:11" x14ac:dyDescent="0.2">
      <c r="A2582" s="24" t="s">
        <v>6423</v>
      </c>
      <c r="B2582" s="24" t="s">
        <v>6424</v>
      </c>
      <c r="C2582" s="24" t="s">
        <v>6425</v>
      </c>
      <c r="D2582" s="24" t="s">
        <v>17</v>
      </c>
      <c r="E2582" s="24" t="s">
        <v>18</v>
      </c>
      <c r="F2582" s="24" t="s">
        <v>19</v>
      </c>
      <c r="G2582" s="24" t="s">
        <v>20</v>
      </c>
      <c r="H2582" s="26">
        <v>32</v>
      </c>
      <c r="I2582" s="24" t="s">
        <v>21</v>
      </c>
      <c r="J2582" s="36">
        <v>45524</v>
      </c>
      <c r="K2582" s="24" t="s">
        <v>22</v>
      </c>
    </row>
    <row r="2583" spans="1:11" x14ac:dyDescent="0.2">
      <c r="A2583" s="27" t="s">
        <v>6426</v>
      </c>
      <c r="B2583" s="27" t="s">
        <v>6427</v>
      </c>
      <c r="C2583" s="27" t="s">
        <v>1116</v>
      </c>
      <c r="D2583" s="27" t="s">
        <v>17</v>
      </c>
      <c r="E2583" s="27" t="s">
        <v>18</v>
      </c>
      <c r="F2583" s="27" t="s">
        <v>19</v>
      </c>
      <c r="G2583" s="27" t="s">
        <v>44</v>
      </c>
      <c r="H2583" s="29">
        <v>19</v>
      </c>
      <c r="I2583" s="27" t="s">
        <v>21</v>
      </c>
      <c r="J2583" s="37">
        <v>45506</v>
      </c>
      <c r="K2583" s="27" t="s">
        <v>22</v>
      </c>
    </row>
    <row r="2584" spans="1:11" x14ac:dyDescent="0.2">
      <c r="A2584" s="24" t="s">
        <v>6428</v>
      </c>
      <c r="B2584" s="24" t="s">
        <v>6429</v>
      </c>
      <c r="C2584" s="24" t="s">
        <v>301</v>
      </c>
      <c r="D2584" s="24" t="s">
        <v>17</v>
      </c>
      <c r="E2584" s="24" t="s">
        <v>48</v>
      </c>
      <c r="F2584" s="24" t="s">
        <v>49</v>
      </c>
      <c r="G2584" s="24" t="s">
        <v>28</v>
      </c>
      <c r="H2584" s="26">
        <v>130</v>
      </c>
      <c r="I2584" s="24" t="s">
        <v>29</v>
      </c>
      <c r="J2584" s="36">
        <v>45530</v>
      </c>
      <c r="K2584" s="24" t="s">
        <v>22</v>
      </c>
    </row>
    <row r="2585" spans="1:11" x14ac:dyDescent="0.2">
      <c r="A2585" s="27" t="s">
        <v>6430</v>
      </c>
      <c r="B2585" s="27" t="s">
        <v>6431</v>
      </c>
      <c r="C2585" s="27" t="s">
        <v>331</v>
      </c>
      <c r="D2585" s="27" t="s">
        <v>17</v>
      </c>
      <c r="E2585" s="27" t="s">
        <v>18</v>
      </c>
      <c r="F2585" s="27" t="s">
        <v>19</v>
      </c>
      <c r="G2585" s="27" t="s">
        <v>28</v>
      </c>
      <c r="H2585" s="29">
        <v>186</v>
      </c>
      <c r="I2585" s="27" t="s">
        <v>29</v>
      </c>
      <c r="J2585" s="37">
        <v>45512</v>
      </c>
      <c r="K2585" s="27" t="s">
        <v>22</v>
      </c>
    </row>
    <row r="2586" spans="1:11" x14ac:dyDescent="0.2">
      <c r="A2586" s="24" t="s">
        <v>6432</v>
      </c>
      <c r="B2586" s="24" t="s">
        <v>6433</v>
      </c>
      <c r="C2586" s="24" t="s">
        <v>242</v>
      </c>
      <c r="D2586" s="24" t="s">
        <v>17</v>
      </c>
      <c r="E2586" s="24" t="s">
        <v>18</v>
      </c>
      <c r="F2586" s="24" t="s">
        <v>19</v>
      </c>
      <c r="G2586" s="24" t="s">
        <v>217</v>
      </c>
      <c r="H2586" s="26">
        <v>60</v>
      </c>
      <c r="I2586" s="24" t="s">
        <v>29</v>
      </c>
      <c r="J2586" s="36">
        <v>45505</v>
      </c>
      <c r="K2586" s="24" t="s">
        <v>22</v>
      </c>
    </row>
    <row r="2587" spans="1:11" x14ac:dyDescent="0.2">
      <c r="A2587" s="27" t="s">
        <v>6434</v>
      </c>
      <c r="B2587" s="27" t="s">
        <v>6435</v>
      </c>
      <c r="C2587" s="27" t="s">
        <v>6436</v>
      </c>
      <c r="D2587" s="27" t="s">
        <v>17</v>
      </c>
      <c r="E2587" s="27" t="s">
        <v>18</v>
      </c>
      <c r="F2587" s="27" t="s">
        <v>19</v>
      </c>
      <c r="G2587" s="27" t="s">
        <v>20</v>
      </c>
      <c r="H2587" s="29">
        <v>174</v>
      </c>
      <c r="I2587" s="27" t="s">
        <v>21</v>
      </c>
      <c r="J2587" s="37">
        <v>45533</v>
      </c>
      <c r="K2587" s="27" t="s">
        <v>22</v>
      </c>
    </row>
    <row r="2588" spans="1:11" x14ac:dyDescent="0.2">
      <c r="A2588" s="24" t="s">
        <v>6437</v>
      </c>
      <c r="B2588" s="24" t="s">
        <v>6438</v>
      </c>
      <c r="C2588" s="24" t="s">
        <v>6439</v>
      </c>
      <c r="D2588" s="24" t="s">
        <v>17</v>
      </c>
      <c r="E2588" s="24" t="s">
        <v>42</v>
      </c>
      <c r="F2588" s="24" t="s">
        <v>43</v>
      </c>
      <c r="G2588" s="24" t="s">
        <v>20</v>
      </c>
      <c r="H2588" s="26">
        <v>159</v>
      </c>
      <c r="I2588" s="24" t="s">
        <v>21</v>
      </c>
      <c r="J2588" s="36">
        <v>45525</v>
      </c>
      <c r="K2588" s="24" t="s">
        <v>22</v>
      </c>
    </row>
    <row r="2589" spans="1:11" x14ac:dyDescent="0.2">
      <c r="A2589" s="27" t="s">
        <v>6440</v>
      </c>
      <c r="B2589" s="27" t="s">
        <v>6441</v>
      </c>
      <c r="C2589" s="27" t="s">
        <v>6442</v>
      </c>
      <c r="D2589" s="27" t="s">
        <v>17</v>
      </c>
      <c r="E2589" s="27" t="s">
        <v>18</v>
      </c>
      <c r="F2589" s="27" t="s">
        <v>19</v>
      </c>
      <c r="G2589" s="27" t="s">
        <v>28</v>
      </c>
      <c r="H2589" s="29">
        <v>220</v>
      </c>
      <c r="I2589" s="27" t="s">
        <v>29</v>
      </c>
      <c r="J2589" s="37">
        <v>45518</v>
      </c>
      <c r="K2589" s="27" t="s">
        <v>22</v>
      </c>
    </row>
    <row r="2590" spans="1:11" x14ac:dyDescent="0.2">
      <c r="A2590" s="24" t="s">
        <v>6443</v>
      </c>
      <c r="B2590" s="24" t="s">
        <v>6444</v>
      </c>
      <c r="C2590" s="24" t="s">
        <v>5921</v>
      </c>
      <c r="D2590" s="24" t="s">
        <v>17</v>
      </c>
      <c r="E2590" s="24" t="s">
        <v>42</v>
      </c>
      <c r="F2590" s="24" t="s">
        <v>43</v>
      </c>
      <c r="G2590" s="24" t="s">
        <v>116</v>
      </c>
      <c r="H2590" s="26">
        <v>0</v>
      </c>
      <c r="I2590" s="24" t="s">
        <v>21</v>
      </c>
      <c r="J2590" s="36">
        <v>45505</v>
      </c>
      <c r="K2590" s="24" t="s">
        <v>22</v>
      </c>
    </row>
    <row r="2591" spans="1:11" x14ac:dyDescent="0.2">
      <c r="A2591" s="27" t="s">
        <v>6445</v>
      </c>
      <c r="B2591" s="27" t="s">
        <v>6446</v>
      </c>
      <c r="C2591" s="27" t="s">
        <v>6447</v>
      </c>
      <c r="D2591" s="27" t="s">
        <v>17</v>
      </c>
      <c r="E2591" s="27" t="s">
        <v>18</v>
      </c>
      <c r="F2591" s="27" t="s">
        <v>19</v>
      </c>
      <c r="G2591" s="27" t="s">
        <v>28</v>
      </c>
      <c r="H2591" s="29">
        <v>20</v>
      </c>
      <c r="I2591" s="27" t="s">
        <v>29</v>
      </c>
      <c r="J2591" s="37">
        <v>45535</v>
      </c>
      <c r="K2591" s="27" t="s">
        <v>22</v>
      </c>
    </row>
    <row r="2592" spans="1:11" x14ac:dyDescent="0.2">
      <c r="A2592" s="24" t="s">
        <v>6448</v>
      </c>
      <c r="B2592" s="24" t="s">
        <v>6449</v>
      </c>
      <c r="C2592" s="24" t="s">
        <v>5829</v>
      </c>
      <c r="D2592" s="24" t="s">
        <v>17</v>
      </c>
      <c r="E2592" s="24" t="s">
        <v>18</v>
      </c>
      <c r="F2592" s="24" t="s">
        <v>19</v>
      </c>
      <c r="G2592" s="24" t="s">
        <v>217</v>
      </c>
      <c r="H2592" s="26">
        <v>16</v>
      </c>
      <c r="I2592" s="24" t="s">
        <v>29</v>
      </c>
      <c r="J2592" s="36">
        <v>45514</v>
      </c>
      <c r="K2592" s="24" t="s">
        <v>22</v>
      </c>
    </row>
    <row r="2593" spans="1:11" x14ac:dyDescent="0.2">
      <c r="A2593" s="27" t="s">
        <v>6450</v>
      </c>
      <c r="B2593" s="27" t="s">
        <v>6451</v>
      </c>
      <c r="C2593" s="27" t="s">
        <v>1199</v>
      </c>
      <c r="D2593" s="27" t="s">
        <v>17</v>
      </c>
      <c r="E2593" s="27" t="s">
        <v>18</v>
      </c>
      <c r="F2593" s="27" t="s">
        <v>19</v>
      </c>
      <c r="G2593" s="27" t="s">
        <v>28</v>
      </c>
      <c r="H2593" s="29">
        <v>138</v>
      </c>
      <c r="I2593" s="27" t="s">
        <v>29</v>
      </c>
      <c r="J2593" s="37">
        <v>45511</v>
      </c>
      <c r="K2593" s="27" t="s">
        <v>22</v>
      </c>
    </row>
    <row r="2594" spans="1:11" x14ac:dyDescent="0.2">
      <c r="A2594" s="24" t="s">
        <v>6452</v>
      </c>
      <c r="B2594" s="24" t="s">
        <v>6453</v>
      </c>
      <c r="C2594" s="24" t="s">
        <v>6454</v>
      </c>
      <c r="D2594" s="24" t="s">
        <v>17</v>
      </c>
      <c r="E2594" s="24" t="s">
        <v>26</v>
      </c>
      <c r="F2594" s="24" t="s">
        <v>27</v>
      </c>
      <c r="G2594" s="24" t="s">
        <v>28</v>
      </c>
      <c r="H2594" s="26">
        <v>72</v>
      </c>
      <c r="I2594" s="24" t="s">
        <v>29</v>
      </c>
      <c r="J2594" s="36">
        <v>45512</v>
      </c>
      <c r="K2594" s="24" t="s">
        <v>22</v>
      </c>
    </row>
    <row r="2595" spans="1:11" x14ac:dyDescent="0.2">
      <c r="A2595" s="27" t="s">
        <v>6455</v>
      </c>
      <c r="B2595" s="27" t="s">
        <v>6456</v>
      </c>
      <c r="C2595" s="27" t="s">
        <v>6457</v>
      </c>
      <c r="D2595" s="27" t="s">
        <v>17</v>
      </c>
      <c r="E2595" s="27" t="s">
        <v>18</v>
      </c>
      <c r="F2595" s="27" t="s">
        <v>19</v>
      </c>
      <c r="G2595" s="27" t="s">
        <v>28</v>
      </c>
      <c r="H2595" s="29">
        <v>400</v>
      </c>
      <c r="I2595" s="27" t="s">
        <v>29</v>
      </c>
      <c r="J2595" s="37">
        <v>45519</v>
      </c>
      <c r="K2595" s="27" t="s">
        <v>22</v>
      </c>
    </row>
    <row r="2596" spans="1:11" x14ac:dyDescent="0.2">
      <c r="A2596" s="24" t="s">
        <v>6458</v>
      </c>
      <c r="B2596" s="24" t="s">
        <v>6459</v>
      </c>
      <c r="C2596" s="24" t="s">
        <v>47</v>
      </c>
      <c r="D2596" s="24" t="s">
        <v>17</v>
      </c>
      <c r="E2596" s="24" t="s">
        <v>48</v>
      </c>
      <c r="F2596" s="24" t="s">
        <v>49</v>
      </c>
      <c r="G2596" s="24" t="s">
        <v>28</v>
      </c>
      <c r="H2596" s="26">
        <v>66</v>
      </c>
      <c r="I2596" s="24" t="s">
        <v>29</v>
      </c>
      <c r="J2596" s="36">
        <v>45535</v>
      </c>
      <c r="K2596" s="24" t="s">
        <v>22</v>
      </c>
    </row>
    <row r="2597" spans="1:11" x14ac:dyDescent="0.2">
      <c r="A2597" s="27" t="s">
        <v>6460</v>
      </c>
      <c r="B2597" s="27" t="s">
        <v>6461</v>
      </c>
      <c r="C2597" s="27" t="s">
        <v>6462</v>
      </c>
      <c r="D2597" s="27" t="s">
        <v>17</v>
      </c>
      <c r="E2597" s="27" t="s">
        <v>48</v>
      </c>
      <c r="F2597" s="27" t="s">
        <v>49</v>
      </c>
      <c r="G2597" s="27" t="s">
        <v>116</v>
      </c>
      <c r="H2597" s="29">
        <v>0</v>
      </c>
      <c r="I2597" s="27" t="s">
        <v>21</v>
      </c>
      <c r="J2597" s="37">
        <v>45525</v>
      </c>
      <c r="K2597" s="27" t="s">
        <v>22</v>
      </c>
    </row>
    <row r="2598" spans="1:11" x14ac:dyDescent="0.2">
      <c r="A2598" s="24" t="s">
        <v>6463</v>
      </c>
      <c r="B2598" s="24" t="s">
        <v>6464</v>
      </c>
      <c r="C2598" s="24" t="s">
        <v>708</v>
      </c>
      <c r="D2598" s="24" t="s">
        <v>17</v>
      </c>
      <c r="E2598" s="24" t="s">
        <v>26</v>
      </c>
      <c r="F2598" s="24" t="s">
        <v>27</v>
      </c>
      <c r="G2598" s="24" t="s">
        <v>28</v>
      </c>
      <c r="H2598" s="26">
        <v>42</v>
      </c>
      <c r="I2598" s="24" t="s">
        <v>29</v>
      </c>
      <c r="J2598" s="36">
        <v>45532</v>
      </c>
      <c r="K2598" s="24" t="s">
        <v>22</v>
      </c>
    </row>
    <row r="2599" spans="1:11" x14ac:dyDescent="0.2">
      <c r="A2599" s="27" t="s">
        <v>6465</v>
      </c>
      <c r="B2599" s="27" t="s">
        <v>6466</v>
      </c>
      <c r="C2599" s="27" t="s">
        <v>5829</v>
      </c>
      <c r="D2599" s="27" t="s">
        <v>17</v>
      </c>
      <c r="E2599" s="27" t="s">
        <v>42</v>
      </c>
      <c r="F2599" s="27" t="s">
        <v>43</v>
      </c>
      <c r="G2599" s="27" t="s">
        <v>28</v>
      </c>
      <c r="H2599" s="29">
        <v>20</v>
      </c>
      <c r="I2599" s="27" t="s">
        <v>29</v>
      </c>
      <c r="J2599" s="37">
        <v>45534</v>
      </c>
      <c r="K2599" s="27" t="s">
        <v>22</v>
      </c>
    </row>
    <row r="2600" spans="1:11" x14ac:dyDescent="0.2">
      <c r="A2600" s="24" t="s">
        <v>6467</v>
      </c>
      <c r="B2600" s="24" t="s">
        <v>6468</v>
      </c>
      <c r="C2600" s="24" t="s">
        <v>6469</v>
      </c>
      <c r="D2600" s="24" t="s">
        <v>17</v>
      </c>
      <c r="E2600" s="24" t="s">
        <v>163</v>
      </c>
      <c r="F2600" s="24" t="s">
        <v>164</v>
      </c>
      <c r="G2600" s="24" t="s">
        <v>28</v>
      </c>
      <c r="H2600" s="26">
        <v>88</v>
      </c>
      <c r="I2600" s="24" t="s">
        <v>29</v>
      </c>
      <c r="J2600" s="36">
        <v>45505</v>
      </c>
      <c r="K2600" s="24" t="s">
        <v>22</v>
      </c>
    </row>
    <row r="2601" spans="1:11" x14ac:dyDescent="0.2">
      <c r="A2601" s="27" t="s">
        <v>6470</v>
      </c>
      <c r="B2601" s="27" t="s">
        <v>6471</v>
      </c>
      <c r="C2601" s="27" t="s">
        <v>592</v>
      </c>
      <c r="D2601" s="27" t="s">
        <v>17</v>
      </c>
      <c r="E2601" s="27" t="s">
        <v>18</v>
      </c>
      <c r="F2601" s="27" t="s">
        <v>19</v>
      </c>
      <c r="G2601" s="27" t="s">
        <v>28</v>
      </c>
      <c r="H2601" s="29">
        <v>248</v>
      </c>
      <c r="I2601" s="27" t="s">
        <v>29</v>
      </c>
      <c r="J2601" s="37">
        <v>45509</v>
      </c>
      <c r="K2601" s="27" t="s">
        <v>22</v>
      </c>
    </row>
    <row r="2602" spans="1:11" x14ac:dyDescent="0.2">
      <c r="A2602" s="24" t="s">
        <v>6472</v>
      </c>
      <c r="B2602" s="24" t="s">
        <v>6473</v>
      </c>
      <c r="C2602" s="24" t="s">
        <v>143</v>
      </c>
      <c r="D2602" s="24" t="s">
        <v>17</v>
      </c>
      <c r="E2602" s="24" t="s">
        <v>18</v>
      </c>
      <c r="F2602" s="24" t="s">
        <v>19</v>
      </c>
      <c r="G2602" s="24" t="s">
        <v>217</v>
      </c>
      <c r="H2602" s="26">
        <v>21</v>
      </c>
      <c r="I2602" s="24" t="s">
        <v>29</v>
      </c>
      <c r="J2602" s="36">
        <v>45535</v>
      </c>
      <c r="K2602" s="24" t="s">
        <v>22</v>
      </c>
    </row>
    <row r="2603" spans="1:11" x14ac:dyDescent="0.2">
      <c r="A2603" s="27" t="s">
        <v>6474</v>
      </c>
      <c r="B2603" s="27" t="s">
        <v>6475</v>
      </c>
      <c r="C2603" s="27" t="s">
        <v>298</v>
      </c>
      <c r="D2603" s="27" t="s">
        <v>17</v>
      </c>
      <c r="E2603" s="27" t="s">
        <v>33</v>
      </c>
      <c r="F2603" s="27" t="s">
        <v>34</v>
      </c>
      <c r="G2603" s="27" t="s">
        <v>44</v>
      </c>
      <c r="H2603" s="29">
        <v>675</v>
      </c>
      <c r="I2603" s="27" t="s">
        <v>29</v>
      </c>
      <c r="J2603" s="37">
        <v>45524</v>
      </c>
      <c r="K2603" s="27" t="s">
        <v>22</v>
      </c>
    </row>
    <row r="2604" spans="1:11" x14ac:dyDescent="0.2">
      <c r="A2604" s="24" t="s">
        <v>6476</v>
      </c>
      <c r="B2604" s="24" t="s">
        <v>6477</v>
      </c>
      <c r="C2604" s="24" t="s">
        <v>1608</v>
      </c>
      <c r="D2604" s="24" t="s">
        <v>17</v>
      </c>
      <c r="E2604" s="24" t="s">
        <v>33</v>
      </c>
      <c r="F2604" s="24" t="s">
        <v>34</v>
      </c>
      <c r="G2604" s="24" t="s">
        <v>28</v>
      </c>
      <c r="H2604" s="26">
        <v>90</v>
      </c>
      <c r="I2604" s="24" t="s">
        <v>29</v>
      </c>
      <c r="J2604" s="36">
        <v>45519</v>
      </c>
      <c r="K2604" s="24" t="s">
        <v>22</v>
      </c>
    </row>
    <row r="2605" spans="1:11" x14ac:dyDescent="0.2">
      <c r="A2605" s="27" t="s">
        <v>6478</v>
      </c>
      <c r="B2605" s="27" t="s">
        <v>6479</v>
      </c>
      <c r="C2605" s="27" t="s">
        <v>3492</v>
      </c>
      <c r="D2605" s="27" t="s">
        <v>17</v>
      </c>
      <c r="E2605" s="27" t="s">
        <v>26</v>
      </c>
      <c r="F2605" s="27" t="s">
        <v>27</v>
      </c>
      <c r="G2605" s="27" t="s">
        <v>28</v>
      </c>
      <c r="H2605" s="29">
        <v>80</v>
      </c>
      <c r="I2605" s="27" t="s">
        <v>29</v>
      </c>
      <c r="J2605" s="37">
        <v>45520</v>
      </c>
      <c r="K2605" s="27" t="s">
        <v>22</v>
      </c>
    </row>
    <row r="2606" spans="1:11" x14ac:dyDescent="0.2">
      <c r="A2606" s="24" t="s">
        <v>6480</v>
      </c>
      <c r="B2606" s="24" t="s">
        <v>6481</v>
      </c>
      <c r="C2606" s="24" t="s">
        <v>526</v>
      </c>
      <c r="D2606" s="24" t="s">
        <v>17</v>
      </c>
      <c r="E2606" s="24" t="s">
        <v>48</v>
      </c>
      <c r="F2606" s="24" t="s">
        <v>49</v>
      </c>
      <c r="G2606" s="24" t="s">
        <v>44</v>
      </c>
      <c r="H2606" s="26">
        <v>300</v>
      </c>
      <c r="I2606" s="24" t="s">
        <v>29</v>
      </c>
      <c r="J2606" s="36">
        <v>45530</v>
      </c>
      <c r="K2606" s="24" t="s">
        <v>22</v>
      </c>
    </row>
    <row r="2607" spans="1:11" x14ac:dyDescent="0.2">
      <c r="A2607" s="27" t="s">
        <v>6482</v>
      </c>
      <c r="B2607" s="27" t="s">
        <v>6483</v>
      </c>
      <c r="C2607" s="27" t="s">
        <v>4875</v>
      </c>
      <c r="D2607" s="27" t="s">
        <v>17</v>
      </c>
      <c r="E2607" s="27" t="s">
        <v>18</v>
      </c>
      <c r="F2607" s="27" t="s">
        <v>19</v>
      </c>
      <c r="G2607" s="27" t="s">
        <v>20</v>
      </c>
      <c r="H2607" s="29">
        <v>18</v>
      </c>
      <c r="I2607" s="27" t="s">
        <v>21</v>
      </c>
      <c r="J2607" s="37">
        <v>45517</v>
      </c>
      <c r="K2607" s="27" t="s">
        <v>22</v>
      </c>
    </row>
    <row r="2608" spans="1:11" x14ac:dyDescent="0.2">
      <c r="A2608" s="24" t="s">
        <v>6484</v>
      </c>
      <c r="B2608" s="24" t="s">
        <v>6485</v>
      </c>
      <c r="C2608" s="24" t="s">
        <v>140</v>
      </c>
      <c r="D2608" s="24" t="s">
        <v>17</v>
      </c>
      <c r="E2608" s="24" t="s">
        <v>18</v>
      </c>
      <c r="F2608" s="24" t="s">
        <v>19</v>
      </c>
      <c r="G2608" s="24" t="s">
        <v>20</v>
      </c>
      <c r="H2608" s="26">
        <v>82</v>
      </c>
      <c r="I2608" s="24" t="s">
        <v>21</v>
      </c>
      <c r="J2608" s="36">
        <v>45521</v>
      </c>
      <c r="K2608" s="24" t="s">
        <v>22</v>
      </c>
    </row>
    <row r="2609" spans="1:11" x14ac:dyDescent="0.2">
      <c r="A2609" s="27" t="s">
        <v>6486</v>
      </c>
      <c r="B2609" s="27" t="s">
        <v>6487</v>
      </c>
      <c r="C2609" s="27" t="s">
        <v>921</v>
      </c>
      <c r="D2609" s="27" t="s">
        <v>17</v>
      </c>
      <c r="E2609" s="27" t="s">
        <v>48</v>
      </c>
      <c r="F2609" s="27" t="s">
        <v>49</v>
      </c>
      <c r="G2609" s="27" t="s">
        <v>28</v>
      </c>
      <c r="H2609" s="29">
        <v>270</v>
      </c>
      <c r="I2609" s="27" t="s">
        <v>29</v>
      </c>
      <c r="J2609" s="37">
        <v>45510</v>
      </c>
      <c r="K2609" s="27" t="s">
        <v>22</v>
      </c>
    </row>
    <row r="2610" spans="1:11" x14ac:dyDescent="0.2">
      <c r="A2610" s="24" t="s">
        <v>6488</v>
      </c>
      <c r="B2610" s="24" t="s">
        <v>6489</v>
      </c>
      <c r="C2610" s="24" t="s">
        <v>529</v>
      </c>
      <c r="D2610" s="24" t="s">
        <v>17</v>
      </c>
      <c r="E2610" s="24" t="s">
        <v>26</v>
      </c>
      <c r="F2610" s="24" t="s">
        <v>27</v>
      </c>
      <c r="G2610" s="24" t="s">
        <v>28</v>
      </c>
      <c r="H2610" s="26">
        <v>36</v>
      </c>
      <c r="I2610" s="24" t="s">
        <v>29</v>
      </c>
      <c r="J2610" s="36">
        <v>45532</v>
      </c>
      <c r="K2610" s="24" t="s">
        <v>22</v>
      </c>
    </row>
    <row r="2611" spans="1:11" x14ac:dyDescent="0.2">
      <c r="A2611" s="27" t="s">
        <v>6490</v>
      </c>
      <c r="B2611" s="27" t="s">
        <v>6491</v>
      </c>
      <c r="C2611" s="27" t="s">
        <v>301</v>
      </c>
      <c r="D2611" s="27" t="s">
        <v>17</v>
      </c>
      <c r="E2611" s="27" t="s">
        <v>48</v>
      </c>
      <c r="F2611" s="27" t="s">
        <v>49</v>
      </c>
      <c r="G2611" s="27" t="s">
        <v>44</v>
      </c>
      <c r="H2611" s="29">
        <v>43</v>
      </c>
      <c r="I2611" s="27" t="s">
        <v>21</v>
      </c>
      <c r="J2611" s="37">
        <v>45524</v>
      </c>
      <c r="K2611" s="27" t="s">
        <v>22</v>
      </c>
    </row>
    <row r="2612" spans="1:11" x14ac:dyDescent="0.2">
      <c r="A2612" s="24" t="s">
        <v>6492</v>
      </c>
      <c r="B2612" s="24" t="s">
        <v>6493</v>
      </c>
      <c r="C2612" s="24" t="s">
        <v>6494</v>
      </c>
      <c r="D2612" s="24" t="s">
        <v>17</v>
      </c>
      <c r="E2612" s="24" t="s">
        <v>18</v>
      </c>
      <c r="F2612" s="24" t="s">
        <v>19</v>
      </c>
      <c r="G2612" s="24" t="s">
        <v>28</v>
      </c>
      <c r="H2612" s="26">
        <v>100</v>
      </c>
      <c r="I2612" s="24" t="s">
        <v>29</v>
      </c>
      <c r="J2612" s="36">
        <v>45532</v>
      </c>
      <c r="K2612" s="24" t="s">
        <v>22</v>
      </c>
    </row>
    <row r="2613" spans="1:11" x14ac:dyDescent="0.2">
      <c r="A2613" s="27" t="s">
        <v>6495</v>
      </c>
      <c r="B2613" s="27" t="s">
        <v>6496</v>
      </c>
      <c r="C2613" s="27" t="s">
        <v>2129</v>
      </c>
      <c r="D2613" s="27" t="s">
        <v>17</v>
      </c>
      <c r="E2613" s="27" t="s">
        <v>48</v>
      </c>
      <c r="F2613" s="27" t="s">
        <v>49</v>
      </c>
      <c r="G2613" s="27" t="s">
        <v>227</v>
      </c>
      <c r="H2613" s="29">
        <v>480</v>
      </c>
      <c r="I2613" s="27" t="s">
        <v>29</v>
      </c>
      <c r="J2613" s="37">
        <v>45505</v>
      </c>
      <c r="K2613" s="27" t="s">
        <v>22</v>
      </c>
    </row>
    <row r="2614" spans="1:11" x14ac:dyDescent="0.2">
      <c r="A2614" s="24" t="s">
        <v>6497</v>
      </c>
      <c r="B2614" s="24" t="s">
        <v>6498</v>
      </c>
      <c r="C2614" s="24" t="s">
        <v>518</v>
      </c>
      <c r="D2614" s="24" t="s">
        <v>17</v>
      </c>
      <c r="E2614" s="24" t="s">
        <v>48</v>
      </c>
      <c r="F2614" s="24" t="s">
        <v>49</v>
      </c>
      <c r="G2614" s="24" t="s">
        <v>28</v>
      </c>
      <c r="H2614" s="26">
        <v>116</v>
      </c>
      <c r="I2614" s="24" t="s">
        <v>29</v>
      </c>
      <c r="J2614" s="36">
        <v>45530</v>
      </c>
      <c r="K2614" s="24" t="s">
        <v>22</v>
      </c>
    </row>
    <row r="2615" spans="1:11" x14ac:dyDescent="0.2">
      <c r="A2615" s="27" t="s">
        <v>6499</v>
      </c>
      <c r="B2615" s="27" t="s">
        <v>6500</v>
      </c>
      <c r="C2615" s="27" t="s">
        <v>6501</v>
      </c>
      <c r="D2615" s="27" t="s">
        <v>17</v>
      </c>
      <c r="E2615" s="27" t="s">
        <v>18</v>
      </c>
      <c r="F2615" s="27" t="s">
        <v>19</v>
      </c>
      <c r="G2615" s="27" t="s">
        <v>20</v>
      </c>
      <c r="H2615" s="29">
        <v>5</v>
      </c>
      <c r="I2615" s="27" t="s">
        <v>21</v>
      </c>
      <c r="J2615" s="37">
        <v>45525</v>
      </c>
      <c r="K2615" s="27" t="s">
        <v>22</v>
      </c>
    </row>
    <row r="2616" spans="1:11" x14ac:dyDescent="0.2">
      <c r="A2616" s="24" t="s">
        <v>6502</v>
      </c>
      <c r="B2616" s="24" t="s">
        <v>6503</v>
      </c>
      <c r="C2616" s="24" t="s">
        <v>1938</v>
      </c>
      <c r="D2616" s="24" t="s">
        <v>17</v>
      </c>
      <c r="E2616" s="24" t="s">
        <v>42</v>
      </c>
      <c r="F2616" s="24" t="s">
        <v>43</v>
      </c>
      <c r="G2616" s="24" t="s">
        <v>28</v>
      </c>
      <c r="H2616" s="26">
        <v>460</v>
      </c>
      <c r="I2616" s="24" t="s">
        <v>29</v>
      </c>
      <c r="J2616" s="36">
        <v>45526</v>
      </c>
      <c r="K2616" s="24" t="s">
        <v>22</v>
      </c>
    </row>
    <row r="2617" spans="1:11" x14ac:dyDescent="0.2">
      <c r="A2617" s="27" t="s">
        <v>6504</v>
      </c>
      <c r="B2617" s="27" t="s">
        <v>6505</v>
      </c>
      <c r="C2617" s="27" t="s">
        <v>6506</v>
      </c>
      <c r="D2617" s="27" t="s">
        <v>17</v>
      </c>
      <c r="E2617" s="27" t="s">
        <v>48</v>
      </c>
      <c r="F2617" s="27" t="s">
        <v>49</v>
      </c>
      <c r="G2617" s="27" t="s">
        <v>28</v>
      </c>
      <c r="H2617" s="29">
        <v>240</v>
      </c>
      <c r="I2617" s="27" t="s">
        <v>29</v>
      </c>
      <c r="J2617" s="37">
        <v>45517</v>
      </c>
      <c r="K2617" s="27" t="s">
        <v>22</v>
      </c>
    </row>
    <row r="2618" spans="1:11" x14ac:dyDescent="0.2">
      <c r="A2618" s="24" t="s">
        <v>6507</v>
      </c>
      <c r="B2618" s="24" t="s">
        <v>6508</v>
      </c>
      <c r="C2618" s="24" t="s">
        <v>1799</v>
      </c>
      <c r="D2618" s="24" t="s">
        <v>17</v>
      </c>
      <c r="E2618" s="24" t="s">
        <v>42</v>
      </c>
      <c r="F2618" s="24" t="s">
        <v>43</v>
      </c>
      <c r="G2618" s="24" t="s">
        <v>44</v>
      </c>
      <c r="H2618" s="26">
        <v>336</v>
      </c>
      <c r="I2618" s="24" t="s">
        <v>29</v>
      </c>
      <c r="J2618" s="36">
        <v>45531</v>
      </c>
      <c r="K2618" s="24" t="s">
        <v>22</v>
      </c>
    </row>
    <row r="2619" spans="1:11" x14ac:dyDescent="0.2">
      <c r="A2619" s="27" t="s">
        <v>6509</v>
      </c>
      <c r="B2619" s="27" t="s">
        <v>6510</v>
      </c>
      <c r="C2619" s="27" t="s">
        <v>6393</v>
      </c>
      <c r="D2619" s="27" t="s">
        <v>17</v>
      </c>
      <c r="E2619" s="27" t="s">
        <v>81</v>
      </c>
      <c r="F2619" s="27" t="s">
        <v>82</v>
      </c>
      <c r="G2619" s="27" t="s">
        <v>28</v>
      </c>
      <c r="H2619" s="29">
        <v>32000</v>
      </c>
      <c r="I2619" s="27" t="s">
        <v>29</v>
      </c>
      <c r="J2619" s="37">
        <v>45526</v>
      </c>
      <c r="K2619" s="27" t="s">
        <v>22</v>
      </c>
    </row>
    <row r="2620" spans="1:11" x14ac:dyDescent="0.2">
      <c r="A2620" s="24" t="s">
        <v>6511</v>
      </c>
      <c r="B2620" s="24" t="s">
        <v>6512</v>
      </c>
      <c r="C2620" s="24" t="s">
        <v>185</v>
      </c>
      <c r="D2620" s="24" t="s">
        <v>17</v>
      </c>
      <c r="E2620" s="24" t="s">
        <v>18</v>
      </c>
      <c r="F2620" s="24" t="s">
        <v>19</v>
      </c>
      <c r="G2620" s="24" t="s">
        <v>217</v>
      </c>
      <c r="H2620" s="26">
        <v>8</v>
      </c>
      <c r="I2620" s="24" t="s">
        <v>29</v>
      </c>
      <c r="J2620" s="36">
        <v>45519</v>
      </c>
      <c r="K2620" s="24" t="s">
        <v>22</v>
      </c>
    </row>
    <row r="2621" spans="1:11" x14ac:dyDescent="0.2">
      <c r="A2621" s="27" t="s">
        <v>6513</v>
      </c>
      <c r="B2621" s="27" t="s">
        <v>6514</v>
      </c>
      <c r="C2621" s="27" t="s">
        <v>97</v>
      </c>
      <c r="D2621" s="27" t="s">
        <v>17</v>
      </c>
      <c r="E2621" s="27" t="s">
        <v>81</v>
      </c>
      <c r="F2621" s="27" t="s">
        <v>82</v>
      </c>
      <c r="G2621" s="27" t="s">
        <v>44</v>
      </c>
      <c r="H2621" s="29">
        <v>731</v>
      </c>
      <c r="I2621" s="27" t="s">
        <v>21</v>
      </c>
      <c r="J2621" s="37">
        <v>45527</v>
      </c>
      <c r="K2621" s="27" t="s">
        <v>22</v>
      </c>
    </row>
    <row r="2622" spans="1:11" x14ac:dyDescent="0.2">
      <c r="A2622" s="24" t="s">
        <v>6515</v>
      </c>
      <c r="B2622" s="24" t="s">
        <v>6516</v>
      </c>
      <c r="C2622" s="24" t="s">
        <v>6517</v>
      </c>
      <c r="D2622" s="24" t="s">
        <v>17</v>
      </c>
      <c r="E2622" s="24" t="s">
        <v>48</v>
      </c>
      <c r="F2622" s="24" t="s">
        <v>49</v>
      </c>
      <c r="G2622" s="24" t="s">
        <v>20</v>
      </c>
      <c r="H2622" s="26">
        <v>79</v>
      </c>
      <c r="I2622" s="24" t="s">
        <v>21</v>
      </c>
      <c r="J2622" s="36">
        <v>45505</v>
      </c>
      <c r="K2622" s="24" t="s">
        <v>22</v>
      </c>
    </row>
    <row r="2623" spans="1:11" x14ac:dyDescent="0.2">
      <c r="A2623" s="27" t="s">
        <v>6518</v>
      </c>
      <c r="B2623" s="27" t="s">
        <v>6519</v>
      </c>
      <c r="C2623" s="27" t="s">
        <v>6520</v>
      </c>
      <c r="D2623" s="27" t="s">
        <v>17</v>
      </c>
      <c r="E2623" s="27" t="s">
        <v>42</v>
      </c>
      <c r="F2623" s="27" t="s">
        <v>43</v>
      </c>
      <c r="G2623" s="27" t="s">
        <v>20</v>
      </c>
      <c r="H2623" s="29">
        <v>370</v>
      </c>
      <c r="I2623" s="27" t="s">
        <v>21</v>
      </c>
      <c r="J2623" s="37">
        <v>45510</v>
      </c>
      <c r="K2623" s="27" t="s">
        <v>22</v>
      </c>
    </row>
    <row r="2624" spans="1:11" x14ac:dyDescent="0.2">
      <c r="A2624" s="24" t="s">
        <v>6521</v>
      </c>
      <c r="B2624" s="24" t="s">
        <v>6522</v>
      </c>
      <c r="C2624" s="24" t="s">
        <v>97</v>
      </c>
      <c r="D2624" s="24" t="s">
        <v>17</v>
      </c>
      <c r="E2624" s="24" t="s">
        <v>48</v>
      </c>
      <c r="F2624" s="24" t="s">
        <v>49</v>
      </c>
      <c r="G2624" s="24" t="s">
        <v>20</v>
      </c>
      <c r="H2624" s="26">
        <v>537</v>
      </c>
      <c r="I2624" s="24" t="s">
        <v>21</v>
      </c>
      <c r="J2624" s="36">
        <v>45534</v>
      </c>
      <c r="K2624" s="24" t="s">
        <v>22</v>
      </c>
    </row>
    <row r="2625" spans="1:11" x14ac:dyDescent="0.2">
      <c r="A2625" s="27" t="s">
        <v>6523</v>
      </c>
      <c r="B2625" s="27" t="s">
        <v>6524</v>
      </c>
      <c r="C2625" s="27" t="s">
        <v>6525</v>
      </c>
      <c r="D2625" s="27" t="s">
        <v>17</v>
      </c>
      <c r="E2625" s="27" t="s">
        <v>48</v>
      </c>
      <c r="F2625" s="27" t="s">
        <v>49</v>
      </c>
      <c r="G2625" s="27" t="s">
        <v>217</v>
      </c>
      <c r="H2625" s="29">
        <v>10</v>
      </c>
      <c r="I2625" s="27" t="s">
        <v>29</v>
      </c>
      <c r="J2625" s="37">
        <v>45505</v>
      </c>
      <c r="K2625" s="27" t="s">
        <v>22</v>
      </c>
    </row>
    <row r="2626" spans="1:11" x14ac:dyDescent="0.2">
      <c r="A2626" s="24" t="s">
        <v>6526</v>
      </c>
      <c r="B2626" s="24" t="s">
        <v>6527</v>
      </c>
      <c r="C2626" s="24" t="s">
        <v>208</v>
      </c>
      <c r="D2626" s="24" t="s">
        <v>17</v>
      </c>
      <c r="E2626" s="24" t="s">
        <v>48</v>
      </c>
      <c r="F2626" s="24" t="s">
        <v>49</v>
      </c>
      <c r="G2626" s="24" t="s">
        <v>44</v>
      </c>
      <c r="H2626" s="26">
        <v>229</v>
      </c>
      <c r="I2626" s="24" t="s">
        <v>21</v>
      </c>
      <c r="J2626" s="36">
        <v>45533</v>
      </c>
      <c r="K2626" s="24" t="s">
        <v>22</v>
      </c>
    </row>
    <row r="2627" spans="1:11" x14ac:dyDescent="0.2">
      <c r="A2627" s="27" t="s">
        <v>6528</v>
      </c>
      <c r="B2627" s="27" t="s">
        <v>6529</v>
      </c>
      <c r="C2627" s="27" t="s">
        <v>3371</v>
      </c>
      <c r="D2627" s="27" t="s">
        <v>17</v>
      </c>
      <c r="E2627" s="27" t="s">
        <v>42</v>
      </c>
      <c r="F2627" s="27" t="s">
        <v>43</v>
      </c>
      <c r="G2627" s="27" t="s">
        <v>217</v>
      </c>
      <c r="H2627" s="29">
        <v>510</v>
      </c>
      <c r="I2627" s="27" t="s">
        <v>29</v>
      </c>
      <c r="J2627" s="37">
        <v>45505</v>
      </c>
      <c r="K2627" s="27" t="s">
        <v>22</v>
      </c>
    </row>
    <row r="2628" spans="1:11" x14ac:dyDescent="0.2">
      <c r="A2628" s="24" t="s">
        <v>6530</v>
      </c>
      <c r="B2628" s="24" t="s">
        <v>6531</v>
      </c>
      <c r="C2628" s="24" t="s">
        <v>6532</v>
      </c>
      <c r="D2628" s="24" t="s">
        <v>17</v>
      </c>
      <c r="E2628" s="24" t="s">
        <v>18</v>
      </c>
      <c r="F2628" s="24" t="s">
        <v>19</v>
      </c>
      <c r="G2628" s="24" t="s">
        <v>20</v>
      </c>
      <c r="H2628" s="26">
        <v>29</v>
      </c>
      <c r="I2628" s="24" t="s">
        <v>21</v>
      </c>
      <c r="J2628" s="36">
        <v>45532</v>
      </c>
      <c r="K2628" s="24" t="s">
        <v>22</v>
      </c>
    </row>
    <row r="2629" spans="1:11" x14ac:dyDescent="0.2">
      <c r="A2629" s="27" t="s">
        <v>6533</v>
      </c>
      <c r="B2629" s="27" t="s">
        <v>6534</v>
      </c>
      <c r="C2629" s="27" t="s">
        <v>6535</v>
      </c>
      <c r="D2629" s="27" t="s">
        <v>17</v>
      </c>
      <c r="E2629" s="27" t="s">
        <v>42</v>
      </c>
      <c r="F2629" s="27" t="s">
        <v>43</v>
      </c>
      <c r="G2629" s="27" t="s">
        <v>28</v>
      </c>
      <c r="H2629" s="29">
        <v>288</v>
      </c>
      <c r="I2629" s="27" t="s">
        <v>29</v>
      </c>
      <c r="J2629" s="37">
        <v>45511</v>
      </c>
      <c r="K2629" s="27" t="s">
        <v>22</v>
      </c>
    </row>
    <row r="2630" spans="1:11" x14ac:dyDescent="0.2">
      <c r="A2630" s="24" t="s">
        <v>6536</v>
      </c>
      <c r="B2630" s="24" t="s">
        <v>6537</v>
      </c>
      <c r="C2630" s="24" t="s">
        <v>6538</v>
      </c>
      <c r="D2630" s="24" t="s">
        <v>17</v>
      </c>
      <c r="E2630" s="24" t="s">
        <v>18</v>
      </c>
      <c r="F2630" s="24" t="s">
        <v>19</v>
      </c>
      <c r="G2630" s="24" t="s">
        <v>217</v>
      </c>
      <c r="H2630" s="26">
        <v>14</v>
      </c>
      <c r="I2630" s="24" t="s">
        <v>29</v>
      </c>
      <c r="J2630" s="36">
        <v>45505</v>
      </c>
      <c r="K2630" s="24" t="s">
        <v>22</v>
      </c>
    </row>
    <row r="2631" spans="1:11" x14ac:dyDescent="0.2">
      <c r="A2631" s="27" t="s">
        <v>6539</v>
      </c>
      <c r="B2631" s="27" t="s">
        <v>6540</v>
      </c>
      <c r="C2631" s="27" t="s">
        <v>437</v>
      </c>
      <c r="D2631" s="27" t="s">
        <v>17</v>
      </c>
      <c r="E2631" s="27" t="s">
        <v>18</v>
      </c>
      <c r="F2631" s="27" t="s">
        <v>19</v>
      </c>
      <c r="G2631" s="27" t="s">
        <v>20</v>
      </c>
      <c r="H2631" s="29">
        <v>120</v>
      </c>
      <c r="I2631" s="27" t="s">
        <v>21</v>
      </c>
      <c r="J2631" s="37">
        <v>45524</v>
      </c>
      <c r="K2631" s="27" t="s">
        <v>22</v>
      </c>
    </row>
    <row r="2632" spans="1:11" x14ac:dyDescent="0.2">
      <c r="A2632" s="24" t="s">
        <v>6541</v>
      </c>
      <c r="B2632" s="24" t="s">
        <v>6542</v>
      </c>
      <c r="C2632" s="24" t="s">
        <v>2988</v>
      </c>
      <c r="D2632" s="24" t="s">
        <v>17</v>
      </c>
      <c r="E2632" s="24" t="s">
        <v>26</v>
      </c>
      <c r="F2632" s="24" t="s">
        <v>27</v>
      </c>
      <c r="G2632" s="24" t="s">
        <v>44</v>
      </c>
      <c r="H2632" s="26">
        <v>100</v>
      </c>
      <c r="I2632" s="24" t="s">
        <v>21</v>
      </c>
      <c r="J2632" s="36">
        <v>45511</v>
      </c>
      <c r="K2632" s="24" t="s">
        <v>22</v>
      </c>
    </row>
    <row r="2633" spans="1:11" x14ac:dyDescent="0.2">
      <c r="A2633" s="27" t="s">
        <v>6543</v>
      </c>
      <c r="B2633" s="27" t="s">
        <v>6544</v>
      </c>
      <c r="C2633" s="27" t="s">
        <v>6545</v>
      </c>
      <c r="D2633" s="27" t="s">
        <v>17</v>
      </c>
      <c r="E2633" s="27" t="s">
        <v>48</v>
      </c>
      <c r="F2633" s="27" t="s">
        <v>49</v>
      </c>
      <c r="G2633" s="27" t="s">
        <v>28</v>
      </c>
      <c r="H2633" s="29">
        <v>39</v>
      </c>
      <c r="I2633" s="27" t="s">
        <v>29</v>
      </c>
      <c r="J2633" s="37">
        <v>45524</v>
      </c>
      <c r="K2633" s="27" t="s">
        <v>22</v>
      </c>
    </row>
    <row r="2634" spans="1:11" x14ac:dyDescent="0.2">
      <c r="A2634" s="24" t="s">
        <v>6546</v>
      </c>
      <c r="B2634" s="24" t="s">
        <v>6547</v>
      </c>
      <c r="C2634" s="24" t="s">
        <v>437</v>
      </c>
      <c r="D2634" s="24" t="s">
        <v>17</v>
      </c>
      <c r="E2634" s="24" t="s">
        <v>48</v>
      </c>
      <c r="F2634" s="24" t="s">
        <v>49</v>
      </c>
      <c r="G2634" s="24" t="s">
        <v>44</v>
      </c>
      <c r="H2634" s="26">
        <v>32</v>
      </c>
      <c r="I2634" s="24" t="s">
        <v>21</v>
      </c>
      <c r="J2634" s="36">
        <v>45531</v>
      </c>
      <c r="K2634" s="24" t="s">
        <v>22</v>
      </c>
    </row>
    <row r="2635" spans="1:11" x14ac:dyDescent="0.2">
      <c r="A2635" s="27" t="s">
        <v>6548</v>
      </c>
      <c r="B2635" s="27" t="s">
        <v>6549</v>
      </c>
      <c r="C2635" s="27" t="s">
        <v>6550</v>
      </c>
      <c r="D2635" s="27" t="s">
        <v>17</v>
      </c>
      <c r="E2635" s="27" t="s">
        <v>42</v>
      </c>
      <c r="F2635" s="27" t="s">
        <v>43</v>
      </c>
      <c r="G2635" s="27" t="s">
        <v>44</v>
      </c>
      <c r="H2635" s="29">
        <v>150</v>
      </c>
      <c r="I2635" s="27" t="s">
        <v>29</v>
      </c>
      <c r="J2635" s="37">
        <v>45505</v>
      </c>
      <c r="K2635" s="27" t="s">
        <v>22</v>
      </c>
    </row>
    <row r="2636" spans="1:11" x14ac:dyDescent="0.2">
      <c r="A2636" s="24" t="s">
        <v>6551</v>
      </c>
      <c r="B2636" s="24" t="s">
        <v>6552</v>
      </c>
      <c r="C2636" s="24" t="s">
        <v>6553</v>
      </c>
      <c r="D2636" s="24" t="s">
        <v>17</v>
      </c>
      <c r="E2636" s="24" t="s">
        <v>81</v>
      </c>
      <c r="F2636" s="24" t="s">
        <v>82</v>
      </c>
      <c r="G2636" s="24" t="s">
        <v>28</v>
      </c>
      <c r="H2636" s="26">
        <v>400</v>
      </c>
      <c r="I2636" s="24" t="s">
        <v>29</v>
      </c>
      <c r="J2636" s="36">
        <v>45513</v>
      </c>
      <c r="K2636" s="24" t="s">
        <v>22</v>
      </c>
    </row>
    <row r="2637" spans="1:11" x14ac:dyDescent="0.2">
      <c r="A2637" s="27" t="s">
        <v>6554</v>
      </c>
      <c r="B2637" s="27" t="s">
        <v>6555</v>
      </c>
      <c r="C2637" s="27" t="s">
        <v>6556</v>
      </c>
      <c r="D2637" s="27" t="s">
        <v>17</v>
      </c>
      <c r="E2637" s="27" t="s">
        <v>26</v>
      </c>
      <c r="F2637" s="27" t="s">
        <v>27</v>
      </c>
      <c r="G2637" s="27" t="s">
        <v>28</v>
      </c>
      <c r="H2637" s="29">
        <v>18</v>
      </c>
      <c r="I2637" s="27" t="s">
        <v>29</v>
      </c>
      <c r="J2637" s="37">
        <v>45509</v>
      </c>
      <c r="K2637" s="27" t="s">
        <v>22</v>
      </c>
    </row>
    <row r="2638" spans="1:11" x14ac:dyDescent="0.2">
      <c r="A2638" s="24" t="s">
        <v>6557</v>
      </c>
      <c r="B2638" s="24" t="s">
        <v>6558</v>
      </c>
      <c r="C2638" s="24" t="s">
        <v>5791</v>
      </c>
      <c r="D2638" s="24" t="s">
        <v>17</v>
      </c>
      <c r="E2638" s="24" t="s">
        <v>48</v>
      </c>
      <c r="F2638" s="24" t="s">
        <v>49</v>
      </c>
      <c r="G2638" s="24" t="s">
        <v>44</v>
      </c>
      <c r="H2638" s="26">
        <v>215</v>
      </c>
      <c r="I2638" s="24" t="s">
        <v>21</v>
      </c>
      <c r="J2638" s="36">
        <v>45505</v>
      </c>
      <c r="K2638" s="24" t="s">
        <v>22</v>
      </c>
    </row>
    <row r="2639" spans="1:11" x14ac:dyDescent="0.2">
      <c r="A2639" s="27" t="s">
        <v>6559</v>
      </c>
      <c r="B2639" s="27" t="s">
        <v>6560</v>
      </c>
      <c r="C2639" s="27" t="s">
        <v>6561</v>
      </c>
      <c r="D2639" s="27" t="s">
        <v>17</v>
      </c>
      <c r="E2639" s="27" t="s">
        <v>18</v>
      </c>
      <c r="F2639" s="27" t="s">
        <v>19</v>
      </c>
      <c r="G2639" s="27" t="s">
        <v>28</v>
      </c>
      <c r="H2639" s="29">
        <v>105</v>
      </c>
      <c r="I2639" s="27" t="s">
        <v>29</v>
      </c>
      <c r="J2639" s="37">
        <v>45523</v>
      </c>
      <c r="K2639" s="27" t="s">
        <v>22</v>
      </c>
    </row>
    <row r="2640" spans="1:11" x14ac:dyDescent="0.2">
      <c r="A2640" s="24" t="s">
        <v>6562</v>
      </c>
      <c r="B2640" s="24" t="s">
        <v>6563</v>
      </c>
      <c r="C2640" s="24" t="s">
        <v>1158</v>
      </c>
      <c r="D2640" s="24" t="s">
        <v>17</v>
      </c>
      <c r="E2640" s="24" t="s">
        <v>48</v>
      </c>
      <c r="F2640" s="24" t="s">
        <v>49</v>
      </c>
      <c r="G2640" s="24" t="s">
        <v>28</v>
      </c>
      <c r="H2640" s="26">
        <v>30</v>
      </c>
      <c r="I2640" s="24" t="s">
        <v>29</v>
      </c>
      <c r="J2640" s="36">
        <v>45534</v>
      </c>
      <c r="K2640" s="24" t="s">
        <v>22</v>
      </c>
    </row>
    <row r="2641" spans="1:11" x14ac:dyDescent="0.2">
      <c r="A2641" s="27" t="s">
        <v>6564</v>
      </c>
      <c r="B2641" s="27" t="s">
        <v>6565</v>
      </c>
      <c r="C2641" s="27" t="s">
        <v>194</v>
      </c>
      <c r="D2641" s="27" t="s">
        <v>17</v>
      </c>
      <c r="E2641" s="27" t="s">
        <v>48</v>
      </c>
      <c r="F2641" s="27" t="s">
        <v>49</v>
      </c>
      <c r="G2641" s="27" t="s">
        <v>28</v>
      </c>
      <c r="H2641" s="29">
        <v>52</v>
      </c>
      <c r="I2641" s="27" t="s">
        <v>29</v>
      </c>
      <c r="J2641" s="37">
        <v>45506</v>
      </c>
      <c r="K2641" s="27" t="s">
        <v>22</v>
      </c>
    </row>
    <row r="2642" spans="1:11" x14ac:dyDescent="0.2">
      <c r="A2642" s="24" t="s">
        <v>6566</v>
      </c>
      <c r="B2642" s="24" t="s">
        <v>6567</v>
      </c>
      <c r="C2642" s="24" t="s">
        <v>6568</v>
      </c>
      <c r="D2642" s="24" t="s">
        <v>17</v>
      </c>
      <c r="E2642" s="24" t="s">
        <v>48</v>
      </c>
      <c r="F2642" s="24" t="s">
        <v>49</v>
      </c>
      <c r="G2642" s="24" t="s">
        <v>20</v>
      </c>
      <c r="H2642" s="26">
        <v>11</v>
      </c>
      <c r="I2642" s="24" t="s">
        <v>21</v>
      </c>
      <c r="J2642" s="36">
        <v>45512</v>
      </c>
      <c r="K2642" s="24" t="s">
        <v>22</v>
      </c>
    </row>
    <row r="2643" spans="1:11" x14ac:dyDescent="0.2">
      <c r="A2643" s="27" t="s">
        <v>6569</v>
      </c>
      <c r="B2643" s="27" t="s">
        <v>6570</v>
      </c>
      <c r="C2643" s="27" t="s">
        <v>5080</v>
      </c>
      <c r="D2643" s="27" t="s">
        <v>17</v>
      </c>
      <c r="E2643" s="27" t="s">
        <v>42</v>
      </c>
      <c r="F2643" s="27" t="s">
        <v>43</v>
      </c>
      <c r="G2643" s="27" t="s">
        <v>28</v>
      </c>
      <c r="H2643" s="29">
        <v>550</v>
      </c>
      <c r="I2643" s="27" t="s">
        <v>29</v>
      </c>
      <c r="J2643" s="37">
        <v>45517</v>
      </c>
      <c r="K2643" s="27" t="s">
        <v>22</v>
      </c>
    </row>
    <row r="2644" spans="1:11" x14ac:dyDescent="0.2">
      <c r="A2644" s="24" t="s">
        <v>6571</v>
      </c>
      <c r="B2644" s="24" t="s">
        <v>6572</v>
      </c>
      <c r="C2644" s="24" t="s">
        <v>260</v>
      </c>
      <c r="D2644" s="24" t="s">
        <v>17</v>
      </c>
      <c r="E2644" s="24" t="s">
        <v>18</v>
      </c>
      <c r="F2644" s="24" t="s">
        <v>19</v>
      </c>
      <c r="G2644" s="24" t="s">
        <v>44</v>
      </c>
      <c r="H2644" s="26">
        <v>390</v>
      </c>
      <c r="I2644" s="24" t="s">
        <v>21</v>
      </c>
      <c r="J2644" s="36">
        <v>45552</v>
      </c>
      <c r="K2644" s="24" t="s">
        <v>22</v>
      </c>
    </row>
    <row r="2645" spans="1:11" x14ac:dyDescent="0.2">
      <c r="A2645" s="27" t="s">
        <v>6573</v>
      </c>
      <c r="B2645" s="27" t="s">
        <v>6574</v>
      </c>
      <c r="C2645" s="27" t="s">
        <v>6575</v>
      </c>
      <c r="D2645" s="27" t="s">
        <v>17</v>
      </c>
      <c r="E2645" s="27" t="s">
        <v>18</v>
      </c>
      <c r="F2645" s="27" t="s">
        <v>19</v>
      </c>
      <c r="G2645" s="27" t="s">
        <v>44</v>
      </c>
      <c r="H2645" s="29">
        <v>9</v>
      </c>
      <c r="I2645" s="27" t="s">
        <v>29</v>
      </c>
      <c r="J2645" s="37">
        <v>45559</v>
      </c>
      <c r="K2645" s="27" t="s">
        <v>22</v>
      </c>
    </row>
    <row r="2646" spans="1:11" x14ac:dyDescent="0.2">
      <c r="A2646" s="24" t="s">
        <v>6576</v>
      </c>
      <c r="B2646" s="24" t="s">
        <v>6577</v>
      </c>
      <c r="C2646" s="24" t="s">
        <v>1158</v>
      </c>
      <c r="D2646" s="24" t="s">
        <v>17</v>
      </c>
      <c r="E2646" s="24" t="s">
        <v>18</v>
      </c>
      <c r="F2646" s="24" t="s">
        <v>19</v>
      </c>
      <c r="G2646" s="24" t="s">
        <v>28</v>
      </c>
      <c r="H2646" s="26">
        <v>16</v>
      </c>
      <c r="I2646" s="24" t="s">
        <v>29</v>
      </c>
      <c r="J2646" s="36">
        <v>45559</v>
      </c>
      <c r="K2646" s="24" t="s">
        <v>22</v>
      </c>
    </row>
    <row r="2647" spans="1:11" x14ac:dyDescent="0.2">
      <c r="A2647" s="27" t="s">
        <v>6578</v>
      </c>
      <c r="B2647" s="27" t="s">
        <v>6579</v>
      </c>
      <c r="C2647" s="27" t="s">
        <v>6580</v>
      </c>
      <c r="D2647" s="27" t="s">
        <v>17</v>
      </c>
      <c r="E2647" s="27" t="s">
        <v>42</v>
      </c>
      <c r="F2647" s="27" t="s">
        <v>43</v>
      </c>
      <c r="G2647" s="27" t="s">
        <v>28</v>
      </c>
      <c r="H2647" s="29">
        <v>160</v>
      </c>
      <c r="I2647" s="27" t="s">
        <v>29</v>
      </c>
      <c r="J2647" s="37">
        <v>45560</v>
      </c>
      <c r="K2647" s="27" t="s">
        <v>22</v>
      </c>
    </row>
    <row r="2648" spans="1:11" x14ac:dyDescent="0.2">
      <c r="A2648" s="24" t="s">
        <v>6581</v>
      </c>
      <c r="B2648" s="24" t="s">
        <v>6582</v>
      </c>
      <c r="C2648" s="24" t="s">
        <v>6583</v>
      </c>
      <c r="D2648" s="24" t="s">
        <v>17</v>
      </c>
      <c r="E2648" s="24" t="s">
        <v>48</v>
      </c>
      <c r="F2648" s="24" t="s">
        <v>49</v>
      </c>
      <c r="G2648" s="24" t="s">
        <v>20</v>
      </c>
      <c r="H2648" s="26">
        <v>15</v>
      </c>
      <c r="I2648" s="24" t="s">
        <v>21</v>
      </c>
      <c r="J2648" s="36">
        <v>45540</v>
      </c>
      <c r="K2648" s="24" t="s">
        <v>22</v>
      </c>
    </row>
    <row r="2649" spans="1:11" x14ac:dyDescent="0.2">
      <c r="A2649" s="27" t="s">
        <v>6584</v>
      </c>
      <c r="B2649" s="27" t="s">
        <v>6585</v>
      </c>
      <c r="C2649" s="27" t="s">
        <v>388</v>
      </c>
      <c r="D2649" s="27" t="s">
        <v>17</v>
      </c>
      <c r="E2649" s="27" t="s">
        <v>42</v>
      </c>
      <c r="F2649" s="27" t="s">
        <v>43</v>
      </c>
      <c r="G2649" s="27" t="s">
        <v>28</v>
      </c>
      <c r="H2649" s="29">
        <v>80</v>
      </c>
      <c r="I2649" s="27" t="s">
        <v>29</v>
      </c>
      <c r="J2649" s="37">
        <v>45558</v>
      </c>
      <c r="K2649" s="27" t="s">
        <v>22</v>
      </c>
    </row>
    <row r="2650" spans="1:11" x14ac:dyDescent="0.2">
      <c r="A2650" s="24" t="s">
        <v>6586</v>
      </c>
      <c r="B2650" s="24" t="s">
        <v>6587</v>
      </c>
      <c r="C2650" s="24" t="s">
        <v>6588</v>
      </c>
      <c r="D2650" s="24" t="s">
        <v>17</v>
      </c>
      <c r="E2650" s="24" t="s">
        <v>18</v>
      </c>
      <c r="F2650" s="24" t="s">
        <v>19</v>
      </c>
      <c r="G2650" s="24" t="s">
        <v>227</v>
      </c>
      <c r="H2650" s="26">
        <v>12</v>
      </c>
      <c r="I2650" s="24" t="s">
        <v>29</v>
      </c>
      <c r="J2650" s="36">
        <v>45544</v>
      </c>
      <c r="K2650" s="24" t="s">
        <v>22</v>
      </c>
    </row>
    <row r="2651" spans="1:11" x14ac:dyDescent="0.2">
      <c r="A2651" s="27" t="s">
        <v>6589</v>
      </c>
      <c r="B2651" s="27" t="s">
        <v>6590</v>
      </c>
      <c r="C2651" s="27" t="s">
        <v>6591</v>
      </c>
      <c r="D2651" s="27" t="s">
        <v>17</v>
      </c>
      <c r="E2651" s="27" t="s">
        <v>48</v>
      </c>
      <c r="F2651" s="27" t="s">
        <v>49</v>
      </c>
      <c r="G2651" s="27" t="s">
        <v>217</v>
      </c>
      <c r="H2651" s="29">
        <v>32</v>
      </c>
      <c r="I2651" s="27" t="s">
        <v>29</v>
      </c>
      <c r="J2651" s="37">
        <v>45536</v>
      </c>
      <c r="K2651" s="27" t="s">
        <v>22</v>
      </c>
    </row>
    <row r="2652" spans="1:11" x14ac:dyDescent="0.2">
      <c r="A2652" s="24" t="s">
        <v>6592</v>
      </c>
      <c r="B2652" s="24" t="s">
        <v>6593</v>
      </c>
      <c r="C2652" s="24" t="s">
        <v>2638</v>
      </c>
      <c r="D2652" s="24" t="s">
        <v>17</v>
      </c>
      <c r="E2652" s="24" t="s">
        <v>18</v>
      </c>
      <c r="F2652" s="24" t="s">
        <v>19</v>
      </c>
      <c r="G2652" s="24" t="s">
        <v>28</v>
      </c>
      <c r="H2652" s="26">
        <v>20</v>
      </c>
      <c r="I2652" s="24" t="s">
        <v>29</v>
      </c>
      <c r="J2652" s="36">
        <v>45555</v>
      </c>
      <c r="K2652" s="24" t="s">
        <v>22</v>
      </c>
    </row>
    <row r="2653" spans="1:11" x14ac:dyDescent="0.2">
      <c r="A2653" s="27" t="s">
        <v>6594</v>
      </c>
      <c r="B2653" s="27" t="s">
        <v>6595</v>
      </c>
      <c r="C2653" s="27" t="s">
        <v>2705</v>
      </c>
      <c r="D2653" s="27" t="s">
        <v>17</v>
      </c>
      <c r="E2653" s="27" t="s">
        <v>18</v>
      </c>
      <c r="F2653" s="27" t="s">
        <v>19</v>
      </c>
      <c r="G2653" s="27" t="s">
        <v>28</v>
      </c>
      <c r="H2653" s="29">
        <v>7</v>
      </c>
      <c r="I2653" s="27" t="s">
        <v>29</v>
      </c>
      <c r="J2653" s="37">
        <v>45555</v>
      </c>
      <c r="K2653" s="27" t="s">
        <v>22</v>
      </c>
    </row>
    <row r="2654" spans="1:11" x14ac:dyDescent="0.2">
      <c r="A2654" s="24" t="s">
        <v>6596</v>
      </c>
      <c r="B2654" s="24" t="s">
        <v>6597</v>
      </c>
      <c r="C2654" s="24" t="s">
        <v>6598</v>
      </c>
      <c r="D2654" s="24" t="s">
        <v>17</v>
      </c>
      <c r="E2654" s="24" t="s">
        <v>48</v>
      </c>
      <c r="F2654" s="24" t="s">
        <v>49</v>
      </c>
      <c r="G2654" s="24" t="s">
        <v>59</v>
      </c>
      <c r="H2654" s="26">
        <v>90</v>
      </c>
      <c r="I2654" s="24" t="s">
        <v>21</v>
      </c>
      <c r="J2654" s="36">
        <v>45541</v>
      </c>
      <c r="K2654" s="24" t="s">
        <v>22</v>
      </c>
    </row>
    <row r="2655" spans="1:11" x14ac:dyDescent="0.2">
      <c r="A2655" s="27" t="s">
        <v>6599</v>
      </c>
      <c r="B2655" s="27" t="s">
        <v>6600</v>
      </c>
      <c r="C2655" s="27" t="s">
        <v>6601</v>
      </c>
      <c r="D2655" s="27" t="s">
        <v>17</v>
      </c>
      <c r="E2655" s="27" t="s">
        <v>48</v>
      </c>
      <c r="F2655" s="27" t="s">
        <v>49</v>
      </c>
      <c r="G2655" s="27" t="s">
        <v>44</v>
      </c>
      <c r="H2655" s="29">
        <v>250</v>
      </c>
      <c r="I2655" s="27" t="s">
        <v>29</v>
      </c>
      <c r="J2655" s="37">
        <v>45551</v>
      </c>
      <c r="K2655" s="27" t="s">
        <v>22</v>
      </c>
    </row>
    <row r="2656" spans="1:11" x14ac:dyDescent="0.2">
      <c r="A2656" s="24" t="s">
        <v>6602</v>
      </c>
      <c r="B2656" s="24" t="s">
        <v>6603</v>
      </c>
      <c r="C2656" s="24" t="s">
        <v>4524</v>
      </c>
      <c r="D2656" s="24" t="s">
        <v>17</v>
      </c>
      <c r="E2656" s="24" t="s">
        <v>26</v>
      </c>
      <c r="F2656" s="24" t="s">
        <v>27</v>
      </c>
      <c r="G2656" s="24" t="s">
        <v>28</v>
      </c>
      <c r="H2656" s="26">
        <v>46</v>
      </c>
      <c r="I2656" s="24" t="s">
        <v>29</v>
      </c>
      <c r="J2656" s="36">
        <v>45560</v>
      </c>
      <c r="K2656" s="24" t="s">
        <v>22</v>
      </c>
    </row>
    <row r="2657" spans="1:11" x14ac:dyDescent="0.2">
      <c r="A2657" s="27" t="s">
        <v>6604</v>
      </c>
      <c r="B2657" s="27" t="s">
        <v>6605</v>
      </c>
      <c r="C2657" s="27" t="s">
        <v>1014</v>
      </c>
      <c r="D2657" s="27" t="s">
        <v>17</v>
      </c>
      <c r="E2657" s="27" t="s">
        <v>18</v>
      </c>
      <c r="F2657" s="27" t="s">
        <v>19</v>
      </c>
      <c r="G2657" s="27" t="s">
        <v>38</v>
      </c>
      <c r="H2657" s="29">
        <v>48</v>
      </c>
      <c r="I2657" s="27" t="s">
        <v>29</v>
      </c>
      <c r="J2657" s="37">
        <v>45540</v>
      </c>
      <c r="K2657" s="27" t="s">
        <v>22</v>
      </c>
    </row>
    <row r="2658" spans="1:11" x14ac:dyDescent="0.2">
      <c r="A2658" s="24" t="s">
        <v>6606</v>
      </c>
      <c r="B2658" s="24" t="s">
        <v>6607</v>
      </c>
      <c r="C2658" s="24" t="s">
        <v>6608</v>
      </c>
      <c r="D2658" s="24" t="s">
        <v>17</v>
      </c>
      <c r="E2658" s="24" t="s">
        <v>18</v>
      </c>
      <c r="F2658" s="24" t="s">
        <v>19</v>
      </c>
      <c r="G2658" s="24" t="s">
        <v>44</v>
      </c>
      <c r="H2658" s="26">
        <v>64</v>
      </c>
      <c r="I2658" s="24" t="s">
        <v>21</v>
      </c>
      <c r="J2658" s="36">
        <v>45554</v>
      </c>
      <c r="K2658" s="24" t="s">
        <v>22</v>
      </c>
    </row>
    <row r="2659" spans="1:11" x14ac:dyDescent="0.2">
      <c r="A2659" s="27" t="s">
        <v>6609</v>
      </c>
      <c r="B2659" s="27" t="s">
        <v>6610</v>
      </c>
      <c r="C2659" s="27" t="s">
        <v>251</v>
      </c>
      <c r="D2659" s="27" t="s">
        <v>17</v>
      </c>
      <c r="E2659" s="27" t="s">
        <v>18</v>
      </c>
      <c r="F2659" s="27" t="s">
        <v>19</v>
      </c>
      <c r="G2659" s="27" t="s">
        <v>59</v>
      </c>
      <c r="H2659" s="29">
        <v>4</v>
      </c>
      <c r="I2659" s="27" t="s">
        <v>21</v>
      </c>
      <c r="J2659" s="37">
        <v>45543</v>
      </c>
      <c r="K2659" s="27" t="s">
        <v>22</v>
      </c>
    </row>
    <row r="2660" spans="1:11" x14ac:dyDescent="0.2">
      <c r="A2660" s="24" t="s">
        <v>6611</v>
      </c>
      <c r="B2660" s="24" t="s">
        <v>6612</v>
      </c>
      <c r="C2660" s="24" t="s">
        <v>687</v>
      </c>
      <c r="D2660" s="24" t="s">
        <v>17</v>
      </c>
      <c r="E2660" s="24" t="s">
        <v>18</v>
      </c>
      <c r="F2660" s="24" t="s">
        <v>19</v>
      </c>
      <c r="G2660" s="24" t="s">
        <v>20</v>
      </c>
      <c r="H2660" s="26">
        <v>38</v>
      </c>
      <c r="I2660" s="24" t="s">
        <v>21</v>
      </c>
      <c r="J2660" s="36">
        <v>45545</v>
      </c>
      <c r="K2660" s="24" t="s">
        <v>22</v>
      </c>
    </row>
    <row r="2661" spans="1:11" x14ac:dyDescent="0.2">
      <c r="A2661" s="27" t="s">
        <v>6613</v>
      </c>
      <c r="B2661" s="27" t="s">
        <v>6614</v>
      </c>
      <c r="C2661" s="27" t="s">
        <v>963</v>
      </c>
      <c r="D2661" s="27" t="s">
        <v>17</v>
      </c>
      <c r="E2661" s="27" t="s">
        <v>18</v>
      </c>
      <c r="F2661" s="27" t="s">
        <v>19</v>
      </c>
      <c r="G2661" s="27" t="s">
        <v>59</v>
      </c>
      <c r="H2661" s="29">
        <v>26</v>
      </c>
      <c r="I2661" s="27" t="s">
        <v>21</v>
      </c>
      <c r="J2661" s="37">
        <v>45552</v>
      </c>
      <c r="K2661" s="27" t="s">
        <v>22</v>
      </c>
    </row>
    <row r="2662" spans="1:11" x14ac:dyDescent="0.2">
      <c r="A2662" s="24" t="s">
        <v>6615</v>
      </c>
      <c r="B2662" s="24" t="s">
        <v>6616</v>
      </c>
      <c r="C2662" s="24" t="s">
        <v>6617</v>
      </c>
      <c r="D2662" s="24" t="s">
        <v>17</v>
      </c>
      <c r="E2662" s="24" t="s">
        <v>48</v>
      </c>
      <c r="F2662" s="24" t="s">
        <v>49</v>
      </c>
      <c r="G2662" s="24" t="s">
        <v>28</v>
      </c>
      <c r="H2662" s="26">
        <v>96</v>
      </c>
      <c r="I2662" s="24" t="s">
        <v>29</v>
      </c>
      <c r="J2662" s="36">
        <v>45536</v>
      </c>
      <c r="K2662" s="24" t="s">
        <v>22</v>
      </c>
    </row>
    <row r="2663" spans="1:11" x14ac:dyDescent="0.2">
      <c r="A2663" s="27" t="s">
        <v>6618</v>
      </c>
      <c r="B2663" s="27" t="s">
        <v>6619</v>
      </c>
      <c r="C2663" s="27" t="s">
        <v>1147</v>
      </c>
      <c r="D2663" s="27" t="s">
        <v>17</v>
      </c>
      <c r="E2663" s="27" t="s">
        <v>42</v>
      </c>
      <c r="F2663" s="27" t="s">
        <v>43</v>
      </c>
      <c r="G2663" s="27" t="s">
        <v>20</v>
      </c>
      <c r="H2663" s="29">
        <v>706</v>
      </c>
      <c r="I2663" s="27" t="s">
        <v>21</v>
      </c>
      <c r="J2663" s="37">
        <v>45538</v>
      </c>
      <c r="K2663" s="27" t="s">
        <v>22</v>
      </c>
    </row>
    <row r="2664" spans="1:11" x14ac:dyDescent="0.2">
      <c r="A2664" s="24" t="s">
        <v>6620</v>
      </c>
      <c r="B2664" s="24" t="s">
        <v>6621</v>
      </c>
      <c r="C2664" s="24" t="s">
        <v>6622</v>
      </c>
      <c r="D2664" s="24" t="s">
        <v>17</v>
      </c>
      <c r="E2664" s="24" t="s">
        <v>42</v>
      </c>
      <c r="F2664" s="24" t="s">
        <v>43</v>
      </c>
      <c r="G2664" s="24" t="s">
        <v>28</v>
      </c>
      <c r="H2664" s="26">
        <v>406</v>
      </c>
      <c r="I2664" s="24" t="s">
        <v>29</v>
      </c>
      <c r="J2664" s="36">
        <v>45561</v>
      </c>
      <c r="K2664" s="24" t="s">
        <v>22</v>
      </c>
    </row>
    <row r="2665" spans="1:11" x14ac:dyDescent="0.2">
      <c r="A2665" s="27" t="s">
        <v>6623</v>
      </c>
      <c r="B2665" s="27" t="s">
        <v>6624</v>
      </c>
      <c r="C2665" s="27" t="s">
        <v>6625</v>
      </c>
      <c r="D2665" s="27" t="s">
        <v>17</v>
      </c>
      <c r="E2665" s="27" t="s">
        <v>48</v>
      </c>
      <c r="F2665" s="27" t="s">
        <v>49</v>
      </c>
      <c r="G2665" s="27" t="s">
        <v>59</v>
      </c>
      <c r="H2665" s="29">
        <v>30</v>
      </c>
      <c r="I2665" s="27" t="s">
        <v>21</v>
      </c>
      <c r="J2665" s="37">
        <v>45537</v>
      </c>
      <c r="K2665" s="27" t="s">
        <v>22</v>
      </c>
    </row>
    <row r="2666" spans="1:11" x14ac:dyDescent="0.2">
      <c r="A2666" s="24" t="s">
        <v>6626</v>
      </c>
      <c r="B2666" s="24" t="s">
        <v>6627</v>
      </c>
      <c r="C2666" s="24" t="s">
        <v>708</v>
      </c>
      <c r="D2666" s="24" t="s">
        <v>17</v>
      </c>
      <c r="E2666" s="24" t="s">
        <v>48</v>
      </c>
      <c r="F2666" s="24" t="s">
        <v>49</v>
      </c>
      <c r="G2666" s="24" t="s">
        <v>28</v>
      </c>
      <c r="H2666" s="26">
        <v>116</v>
      </c>
      <c r="I2666" s="24" t="s">
        <v>29</v>
      </c>
      <c r="J2666" s="36">
        <v>45551</v>
      </c>
      <c r="K2666" s="24" t="s">
        <v>22</v>
      </c>
    </row>
    <row r="2667" spans="1:11" x14ac:dyDescent="0.2">
      <c r="A2667" s="27" t="s">
        <v>6628</v>
      </c>
      <c r="B2667" s="27" t="s">
        <v>6629</v>
      </c>
      <c r="C2667" s="27" t="s">
        <v>6630</v>
      </c>
      <c r="D2667" s="27" t="s">
        <v>17</v>
      </c>
      <c r="E2667" s="27" t="s">
        <v>18</v>
      </c>
      <c r="F2667" s="27" t="s">
        <v>19</v>
      </c>
      <c r="G2667" s="27" t="s">
        <v>44</v>
      </c>
      <c r="H2667" s="29">
        <v>12</v>
      </c>
      <c r="I2667" s="27" t="s">
        <v>29</v>
      </c>
      <c r="J2667" s="37">
        <v>45546</v>
      </c>
      <c r="K2667" s="27" t="s">
        <v>22</v>
      </c>
    </row>
    <row r="2668" spans="1:11" x14ac:dyDescent="0.2">
      <c r="A2668" s="24" t="s">
        <v>6631</v>
      </c>
      <c r="B2668" s="24" t="s">
        <v>6632</v>
      </c>
      <c r="C2668" s="24" t="s">
        <v>97</v>
      </c>
      <c r="D2668" s="24" t="s">
        <v>17</v>
      </c>
      <c r="E2668" s="24" t="s">
        <v>18</v>
      </c>
      <c r="F2668" s="24" t="s">
        <v>19</v>
      </c>
      <c r="G2668" s="24" t="s">
        <v>59</v>
      </c>
      <c r="H2668" s="26">
        <v>8</v>
      </c>
      <c r="I2668" s="24" t="s">
        <v>21</v>
      </c>
      <c r="J2668" s="36">
        <v>45562</v>
      </c>
      <c r="K2668" s="24" t="s">
        <v>22</v>
      </c>
    </row>
    <row r="2669" spans="1:11" x14ac:dyDescent="0.2">
      <c r="A2669" s="27" t="s">
        <v>6633</v>
      </c>
      <c r="B2669" s="27" t="s">
        <v>6634</v>
      </c>
      <c r="C2669" s="27" t="s">
        <v>678</v>
      </c>
      <c r="D2669" s="27" t="s">
        <v>17</v>
      </c>
      <c r="E2669" s="27" t="s">
        <v>48</v>
      </c>
      <c r="F2669" s="27" t="s">
        <v>49</v>
      </c>
      <c r="G2669" s="27" t="s">
        <v>28</v>
      </c>
      <c r="H2669" s="29">
        <v>230</v>
      </c>
      <c r="I2669" s="27" t="s">
        <v>29</v>
      </c>
      <c r="J2669" s="37">
        <v>45554</v>
      </c>
      <c r="K2669" s="27" t="s">
        <v>22</v>
      </c>
    </row>
    <row r="2670" spans="1:11" x14ac:dyDescent="0.2">
      <c r="A2670" s="24" t="s">
        <v>6635</v>
      </c>
      <c r="B2670" s="24" t="s">
        <v>6636</v>
      </c>
      <c r="C2670" s="24" t="s">
        <v>106</v>
      </c>
      <c r="D2670" s="24" t="s">
        <v>17</v>
      </c>
      <c r="E2670" s="24" t="s">
        <v>48</v>
      </c>
      <c r="F2670" s="24" t="s">
        <v>49</v>
      </c>
      <c r="G2670" s="24" t="s">
        <v>20</v>
      </c>
      <c r="H2670" s="26">
        <v>322</v>
      </c>
      <c r="I2670" s="24" t="s">
        <v>21</v>
      </c>
      <c r="J2670" s="36">
        <v>45540</v>
      </c>
      <c r="K2670" s="24" t="s">
        <v>22</v>
      </c>
    </row>
    <row r="2671" spans="1:11" x14ac:dyDescent="0.2">
      <c r="A2671" s="27" t="s">
        <v>6637</v>
      </c>
      <c r="B2671" s="27" t="s">
        <v>6638</v>
      </c>
      <c r="C2671" s="27" t="s">
        <v>6639</v>
      </c>
      <c r="D2671" s="27" t="s">
        <v>17</v>
      </c>
      <c r="E2671" s="27" t="s">
        <v>48</v>
      </c>
      <c r="F2671" s="27" t="s">
        <v>49</v>
      </c>
      <c r="G2671" s="27" t="s">
        <v>28</v>
      </c>
      <c r="H2671" s="29">
        <v>230</v>
      </c>
      <c r="I2671" s="27" t="s">
        <v>29</v>
      </c>
      <c r="J2671" s="37">
        <v>45555</v>
      </c>
      <c r="K2671" s="27" t="s">
        <v>22</v>
      </c>
    </row>
    <row r="2672" spans="1:11" x14ac:dyDescent="0.2">
      <c r="A2672" s="24" t="s">
        <v>6640</v>
      </c>
      <c r="B2672" s="24" t="s">
        <v>6641</v>
      </c>
      <c r="C2672" s="24" t="s">
        <v>242</v>
      </c>
      <c r="D2672" s="24" t="s">
        <v>17</v>
      </c>
      <c r="E2672" s="24" t="s">
        <v>48</v>
      </c>
      <c r="F2672" s="24" t="s">
        <v>49</v>
      </c>
      <c r="G2672" s="24" t="s">
        <v>28</v>
      </c>
      <c r="H2672" s="26">
        <v>130</v>
      </c>
      <c r="I2672" s="24" t="s">
        <v>29</v>
      </c>
      <c r="J2672" s="36">
        <v>45538</v>
      </c>
      <c r="K2672" s="24" t="s">
        <v>22</v>
      </c>
    </row>
    <row r="2673" spans="1:11" x14ac:dyDescent="0.2">
      <c r="A2673" s="27" t="s">
        <v>6642</v>
      </c>
      <c r="B2673" s="27" t="s">
        <v>6643</v>
      </c>
      <c r="C2673" s="27" t="s">
        <v>6644</v>
      </c>
      <c r="D2673" s="27" t="s">
        <v>17</v>
      </c>
      <c r="E2673" s="27" t="s">
        <v>48</v>
      </c>
      <c r="F2673" s="27" t="s">
        <v>49</v>
      </c>
      <c r="G2673" s="27" t="s">
        <v>44</v>
      </c>
      <c r="H2673" s="29">
        <v>43</v>
      </c>
      <c r="I2673" s="27" t="s">
        <v>21</v>
      </c>
      <c r="J2673" s="37">
        <v>45545</v>
      </c>
      <c r="K2673" s="27" t="s">
        <v>22</v>
      </c>
    </row>
    <row r="2674" spans="1:11" x14ac:dyDescent="0.2">
      <c r="A2674" s="24" t="s">
        <v>6645</v>
      </c>
      <c r="B2674" s="24" t="s">
        <v>6646</v>
      </c>
      <c r="C2674" s="24" t="s">
        <v>146</v>
      </c>
      <c r="D2674" s="24" t="s">
        <v>17</v>
      </c>
      <c r="E2674" s="24" t="s">
        <v>18</v>
      </c>
      <c r="F2674" s="24" t="s">
        <v>19</v>
      </c>
      <c r="G2674" s="24" t="s">
        <v>20</v>
      </c>
      <c r="H2674" s="26">
        <v>30</v>
      </c>
      <c r="I2674" s="24" t="s">
        <v>21</v>
      </c>
      <c r="J2674" s="36">
        <v>45537</v>
      </c>
      <c r="K2674" s="24" t="s">
        <v>22</v>
      </c>
    </row>
    <row r="2675" spans="1:11" x14ac:dyDescent="0.2">
      <c r="A2675" s="27" t="s">
        <v>6647</v>
      </c>
      <c r="B2675" s="27" t="s">
        <v>6648</v>
      </c>
      <c r="C2675" s="27" t="s">
        <v>6649</v>
      </c>
      <c r="D2675" s="27" t="s">
        <v>17</v>
      </c>
      <c r="E2675" s="27" t="s">
        <v>48</v>
      </c>
      <c r="F2675" s="27" t="s">
        <v>49</v>
      </c>
      <c r="G2675" s="27" t="s">
        <v>116</v>
      </c>
      <c r="H2675" s="29">
        <v>0</v>
      </c>
      <c r="I2675" s="27" t="s">
        <v>21</v>
      </c>
      <c r="J2675" s="37">
        <v>45562</v>
      </c>
      <c r="K2675" s="27" t="s">
        <v>22</v>
      </c>
    </row>
    <row r="2676" spans="1:11" x14ac:dyDescent="0.2">
      <c r="A2676" s="24" t="s">
        <v>6650</v>
      </c>
      <c r="B2676" s="24" t="s">
        <v>6651</v>
      </c>
      <c r="C2676" s="24" t="s">
        <v>266</v>
      </c>
      <c r="D2676" s="24" t="s">
        <v>17</v>
      </c>
      <c r="E2676" s="24" t="s">
        <v>18</v>
      </c>
      <c r="F2676" s="24" t="s">
        <v>19</v>
      </c>
      <c r="G2676" s="24" t="s">
        <v>217</v>
      </c>
      <c r="H2676" s="26">
        <v>44</v>
      </c>
      <c r="I2676" s="24" t="s">
        <v>29</v>
      </c>
      <c r="J2676" s="36">
        <v>45565</v>
      </c>
      <c r="K2676" s="24" t="s">
        <v>22</v>
      </c>
    </row>
    <row r="2677" spans="1:11" x14ac:dyDescent="0.2">
      <c r="A2677" s="27" t="s">
        <v>6652</v>
      </c>
      <c r="B2677" s="27" t="s">
        <v>6653</v>
      </c>
      <c r="C2677" s="27" t="s">
        <v>68</v>
      </c>
      <c r="D2677" s="27" t="s">
        <v>17</v>
      </c>
      <c r="E2677" s="27" t="s">
        <v>42</v>
      </c>
      <c r="F2677" s="27" t="s">
        <v>43</v>
      </c>
      <c r="G2677" s="27" t="s">
        <v>28</v>
      </c>
      <c r="H2677" s="29">
        <v>578</v>
      </c>
      <c r="I2677" s="27" t="s">
        <v>29</v>
      </c>
      <c r="J2677" s="37">
        <v>45560</v>
      </c>
      <c r="K2677" s="27" t="s">
        <v>22</v>
      </c>
    </row>
    <row r="2678" spans="1:11" x14ac:dyDescent="0.2">
      <c r="A2678" s="24" t="s">
        <v>6654</v>
      </c>
      <c r="B2678" s="24" t="s">
        <v>6655</v>
      </c>
      <c r="C2678" s="24" t="s">
        <v>6656</v>
      </c>
      <c r="D2678" s="24" t="s">
        <v>17</v>
      </c>
      <c r="E2678" s="24" t="s">
        <v>48</v>
      </c>
      <c r="F2678" s="24" t="s">
        <v>49</v>
      </c>
      <c r="G2678" s="24" t="s">
        <v>28</v>
      </c>
      <c r="H2678" s="26">
        <v>60</v>
      </c>
      <c r="I2678" s="24" t="s">
        <v>29</v>
      </c>
      <c r="J2678" s="36">
        <v>45549</v>
      </c>
      <c r="K2678" s="24" t="s">
        <v>22</v>
      </c>
    </row>
    <row r="2679" spans="1:11" x14ac:dyDescent="0.2">
      <c r="A2679" s="27" t="s">
        <v>6657</v>
      </c>
      <c r="B2679" s="27" t="s">
        <v>6658</v>
      </c>
      <c r="C2679" s="27" t="s">
        <v>708</v>
      </c>
      <c r="D2679" s="27" t="s">
        <v>17</v>
      </c>
      <c r="E2679" s="27" t="s">
        <v>48</v>
      </c>
      <c r="F2679" s="27" t="s">
        <v>49</v>
      </c>
      <c r="G2679" s="27" t="s">
        <v>44</v>
      </c>
      <c r="H2679" s="29">
        <v>151</v>
      </c>
      <c r="I2679" s="27" t="s">
        <v>21</v>
      </c>
      <c r="J2679" s="37">
        <v>45553</v>
      </c>
      <c r="K2679" s="27" t="s">
        <v>22</v>
      </c>
    </row>
    <row r="2680" spans="1:11" x14ac:dyDescent="0.2">
      <c r="A2680" s="24" t="s">
        <v>6659</v>
      </c>
      <c r="B2680" s="24" t="s">
        <v>6660</v>
      </c>
      <c r="C2680" s="24" t="s">
        <v>6661</v>
      </c>
      <c r="D2680" s="24" t="s">
        <v>17</v>
      </c>
      <c r="E2680" s="24" t="s">
        <v>42</v>
      </c>
      <c r="F2680" s="24" t="s">
        <v>43</v>
      </c>
      <c r="G2680" s="24" t="s">
        <v>44</v>
      </c>
      <c r="H2680" s="26">
        <v>316</v>
      </c>
      <c r="I2680" s="24" t="s">
        <v>21</v>
      </c>
      <c r="J2680" s="36">
        <v>45538</v>
      </c>
      <c r="K2680" s="24" t="s">
        <v>22</v>
      </c>
    </row>
    <row r="2681" spans="1:11" x14ac:dyDescent="0.2">
      <c r="A2681" s="27" t="s">
        <v>6662</v>
      </c>
      <c r="B2681" s="27" t="s">
        <v>6663</v>
      </c>
      <c r="C2681" s="27" t="s">
        <v>1022</v>
      </c>
      <c r="D2681" s="27" t="s">
        <v>17</v>
      </c>
      <c r="E2681" s="27" t="s">
        <v>18</v>
      </c>
      <c r="F2681" s="27" t="s">
        <v>19</v>
      </c>
      <c r="G2681" s="27" t="s">
        <v>38</v>
      </c>
      <c r="H2681" s="29">
        <v>10</v>
      </c>
      <c r="I2681" s="27" t="s">
        <v>29</v>
      </c>
      <c r="J2681" s="37">
        <v>45550</v>
      </c>
      <c r="K2681" s="27" t="s">
        <v>22</v>
      </c>
    </row>
    <row r="2682" spans="1:11" x14ac:dyDescent="0.2">
      <c r="A2682" s="24" t="s">
        <v>6664</v>
      </c>
      <c r="B2682" s="24" t="s">
        <v>6665</v>
      </c>
      <c r="C2682" s="24" t="s">
        <v>6666</v>
      </c>
      <c r="D2682" s="24" t="s">
        <v>17</v>
      </c>
      <c r="E2682" s="24" t="s">
        <v>18</v>
      </c>
      <c r="F2682" s="24" t="s">
        <v>19</v>
      </c>
      <c r="G2682" s="24" t="s">
        <v>28</v>
      </c>
      <c r="H2682" s="26">
        <v>78</v>
      </c>
      <c r="I2682" s="24" t="s">
        <v>29</v>
      </c>
      <c r="J2682" s="36">
        <v>45539</v>
      </c>
      <c r="K2682" s="24" t="s">
        <v>22</v>
      </c>
    </row>
    <row r="2683" spans="1:11" x14ac:dyDescent="0.2">
      <c r="A2683" s="27" t="s">
        <v>6667</v>
      </c>
      <c r="B2683" s="27" t="s">
        <v>6668</v>
      </c>
      <c r="C2683" s="27" t="s">
        <v>6669</v>
      </c>
      <c r="D2683" s="27" t="s">
        <v>17</v>
      </c>
      <c r="E2683" s="27" t="s">
        <v>48</v>
      </c>
      <c r="F2683" s="27" t="s">
        <v>49</v>
      </c>
      <c r="G2683" s="27" t="s">
        <v>28</v>
      </c>
      <c r="H2683" s="29">
        <v>60</v>
      </c>
      <c r="I2683" s="27" t="s">
        <v>29</v>
      </c>
      <c r="J2683" s="37">
        <v>45547</v>
      </c>
      <c r="K2683" s="27" t="s">
        <v>22</v>
      </c>
    </row>
    <row r="2684" spans="1:11" x14ac:dyDescent="0.2">
      <c r="A2684" s="24" t="s">
        <v>6670</v>
      </c>
      <c r="B2684" s="24" t="s">
        <v>6671</v>
      </c>
      <c r="C2684" s="24" t="s">
        <v>1307</v>
      </c>
      <c r="D2684" s="24" t="s">
        <v>17</v>
      </c>
      <c r="E2684" s="24" t="s">
        <v>42</v>
      </c>
      <c r="F2684" s="24" t="s">
        <v>43</v>
      </c>
      <c r="G2684" s="24" t="s">
        <v>28</v>
      </c>
      <c r="H2684" s="26">
        <v>800</v>
      </c>
      <c r="I2684" s="24" t="s">
        <v>29</v>
      </c>
      <c r="J2684" s="36">
        <v>45562</v>
      </c>
      <c r="K2684" s="24" t="s">
        <v>22</v>
      </c>
    </row>
    <row r="2685" spans="1:11" x14ac:dyDescent="0.2">
      <c r="A2685" s="27" t="s">
        <v>6672</v>
      </c>
      <c r="B2685" s="27" t="s">
        <v>6673</v>
      </c>
      <c r="C2685" s="27" t="s">
        <v>2657</v>
      </c>
      <c r="D2685" s="27" t="s">
        <v>17</v>
      </c>
      <c r="E2685" s="27" t="s">
        <v>42</v>
      </c>
      <c r="F2685" s="27" t="s">
        <v>43</v>
      </c>
      <c r="G2685" s="27" t="s">
        <v>20</v>
      </c>
      <c r="H2685" s="29">
        <v>248</v>
      </c>
      <c r="I2685" s="27" t="s">
        <v>21</v>
      </c>
      <c r="J2685" s="37">
        <v>45562</v>
      </c>
      <c r="K2685" s="27" t="s">
        <v>22</v>
      </c>
    </row>
    <row r="2686" spans="1:11" x14ac:dyDescent="0.2">
      <c r="A2686" s="24" t="s">
        <v>6674</v>
      </c>
      <c r="B2686" s="24" t="s">
        <v>6675</v>
      </c>
      <c r="C2686" s="24" t="s">
        <v>146</v>
      </c>
      <c r="D2686" s="24" t="s">
        <v>17</v>
      </c>
      <c r="E2686" s="24" t="s">
        <v>18</v>
      </c>
      <c r="F2686" s="24" t="s">
        <v>19</v>
      </c>
      <c r="G2686" s="24" t="s">
        <v>28</v>
      </c>
      <c r="H2686" s="26">
        <v>142</v>
      </c>
      <c r="I2686" s="24" t="s">
        <v>29</v>
      </c>
      <c r="J2686" s="36">
        <v>45537</v>
      </c>
      <c r="K2686" s="24" t="s">
        <v>22</v>
      </c>
    </row>
    <row r="2687" spans="1:11" x14ac:dyDescent="0.2">
      <c r="A2687" s="27" t="s">
        <v>6676</v>
      </c>
      <c r="B2687" s="27" t="s">
        <v>6677</v>
      </c>
      <c r="C2687" s="27" t="s">
        <v>6678</v>
      </c>
      <c r="D2687" s="27" t="s">
        <v>17</v>
      </c>
      <c r="E2687" s="27" t="s">
        <v>26</v>
      </c>
      <c r="F2687" s="27" t="s">
        <v>27</v>
      </c>
      <c r="G2687" s="27" t="s">
        <v>217</v>
      </c>
      <c r="H2687" s="29">
        <v>12</v>
      </c>
      <c r="I2687" s="27" t="s">
        <v>29</v>
      </c>
      <c r="J2687" s="37">
        <v>45536</v>
      </c>
      <c r="K2687" s="27" t="s">
        <v>22</v>
      </c>
    </row>
    <row r="2688" spans="1:11" x14ac:dyDescent="0.2">
      <c r="A2688" s="24" t="s">
        <v>6679</v>
      </c>
      <c r="B2688" s="24" t="s">
        <v>6680</v>
      </c>
      <c r="C2688" s="24" t="s">
        <v>1161</v>
      </c>
      <c r="D2688" s="24" t="s">
        <v>17</v>
      </c>
      <c r="E2688" s="24" t="s">
        <v>26</v>
      </c>
      <c r="F2688" s="24" t="s">
        <v>27</v>
      </c>
      <c r="G2688" s="24" t="s">
        <v>28</v>
      </c>
      <c r="H2688" s="26">
        <v>124</v>
      </c>
      <c r="I2688" s="24" t="s">
        <v>29</v>
      </c>
      <c r="J2688" s="36">
        <v>45562</v>
      </c>
      <c r="K2688" s="24" t="s">
        <v>22</v>
      </c>
    </row>
    <row r="2689" spans="1:11" x14ac:dyDescent="0.2">
      <c r="A2689" s="27" t="s">
        <v>6681</v>
      </c>
      <c r="B2689" s="27" t="s">
        <v>6682</v>
      </c>
      <c r="C2689" s="27" t="s">
        <v>6683</v>
      </c>
      <c r="D2689" s="27" t="s">
        <v>17</v>
      </c>
      <c r="E2689" s="27" t="s">
        <v>42</v>
      </c>
      <c r="F2689" s="27" t="s">
        <v>43</v>
      </c>
      <c r="G2689" s="27" t="s">
        <v>28</v>
      </c>
      <c r="H2689" s="29">
        <v>1150</v>
      </c>
      <c r="I2689" s="27" t="s">
        <v>29</v>
      </c>
      <c r="J2689" s="37">
        <v>45539</v>
      </c>
      <c r="K2689" s="27" t="s">
        <v>22</v>
      </c>
    </row>
    <row r="2690" spans="1:11" x14ac:dyDescent="0.2">
      <c r="A2690" s="24" t="s">
        <v>6684</v>
      </c>
      <c r="B2690" s="24" t="s">
        <v>6685</v>
      </c>
      <c r="C2690" s="24" t="s">
        <v>3183</v>
      </c>
      <c r="D2690" s="24" t="s">
        <v>17</v>
      </c>
      <c r="E2690" s="24" t="s">
        <v>48</v>
      </c>
      <c r="F2690" s="24" t="s">
        <v>49</v>
      </c>
      <c r="G2690" s="24" t="s">
        <v>217</v>
      </c>
      <c r="H2690" s="26">
        <v>180</v>
      </c>
      <c r="I2690" s="24" t="s">
        <v>29</v>
      </c>
      <c r="J2690" s="36">
        <v>45536</v>
      </c>
      <c r="K2690" s="24" t="s">
        <v>22</v>
      </c>
    </row>
    <row r="2691" spans="1:11" x14ac:dyDescent="0.2">
      <c r="A2691" s="27" t="s">
        <v>6686</v>
      </c>
      <c r="B2691" s="27" t="s">
        <v>6687</v>
      </c>
      <c r="C2691" s="27" t="s">
        <v>2378</v>
      </c>
      <c r="D2691" s="27" t="s">
        <v>17</v>
      </c>
      <c r="E2691" s="27" t="s">
        <v>42</v>
      </c>
      <c r="F2691" s="27" t="s">
        <v>43</v>
      </c>
      <c r="G2691" s="27" t="s">
        <v>28</v>
      </c>
      <c r="H2691" s="29">
        <v>236</v>
      </c>
      <c r="I2691" s="27" t="s">
        <v>29</v>
      </c>
      <c r="J2691" s="37">
        <v>45551</v>
      </c>
      <c r="K2691" s="27" t="s">
        <v>22</v>
      </c>
    </row>
    <row r="2692" spans="1:11" x14ac:dyDescent="0.2">
      <c r="A2692" s="24" t="s">
        <v>6688</v>
      </c>
      <c r="B2692" s="24" t="s">
        <v>6689</v>
      </c>
      <c r="C2692" s="24" t="s">
        <v>4925</v>
      </c>
      <c r="D2692" s="24" t="s">
        <v>17</v>
      </c>
      <c r="E2692" s="24" t="s">
        <v>18</v>
      </c>
      <c r="F2692" s="24" t="s">
        <v>19</v>
      </c>
      <c r="G2692" s="24" t="s">
        <v>20</v>
      </c>
      <c r="H2692" s="26">
        <v>47</v>
      </c>
      <c r="I2692" s="24" t="s">
        <v>21</v>
      </c>
      <c r="J2692" s="36">
        <v>45537</v>
      </c>
      <c r="K2692" s="24" t="s">
        <v>22</v>
      </c>
    </row>
    <row r="2693" spans="1:11" x14ac:dyDescent="0.2">
      <c r="A2693" s="27" t="s">
        <v>6690</v>
      </c>
      <c r="B2693" s="27" t="s">
        <v>6691</v>
      </c>
      <c r="C2693" s="27" t="s">
        <v>6692</v>
      </c>
      <c r="D2693" s="27" t="s">
        <v>17</v>
      </c>
      <c r="E2693" s="27" t="s">
        <v>26</v>
      </c>
      <c r="F2693" s="27" t="s">
        <v>27</v>
      </c>
      <c r="G2693" s="27" t="s">
        <v>28</v>
      </c>
      <c r="H2693" s="29">
        <v>28</v>
      </c>
      <c r="I2693" s="27" t="s">
        <v>29</v>
      </c>
      <c r="J2693" s="37">
        <v>45559</v>
      </c>
      <c r="K2693" s="27" t="s">
        <v>22</v>
      </c>
    </row>
    <row r="2694" spans="1:11" x14ac:dyDescent="0.2">
      <c r="A2694" s="24" t="s">
        <v>6693</v>
      </c>
      <c r="B2694" s="24" t="s">
        <v>6694</v>
      </c>
      <c r="C2694" s="24" t="s">
        <v>1444</v>
      </c>
      <c r="D2694" s="24" t="s">
        <v>17</v>
      </c>
      <c r="E2694" s="24" t="s">
        <v>48</v>
      </c>
      <c r="F2694" s="24" t="s">
        <v>49</v>
      </c>
      <c r="G2694" s="24" t="s">
        <v>28</v>
      </c>
      <c r="H2694" s="26">
        <v>40</v>
      </c>
      <c r="I2694" s="24" t="s">
        <v>29</v>
      </c>
      <c r="J2694" s="36">
        <v>45555</v>
      </c>
      <c r="K2694" s="24" t="s">
        <v>22</v>
      </c>
    </row>
    <row r="2695" spans="1:11" x14ac:dyDescent="0.2">
      <c r="A2695" s="27" t="s">
        <v>6695</v>
      </c>
      <c r="B2695" s="27" t="s">
        <v>6696</v>
      </c>
      <c r="C2695" s="27" t="s">
        <v>6697</v>
      </c>
      <c r="D2695" s="27" t="s">
        <v>17</v>
      </c>
      <c r="E2695" s="27" t="s">
        <v>48</v>
      </c>
      <c r="F2695" s="27" t="s">
        <v>49</v>
      </c>
      <c r="G2695" s="27" t="s">
        <v>28</v>
      </c>
      <c r="H2695" s="29">
        <v>40</v>
      </c>
      <c r="I2695" s="27" t="s">
        <v>29</v>
      </c>
      <c r="J2695" s="37">
        <v>45560</v>
      </c>
      <c r="K2695" s="27" t="s">
        <v>22</v>
      </c>
    </row>
    <row r="2696" spans="1:11" x14ac:dyDescent="0.2">
      <c r="A2696" s="24" t="s">
        <v>6698</v>
      </c>
      <c r="B2696" s="24" t="s">
        <v>6699</v>
      </c>
      <c r="C2696" s="24" t="s">
        <v>325</v>
      </c>
      <c r="D2696" s="24" t="s">
        <v>17</v>
      </c>
      <c r="E2696" s="24" t="s">
        <v>18</v>
      </c>
      <c r="F2696" s="24" t="s">
        <v>19</v>
      </c>
      <c r="G2696" s="24" t="s">
        <v>20</v>
      </c>
      <c r="H2696" s="26">
        <v>39</v>
      </c>
      <c r="I2696" s="24" t="s">
        <v>21</v>
      </c>
      <c r="J2696" s="36">
        <v>45553</v>
      </c>
      <c r="K2696" s="24" t="s">
        <v>22</v>
      </c>
    </row>
    <row r="2697" spans="1:11" x14ac:dyDescent="0.2">
      <c r="A2697" s="27" t="s">
        <v>6700</v>
      </c>
      <c r="B2697" s="27" t="s">
        <v>6701</v>
      </c>
      <c r="C2697" s="27" t="s">
        <v>2222</v>
      </c>
      <c r="D2697" s="27" t="s">
        <v>17</v>
      </c>
      <c r="E2697" s="27" t="s">
        <v>18</v>
      </c>
      <c r="F2697" s="27" t="s">
        <v>19</v>
      </c>
      <c r="G2697" s="27" t="s">
        <v>28</v>
      </c>
      <c r="H2697" s="29">
        <v>34</v>
      </c>
      <c r="I2697" s="27" t="s">
        <v>29</v>
      </c>
      <c r="J2697" s="37">
        <v>45555</v>
      </c>
      <c r="K2697" s="27" t="s">
        <v>22</v>
      </c>
    </row>
    <row r="2698" spans="1:11" x14ac:dyDescent="0.2">
      <c r="A2698" s="24" t="s">
        <v>6702</v>
      </c>
      <c r="B2698" s="24" t="s">
        <v>6703</v>
      </c>
      <c r="C2698" s="24" t="s">
        <v>68</v>
      </c>
      <c r="D2698" s="24" t="s">
        <v>17</v>
      </c>
      <c r="E2698" s="24" t="s">
        <v>18</v>
      </c>
      <c r="F2698" s="24" t="s">
        <v>19</v>
      </c>
      <c r="G2698" s="24" t="s">
        <v>217</v>
      </c>
      <c r="H2698" s="26">
        <v>100</v>
      </c>
      <c r="I2698" s="24" t="s">
        <v>29</v>
      </c>
      <c r="J2698" s="36">
        <v>45565</v>
      </c>
      <c r="K2698" s="24" t="s">
        <v>22</v>
      </c>
    </row>
    <row r="2699" spans="1:11" x14ac:dyDescent="0.2">
      <c r="A2699" s="27" t="s">
        <v>6704</v>
      </c>
      <c r="B2699" s="27" t="s">
        <v>6705</v>
      </c>
      <c r="C2699" s="27" t="s">
        <v>6706</v>
      </c>
      <c r="D2699" s="27" t="s">
        <v>17</v>
      </c>
      <c r="E2699" s="27" t="s">
        <v>26</v>
      </c>
      <c r="F2699" s="27" t="s">
        <v>27</v>
      </c>
      <c r="G2699" s="27" t="s">
        <v>28</v>
      </c>
      <c r="H2699" s="29">
        <v>60</v>
      </c>
      <c r="I2699" s="27" t="s">
        <v>29</v>
      </c>
      <c r="J2699" s="37">
        <v>45536</v>
      </c>
      <c r="K2699" s="27" t="s">
        <v>22</v>
      </c>
    </row>
    <row r="2700" spans="1:11" x14ac:dyDescent="0.2">
      <c r="A2700" s="24" t="s">
        <v>6707</v>
      </c>
      <c r="B2700" s="24" t="s">
        <v>6708</v>
      </c>
      <c r="C2700" s="24" t="s">
        <v>55</v>
      </c>
      <c r="D2700" s="24" t="s">
        <v>17</v>
      </c>
      <c r="E2700" s="24" t="s">
        <v>18</v>
      </c>
      <c r="F2700" s="24" t="s">
        <v>19</v>
      </c>
      <c r="G2700" s="24" t="s">
        <v>20</v>
      </c>
      <c r="H2700" s="26">
        <v>28</v>
      </c>
      <c r="I2700" s="24" t="s">
        <v>21</v>
      </c>
      <c r="J2700" s="36">
        <v>45538</v>
      </c>
      <c r="K2700" s="24" t="s">
        <v>22</v>
      </c>
    </row>
    <row r="2701" spans="1:11" x14ac:dyDescent="0.2">
      <c r="A2701" s="27" t="s">
        <v>6709</v>
      </c>
      <c r="B2701" s="27" t="s">
        <v>6710</v>
      </c>
      <c r="C2701" s="27" t="s">
        <v>134</v>
      </c>
      <c r="D2701" s="27" t="s">
        <v>17</v>
      </c>
      <c r="E2701" s="27" t="s">
        <v>18</v>
      </c>
      <c r="F2701" s="27" t="s">
        <v>19</v>
      </c>
      <c r="G2701" s="27" t="s">
        <v>28</v>
      </c>
      <c r="H2701" s="29">
        <v>240</v>
      </c>
      <c r="I2701" s="27" t="s">
        <v>29</v>
      </c>
      <c r="J2701" s="37">
        <v>45541</v>
      </c>
      <c r="K2701" s="27" t="s">
        <v>22</v>
      </c>
    </row>
    <row r="2702" spans="1:11" x14ac:dyDescent="0.2">
      <c r="A2702" s="24" t="s">
        <v>6711</v>
      </c>
      <c r="B2702" s="24" t="s">
        <v>6712</v>
      </c>
      <c r="C2702" s="24" t="s">
        <v>708</v>
      </c>
      <c r="D2702" s="24" t="s">
        <v>17</v>
      </c>
      <c r="E2702" s="24" t="s">
        <v>42</v>
      </c>
      <c r="F2702" s="24" t="s">
        <v>43</v>
      </c>
      <c r="G2702" s="24" t="s">
        <v>28</v>
      </c>
      <c r="H2702" s="26">
        <v>560</v>
      </c>
      <c r="I2702" s="24" t="s">
        <v>29</v>
      </c>
      <c r="J2702" s="36">
        <v>45544</v>
      </c>
      <c r="K2702" s="24" t="s">
        <v>22</v>
      </c>
    </row>
    <row r="2703" spans="1:11" x14ac:dyDescent="0.2">
      <c r="A2703" s="27" t="s">
        <v>6713</v>
      </c>
      <c r="B2703" s="27" t="s">
        <v>6714</v>
      </c>
      <c r="C2703" s="27" t="s">
        <v>309</v>
      </c>
      <c r="D2703" s="27" t="s">
        <v>17</v>
      </c>
      <c r="E2703" s="27" t="s">
        <v>26</v>
      </c>
      <c r="F2703" s="27" t="s">
        <v>27</v>
      </c>
      <c r="G2703" s="27" t="s">
        <v>28</v>
      </c>
      <c r="H2703" s="29">
        <v>360</v>
      </c>
      <c r="I2703" s="27" t="s">
        <v>29</v>
      </c>
      <c r="J2703" s="37">
        <v>45538</v>
      </c>
      <c r="K2703" s="27" t="s">
        <v>22</v>
      </c>
    </row>
    <row r="2704" spans="1:11" x14ac:dyDescent="0.2">
      <c r="A2704" s="24" t="s">
        <v>6715</v>
      </c>
      <c r="B2704" s="24" t="s">
        <v>6716</v>
      </c>
      <c r="C2704" s="24" t="s">
        <v>687</v>
      </c>
      <c r="D2704" s="24" t="s">
        <v>17</v>
      </c>
      <c r="E2704" s="24" t="s">
        <v>18</v>
      </c>
      <c r="F2704" s="24" t="s">
        <v>19</v>
      </c>
      <c r="G2704" s="24" t="s">
        <v>44</v>
      </c>
      <c r="H2704" s="26">
        <v>63</v>
      </c>
      <c r="I2704" s="24" t="s">
        <v>21</v>
      </c>
      <c r="J2704" s="36">
        <v>45538</v>
      </c>
      <c r="K2704" s="24" t="s">
        <v>22</v>
      </c>
    </row>
    <row r="2705" spans="1:11" x14ac:dyDescent="0.2">
      <c r="A2705" s="27" t="s">
        <v>6717</v>
      </c>
      <c r="B2705" s="27" t="s">
        <v>6718</v>
      </c>
      <c r="C2705" s="27" t="s">
        <v>1110</v>
      </c>
      <c r="D2705" s="27" t="s">
        <v>17</v>
      </c>
      <c r="E2705" s="27" t="s">
        <v>42</v>
      </c>
      <c r="F2705" s="27" t="s">
        <v>43</v>
      </c>
      <c r="G2705" s="27" t="s">
        <v>44</v>
      </c>
      <c r="H2705" s="29">
        <v>400</v>
      </c>
      <c r="I2705" s="27" t="s">
        <v>29</v>
      </c>
      <c r="J2705" s="37">
        <v>45552</v>
      </c>
      <c r="K2705" s="27" t="s">
        <v>22</v>
      </c>
    </row>
    <row r="2706" spans="1:11" x14ac:dyDescent="0.2">
      <c r="A2706" s="24" t="s">
        <v>6719</v>
      </c>
      <c r="B2706" s="24" t="s">
        <v>6720</v>
      </c>
      <c r="C2706" s="24" t="s">
        <v>3156</v>
      </c>
      <c r="D2706" s="24" t="s">
        <v>17</v>
      </c>
      <c r="E2706" s="24" t="s">
        <v>18</v>
      </c>
      <c r="F2706" s="24" t="s">
        <v>19</v>
      </c>
      <c r="G2706" s="24" t="s">
        <v>20</v>
      </c>
      <c r="H2706" s="26">
        <v>28</v>
      </c>
      <c r="I2706" s="24" t="s">
        <v>21</v>
      </c>
      <c r="J2706" s="36">
        <v>45550</v>
      </c>
      <c r="K2706" s="24" t="s">
        <v>22</v>
      </c>
    </row>
    <row r="2707" spans="1:11" x14ac:dyDescent="0.2">
      <c r="A2707" s="27" t="s">
        <v>6721</v>
      </c>
      <c r="B2707" s="27" t="s">
        <v>6722</v>
      </c>
      <c r="C2707" s="27" t="s">
        <v>5810</v>
      </c>
      <c r="D2707" s="27" t="s">
        <v>17</v>
      </c>
      <c r="E2707" s="27" t="s">
        <v>163</v>
      </c>
      <c r="F2707" s="27" t="s">
        <v>164</v>
      </c>
      <c r="G2707" s="27" t="s">
        <v>257</v>
      </c>
      <c r="H2707" s="29">
        <v>12</v>
      </c>
      <c r="I2707" s="27" t="s">
        <v>29</v>
      </c>
      <c r="J2707" s="37">
        <v>45548</v>
      </c>
      <c r="K2707" s="27" t="s">
        <v>22</v>
      </c>
    </row>
    <row r="2708" spans="1:11" x14ac:dyDescent="0.2">
      <c r="A2708" s="24" t="s">
        <v>6723</v>
      </c>
      <c r="B2708" s="24" t="s">
        <v>6724</v>
      </c>
      <c r="C2708" s="24" t="s">
        <v>1044</v>
      </c>
      <c r="D2708" s="24" t="s">
        <v>17</v>
      </c>
      <c r="E2708" s="24" t="s">
        <v>42</v>
      </c>
      <c r="F2708" s="24" t="s">
        <v>43</v>
      </c>
      <c r="G2708" s="24" t="s">
        <v>217</v>
      </c>
      <c r="H2708" s="26">
        <v>348</v>
      </c>
      <c r="I2708" s="24" t="s">
        <v>29</v>
      </c>
      <c r="J2708" s="36">
        <v>45558</v>
      </c>
      <c r="K2708" s="24" t="s">
        <v>22</v>
      </c>
    </row>
    <row r="2709" spans="1:11" x14ac:dyDescent="0.2">
      <c r="A2709" s="27" t="s">
        <v>6725</v>
      </c>
      <c r="B2709" s="27" t="s">
        <v>6726</v>
      </c>
      <c r="C2709" s="27" t="s">
        <v>6727</v>
      </c>
      <c r="D2709" s="27" t="s">
        <v>17</v>
      </c>
      <c r="E2709" s="27" t="s">
        <v>42</v>
      </c>
      <c r="F2709" s="27" t="s">
        <v>43</v>
      </c>
      <c r="G2709" s="27" t="s">
        <v>28</v>
      </c>
      <c r="H2709" s="29">
        <v>280</v>
      </c>
      <c r="I2709" s="27" t="s">
        <v>29</v>
      </c>
      <c r="J2709" s="37">
        <v>45539</v>
      </c>
      <c r="K2709" s="27" t="s">
        <v>22</v>
      </c>
    </row>
    <row r="2710" spans="1:11" x14ac:dyDescent="0.2">
      <c r="A2710" s="24" t="s">
        <v>6728</v>
      </c>
      <c r="B2710" s="24" t="s">
        <v>6729</v>
      </c>
      <c r="C2710" s="24" t="s">
        <v>2367</v>
      </c>
      <c r="D2710" s="24" t="s">
        <v>17</v>
      </c>
      <c r="E2710" s="24" t="s">
        <v>18</v>
      </c>
      <c r="F2710" s="24" t="s">
        <v>19</v>
      </c>
      <c r="G2710" s="24" t="s">
        <v>28</v>
      </c>
      <c r="H2710" s="26">
        <v>49</v>
      </c>
      <c r="I2710" s="24" t="s">
        <v>29</v>
      </c>
      <c r="J2710" s="36">
        <v>45547</v>
      </c>
      <c r="K2710" s="24" t="s">
        <v>22</v>
      </c>
    </row>
    <row r="2711" spans="1:11" x14ac:dyDescent="0.2">
      <c r="A2711" s="27" t="s">
        <v>6730</v>
      </c>
      <c r="B2711" s="27" t="s">
        <v>6731</v>
      </c>
      <c r="C2711" s="27" t="s">
        <v>6732</v>
      </c>
      <c r="D2711" s="27" t="s">
        <v>17</v>
      </c>
      <c r="E2711" s="27" t="s">
        <v>42</v>
      </c>
      <c r="F2711" s="27" t="s">
        <v>43</v>
      </c>
      <c r="G2711" s="27" t="s">
        <v>28</v>
      </c>
      <c r="H2711" s="29">
        <v>330</v>
      </c>
      <c r="I2711" s="27" t="s">
        <v>29</v>
      </c>
      <c r="J2711" s="37">
        <v>45555</v>
      </c>
      <c r="K2711" s="27" t="s">
        <v>22</v>
      </c>
    </row>
    <row r="2712" spans="1:11" x14ac:dyDescent="0.2">
      <c r="A2712" s="24" t="s">
        <v>6733</v>
      </c>
      <c r="B2712" s="24" t="s">
        <v>6734</v>
      </c>
      <c r="C2712" s="24" t="s">
        <v>6735</v>
      </c>
      <c r="D2712" s="24" t="s">
        <v>17</v>
      </c>
      <c r="E2712" s="24" t="s">
        <v>18</v>
      </c>
      <c r="F2712" s="24" t="s">
        <v>19</v>
      </c>
      <c r="G2712" s="24" t="s">
        <v>20</v>
      </c>
      <c r="H2712" s="26">
        <v>64</v>
      </c>
      <c r="I2712" s="24" t="s">
        <v>21</v>
      </c>
      <c r="J2712" s="36">
        <v>45552</v>
      </c>
      <c r="K2712" s="24" t="s">
        <v>22</v>
      </c>
    </row>
    <row r="2713" spans="1:11" x14ac:dyDescent="0.2">
      <c r="A2713" s="27" t="s">
        <v>6736</v>
      </c>
      <c r="B2713" s="27" t="s">
        <v>6737</v>
      </c>
      <c r="C2713" s="27" t="s">
        <v>146</v>
      </c>
      <c r="D2713" s="27" t="s">
        <v>17</v>
      </c>
      <c r="E2713" s="27" t="s">
        <v>48</v>
      </c>
      <c r="F2713" s="27" t="s">
        <v>49</v>
      </c>
      <c r="G2713" s="27" t="s">
        <v>44</v>
      </c>
      <c r="H2713" s="29">
        <v>157</v>
      </c>
      <c r="I2713" s="27" t="s">
        <v>21</v>
      </c>
      <c r="J2713" s="37">
        <v>45552</v>
      </c>
      <c r="K2713" s="27" t="s">
        <v>22</v>
      </c>
    </row>
    <row r="2714" spans="1:11" x14ac:dyDescent="0.2">
      <c r="A2714" s="24" t="s">
        <v>6738</v>
      </c>
      <c r="B2714" s="24" t="s">
        <v>6739</v>
      </c>
      <c r="C2714" s="24" t="s">
        <v>6740</v>
      </c>
      <c r="D2714" s="24" t="s">
        <v>17</v>
      </c>
      <c r="E2714" s="24" t="s">
        <v>81</v>
      </c>
      <c r="F2714" s="24" t="s">
        <v>82</v>
      </c>
      <c r="G2714" s="24" t="s">
        <v>20</v>
      </c>
      <c r="H2714" s="26">
        <v>42</v>
      </c>
      <c r="I2714" s="24" t="s">
        <v>21</v>
      </c>
      <c r="J2714" s="36">
        <v>45555</v>
      </c>
      <c r="K2714" s="24" t="s">
        <v>22</v>
      </c>
    </row>
    <row r="2715" spans="1:11" x14ac:dyDescent="0.2">
      <c r="A2715" s="27" t="s">
        <v>6741</v>
      </c>
      <c r="B2715" s="27" t="s">
        <v>6742</v>
      </c>
      <c r="C2715" s="27" t="s">
        <v>6743</v>
      </c>
      <c r="D2715" s="27" t="s">
        <v>17</v>
      </c>
      <c r="E2715" s="27" t="s">
        <v>18</v>
      </c>
      <c r="F2715" s="27" t="s">
        <v>19</v>
      </c>
      <c r="G2715" s="27" t="s">
        <v>20</v>
      </c>
      <c r="H2715" s="29">
        <v>44</v>
      </c>
      <c r="I2715" s="27" t="s">
        <v>21</v>
      </c>
      <c r="J2715" s="37">
        <v>45562</v>
      </c>
      <c r="K2715" s="27" t="s">
        <v>22</v>
      </c>
    </row>
    <row r="2716" spans="1:11" x14ac:dyDescent="0.2">
      <c r="A2716" s="24" t="s">
        <v>6744</v>
      </c>
      <c r="B2716" s="24" t="s">
        <v>6745</v>
      </c>
      <c r="C2716" s="24" t="s">
        <v>6746</v>
      </c>
      <c r="D2716" s="24" t="s">
        <v>17</v>
      </c>
      <c r="E2716" s="24" t="s">
        <v>48</v>
      </c>
      <c r="F2716" s="24" t="s">
        <v>49</v>
      </c>
      <c r="G2716" s="24" t="s">
        <v>20</v>
      </c>
      <c r="H2716" s="26">
        <v>68</v>
      </c>
      <c r="I2716" s="24" t="s">
        <v>21</v>
      </c>
      <c r="J2716" s="36">
        <v>45562</v>
      </c>
      <c r="K2716" s="24" t="s">
        <v>22</v>
      </c>
    </row>
    <row r="2717" spans="1:11" x14ac:dyDescent="0.2">
      <c r="A2717" s="27" t="s">
        <v>6747</v>
      </c>
      <c r="B2717" s="27" t="s">
        <v>6748</v>
      </c>
      <c r="C2717" s="27" t="s">
        <v>6749</v>
      </c>
      <c r="D2717" s="27" t="s">
        <v>17</v>
      </c>
      <c r="E2717" s="27" t="s">
        <v>42</v>
      </c>
      <c r="F2717" s="27" t="s">
        <v>43</v>
      </c>
      <c r="G2717" s="27" t="s">
        <v>44</v>
      </c>
      <c r="H2717" s="29">
        <v>552</v>
      </c>
      <c r="I2717" s="27" t="s">
        <v>29</v>
      </c>
      <c r="J2717" s="37">
        <v>45544</v>
      </c>
      <c r="K2717" s="27" t="s">
        <v>22</v>
      </c>
    </row>
    <row r="2718" spans="1:11" x14ac:dyDescent="0.2">
      <c r="A2718" s="24" t="s">
        <v>6750</v>
      </c>
      <c r="B2718" s="24" t="s">
        <v>6751</v>
      </c>
      <c r="C2718" s="24" t="s">
        <v>85</v>
      </c>
      <c r="D2718" s="24" t="s">
        <v>17</v>
      </c>
      <c r="E2718" s="24" t="s">
        <v>42</v>
      </c>
      <c r="F2718" s="24" t="s">
        <v>43</v>
      </c>
      <c r="G2718" s="24" t="s">
        <v>28</v>
      </c>
      <c r="H2718" s="26">
        <v>496</v>
      </c>
      <c r="I2718" s="24" t="s">
        <v>29</v>
      </c>
      <c r="J2718" s="36">
        <v>45545</v>
      </c>
      <c r="K2718" s="24" t="s">
        <v>22</v>
      </c>
    </row>
    <row r="2719" spans="1:11" x14ac:dyDescent="0.2">
      <c r="A2719" s="27" t="s">
        <v>6752</v>
      </c>
      <c r="B2719" s="27" t="s">
        <v>6753</v>
      </c>
      <c r="C2719" s="27" t="s">
        <v>1047</v>
      </c>
      <c r="D2719" s="27" t="s">
        <v>17</v>
      </c>
      <c r="E2719" s="27" t="s">
        <v>18</v>
      </c>
      <c r="F2719" s="27" t="s">
        <v>19</v>
      </c>
      <c r="G2719" s="27" t="s">
        <v>44</v>
      </c>
      <c r="H2719" s="29">
        <v>20</v>
      </c>
      <c r="I2719" s="27" t="s">
        <v>21</v>
      </c>
      <c r="J2719" s="37">
        <v>45554</v>
      </c>
      <c r="K2719" s="27" t="s">
        <v>22</v>
      </c>
    </row>
    <row r="2720" spans="1:11" x14ac:dyDescent="0.2">
      <c r="A2720" s="24" t="s">
        <v>6754</v>
      </c>
      <c r="B2720" s="24" t="s">
        <v>6755</v>
      </c>
      <c r="C2720" s="24" t="s">
        <v>115</v>
      </c>
      <c r="D2720" s="24" t="s">
        <v>17</v>
      </c>
      <c r="E2720" s="24" t="s">
        <v>42</v>
      </c>
      <c r="F2720" s="24" t="s">
        <v>43</v>
      </c>
      <c r="G2720" s="24" t="s">
        <v>44</v>
      </c>
      <c r="H2720" s="26">
        <v>1950</v>
      </c>
      <c r="I2720" s="24" t="s">
        <v>29</v>
      </c>
      <c r="J2720" s="36">
        <v>45539</v>
      </c>
      <c r="K2720" s="24" t="s">
        <v>22</v>
      </c>
    </row>
    <row r="2721" spans="1:11" x14ac:dyDescent="0.2">
      <c r="A2721" s="27" t="s">
        <v>6756</v>
      </c>
      <c r="B2721" s="27" t="s">
        <v>6757</v>
      </c>
      <c r="C2721" s="27" t="s">
        <v>6758</v>
      </c>
      <c r="D2721" s="27" t="s">
        <v>17</v>
      </c>
      <c r="E2721" s="27" t="s">
        <v>48</v>
      </c>
      <c r="F2721" s="27" t="s">
        <v>49</v>
      </c>
      <c r="G2721" s="27" t="s">
        <v>28</v>
      </c>
      <c r="H2721" s="29">
        <v>180</v>
      </c>
      <c r="I2721" s="27" t="s">
        <v>29</v>
      </c>
      <c r="J2721" s="37">
        <v>45539</v>
      </c>
      <c r="K2721" s="27" t="s">
        <v>22</v>
      </c>
    </row>
    <row r="2722" spans="1:11" x14ac:dyDescent="0.2">
      <c r="A2722" s="24" t="s">
        <v>6759</v>
      </c>
      <c r="B2722" s="24" t="s">
        <v>6760</v>
      </c>
      <c r="C2722" s="24" t="s">
        <v>6761</v>
      </c>
      <c r="D2722" s="24" t="s">
        <v>17</v>
      </c>
      <c r="E2722" s="24" t="s">
        <v>48</v>
      </c>
      <c r="F2722" s="24" t="s">
        <v>49</v>
      </c>
      <c r="G2722" s="24" t="s">
        <v>44</v>
      </c>
      <c r="H2722" s="26">
        <v>25</v>
      </c>
      <c r="I2722" s="24" t="s">
        <v>21</v>
      </c>
      <c r="J2722" s="36">
        <v>45551</v>
      </c>
      <c r="K2722" s="24" t="s">
        <v>22</v>
      </c>
    </row>
    <row r="2723" spans="1:11" x14ac:dyDescent="0.2">
      <c r="A2723" s="27" t="s">
        <v>6762</v>
      </c>
      <c r="B2723" s="27" t="s">
        <v>6763</v>
      </c>
      <c r="C2723" s="27" t="s">
        <v>242</v>
      </c>
      <c r="D2723" s="27" t="s">
        <v>17</v>
      </c>
      <c r="E2723" s="27" t="s">
        <v>42</v>
      </c>
      <c r="F2723" s="27" t="s">
        <v>43</v>
      </c>
      <c r="G2723" s="27" t="s">
        <v>44</v>
      </c>
      <c r="H2723" s="29">
        <v>400</v>
      </c>
      <c r="I2723" s="27" t="s">
        <v>29</v>
      </c>
      <c r="J2723" s="37">
        <v>45558</v>
      </c>
      <c r="K2723" s="27" t="s">
        <v>22</v>
      </c>
    </row>
    <row r="2724" spans="1:11" x14ac:dyDescent="0.2">
      <c r="A2724" s="24" t="s">
        <v>6764</v>
      </c>
      <c r="B2724" s="24" t="s">
        <v>6765</v>
      </c>
      <c r="C2724" s="24" t="s">
        <v>363</v>
      </c>
      <c r="D2724" s="24" t="s">
        <v>17</v>
      </c>
      <c r="E2724" s="24" t="s">
        <v>42</v>
      </c>
      <c r="F2724" s="24" t="s">
        <v>43</v>
      </c>
      <c r="G2724" s="24" t="s">
        <v>28</v>
      </c>
      <c r="H2724" s="26">
        <v>180</v>
      </c>
      <c r="I2724" s="24" t="s">
        <v>29</v>
      </c>
      <c r="J2724" s="36">
        <v>45549</v>
      </c>
      <c r="K2724" s="24" t="s">
        <v>22</v>
      </c>
    </row>
    <row r="2725" spans="1:11" x14ac:dyDescent="0.2">
      <c r="A2725" s="27" t="s">
        <v>6766</v>
      </c>
      <c r="B2725" s="27" t="s">
        <v>6767</v>
      </c>
      <c r="C2725" s="27" t="s">
        <v>6768</v>
      </c>
      <c r="D2725" s="27" t="s">
        <v>17</v>
      </c>
      <c r="E2725" s="27" t="s">
        <v>26</v>
      </c>
      <c r="F2725" s="27" t="s">
        <v>27</v>
      </c>
      <c r="G2725" s="27" t="s">
        <v>28</v>
      </c>
      <c r="H2725" s="29">
        <v>100</v>
      </c>
      <c r="I2725" s="27" t="s">
        <v>29</v>
      </c>
      <c r="J2725" s="37">
        <v>45539</v>
      </c>
      <c r="K2725" s="27" t="s">
        <v>22</v>
      </c>
    </row>
    <row r="2726" spans="1:11" x14ac:dyDescent="0.2">
      <c r="A2726" s="24" t="s">
        <v>6769</v>
      </c>
      <c r="B2726" s="24" t="s">
        <v>6770</v>
      </c>
      <c r="C2726" s="24" t="s">
        <v>526</v>
      </c>
      <c r="D2726" s="24" t="s">
        <v>17</v>
      </c>
      <c r="E2726" s="24" t="s">
        <v>42</v>
      </c>
      <c r="F2726" s="24" t="s">
        <v>43</v>
      </c>
      <c r="G2726" s="24" t="s">
        <v>44</v>
      </c>
      <c r="H2726" s="26">
        <v>250</v>
      </c>
      <c r="I2726" s="24" t="s">
        <v>29</v>
      </c>
      <c r="J2726" s="36">
        <v>45565</v>
      </c>
      <c r="K2726" s="24" t="s">
        <v>22</v>
      </c>
    </row>
    <row r="2727" spans="1:11" x14ac:dyDescent="0.2">
      <c r="A2727" s="27" t="s">
        <v>6771</v>
      </c>
      <c r="B2727" s="27" t="s">
        <v>6772</v>
      </c>
      <c r="C2727" s="27" t="s">
        <v>5990</v>
      </c>
      <c r="D2727" s="27" t="s">
        <v>17</v>
      </c>
      <c r="E2727" s="27" t="s">
        <v>42</v>
      </c>
      <c r="F2727" s="27" t="s">
        <v>43</v>
      </c>
      <c r="G2727" s="27" t="s">
        <v>44</v>
      </c>
      <c r="H2727" s="29">
        <v>371</v>
      </c>
      <c r="I2727" s="27" t="s">
        <v>21</v>
      </c>
      <c r="J2727" s="37">
        <v>45546</v>
      </c>
      <c r="K2727" s="27" t="s">
        <v>22</v>
      </c>
    </row>
    <row r="2728" spans="1:11" x14ac:dyDescent="0.2">
      <c r="A2728" s="24" t="s">
        <v>6773</v>
      </c>
      <c r="B2728" s="24" t="s">
        <v>6774</v>
      </c>
      <c r="C2728" s="24" t="s">
        <v>71</v>
      </c>
      <c r="D2728" s="24" t="s">
        <v>17</v>
      </c>
      <c r="E2728" s="24" t="s">
        <v>81</v>
      </c>
      <c r="F2728" s="24" t="s">
        <v>82</v>
      </c>
      <c r="G2728" s="24" t="s">
        <v>28</v>
      </c>
      <c r="H2728" s="26">
        <v>336</v>
      </c>
      <c r="I2728" s="24" t="s">
        <v>29</v>
      </c>
      <c r="J2728" s="36">
        <v>45554</v>
      </c>
      <c r="K2728" s="24" t="s">
        <v>22</v>
      </c>
    </row>
    <row r="2729" spans="1:11" x14ac:dyDescent="0.2">
      <c r="A2729" s="27" t="s">
        <v>6775</v>
      </c>
      <c r="B2729" s="27" t="s">
        <v>6776</v>
      </c>
      <c r="C2729" s="27" t="s">
        <v>1737</v>
      </c>
      <c r="D2729" s="27" t="s">
        <v>17</v>
      </c>
      <c r="E2729" s="27" t="s">
        <v>26</v>
      </c>
      <c r="F2729" s="27" t="s">
        <v>27</v>
      </c>
      <c r="G2729" s="27" t="s">
        <v>28</v>
      </c>
      <c r="H2729" s="29">
        <v>265</v>
      </c>
      <c r="I2729" s="27" t="s">
        <v>29</v>
      </c>
      <c r="J2729" s="37">
        <v>45537</v>
      </c>
      <c r="K2729" s="27" t="s">
        <v>22</v>
      </c>
    </row>
    <row r="2730" spans="1:11" x14ac:dyDescent="0.2">
      <c r="A2730" s="24" t="s">
        <v>6777</v>
      </c>
      <c r="B2730" s="24" t="s">
        <v>6778</v>
      </c>
      <c r="C2730" s="24" t="s">
        <v>6020</v>
      </c>
      <c r="D2730" s="24" t="s">
        <v>17</v>
      </c>
      <c r="E2730" s="24" t="s">
        <v>48</v>
      </c>
      <c r="F2730" s="24" t="s">
        <v>49</v>
      </c>
      <c r="G2730" s="24" t="s">
        <v>44</v>
      </c>
      <c r="H2730" s="26">
        <v>120</v>
      </c>
      <c r="I2730" s="24" t="s">
        <v>29</v>
      </c>
      <c r="J2730" s="36">
        <v>45555</v>
      </c>
      <c r="K2730" s="24" t="s">
        <v>22</v>
      </c>
    </row>
    <row r="2731" spans="1:11" x14ac:dyDescent="0.2">
      <c r="A2731" s="27" t="s">
        <v>6779</v>
      </c>
      <c r="B2731" s="27" t="s">
        <v>6780</v>
      </c>
      <c r="C2731" s="27" t="s">
        <v>437</v>
      </c>
      <c r="D2731" s="27" t="s">
        <v>17</v>
      </c>
      <c r="E2731" s="27" t="s">
        <v>18</v>
      </c>
      <c r="F2731" s="27" t="s">
        <v>19</v>
      </c>
      <c r="G2731" s="27" t="s">
        <v>20</v>
      </c>
      <c r="H2731" s="29">
        <v>32</v>
      </c>
      <c r="I2731" s="27" t="s">
        <v>21</v>
      </c>
      <c r="J2731" s="37">
        <v>45547</v>
      </c>
      <c r="K2731" s="27" t="s">
        <v>22</v>
      </c>
    </row>
    <row r="2732" spans="1:11" x14ac:dyDescent="0.2">
      <c r="A2732" s="24" t="s">
        <v>6781</v>
      </c>
      <c r="B2732" s="24" t="s">
        <v>6782</v>
      </c>
      <c r="C2732" s="24" t="s">
        <v>97</v>
      </c>
      <c r="D2732" s="24" t="s">
        <v>17</v>
      </c>
      <c r="E2732" s="24" t="s">
        <v>81</v>
      </c>
      <c r="F2732" s="24" t="s">
        <v>82</v>
      </c>
      <c r="G2732" s="24" t="s">
        <v>20</v>
      </c>
      <c r="H2732" s="26">
        <v>101</v>
      </c>
      <c r="I2732" s="24" t="s">
        <v>21</v>
      </c>
      <c r="J2732" s="36">
        <v>45546</v>
      </c>
      <c r="K2732" s="24" t="s">
        <v>22</v>
      </c>
    </row>
    <row r="2733" spans="1:11" x14ac:dyDescent="0.2">
      <c r="A2733" s="27" t="s">
        <v>6783</v>
      </c>
      <c r="B2733" s="27" t="s">
        <v>6784</v>
      </c>
      <c r="C2733" s="27" t="s">
        <v>213</v>
      </c>
      <c r="D2733" s="27" t="s">
        <v>17</v>
      </c>
      <c r="E2733" s="27" t="s">
        <v>18</v>
      </c>
      <c r="F2733" s="27" t="s">
        <v>19</v>
      </c>
      <c r="G2733" s="27" t="s">
        <v>59</v>
      </c>
      <c r="H2733" s="29">
        <v>10</v>
      </c>
      <c r="I2733" s="27" t="s">
        <v>21</v>
      </c>
      <c r="J2733" s="37">
        <v>45541</v>
      </c>
      <c r="K2733" s="27" t="s">
        <v>22</v>
      </c>
    </row>
    <row r="2734" spans="1:11" x14ac:dyDescent="0.2">
      <c r="A2734" s="24" t="s">
        <v>6785</v>
      </c>
      <c r="B2734" s="24" t="s">
        <v>6786</v>
      </c>
      <c r="C2734" s="24" t="s">
        <v>526</v>
      </c>
      <c r="D2734" s="24" t="s">
        <v>17</v>
      </c>
      <c r="E2734" s="24" t="s">
        <v>42</v>
      </c>
      <c r="F2734" s="24" t="s">
        <v>43</v>
      </c>
      <c r="G2734" s="24" t="s">
        <v>44</v>
      </c>
      <c r="H2734" s="26">
        <v>279</v>
      </c>
      <c r="I2734" s="24" t="s">
        <v>21</v>
      </c>
      <c r="J2734" s="36">
        <v>45559</v>
      </c>
      <c r="K2734" s="24" t="s">
        <v>22</v>
      </c>
    </row>
    <row r="2735" spans="1:11" x14ac:dyDescent="0.2">
      <c r="A2735" s="27" t="s">
        <v>6787</v>
      </c>
      <c r="B2735" s="27" t="s">
        <v>6788</v>
      </c>
      <c r="C2735" s="27" t="s">
        <v>85</v>
      </c>
      <c r="D2735" s="27" t="s">
        <v>17</v>
      </c>
      <c r="E2735" s="27" t="s">
        <v>18</v>
      </c>
      <c r="F2735" s="27" t="s">
        <v>19</v>
      </c>
      <c r="G2735" s="27" t="s">
        <v>59</v>
      </c>
      <c r="H2735" s="29">
        <v>72</v>
      </c>
      <c r="I2735" s="27" t="s">
        <v>21</v>
      </c>
      <c r="J2735" s="37">
        <v>45539</v>
      </c>
      <c r="K2735" s="27" t="s">
        <v>22</v>
      </c>
    </row>
    <row r="2736" spans="1:11" x14ac:dyDescent="0.2">
      <c r="A2736" s="24" t="s">
        <v>6789</v>
      </c>
      <c r="B2736" s="24" t="s">
        <v>6790</v>
      </c>
      <c r="C2736" s="24" t="s">
        <v>6791</v>
      </c>
      <c r="D2736" s="24" t="s">
        <v>17</v>
      </c>
      <c r="E2736" s="24" t="s">
        <v>163</v>
      </c>
      <c r="F2736" s="24" t="s">
        <v>164</v>
      </c>
      <c r="G2736" s="24" t="s">
        <v>44</v>
      </c>
      <c r="H2736" s="26">
        <v>8</v>
      </c>
      <c r="I2736" s="24" t="s">
        <v>21</v>
      </c>
      <c r="J2736" s="36">
        <v>45537</v>
      </c>
      <c r="K2736" s="24" t="s">
        <v>22</v>
      </c>
    </row>
    <row r="2737" spans="1:11" x14ac:dyDescent="0.2">
      <c r="A2737" s="27" t="s">
        <v>6792</v>
      </c>
      <c r="B2737" s="27" t="s">
        <v>6793</v>
      </c>
      <c r="C2737" s="27" t="s">
        <v>6794</v>
      </c>
      <c r="D2737" s="27" t="s">
        <v>17</v>
      </c>
      <c r="E2737" s="27" t="s">
        <v>18</v>
      </c>
      <c r="F2737" s="27" t="s">
        <v>19</v>
      </c>
      <c r="G2737" s="27" t="s">
        <v>28</v>
      </c>
      <c r="H2737" s="29">
        <v>52</v>
      </c>
      <c r="I2737" s="27" t="s">
        <v>29</v>
      </c>
      <c r="J2737" s="37">
        <v>45539</v>
      </c>
      <c r="K2737" s="27" t="s">
        <v>22</v>
      </c>
    </row>
    <row r="2738" spans="1:11" x14ac:dyDescent="0.2">
      <c r="A2738" s="24" t="s">
        <v>6795</v>
      </c>
      <c r="B2738" s="24" t="s">
        <v>6796</v>
      </c>
      <c r="C2738" s="24" t="s">
        <v>1147</v>
      </c>
      <c r="D2738" s="24" t="s">
        <v>17</v>
      </c>
      <c r="E2738" s="24" t="s">
        <v>48</v>
      </c>
      <c r="F2738" s="24" t="s">
        <v>49</v>
      </c>
      <c r="G2738" s="24" t="s">
        <v>217</v>
      </c>
      <c r="H2738" s="26">
        <v>144</v>
      </c>
      <c r="I2738" s="24" t="s">
        <v>29</v>
      </c>
      <c r="J2738" s="36">
        <v>45536</v>
      </c>
      <c r="K2738" s="24" t="s">
        <v>22</v>
      </c>
    </row>
    <row r="2739" spans="1:11" x14ac:dyDescent="0.2">
      <c r="A2739" s="27" t="s">
        <v>6797</v>
      </c>
      <c r="B2739" s="27" t="s">
        <v>6798</v>
      </c>
      <c r="C2739" s="27" t="s">
        <v>6799</v>
      </c>
      <c r="D2739" s="27" t="s">
        <v>17</v>
      </c>
      <c r="E2739" s="27" t="s">
        <v>48</v>
      </c>
      <c r="F2739" s="27" t="s">
        <v>49</v>
      </c>
      <c r="G2739" s="27" t="s">
        <v>227</v>
      </c>
      <c r="H2739" s="29">
        <v>90</v>
      </c>
      <c r="I2739" s="27" t="s">
        <v>29</v>
      </c>
      <c r="J2739" s="37">
        <v>45565</v>
      </c>
      <c r="K2739" s="27" t="s">
        <v>22</v>
      </c>
    </row>
    <row r="2740" spans="1:11" x14ac:dyDescent="0.2">
      <c r="A2740" s="24" t="s">
        <v>6800</v>
      </c>
      <c r="B2740" s="24" t="s">
        <v>6801</v>
      </c>
      <c r="C2740" s="24" t="s">
        <v>6802</v>
      </c>
      <c r="D2740" s="24" t="s">
        <v>17</v>
      </c>
      <c r="E2740" s="24" t="s">
        <v>48</v>
      </c>
      <c r="F2740" s="24" t="s">
        <v>49</v>
      </c>
      <c r="G2740" s="24" t="s">
        <v>44</v>
      </c>
      <c r="H2740" s="26">
        <v>72</v>
      </c>
      <c r="I2740" s="24" t="s">
        <v>29</v>
      </c>
      <c r="J2740" s="36">
        <v>45544</v>
      </c>
      <c r="K2740" s="24" t="s">
        <v>22</v>
      </c>
    </row>
    <row r="2741" spans="1:11" x14ac:dyDescent="0.2">
      <c r="A2741" s="27" t="s">
        <v>6803</v>
      </c>
      <c r="B2741" s="27" t="s">
        <v>6804</v>
      </c>
      <c r="C2741" s="27" t="s">
        <v>6366</v>
      </c>
      <c r="D2741" s="27" t="s">
        <v>17</v>
      </c>
      <c r="E2741" s="27" t="s">
        <v>42</v>
      </c>
      <c r="F2741" s="27" t="s">
        <v>43</v>
      </c>
      <c r="G2741" s="27" t="s">
        <v>28</v>
      </c>
      <c r="H2741" s="29">
        <v>380</v>
      </c>
      <c r="I2741" s="27" t="s">
        <v>29</v>
      </c>
      <c r="J2741" s="37">
        <v>45561</v>
      </c>
      <c r="K2741" s="27" t="s">
        <v>22</v>
      </c>
    </row>
    <row r="2742" spans="1:11" x14ac:dyDescent="0.2">
      <c r="A2742" s="24" t="s">
        <v>6805</v>
      </c>
      <c r="B2742" s="24" t="s">
        <v>6806</v>
      </c>
      <c r="C2742" s="24" t="s">
        <v>1171</v>
      </c>
      <c r="D2742" s="24" t="s">
        <v>17</v>
      </c>
      <c r="E2742" s="24" t="s">
        <v>18</v>
      </c>
      <c r="F2742" s="24" t="s">
        <v>19</v>
      </c>
      <c r="G2742" s="24" t="s">
        <v>20</v>
      </c>
      <c r="H2742" s="26">
        <v>80</v>
      </c>
      <c r="I2742" s="24" t="s">
        <v>21</v>
      </c>
      <c r="J2742" s="36">
        <v>45552</v>
      </c>
      <c r="K2742" s="24" t="s">
        <v>22</v>
      </c>
    </row>
    <row r="2743" spans="1:11" x14ac:dyDescent="0.2">
      <c r="A2743" s="27" t="s">
        <v>6807</v>
      </c>
      <c r="B2743" s="27" t="s">
        <v>6808</v>
      </c>
      <c r="C2743" s="27" t="s">
        <v>984</v>
      </c>
      <c r="D2743" s="27" t="s">
        <v>17</v>
      </c>
      <c r="E2743" s="27" t="s">
        <v>42</v>
      </c>
      <c r="F2743" s="27" t="s">
        <v>43</v>
      </c>
      <c r="G2743" s="27" t="s">
        <v>20</v>
      </c>
      <c r="H2743" s="29">
        <v>40817</v>
      </c>
      <c r="I2743" s="27" t="s">
        <v>21</v>
      </c>
      <c r="J2743" s="37">
        <v>45551</v>
      </c>
      <c r="K2743" s="27" t="s">
        <v>22</v>
      </c>
    </row>
    <row r="2744" spans="1:11" x14ac:dyDescent="0.2">
      <c r="A2744" s="24" t="s">
        <v>6809</v>
      </c>
      <c r="B2744" s="24" t="s">
        <v>6810</v>
      </c>
      <c r="C2744" s="24" t="s">
        <v>1110</v>
      </c>
      <c r="D2744" s="24" t="s">
        <v>17</v>
      </c>
      <c r="E2744" s="24" t="s">
        <v>42</v>
      </c>
      <c r="F2744" s="24" t="s">
        <v>43</v>
      </c>
      <c r="G2744" s="24" t="s">
        <v>44</v>
      </c>
      <c r="H2744" s="26">
        <v>338</v>
      </c>
      <c r="I2744" s="24" t="s">
        <v>21</v>
      </c>
      <c r="J2744" s="36">
        <v>45558</v>
      </c>
      <c r="K2744" s="24" t="s">
        <v>22</v>
      </c>
    </row>
    <row r="2745" spans="1:11" x14ac:dyDescent="0.2">
      <c r="A2745" s="27" t="s">
        <v>6811</v>
      </c>
      <c r="B2745" s="27" t="s">
        <v>6812</v>
      </c>
      <c r="C2745" s="27" t="s">
        <v>1307</v>
      </c>
      <c r="D2745" s="27" t="s">
        <v>17</v>
      </c>
      <c r="E2745" s="27" t="s">
        <v>42</v>
      </c>
      <c r="F2745" s="27" t="s">
        <v>43</v>
      </c>
      <c r="G2745" s="27" t="s">
        <v>44</v>
      </c>
      <c r="H2745" s="29">
        <v>284</v>
      </c>
      <c r="I2745" s="27" t="s">
        <v>21</v>
      </c>
      <c r="J2745" s="37">
        <v>45560</v>
      </c>
      <c r="K2745" s="27" t="s">
        <v>22</v>
      </c>
    </row>
    <row r="2746" spans="1:11" x14ac:dyDescent="0.2">
      <c r="A2746" s="24" t="s">
        <v>6813</v>
      </c>
      <c r="B2746" s="24" t="s">
        <v>6814</v>
      </c>
      <c r="C2746" s="24" t="s">
        <v>331</v>
      </c>
      <c r="D2746" s="24" t="s">
        <v>17</v>
      </c>
      <c r="E2746" s="24" t="s">
        <v>18</v>
      </c>
      <c r="F2746" s="24" t="s">
        <v>19</v>
      </c>
      <c r="G2746" s="24" t="s">
        <v>20</v>
      </c>
      <c r="H2746" s="26">
        <v>168</v>
      </c>
      <c r="I2746" s="24" t="s">
        <v>21</v>
      </c>
      <c r="J2746" s="36">
        <v>45560</v>
      </c>
      <c r="K2746" s="24" t="s">
        <v>22</v>
      </c>
    </row>
    <row r="2747" spans="1:11" x14ac:dyDescent="0.2">
      <c r="A2747" s="27" t="s">
        <v>6815</v>
      </c>
      <c r="B2747" s="27" t="s">
        <v>6816</v>
      </c>
      <c r="C2747" s="27" t="s">
        <v>1273</v>
      </c>
      <c r="D2747" s="27" t="s">
        <v>17</v>
      </c>
      <c r="E2747" s="27" t="s">
        <v>48</v>
      </c>
      <c r="F2747" s="27" t="s">
        <v>49</v>
      </c>
      <c r="G2747" s="27" t="s">
        <v>28</v>
      </c>
      <c r="H2747" s="29">
        <v>36</v>
      </c>
      <c r="I2747" s="27" t="s">
        <v>29</v>
      </c>
      <c r="J2747" s="37">
        <v>45552</v>
      </c>
      <c r="K2747" s="27" t="s">
        <v>22</v>
      </c>
    </row>
    <row r="2748" spans="1:11" x14ac:dyDescent="0.2">
      <c r="A2748" s="24" t="s">
        <v>6817</v>
      </c>
      <c r="B2748" s="24" t="s">
        <v>6818</v>
      </c>
      <c r="C2748" s="24" t="s">
        <v>437</v>
      </c>
      <c r="D2748" s="24" t="s">
        <v>17</v>
      </c>
      <c r="E2748" s="24" t="s">
        <v>18</v>
      </c>
      <c r="F2748" s="24" t="s">
        <v>19</v>
      </c>
      <c r="G2748" s="24" t="s">
        <v>28</v>
      </c>
      <c r="H2748" s="26">
        <v>500</v>
      </c>
      <c r="I2748" s="24" t="s">
        <v>29</v>
      </c>
      <c r="J2748" s="36">
        <v>45552</v>
      </c>
      <c r="K2748" s="24" t="s">
        <v>22</v>
      </c>
    </row>
    <row r="2749" spans="1:11" x14ac:dyDescent="0.2">
      <c r="A2749" s="27" t="s">
        <v>6819</v>
      </c>
      <c r="B2749" s="27" t="s">
        <v>6820</v>
      </c>
      <c r="C2749" s="27" t="s">
        <v>5771</v>
      </c>
      <c r="D2749" s="27" t="s">
        <v>17</v>
      </c>
      <c r="E2749" s="27" t="s">
        <v>48</v>
      </c>
      <c r="F2749" s="27" t="s">
        <v>49</v>
      </c>
      <c r="G2749" s="27" t="s">
        <v>28</v>
      </c>
      <c r="H2749" s="29">
        <v>190</v>
      </c>
      <c r="I2749" s="27" t="s">
        <v>29</v>
      </c>
      <c r="J2749" s="37">
        <v>45552</v>
      </c>
      <c r="K2749" s="27" t="s">
        <v>22</v>
      </c>
    </row>
    <row r="2750" spans="1:11" x14ac:dyDescent="0.2">
      <c r="A2750" s="24" t="s">
        <v>6821</v>
      </c>
      <c r="B2750" s="24" t="s">
        <v>6822</v>
      </c>
      <c r="C2750" s="24" t="s">
        <v>1398</v>
      </c>
      <c r="D2750" s="24" t="s">
        <v>17</v>
      </c>
      <c r="E2750" s="24" t="s">
        <v>18</v>
      </c>
      <c r="F2750" s="24" t="s">
        <v>19</v>
      </c>
      <c r="G2750" s="24" t="s">
        <v>28</v>
      </c>
      <c r="H2750" s="26">
        <v>150</v>
      </c>
      <c r="I2750" s="24" t="s">
        <v>29</v>
      </c>
      <c r="J2750" s="36">
        <v>45554</v>
      </c>
      <c r="K2750" s="24" t="s">
        <v>22</v>
      </c>
    </row>
    <row r="2751" spans="1:11" x14ac:dyDescent="0.2">
      <c r="A2751" s="27" t="s">
        <v>6823</v>
      </c>
      <c r="B2751" s="27" t="s">
        <v>6824</v>
      </c>
      <c r="C2751" s="27" t="s">
        <v>55</v>
      </c>
      <c r="D2751" s="27" t="s">
        <v>17</v>
      </c>
      <c r="E2751" s="27" t="s">
        <v>26</v>
      </c>
      <c r="F2751" s="27" t="s">
        <v>27</v>
      </c>
      <c r="G2751" s="27" t="s">
        <v>28</v>
      </c>
      <c r="H2751" s="29">
        <v>160</v>
      </c>
      <c r="I2751" s="27" t="s">
        <v>29</v>
      </c>
      <c r="J2751" s="37">
        <v>45555</v>
      </c>
      <c r="K2751" s="27" t="s">
        <v>22</v>
      </c>
    </row>
    <row r="2752" spans="1:11" x14ac:dyDescent="0.2">
      <c r="A2752" s="24" t="s">
        <v>6825</v>
      </c>
      <c r="B2752" s="24" t="s">
        <v>6826</v>
      </c>
      <c r="C2752" s="24" t="s">
        <v>301</v>
      </c>
      <c r="D2752" s="24" t="s">
        <v>17</v>
      </c>
      <c r="E2752" s="24" t="s">
        <v>48</v>
      </c>
      <c r="F2752" s="24" t="s">
        <v>49</v>
      </c>
      <c r="G2752" s="24" t="s">
        <v>28</v>
      </c>
      <c r="H2752" s="26">
        <v>274</v>
      </c>
      <c r="I2752" s="24" t="s">
        <v>29</v>
      </c>
      <c r="J2752" s="36">
        <v>45554</v>
      </c>
      <c r="K2752" s="24" t="s">
        <v>22</v>
      </c>
    </row>
    <row r="2753" spans="1:11" x14ac:dyDescent="0.2">
      <c r="A2753" s="27" t="s">
        <v>6827</v>
      </c>
      <c r="B2753" s="27" t="s">
        <v>6828</v>
      </c>
      <c r="C2753" s="27" t="s">
        <v>3801</v>
      </c>
      <c r="D2753" s="27" t="s">
        <v>17</v>
      </c>
      <c r="E2753" s="27" t="s">
        <v>42</v>
      </c>
      <c r="F2753" s="27" t="s">
        <v>43</v>
      </c>
      <c r="G2753" s="27" t="s">
        <v>59</v>
      </c>
      <c r="H2753" s="29">
        <v>132</v>
      </c>
      <c r="I2753" s="27" t="s">
        <v>21</v>
      </c>
      <c r="J2753" s="37">
        <v>45546</v>
      </c>
      <c r="K2753" s="27" t="s">
        <v>22</v>
      </c>
    </row>
    <row r="2754" spans="1:11" x14ac:dyDescent="0.2">
      <c r="A2754" s="24" t="s">
        <v>6829</v>
      </c>
      <c r="B2754" s="24" t="s">
        <v>6830</v>
      </c>
      <c r="C2754" s="24" t="s">
        <v>1438</v>
      </c>
      <c r="D2754" s="24" t="s">
        <v>17</v>
      </c>
      <c r="E2754" s="24" t="s">
        <v>18</v>
      </c>
      <c r="F2754" s="24" t="s">
        <v>19</v>
      </c>
      <c r="G2754" s="24" t="s">
        <v>20</v>
      </c>
      <c r="H2754" s="26">
        <v>6</v>
      </c>
      <c r="I2754" s="24" t="s">
        <v>21</v>
      </c>
      <c r="J2754" s="36">
        <v>45538</v>
      </c>
      <c r="K2754" s="24" t="s">
        <v>22</v>
      </c>
    </row>
    <row r="2755" spans="1:11" x14ac:dyDescent="0.2">
      <c r="A2755" s="27" t="s">
        <v>6831</v>
      </c>
      <c r="B2755" s="27" t="s">
        <v>6832</v>
      </c>
      <c r="C2755" s="27" t="s">
        <v>6833</v>
      </c>
      <c r="D2755" s="27" t="s">
        <v>17</v>
      </c>
      <c r="E2755" s="27" t="s">
        <v>81</v>
      </c>
      <c r="F2755" s="27" t="s">
        <v>82</v>
      </c>
      <c r="G2755" s="27" t="s">
        <v>44</v>
      </c>
      <c r="H2755" s="29">
        <v>226</v>
      </c>
      <c r="I2755" s="27" t="s">
        <v>21</v>
      </c>
      <c r="J2755" s="37">
        <v>45553</v>
      </c>
      <c r="K2755" s="27" t="s">
        <v>22</v>
      </c>
    </row>
    <row r="2756" spans="1:11" x14ac:dyDescent="0.2">
      <c r="A2756" s="24" t="s">
        <v>6834</v>
      </c>
      <c r="B2756" s="24" t="s">
        <v>6835</v>
      </c>
      <c r="C2756" s="24" t="s">
        <v>2547</v>
      </c>
      <c r="D2756" s="24" t="s">
        <v>17</v>
      </c>
      <c r="E2756" s="24" t="s">
        <v>48</v>
      </c>
      <c r="F2756" s="24" t="s">
        <v>49</v>
      </c>
      <c r="G2756" s="24" t="s">
        <v>44</v>
      </c>
      <c r="H2756" s="26">
        <v>105</v>
      </c>
      <c r="I2756" s="24" t="s">
        <v>21</v>
      </c>
      <c r="J2756" s="36">
        <v>45565</v>
      </c>
      <c r="K2756" s="24" t="s">
        <v>22</v>
      </c>
    </row>
    <row r="2757" spans="1:11" x14ac:dyDescent="0.2">
      <c r="A2757" s="27" t="s">
        <v>6836</v>
      </c>
      <c r="B2757" s="27" t="s">
        <v>6837</v>
      </c>
      <c r="C2757" s="27" t="s">
        <v>6838</v>
      </c>
      <c r="D2757" s="27" t="s">
        <v>17</v>
      </c>
      <c r="E2757" s="27" t="s">
        <v>48</v>
      </c>
      <c r="F2757" s="27" t="s">
        <v>49</v>
      </c>
      <c r="G2757" s="27" t="s">
        <v>44</v>
      </c>
      <c r="H2757" s="29">
        <v>138</v>
      </c>
      <c r="I2757" s="27" t="s">
        <v>21</v>
      </c>
      <c r="J2757" s="37">
        <v>45551</v>
      </c>
      <c r="K2757" s="27" t="s">
        <v>22</v>
      </c>
    </row>
    <row r="2758" spans="1:11" x14ac:dyDescent="0.2">
      <c r="A2758" s="24" t="s">
        <v>6839</v>
      </c>
      <c r="B2758" s="24" t="s">
        <v>6840</v>
      </c>
      <c r="C2758" s="24" t="s">
        <v>68</v>
      </c>
      <c r="D2758" s="24" t="s">
        <v>17</v>
      </c>
      <c r="E2758" s="24" t="s">
        <v>26</v>
      </c>
      <c r="F2758" s="24" t="s">
        <v>27</v>
      </c>
      <c r="G2758" s="24" t="s">
        <v>28</v>
      </c>
      <c r="H2758" s="26">
        <v>100</v>
      </c>
      <c r="I2758" s="24" t="s">
        <v>29</v>
      </c>
      <c r="J2758" s="36">
        <v>45560</v>
      </c>
      <c r="K2758" s="24" t="s">
        <v>22</v>
      </c>
    </row>
    <row r="2759" spans="1:11" x14ac:dyDescent="0.2">
      <c r="A2759" s="27" t="s">
        <v>6841</v>
      </c>
      <c r="B2759" s="27" t="s">
        <v>6842</v>
      </c>
      <c r="C2759" s="27" t="s">
        <v>6843</v>
      </c>
      <c r="D2759" s="27" t="s">
        <v>17</v>
      </c>
      <c r="E2759" s="27" t="s">
        <v>26</v>
      </c>
      <c r="F2759" s="27" t="s">
        <v>27</v>
      </c>
      <c r="G2759" s="27" t="s">
        <v>217</v>
      </c>
      <c r="H2759" s="29">
        <v>96</v>
      </c>
      <c r="I2759" s="27" t="s">
        <v>29</v>
      </c>
      <c r="J2759" s="37">
        <v>45545</v>
      </c>
      <c r="K2759" s="27" t="s">
        <v>22</v>
      </c>
    </row>
    <row r="2760" spans="1:11" x14ac:dyDescent="0.2">
      <c r="A2760" s="24" t="s">
        <v>6844</v>
      </c>
      <c r="B2760" s="24" t="s">
        <v>6845</v>
      </c>
      <c r="C2760" s="24" t="s">
        <v>1346</v>
      </c>
      <c r="D2760" s="24" t="s">
        <v>17</v>
      </c>
      <c r="E2760" s="24" t="s">
        <v>18</v>
      </c>
      <c r="F2760" s="24" t="s">
        <v>19</v>
      </c>
      <c r="G2760" s="24" t="s">
        <v>20</v>
      </c>
      <c r="H2760" s="26">
        <v>24</v>
      </c>
      <c r="I2760" s="24" t="s">
        <v>21</v>
      </c>
      <c r="J2760" s="36">
        <v>45555</v>
      </c>
      <c r="K2760" s="24" t="s">
        <v>22</v>
      </c>
    </row>
    <row r="2761" spans="1:11" x14ac:dyDescent="0.2">
      <c r="A2761" s="27" t="s">
        <v>6846</v>
      </c>
      <c r="B2761" s="27" t="s">
        <v>6847</v>
      </c>
      <c r="C2761" s="27" t="s">
        <v>968</v>
      </c>
      <c r="D2761" s="27" t="s">
        <v>17</v>
      </c>
      <c r="E2761" s="27" t="s">
        <v>42</v>
      </c>
      <c r="F2761" s="27" t="s">
        <v>43</v>
      </c>
      <c r="G2761" s="27" t="s">
        <v>59</v>
      </c>
      <c r="H2761" s="29">
        <v>301</v>
      </c>
      <c r="I2761" s="27" t="s">
        <v>21</v>
      </c>
      <c r="J2761" s="37">
        <v>45558</v>
      </c>
      <c r="K2761" s="27" t="s">
        <v>22</v>
      </c>
    </row>
    <row r="2762" spans="1:11" x14ac:dyDescent="0.2">
      <c r="A2762" s="24" t="s">
        <v>6848</v>
      </c>
      <c r="B2762" s="24" t="s">
        <v>6849</v>
      </c>
      <c r="C2762" s="24" t="s">
        <v>97</v>
      </c>
      <c r="D2762" s="24" t="s">
        <v>17</v>
      </c>
      <c r="E2762" s="24" t="s">
        <v>42</v>
      </c>
      <c r="F2762" s="24" t="s">
        <v>43</v>
      </c>
      <c r="G2762" s="24" t="s">
        <v>28</v>
      </c>
      <c r="H2762" s="26">
        <v>300</v>
      </c>
      <c r="I2762" s="24" t="s">
        <v>29</v>
      </c>
      <c r="J2762" s="36">
        <v>45561</v>
      </c>
      <c r="K2762" s="24" t="s">
        <v>22</v>
      </c>
    </row>
    <row r="2763" spans="1:11" x14ac:dyDescent="0.2">
      <c r="A2763" s="27" t="s">
        <v>6850</v>
      </c>
      <c r="B2763" s="27" t="s">
        <v>6851</v>
      </c>
      <c r="C2763" s="27" t="s">
        <v>1233</v>
      </c>
      <c r="D2763" s="27" t="s">
        <v>17</v>
      </c>
      <c r="E2763" s="27" t="s">
        <v>18</v>
      </c>
      <c r="F2763" s="27" t="s">
        <v>19</v>
      </c>
      <c r="G2763" s="27" t="s">
        <v>20</v>
      </c>
      <c r="H2763" s="29">
        <v>7</v>
      </c>
      <c r="I2763" s="27" t="s">
        <v>21</v>
      </c>
      <c r="J2763" s="37">
        <v>45555</v>
      </c>
      <c r="K2763" s="27" t="s">
        <v>22</v>
      </c>
    </row>
    <row r="2764" spans="1:11" x14ac:dyDescent="0.2">
      <c r="A2764" s="24" t="s">
        <v>6852</v>
      </c>
      <c r="B2764" s="24" t="s">
        <v>6853</v>
      </c>
      <c r="C2764" s="24" t="s">
        <v>1473</v>
      </c>
      <c r="D2764" s="24" t="s">
        <v>17</v>
      </c>
      <c r="E2764" s="24" t="s">
        <v>26</v>
      </c>
      <c r="F2764" s="24" t="s">
        <v>27</v>
      </c>
      <c r="G2764" s="24" t="s">
        <v>227</v>
      </c>
      <c r="H2764" s="26">
        <v>30</v>
      </c>
      <c r="I2764" s="24" t="s">
        <v>29</v>
      </c>
      <c r="J2764" s="36">
        <v>45536</v>
      </c>
      <c r="K2764" s="24" t="s">
        <v>22</v>
      </c>
    </row>
    <row r="2765" spans="1:11" x14ac:dyDescent="0.2">
      <c r="A2765" s="27" t="s">
        <v>6854</v>
      </c>
      <c r="B2765" s="27" t="s">
        <v>6855</v>
      </c>
      <c r="C2765" s="27" t="s">
        <v>6439</v>
      </c>
      <c r="D2765" s="27" t="s">
        <v>17</v>
      </c>
      <c r="E2765" s="27" t="s">
        <v>48</v>
      </c>
      <c r="F2765" s="27" t="s">
        <v>49</v>
      </c>
      <c r="G2765" s="27" t="s">
        <v>20</v>
      </c>
      <c r="H2765" s="29">
        <v>426</v>
      </c>
      <c r="I2765" s="27" t="s">
        <v>21</v>
      </c>
      <c r="J2765" s="37">
        <v>45539</v>
      </c>
      <c r="K2765" s="27" t="s">
        <v>22</v>
      </c>
    </row>
    <row r="2766" spans="1:11" x14ac:dyDescent="0.2">
      <c r="A2766" s="24" t="s">
        <v>6856</v>
      </c>
      <c r="B2766" s="24" t="s">
        <v>6857</v>
      </c>
      <c r="C2766" s="24" t="s">
        <v>595</v>
      </c>
      <c r="D2766" s="24" t="s">
        <v>17</v>
      </c>
      <c r="E2766" s="24" t="s">
        <v>18</v>
      </c>
      <c r="F2766" s="24" t="s">
        <v>19</v>
      </c>
      <c r="G2766" s="24" t="s">
        <v>28</v>
      </c>
      <c r="H2766" s="26">
        <v>76</v>
      </c>
      <c r="I2766" s="24" t="s">
        <v>29</v>
      </c>
      <c r="J2766" s="36">
        <v>45559</v>
      </c>
      <c r="K2766" s="24" t="s">
        <v>22</v>
      </c>
    </row>
    <row r="2767" spans="1:11" x14ac:dyDescent="0.2">
      <c r="A2767" s="27" t="s">
        <v>6858</v>
      </c>
      <c r="B2767" s="27" t="s">
        <v>6859</v>
      </c>
      <c r="C2767" s="27" t="s">
        <v>2837</v>
      </c>
      <c r="D2767" s="27" t="s">
        <v>17</v>
      </c>
      <c r="E2767" s="27" t="s">
        <v>33</v>
      </c>
      <c r="F2767" s="27" t="s">
        <v>34</v>
      </c>
      <c r="G2767" s="27" t="s">
        <v>217</v>
      </c>
      <c r="H2767" s="29">
        <v>606</v>
      </c>
      <c r="I2767" s="27" t="s">
        <v>29</v>
      </c>
      <c r="J2767" s="37">
        <v>45545</v>
      </c>
      <c r="K2767" s="27" t="s">
        <v>22</v>
      </c>
    </row>
    <row r="2768" spans="1:11" x14ac:dyDescent="0.2">
      <c r="A2768" s="24" t="s">
        <v>6860</v>
      </c>
      <c r="B2768" s="24" t="s">
        <v>6861</v>
      </c>
      <c r="C2768" s="24" t="s">
        <v>6862</v>
      </c>
      <c r="D2768" s="24" t="s">
        <v>17</v>
      </c>
      <c r="E2768" s="24" t="s">
        <v>26</v>
      </c>
      <c r="F2768" s="24" t="s">
        <v>27</v>
      </c>
      <c r="G2768" s="24" t="s">
        <v>28</v>
      </c>
      <c r="H2768" s="26">
        <v>30</v>
      </c>
      <c r="I2768" s="24" t="s">
        <v>29</v>
      </c>
      <c r="J2768" s="36">
        <v>45547</v>
      </c>
      <c r="K2768" s="24" t="s">
        <v>22</v>
      </c>
    </row>
    <row r="2769" spans="1:11" x14ac:dyDescent="0.2">
      <c r="A2769" s="27" t="s">
        <v>6863</v>
      </c>
      <c r="B2769" s="27" t="s">
        <v>6864</v>
      </c>
      <c r="C2769" s="27" t="s">
        <v>6865</v>
      </c>
      <c r="D2769" s="27" t="s">
        <v>17</v>
      </c>
      <c r="E2769" s="27" t="s">
        <v>18</v>
      </c>
      <c r="F2769" s="27" t="s">
        <v>19</v>
      </c>
      <c r="G2769" s="27" t="s">
        <v>217</v>
      </c>
      <c r="H2769" s="29">
        <v>8</v>
      </c>
      <c r="I2769" s="27" t="s">
        <v>29</v>
      </c>
      <c r="J2769" s="37">
        <v>45536</v>
      </c>
      <c r="K2769" s="27" t="s">
        <v>22</v>
      </c>
    </row>
    <row r="2770" spans="1:11" x14ac:dyDescent="0.2">
      <c r="A2770" s="24" t="s">
        <v>6866</v>
      </c>
      <c r="B2770" s="24" t="s">
        <v>6867</v>
      </c>
      <c r="C2770" s="24" t="s">
        <v>6868</v>
      </c>
      <c r="D2770" s="24" t="s">
        <v>17</v>
      </c>
      <c r="E2770" s="24" t="s">
        <v>18</v>
      </c>
      <c r="F2770" s="24" t="s">
        <v>19</v>
      </c>
      <c r="G2770" s="24" t="s">
        <v>28</v>
      </c>
      <c r="H2770" s="26">
        <v>40</v>
      </c>
      <c r="I2770" s="24" t="s">
        <v>29</v>
      </c>
      <c r="J2770" s="36">
        <v>45546</v>
      </c>
      <c r="K2770" s="24" t="s">
        <v>22</v>
      </c>
    </row>
    <row r="2771" spans="1:11" x14ac:dyDescent="0.2">
      <c r="A2771" s="27" t="s">
        <v>6869</v>
      </c>
      <c r="B2771" s="27" t="s">
        <v>6870</v>
      </c>
      <c r="C2771" s="27" t="s">
        <v>1047</v>
      </c>
      <c r="D2771" s="27" t="s">
        <v>17</v>
      </c>
      <c r="E2771" s="27" t="s">
        <v>18</v>
      </c>
      <c r="F2771" s="27" t="s">
        <v>19</v>
      </c>
      <c r="G2771" s="27" t="s">
        <v>20</v>
      </c>
      <c r="H2771" s="29">
        <v>43</v>
      </c>
      <c r="I2771" s="27" t="s">
        <v>21</v>
      </c>
      <c r="J2771" s="37">
        <v>45548</v>
      </c>
      <c r="K2771" s="27" t="s">
        <v>22</v>
      </c>
    </row>
    <row r="2772" spans="1:11" x14ac:dyDescent="0.2">
      <c r="A2772" s="24" t="s">
        <v>6871</v>
      </c>
      <c r="B2772" s="24" t="s">
        <v>6872</v>
      </c>
      <c r="C2772" s="24" t="s">
        <v>4674</v>
      </c>
      <c r="D2772" s="24" t="s">
        <v>17</v>
      </c>
      <c r="E2772" s="24" t="s">
        <v>48</v>
      </c>
      <c r="F2772" s="24" t="s">
        <v>49</v>
      </c>
      <c r="G2772" s="24" t="s">
        <v>20</v>
      </c>
      <c r="H2772" s="26">
        <v>123</v>
      </c>
      <c r="I2772" s="24" t="s">
        <v>21</v>
      </c>
      <c r="J2772" s="36">
        <v>45552</v>
      </c>
      <c r="K2772" s="24" t="s">
        <v>22</v>
      </c>
    </row>
    <row r="2773" spans="1:11" x14ac:dyDescent="0.2">
      <c r="A2773" s="27" t="s">
        <v>6873</v>
      </c>
      <c r="B2773" s="27" t="s">
        <v>6874</v>
      </c>
      <c r="C2773" s="27" t="s">
        <v>6875</v>
      </c>
      <c r="D2773" s="27" t="s">
        <v>17</v>
      </c>
      <c r="E2773" s="27" t="s">
        <v>18</v>
      </c>
      <c r="F2773" s="27" t="s">
        <v>19</v>
      </c>
      <c r="G2773" s="27" t="s">
        <v>44</v>
      </c>
      <c r="H2773" s="29">
        <v>75</v>
      </c>
      <c r="I2773" s="27" t="s">
        <v>21</v>
      </c>
      <c r="J2773" s="37">
        <v>45560</v>
      </c>
      <c r="K2773" s="27" t="s">
        <v>22</v>
      </c>
    </row>
    <row r="2774" spans="1:11" x14ac:dyDescent="0.2">
      <c r="A2774" s="24" t="s">
        <v>6876</v>
      </c>
      <c r="B2774" s="24" t="s">
        <v>6877</v>
      </c>
      <c r="C2774" s="24" t="s">
        <v>1523</v>
      </c>
      <c r="D2774" s="24" t="s">
        <v>17</v>
      </c>
      <c r="E2774" s="24" t="s">
        <v>48</v>
      </c>
      <c r="F2774" s="24" t="s">
        <v>49</v>
      </c>
      <c r="G2774" s="24" t="s">
        <v>28</v>
      </c>
      <c r="H2774" s="26">
        <v>120</v>
      </c>
      <c r="I2774" s="24" t="s">
        <v>29</v>
      </c>
      <c r="J2774" s="36">
        <v>45565</v>
      </c>
      <c r="K2774" s="24" t="s">
        <v>22</v>
      </c>
    </row>
    <row r="2775" spans="1:11" x14ac:dyDescent="0.2">
      <c r="A2775" s="27" t="s">
        <v>6878</v>
      </c>
      <c r="B2775" s="27" t="s">
        <v>6879</v>
      </c>
      <c r="C2775" s="27" t="s">
        <v>494</v>
      </c>
      <c r="D2775" s="27" t="s">
        <v>17</v>
      </c>
      <c r="E2775" s="27" t="s">
        <v>42</v>
      </c>
      <c r="F2775" s="27" t="s">
        <v>43</v>
      </c>
      <c r="G2775" s="27" t="s">
        <v>217</v>
      </c>
      <c r="H2775" s="29">
        <v>358</v>
      </c>
      <c r="I2775" s="27" t="s">
        <v>29</v>
      </c>
      <c r="J2775" s="37">
        <v>45536</v>
      </c>
      <c r="K2775" s="27" t="s">
        <v>22</v>
      </c>
    </row>
    <row r="2776" spans="1:11" x14ac:dyDescent="0.2">
      <c r="A2776" s="24" t="s">
        <v>6880</v>
      </c>
      <c r="B2776" s="24" t="s">
        <v>6881</v>
      </c>
      <c r="C2776" s="24" t="s">
        <v>4159</v>
      </c>
      <c r="D2776" s="24" t="s">
        <v>17</v>
      </c>
      <c r="E2776" s="24" t="s">
        <v>48</v>
      </c>
      <c r="F2776" s="24" t="s">
        <v>49</v>
      </c>
      <c r="G2776" s="24" t="s">
        <v>20</v>
      </c>
      <c r="H2776" s="26">
        <v>81</v>
      </c>
      <c r="I2776" s="24" t="s">
        <v>21</v>
      </c>
      <c r="J2776" s="36">
        <v>45565</v>
      </c>
      <c r="K2776" s="24" t="s">
        <v>22</v>
      </c>
    </row>
    <row r="2777" spans="1:11" x14ac:dyDescent="0.2">
      <c r="A2777" s="27" t="s">
        <v>6882</v>
      </c>
      <c r="B2777" s="27" t="s">
        <v>6883</v>
      </c>
      <c r="C2777" s="27" t="s">
        <v>1562</v>
      </c>
      <c r="D2777" s="27" t="s">
        <v>17</v>
      </c>
      <c r="E2777" s="27" t="s">
        <v>81</v>
      </c>
      <c r="F2777" s="27" t="s">
        <v>82</v>
      </c>
      <c r="G2777" s="27" t="s">
        <v>227</v>
      </c>
      <c r="H2777" s="29">
        <v>414</v>
      </c>
      <c r="I2777" s="27" t="s">
        <v>29</v>
      </c>
      <c r="J2777" s="37">
        <v>45551</v>
      </c>
      <c r="K2777" s="27" t="s">
        <v>22</v>
      </c>
    </row>
    <row r="2778" spans="1:11" x14ac:dyDescent="0.2">
      <c r="A2778" s="24" t="s">
        <v>6884</v>
      </c>
      <c r="B2778" s="24" t="s">
        <v>6885</v>
      </c>
      <c r="C2778" s="24" t="s">
        <v>6886</v>
      </c>
      <c r="D2778" s="24" t="s">
        <v>17</v>
      </c>
      <c r="E2778" s="24" t="s">
        <v>18</v>
      </c>
      <c r="F2778" s="24" t="s">
        <v>19</v>
      </c>
      <c r="G2778" s="24" t="s">
        <v>20</v>
      </c>
      <c r="H2778" s="26">
        <v>32</v>
      </c>
      <c r="I2778" s="24" t="s">
        <v>21</v>
      </c>
      <c r="J2778" s="36">
        <v>45558</v>
      </c>
      <c r="K2778" s="24" t="s">
        <v>22</v>
      </c>
    </row>
    <row r="2779" spans="1:11" x14ac:dyDescent="0.2">
      <c r="A2779" s="27" t="s">
        <v>6887</v>
      </c>
      <c r="B2779" s="27" t="s">
        <v>6888</v>
      </c>
      <c r="C2779" s="27" t="s">
        <v>3964</v>
      </c>
      <c r="D2779" s="27" t="s">
        <v>17</v>
      </c>
      <c r="E2779" s="27" t="s">
        <v>18</v>
      </c>
      <c r="F2779" s="27" t="s">
        <v>19</v>
      </c>
      <c r="G2779" s="27" t="s">
        <v>20</v>
      </c>
      <c r="H2779" s="29">
        <v>48</v>
      </c>
      <c r="I2779" s="27" t="s">
        <v>21</v>
      </c>
      <c r="J2779" s="37">
        <v>45537</v>
      </c>
      <c r="K2779" s="27" t="s">
        <v>22</v>
      </c>
    </row>
    <row r="2780" spans="1:11" x14ac:dyDescent="0.2">
      <c r="A2780" s="24" t="s">
        <v>6889</v>
      </c>
      <c r="B2780" s="24" t="s">
        <v>6890</v>
      </c>
      <c r="C2780" s="24" t="s">
        <v>5732</v>
      </c>
      <c r="D2780" s="24" t="s">
        <v>17</v>
      </c>
      <c r="E2780" s="24" t="s">
        <v>42</v>
      </c>
      <c r="F2780" s="24" t="s">
        <v>43</v>
      </c>
      <c r="G2780" s="24" t="s">
        <v>28</v>
      </c>
      <c r="H2780" s="26">
        <v>72</v>
      </c>
      <c r="I2780" s="24" t="s">
        <v>29</v>
      </c>
      <c r="J2780" s="36">
        <v>45538</v>
      </c>
      <c r="K2780" s="24" t="s">
        <v>22</v>
      </c>
    </row>
    <row r="2781" spans="1:11" x14ac:dyDescent="0.2">
      <c r="A2781" s="27" t="s">
        <v>6891</v>
      </c>
      <c r="B2781" s="27" t="s">
        <v>6892</v>
      </c>
      <c r="C2781" s="27" t="s">
        <v>6893</v>
      </c>
      <c r="D2781" s="27" t="s">
        <v>17</v>
      </c>
      <c r="E2781" s="27" t="s">
        <v>18</v>
      </c>
      <c r="F2781" s="27" t="s">
        <v>19</v>
      </c>
      <c r="G2781" s="27" t="s">
        <v>28</v>
      </c>
      <c r="H2781" s="29">
        <v>167</v>
      </c>
      <c r="I2781" s="27" t="s">
        <v>29</v>
      </c>
      <c r="J2781" s="37">
        <v>45546</v>
      </c>
      <c r="K2781" s="27" t="s">
        <v>22</v>
      </c>
    </row>
    <row r="2782" spans="1:11" x14ac:dyDescent="0.2">
      <c r="A2782" s="24" t="s">
        <v>6894</v>
      </c>
      <c r="B2782" s="24" t="s">
        <v>6895</v>
      </c>
      <c r="C2782" s="24" t="s">
        <v>792</v>
      </c>
      <c r="D2782" s="24" t="s">
        <v>17</v>
      </c>
      <c r="E2782" s="24" t="s">
        <v>18</v>
      </c>
      <c r="F2782" s="24" t="s">
        <v>19</v>
      </c>
      <c r="G2782" s="24" t="s">
        <v>28</v>
      </c>
      <c r="H2782" s="26">
        <v>12</v>
      </c>
      <c r="I2782" s="24" t="s">
        <v>29</v>
      </c>
      <c r="J2782" s="36">
        <v>45565</v>
      </c>
      <c r="K2782" s="24" t="s">
        <v>22</v>
      </c>
    </row>
    <row r="2783" spans="1:11" x14ac:dyDescent="0.2">
      <c r="A2783" s="27" t="s">
        <v>6896</v>
      </c>
      <c r="B2783" s="27" t="s">
        <v>6897</v>
      </c>
      <c r="C2783" s="27" t="s">
        <v>97</v>
      </c>
      <c r="D2783" s="27" t="s">
        <v>17</v>
      </c>
      <c r="E2783" s="27" t="s">
        <v>48</v>
      </c>
      <c r="F2783" s="27" t="s">
        <v>49</v>
      </c>
      <c r="G2783" s="27" t="s">
        <v>44</v>
      </c>
      <c r="H2783" s="29">
        <v>30</v>
      </c>
      <c r="I2783" s="27" t="s">
        <v>21</v>
      </c>
      <c r="J2783" s="37">
        <v>45559</v>
      </c>
      <c r="K2783" s="27" t="s">
        <v>22</v>
      </c>
    </row>
    <row r="2784" spans="1:11" x14ac:dyDescent="0.2">
      <c r="A2784" s="24" t="s">
        <v>6898</v>
      </c>
      <c r="B2784" s="24" t="s">
        <v>6899</v>
      </c>
      <c r="C2784" s="24" t="s">
        <v>6900</v>
      </c>
      <c r="D2784" s="24" t="s">
        <v>17</v>
      </c>
      <c r="E2784" s="24" t="s">
        <v>26</v>
      </c>
      <c r="F2784" s="24" t="s">
        <v>27</v>
      </c>
      <c r="G2784" s="24" t="s">
        <v>28</v>
      </c>
      <c r="H2784" s="26">
        <v>171</v>
      </c>
      <c r="I2784" s="24" t="s">
        <v>29</v>
      </c>
      <c r="J2784" s="36">
        <v>45552</v>
      </c>
      <c r="K2784" s="24" t="s">
        <v>22</v>
      </c>
    </row>
    <row r="2785" spans="1:11" x14ac:dyDescent="0.2">
      <c r="A2785" s="27" t="s">
        <v>6901</v>
      </c>
      <c r="B2785" s="27" t="s">
        <v>6902</v>
      </c>
      <c r="C2785" s="27" t="s">
        <v>6903</v>
      </c>
      <c r="D2785" s="27" t="s">
        <v>17</v>
      </c>
      <c r="E2785" s="27" t="s">
        <v>42</v>
      </c>
      <c r="F2785" s="27" t="s">
        <v>43</v>
      </c>
      <c r="G2785" s="27" t="s">
        <v>28</v>
      </c>
      <c r="H2785" s="29">
        <v>288</v>
      </c>
      <c r="I2785" s="27" t="s">
        <v>29</v>
      </c>
      <c r="J2785" s="37">
        <v>45544</v>
      </c>
      <c r="K2785" s="27" t="s">
        <v>22</v>
      </c>
    </row>
    <row r="2786" spans="1:11" x14ac:dyDescent="0.2">
      <c r="A2786" s="24" t="s">
        <v>6904</v>
      </c>
      <c r="B2786" s="24" t="s">
        <v>6905</v>
      </c>
      <c r="C2786" s="24" t="s">
        <v>1110</v>
      </c>
      <c r="D2786" s="24" t="s">
        <v>17</v>
      </c>
      <c r="E2786" s="24" t="s">
        <v>18</v>
      </c>
      <c r="F2786" s="24" t="s">
        <v>19</v>
      </c>
      <c r="G2786" s="24" t="s">
        <v>44</v>
      </c>
      <c r="H2786" s="26">
        <v>34</v>
      </c>
      <c r="I2786" s="24" t="s">
        <v>21</v>
      </c>
      <c r="J2786" s="36">
        <v>45551</v>
      </c>
      <c r="K2786" s="24" t="s">
        <v>22</v>
      </c>
    </row>
    <row r="2787" spans="1:11" x14ac:dyDescent="0.2">
      <c r="A2787" s="27" t="s">
        <v>6906</v>
      </c>
      <c r="B2787" s="27" t="s">
        <v>6907</v>
      </c>
      <c r="C2787" s="27" t="s">
        <v>6908</v>
      </c>
      <c r="D2787" s="27" t="s">
        <v>17</v>
      </c>
      <c r="E2787" s="27" t="s">
        <v>26</v>
      </c>
      <c r="F2787" s="27" t="s">
        <v>27</v>
      </c>
      <c r="G2787" s="27" t="s">
        <v>38</v>
      </c>
      <c r="H2787" s="29">
        <v>15</v>
      </c>
      <c r="I2787" s="27" t="s">
        <v>29</v>
      </c>
      <c r="J2787" s="37">
        <v>45536</v>
      </c>
      <c r="K2787" s="27" t="s">
        <v>22</v>
      </c>
    </row>
    <row r="2788" spans="1:11" x14ac:dyDescent="0.2">
      <c r="A2788" s="24" t="s">
        <v>6909</v>
      </c>
      <c r="B2788" s="24" t="s">
        <v>6910</v>
      </c>
      <c r="C2788" s="24" t="s">
        <v>1883</v>
      </c>
      <c r="D2788" s="24" t="s">
        <v>17</v>
      </c>
      <c r="E2788" s="24" t="s">
        <v>18</v>
      </c>
      <c r="F2788" s="24" t="s">
        <v>19</v>
      </c>
      <c r="G2788" s="24" t="s">
        <v>20</v>
      </c>
      <c r="H2788" s="26">
        <v>68</v>
      </c>
      <c r="I2788" s="24" t="s">
        <v>21</v>
      </c>
      <c r="J2788" s="36">
        <v>45557</v>
      </c>
      <c r="K2788" s="24" t="s">
        <v>22</v>
      </c>
    </row>
    <row r="2789" spans="1:11" x14ac:dyDescent="0.2">
      <c r="A2789" s="27" t="s">
        <v>6911</v>
      </c>
      <c r="B2789" s="27" t="s">
        <v>6912</v>
      </c>
      <c r="C2789" s="27" t="s">
        <v>409</v>
      </c>
      <c r="D2789" s="27" t="s">
        <v>17</v>
      </c>
      <c r="E2789" s="27" t="s">
        <v>18</v>
      </c>
      <c r="F2789" s="27" t="s">
        <v>19</v>
      </c>
      <c r="G2789" s="27" t="s">
        <v>20</v>
      </c>
      <c r="H2789" s="29">
        <v>66</v>
      </c>
      <c r="I2789" s="27" t="s">
        <v>21</v>
      </c>
      <c r="J2789" s="37">
        <v>45536</v>
      </c>
      <c r="K2789" s="27" t="s">
        <v>22</v>
      </c>
    </row>
    <row r="2790" spans="1:11" x14ac:dyDescent="0.2">
      <c r="A2790" s="24" t="s">
        <v>6913</v>
      </c>
      <c r="B2790" s="24" t="s">
        <v>6914</v>
      </c>
      <c r="C2790" s="24" t="s">
        <v>1014</v>
      </c>
      <c r="D2790" s="24" t="s">
        <v>17</v>
      </c>
      <c r="E2790" s="24" t="s">
        <v>18</v>
      </c>
      <c r="F2790" s="24" t="s">
        <v>19</v>
      </c>
      <c r="G2790" s="24" t="s">
        <v>38</v>
      </c>
      <c r="H2790" s="26">
        <v>28</v>
      </c>
      <c r="I2790" s="24" t="s">
        <v>29</v>
      </c>
      <c r="J2790" s="36">
        <v>45559</v>
      </c>
      <c r="K2790" s="24" t="s">
        <v>22</v>
      </c>
    </row>
    <row r="2791" spans="1:11" x14ac:dyDescent="0.2">
      <c r="A2791" s="27" t="s">
        <v>6915</v>
      </c>
      <c r="B2791" s="27" t="s">
        <v>6916</v>
      </c>
      <c r="C2791" s="27" t="s">
        <v>388</v>
      </c>
      <c r="D2791" s="27" t="s">
        <v>17</v>
      </c>
      <c r="E2791" s="27" t="s">
        <v>42</v>
      </c>
      <c r="F2791" s="27" t="s">
        <v>43</v>
      </c>
      <c r="G2791" s="27" t="s">
        <v>20</v>
      </c>
      <c r="H2791" s="29">
        <v>30</v>
      </c>
      <c r="I2791" s="27" t="s">
        <v>21</v>
      </c>
      <c r="J2791" s="37">
        <v>45565</v>
      </c>
      <c r="K2791" s="27" t="s">
        <v>22</v>
      </c>
    </row>
    <row r="2792" spans="1:11" x14ac:dyDescent="0.2">
      <c r="A2792" s="24" t="s">
        <v>6917</v>
      </c>
      <c r="B2792" s="24" t="s">
        <v>6918</v>
      </c>
      <c r="C2792" s="24" t="s">
        <v>6919</v>
      </c>
      <c r="D2792" s="24" t="s">
        <v>17</v>
      </c>
      <c r="E2792" s="24" t="s">
        <v>26</v>
      </c>
      <c r="F2792" s="24" t="s">
        <v>27</v>
      </c>
      <c r="G2792" s="24" t="s">
        <v>28</v>
      </c>
      <c r="H2792" s="26">
        <v>78</v>
      </c>
      <c r="I2792" s="24" t="s">
        <v>29</v>
      </c>
      <c r="J2792" s="36">
        <v>45555</v>
      </c>
      <c r="K2792" s="24" t="s">
        <v>22</v>
      </c>
    </row>
    <row r="2793" spans="1:11" x14ac:dyDescent="0.2">
      <c r="A2793" s="27" t="s">
        <v>6920</v>
      </c>
      <c r="B2793" s="27" t="s">
        <v>6921</v>
      </c>
      <c r="C2793" s="27" t="s">
        <v>2884</v>
      </c>
      <c r="D2793" s="27" t="s">
        <v>17</v>
      </c>
      <c r="E2793" s="27" t="s">
        <v>48</v>
      </c>
      <c r="F2793" s="27" t="s">
        <v>49</v>
      </c>
      <c r="G2793" s="27" t="s">
        <v>44</v>
      </c>
      <c r="H2793" s="29">
        <v>164</v>
      </c>
      <c r="I2793" s="27" t="s">
        <v>21</v>
      </c>
      <c r="J2793" s="37">
        <v>45545</v>
      </c>
      <c r="K2793" s="27" t="s">
        <v>22</v>
      </c>
    </row>
    <row r="2794" spans="1:11" x14ac:dyDescent="0.2">
      <c r="A2794" s="24" t="s">
        <v>6922</v>
      </c>
      <c r="B2794" s="24" t="s">
        <v>6923</v>
      </c>
      <c r="C2794" s="24" t="s">
        <v>6924</v>
      </c>
      <c r="D2794" s="24" t="s">
        <v>17</v>
      </c>
      <c r="E2794" s="24" t="s">
        <v>18</v>
      </c>
      <c r="F2794" s="24" t="s">
        <v>19</v>
      </c>
      <c r="G2794" s="24" t="s">
        <v>59</v>
      </c>
      <c r="H2794" s="26">
        <v>32</v>
      </c>
      <c r="I2794" s="24" t="s">
        <v>21</v>
      </c>
      <c r="J2794" s="36">
        <v>45565</v>
      </c>
      <c r="K2794" s="24" t="s">
        <v>22</v>
      </c>
    </row>
    <row r="2795" spans="1:11" x14ac:dyDescent="0.2">
      <c r="A2795" s="27" t="s">
        <v>6925</v>
      </c>
      <c r="B2795" s="27" t="s">
        <v>6926</v>
      </c>
      <c r="C2795" s="27" t="s">
        <v>4291</v>
      </c>
      <c r="D2795" s="27" t="s">
        <v>17</v>
      </c>
      <c r="E2795" s="27" t="s">
        <v>42</v>
      </c>
      <c r="F2795" s="27" t="s">
        <v>43</v>
      </c>
      <c r="G2795" s="27" t="s">
        <v>28</v>
      </c>
      <c r="H2795" s="29">
        <v>500</v>
      </c>
      <c r="I2795" s="27" t="s">
        <v>29</v>
      </c>
      <c r="J2795" s="37">
        <v>45560</v>
      </c>
      <c r="K2795" s="27" t="s">
        <v>22</v>
      </c>
    </row>
    <row r="2796" spans="1:11" x14ac:dyDescent="0.2">
      <c r="A2796" s="24" t="s">
        <v>6927</v>
      </c>
      <c r="B2796" s="24" t="s">
        <v>6928</v>
      </c>
      <c r="C2796" s="24" t="s">
        <v>984</v>
      </c>
      <c r="D2796" s="24" t="s">
        <v>17</v>
      </c>
      <c r="E2796" s="24" t="s">
        <v>81</v>
      </c>
      <c r="F2796" s="24" t="s">
        <v>82</v>
      </c>
      <c r="G2796" s="24" t="s">
        <v>28</v>
      </c>
      <c r="H2796" s="26">
        <v>1094</v>
      </c>
      <c r="I2796" s="24" t="s">
        <v>29</v>
      </c>
      <c r="J2796" s="36">
        <v>45544</v>
      </c>
      <c r="K2796" s="24" t="s">
        <v>22</v>
      </c>
    </row>
    <row r="2797" spans="1:11" x14ac:dyDescent="0.2">
      <c r="A2797" s="27" t="s">
        <v>6929</v>
      </c>
      <c r="B2797" s="27" t="s">
        <v>6930</v>
      </c>
      <c r="C2797" s="27" t="s">
        <v>526</v>
      </c>
      <c r="D2797" s="27" t="s">
        <v>17</v>
      </c>
      <c r="E2797" s="27" t="s">
        <v>48</v>
      </c>
      <c r="F2797" s="27" t="s">
        <v>49</v>
      </c>
      <c r="G2797" s="27" t="s">
        <v>44</v>
      </c>
      <c r="H2797" s="29">
        <v>350</v>
      </c>
      <c r="I2797" s="27" t="s">
        <v>29</v>
      </c>
      <c r="J2797" s="37">
        <v>45555</v>
      </c>
      <c r="K2797" s="27" t="s">
        <v>22</v>
      </c>
    </row>
    <row r="2798" spans="1:11" x14ac:dyDescent="0.2">
      <c r="A2798" s="24" t="s">
        <v>6931</v>
      </c>
      <c r="B2798" s="24" t="s">
        <v>6932</v>
      </c>
      <c r="C2798" s="24" t="s">
        <v>213</v>
      </c>
      <c r="D2798" s="24" t="s">
        <v>17</v>
      </c>
      <c r="E2798" s="24" t="s">
        <v>18</v>
      </c>
      <c r="F2798" s="24" t="s">
        <v>19</v>
      </c>
      <c r="G2798" s="24" t="s">
        <v>20</v>
      </c>
      <c r="H2798" s="26">
        <v>63</v>
      </c>
      <c r="I2798" s="24" t="s">
        <v>21</v>
      </c>
      <c r="J2798" s="36">
        <v>45562</v>
      </c>
      <c r="K2798" s="24" t="s">
        <v>22</v>
      </c>
    </row>
    <row r="2799" spans="1:11" x14ac:dyDescent="0.2">
      <c r="A2799" s="27" t="s">
        <v>6933</v>
      </c>
      <c r="B2799" s="27" t="s">
        <v>6934</v>
      </c>
      <c r="C2799" s="27" t="s">
        <v>921</v>
      </c>
      <c r="D2799" s="27" t="s">
        <v>17</v>
      </c>
      <c r="E2799" s="27" t="s">
        <v>18</v>
      </c>
      <c r="F2799" s="27" t="s">
        <v>19</v>
      </c>
      <c r="G2799" s="27" t="s">
        <v>217</v>
      </c>
      <c r="H2799" s="29">
        <v>20</v>
      </c>
      <c r="I2799" s="27" t="s">
        <v>29</v>
      </c>
      <c r="J2799" s="37">
        <v>45536</v>
      </c>
      <c r="K2799" s="27" t="s">
        <v>22</v>
      </c>
    </row>
    <row r="2800" spans="1:11" x14ac:dyDescent="0.2">
      <c r="A2800" s="24" t="s">
        <v>6935</v>
      </c>
      <c r="B2800" s="24" t="s">
        <v>6936</v>
      </c>
      <c r="C2800" s="24" t="s">
        <v>6937</v>
      </c>
      <c r="D2800" s="24" t="s">
        <v>17</v>
      </c>
      <c r="E2800" s="24" t="s">
        <v>26</v>
      </c>
      <c r="F2800" s="24" t="s">
        <v>27</v>
      </c>
      <c r="G2800" s="24" t="s">
        <v>28</v>
      </c>
      <c r="H2800" s="26">
        <v>144</v>
      </c>
      <c r="I2800" s="24" t="s">
        <v>29</v>
      </c>
      <c r="J2800" s="36">
        <v>45544</v>
      </c>
      <c r="K2800" s="24" t="s">
        <v>22</v>
      </c>
    </row>
    <row r="2801" spans="1:11" x14ac:dyDescent="0.2">
      <c r="A2801" s="27" t="s">
        <v>6938</v>
      </c>
      <c r="B2801" s="27" t="s">
        <v>6939</v>
      </c>
      <c r="C2801" s="27" t="s">
        <v>213</v>
      </c>
      <c r="D2801" s="27" t="s">
        <v>17</v>
      </c>
      <c r="E2801" s="27" t="s">
        <v>48</v>
      </c>
      <c r="F2801" s="27" t="s">
        <v>49</v>
      </c>
      <c r="G2801" s="27" t="s">
        <v>28</v>
      </c>
      <c r="H2801" s="29">
        <v>48</v>
      </c>
      <c r="I2801" s="27" t="s">
        <v>29</v>
      </c>
      <c r="J2801" s="37">
        <v>45560</v>
      </c>
      <c r="K2801" s="27" t="s">
        <v>22</v>
      </c>
    </row>
    <row r="2802" spans="1:11" x14ac:dyDescent="0.2">
      <c r="A2802" s="24" t="s">
        <v>6940</v>
      </c>
      <c r="B2802" s="24" t="s">
        <v>6941</v>
      </c>
      <c r="C2802" s="24" t="s">
        <v>6942</v>
      </c>
      <c r="D2802" s="24" t="s">
        <v>17</v>
      </c>
      <c r="E2802" s="24" t="s">
        <v>26</v>
      </c>
      <c r="F2802" s="24" t="s">
        <v>27</v>
      </c>
      <c r="G2802" s="24" t="s">
        <v>20</v>
      </c>
      <c r="H2802" s="26">
        <v>40</v>
      </c>
      <c r="I2802" s="24" t="s">
        <v>21</v>
      </c>
      <c r="J2802" s="36">
        <v>45537</v>
      </c>
      <c r="K2802" s="24" t="s">
        <v>22</v>
      </c>
    </row>
    <row r="2803" spans="1:11" x14ac:dyDescent="0.2">
      <c r="A2803" s="27" t="s">
        <v>6943</v>
      </c>
      <c r="B2803" s="27" t="s">
        <v>6944</v>
      </c>
      <c r="C2803" s="27" t="s">
        <v>6945</v>
      </c>
      <c r="D2803" s="27" t="s">
        <v>17</v>
      </c>
      <c r="E2803" s="27" t="s">
        <v>18</v>
      </c>
      <c r="F2803" s="27" t="s">
        <v>19</v>
      </c>
      <c r="G2803" s="27" t="s">
        <v>217</v>
      </c>
      <c r="H2803" s="29">
        <v>7</v>
      </c>
      <c r="I2803" s="27" t="s">
        <v>29</v>
      </c>
      <c r="J2803" s="37">
        <v>45536</v>
      </c>
      <c r="K2803" s="27" t="s">
        <v>22</v>
      </c>
    </row>
    <row r="2804" spans="1:11" x14ac:dyDescent="0.2">
      <c r="A2804" s="24" t="s">
        <v>6946</v>
      </c>
      <c r="B2804" s="24" t="s">
        <v>6947</v>
      </c>
      <c r="C2804" s="24" t="s">
        <v>146</v>
      </c>
      <c r="D2804" s="24" t="s">
        <v>17</v>
      </c>
      <c r="E2804" s="24" t="s">
        <v>42</v>
      </c>
      <c r="F2804" s="24" t="s">
        <v>43</v>
      </c>
      <c r="G2804" s="24" t="s">
        <v>28</v>
      </c>
      <c r="H2804" s="26">
        <v>440</v>
      </c>
      <c r="I2804" s="24" t="s">
        <v>29</v>
      </c>
      <c r="J2804" s="36">
        <v>45546</v>
      </c>
      <c r="K2804" s="24" t="s">
        <v>22</v>
      </c>
    </row>
    <row r="2805" spans="1:11" x14ac:dyDescent="0.2">
      <c r="A2805" s="27" t="s">
        <v>6948</v>
      </c>
      <c r="B2805" s="27" t="s">
        <v>6949</v>
      </c>
      <c r="C2805" s="27" t="s">
        <v>526</v>
      </c>
      <c r="D2805" s="27" t="s">
        <v>17</v>
      </c>
      <c r="E2805" s="27" t="s">
        <v>18</v>
      </c>
      <c r="F2805" s="27" t="s">
        <v>19</v>
      </c>
      <c r="G2805" s="27" t="s">
        <v>28</v>
      </c>
      <c r="H2805" s="29">
        <v>340</v>
      </c>
      <c r="I2805" s="27" t="s">
        <v>29</v>
      </c>
      <c r="J2805" s="37">
        <v>45554</v>
      </c>
      <c r="K2805" s="27" t="s">
        <v>22</v>
      </c>
    </row>
    <row r="2806" spans="1:11" x14ac:dyDescent="0.2">
      <c r="A2806" s="24" t="s">
        <v>6950</v>
      </c>
      <c r="B2806" s="24" t="s">
        <v>6951</v>
      </c>
      <c r="C2806" s="24" t="s">
        <v>146</v>
      </c>
      <c r="D2806" s="24" t="s">
        <v>17</v>
      </c>
      <c r="E2806" s="24" t="s">
        <v>18</v>
      </c>
      <c r="F2806" s="24" t="s">
        <v>19</v>
      </c>
      <c r="G2806" s="24" t="s">
        <v>20</v>
      </c>
      <c r="H2806" s="26">
        <v>20</v>
      </c>
      <c r="I2806" s="24" t="s">
        <v>21</v>
      </c>
      <c r="J2806" s="36">
        <v>45565</v>
      </c>
      <c r="K2806" s="24" t="s">
        <v>22</v>
      </c>
    </row>
    <row r="2807" spans="1:11" x14ac:dyDescent="0.2">
      <c r="A2807" s="27" t="s">
        <v>6952</v>
      </c>
      <c r="B2807" s="27" t="s">
        <v>6953</v>
      </c>
      <c r="C2807" s="27" t="s">
        <v>3089</v>
      </c>
      <c r="D2807" s="27" t="s">
        <v>17</v>
      </c>
      <c r="E2807" s="27" t="s">
        <v>18</v>
      </c>
      <c r="F2807" s="27" t="s">
        <v>19</v>
      </c>
      <c r="G2807" s="27" t="s">
        <v>20</v>
      </c>
      <c r="H2807" s="29">
        <v>24</v>
      </c>
      <c r="I2807" s="27" t="s">
        <v>21</v>
      </c>
      <c r="J2807" s="37">
        <v>45560</v>
      </c>
      <c r="K2807" s="27" t="s">
        <v>22</v>
      </c>
    </row>
    <row r="2808" spans="1:11" x14ac:dyDescent="0.2">
      <c r="A2808" s="24" t="s">
        <v>6954</v>
      </c>
      <c r="B2808" s="24" t="s">
        <v>6955</v>
      </c>
      <c r="C2808" s="24" t="s">
        <v>5617</v>
      </c>
      <c r="D2808" s="24" t="s">
        <v>17</v>
      </c>
      <c r="E2808" s="24" t="s">
        <v>26</v>
      </c>
      <c r="F2808" s="24" t="s">
        <v>27</v>
      </c>
      <c r="G2808" s="24" t="s">
        <v>44</v>
      </c>
      <c r="H2808" s="26">
        <v>115</v>
      </c>
      <c r="I2808" s="24" t="s">
        <v>29</v>
      </c>
      <c r="J2808" s="36">
        <v>45551</v>
      </c>
      <c r="K2808" s="24" t="s">
        <v>22</v>
      </c>
    </row>
    <row r="2809" spans="1:11" x14ac:dyDescent="0.2">
      <c r="A2809" s="27" t="s">
        <v>6956</v>
      </c>
      <c r="B2809" s="27" t="s">
        <v>6957</v>
      </c>
      <c r="C2809" s="27" t="s">
        <v>6958</v>
      </c>
      <c r="D2809" s="27" t="s">
        <v>17</v>
      </c>
      <c r="E2809" s="27" t="s">
        <v>18</v>
      </c>
      <c r="F2809" s="27" t="s">
        <v>19</v>
      </c>
      <c r="G2809" s="27" t="s">
        <v>28</v>
      </c>
      <c r="H2809" s="29">
        <v>64</v>
      </c>
      <c r="I2809" s="27" t="s">
        <v>29</v>
      </c>
      <c r="J2809" s="37">
        <v>45552</v>
      </c>
      <c r="K2809" s="27" t="s">
        <v>22</v>
      </c>
    </row>
    <row r="2810" spans="1:11" x14ac:dyDescent="0.2">
      <c r="A2810" s="24" t="s">
        <v>6959</v>
      </c>
      <c r="B2810" s="24" t="s">
        <v>6960</v>
      </c>
      <c r="C2810" s="24" t="s">
        <v>6961</v>
      </c>
      <c r="D2810" s="24" t="s">
        <v>17</v>
      </c>
      <c r="E2810" s="24" t="s">
        <v>48</v>
      </c>
      <c r="F2810" s="24" t="s">
        <v>49</v>
      </c>
      <c r="G2810" s="24" t="s">
        <v>217</v>
      </c>
      <c r="H2810" s="26">
        <v>300</v>
      </c>
      <c r="I2810" s="24" t="s">
        <v>29</v>
      </c>
      <c r="J2810" s="36">
        <v>45558</v>
      </c>
      <c r="K2810" s="24" t="s">
        <v>22</v>
      </c>
    </row>
    <row r="2811" spans="1:11" x14ac:dyDescent="0.2">
      <c r="A2811" s="27" t="s">
        <v>6962</v>
      </c>
      <c r="B2811" s="27" t="s">
        <v>6963</v>
      </c>
      <c r="C2811" s="27" t="s">
        <v>97</v>
      </c>
      <c r="D2811" s="27" t="s">
        <v>17</v>
      </c>
      <c r="E2811" s="27" t="s">
        <v>26</v>
      </c>
      <c r="F2811" s="27" t="s">
        <v>27</v>
      </c>
      <c r="G2811" s="27" t="s">
        <v>28</v>
      </c>
      <c r="H2811" s="29">
        <v>174</v>
      </c>
      <c r="I2811" s="27" t="s">
        <v>29</v>
      </c>
      <c r="J2811" s="37">
        <v>45553</v>
      </c>
      <c r="K2811" s="27" t="s">
        <v>22</v>
      </c>
    </row>
    <row r="2812" spans="1:11" x14ac:dyDescent="0.2">
      <c r="A2812" s="24" t="s">
        <v>6964</v>
      </c>
      <c r="B2812" s="24" t="s">
        <v>6965</v>
      </c>
      <c r="C2812" s="24" t="s">
        <v>708</v>
      </c>
      <c r="D2812" s="24" t="s">
        <v>17</v>
      </c>
      <c r="E2812" s="24" t="s">
        <v>18</v>
      </c>
      <c r="F2812" s="24" t="s">
        <v>19</v>
      </c>
      <c r="G2812" s="24" t="s">
        <v>20</v>
      </c>
      <c r="H2812" s="26">
        <v>224</v>
      </c>
      <c r="I2812" s="24" t="s">
        <v>21</v>
      </c>
      <c r="J2812" s="36">
        <v>45565</v>
      </c>
      <c r="K2812" s="24" t="s">
        <v>22</v>
      </c>
    </row>
    <row r="2813" spans="1:11" x14ac:dyDescent="0.2">
      <c r="A2813" s="27" t="s">
        <v>6966</v>
      </c>
      <c r="B2813" s="27" t="s">
        <v>6967</v>
      </c>
      <c r="C2813" s="27" t="s">
        <v>6968</v>
      </c>
      <c r="D2813" s="27" t="s">
        <v>17</v>
      </c>
      <c r="E2813" s="27" t="s">
        <v>42</v>
      </c>
      <c r="F2813" s="27" t="s">
        <v>43</v>
      </c>
      <c r="G2813" s="27" t="s">
        <v>217</v>
      </c>
      <c r="H2813" s="29">
        <v>102</v>
      </c>
      <c r="I2813" s="27" t="s">
        <v>29</v>
      </c>
      <c r="J2813" s="37">
        <v>45565</v>
      </c>
      <c r="K2813" s="27" t="s">
        <v>22</v>
      </c>
    </row>
    <row r="2814" spans="1:11" x14ac:dyDescent="0.2">
      <c r="A2814" s="24" t="s">
        <v>6969</v>
      </c>
      <c r="B2814" s="24" t="s">
        <v>6970</v>
      </c>
      <c r="C2814" s="24" t="s">
        <v>6971</v>
      </c>
      <c r="D2814" s="24" t="s">
        <v>17</v>
      </c>
      <c r="E2814" s="24" t="s">
        <v>26</v>
      </c>
      <c r="F2814" s="24" t="s">
        <v>27</v>
      </c>
      <c r="G2814" s="24" t="s">
        <v>28</v>
      </c>
      <c r="H2814" s="26">
        <v>88</v>
      </c>
      <c r="I2814" s="24" t="s">
        <v>29</v>
      </c>
      <c r="J2814" s="36">
        <v>45546</v>
      </c>
      <c r="K2814" s="24" t="s">
        <v>22</v>
      </c>
    </row>
    <row r="2815" spans="1:11" x14ac:dyDescent="0.2">
      <c r="A2815" s="27" t="s">
        <v>6972</v>
      </c>
      <c r="B2815" s="27" t="s">
        <v>6973</v>
      </c>
      <c r="C2815" s="27" t="s">
        <v>6974</v>
      </c>
      <c r="D2815" s="27" t="s">
        <v>17</v>
      </c>
      <c r="E2815" s="27" t="s">
        <v>26</v>
      </c>
      <c r="F2815" s="27" t="s">
        <v>27</v>
      </c>
      <c r="G2815" s="27" t="s">
        <v>28</v>
      </c>
      <c r="H2815" s="29">
        <v>50</v>
      </c>
      <c r="I2815" s="27" t="s">
        <v>29</v>
      </c>
      <c r="J2815" s="37">
        <v>45562</v>
      </c>
      <c r="K2815" s="27" t="s">
        <v>22</v>
      </c>
    </row>
    <row r="2816" spans="1:11" x14ac:dyDescent="0.2">
      <c r="A2816" s="24" t="s">
        <v>6975</v>
      </c>
      <c r="B2816" s="24" t="s">
        <v>6976</v>
      </c>
      <c r="C2816" s="24" t="s">
        <v>85</v>
      </c>
      <c r="D2816" s="24" t="s">
        <v>17</v>
      </c>
      <c r="E2816" s="24" t="s">
        <v>48</v>
      </c>
      <c r="F2816" s="24" t="s">
        <v>49</v>
      </c>
      <c r="G2816" s="24" t="s">
        <v>28</v>
      </c>
      <c r="H2816" s="26">
        <v>540</v>
      </c>
      <c r="I2816" s="24" t="s">
        <v>29</v>
      </c>
      <c r="J2816" s="36">
        <v>45539</v>
      </c>
      <c r="K2816" s="24" t="s">
        <v>22</v>
      </c>
    </row>
    <row r="2817" spans="1:11" x14ac:dyDescent="0.2">
      <c r="A2817" s="27" t="s">
        <v>6977</v>
      </c>
      <c r="B2817" s="27" t="s">
        <v>6978</v>
      </c>
      <c r="C2817" s="27" t="s">
        <v>134</v>
      </c>
      <c r="D2817" s="27" t="s">
        <v>17</v>
      </c>
      <c r="E2817" s="27" t="s">
        <v>18</v>
      </c>
      <c r="F2817" s="27" t="s">
        <v>19</v>
      </c>
      <c r="G2817" s="27" t="s">
        <v>20</v>
      </c>
      <c r="H2817" s="29">
        <v>71</v>
      </c>
      <c r="I2817" s="27" t="s">
        <v>21</v>
      </c>
      <c r="J2817" s="37">
        <v>45554</v>
      </c>
      <c r="K2817" s="27" t="s">
        <v>22</v>
      </c>
    </row>
    <row r="2818" spans="1:11" x14ac:dyDescent="0.2">
      <c r="A2818" s="24" t="s">
        <v>6979</v>
      </c>
      <c r="B2818" s="24" t="s">
        <v>6980</v>
      </c>
      <c r="C2818" s="24" t="s">
        <v>2669</v>
      </c>
      <c r="D2818" s="24" t="s">
        <v>17</v>
      </c>
      <c r="E2818" s="24" t="s">
        <v>33</v>
      </c>
      <c r="F2818" s="24" t="s">
        <v>34</v>
      </c>
      <c r="G2818" s="24" t="s">
        <v>28</v>
      </c>
      <c r="H2818" s="26">
        <v>236</v>
      </c>
      <c r="I2818" s="24" t="s">
        <v>29</v>
      </c>
      <c r="J2818" s="36">
        <v>45554</v>
      </c>
      <c r="K2818" s="24" t="s">
        <v>22</v>
      </c>
    </row>
    <row r="2819" spans="1:11" x14ac:dyDescent="0.2">
      <c r="A2819" s="27" t="s">
        <v>6981</v>
      </c>
      <c r="B2819" s="27" t="s">
        <v>6982</v>
      </c>
      <c r="C2819" s="27" t="s">
        <v>6983</v>
      </c>
      <c r="D2819" s="27" t="s">
        <v>17</v>
      </c>
      <c r="E2819" s="27" t="s">
        <v>18</v>
      </c>
      <c r="F2819" s="27" t="s">
        <v>19</v>
      </c>
      <c r="G2819" s="27" t="s">
        <v>20</v>
      </c>
      <c r="H2819" s="29">
        <v>58</v>
      </c>
      <c r="I2819" s="27" t="s">
        <v>21</v>
      </c>
      <c r="J2819" s="37">
        <v>45544</v>
      </c>
      <c r="K2819" s="27" t="s">
        <v>22</v>
      </c>
    </row>
    <row r="2820" spans="1:11" x14ac:dyDescent="0.2">
      <c r="A2820" s="24" t="s">
        <v>6984</v>
      </c>
      <c r="B2820" s="24" t="s">
        <v>6985</v>
      </c>
      <c r="C2820" s="24" t="s">
        <v>1158</v>
      </c>
      <c r="D2820" s="24" t="s">
        <v>17</v>
      </c>
      <c r="E2820" s="24" t="s">
        <v>42</v>
      </c>
      <c r="F2820" s="24" t="s">
        <v>43</v>
      </c>
      <c r="G2820" s="24" t="s">
        <v>44</v>
      </c>
      <c r="H2820" s="26">
        <v>141</v>
      </c>
      <c r="I2820" s="24" t="s">
        <v>21</v>
      </c>
      <c r="J2820" s="36">
        <v>45553</v>
      </c>
      <c r="K2820" s="24" t="s">
        <v>22</v>
      </c>
    </row>
    <row r="2821" spans="1:11" x14ac:dyDescent="0.2">
      <c r="A2821" s="27" t="s">
        <v>6986</v>
      </c>
      <c r="B2821" s="27" t="s">
        <v>6987</v>
      </c>
      <c r="C2821" s="27" t="s">
        <v>146</v>
      </c>
      <c r="D2821" s="27" t="s">
        <v>17</v>
      </c>
      <c r="E2821" s="27" t="s">
        <v>18</v>
      </c>
      <c r="F2821" s="27" t="s">
        <v>19</v>
      </c>
      <c r="G2821" s="27" t="s">
        <v>28</v>
      </c>
      <c r="H2821" s="29">
        <v>590</v>
      </c>
      <c r="I2821" s="27" t="s">
        <v>29</v>
      </c>
      <c r="J2821" s="37">
        <v>45565</v>
      </c>
      <c r="K2821" s="27" t="s">
        <v>22</v>
      </c>
    </row>
    <row r="2822" spans="1:11" x14ac:dyDescent="0.2">
      <c r="A2822" s="24" t="s">
        <v>6988</v>
      </c>
      <c r="B2822" s="24" t="s">
        <v>6989</v>
      </c>
      <c r="C2822" s="24" t="s">
        <v>2367</v>
      </c>
      <c r="D2822" s="24" t="s">
        <v>17</v>
      </c>
      <c r="E2822" s="24" t="s">
        <v>18</v>
      </c>
      <c r="F2822" s="24" t="s">
        <v>19</v>
      </c>
      <c r="G2822" s="24" t="s">
        <v>20</v>
      </c>
      <c r="H2822" s="26">
        <v>40</v>
      </c>
      <c r="I2822" s="24" t="s">
        <v>21</v>
      </c>
      <c r="J2822" s="36">
        <v>45545</v>
      </c>
      <c r="K2822" s="24" t="s">
        <v>22</v>
      </c>
    </row>
    <row r="2823" spans="1:11" x14ac:dyDescent="0.2">
      <c r="A2823" s="27" t="s">
        <v>6990</v>
      </c>
      <c r="B2823" s="27" t="s">
        <v>6991</v>
      </c>
      <c r="C2823" s="27" t="s">
        <v>708</v>
      </c>
      <c r="D2823" s="27" t="s">
        <v>17</v>
      </c>
      <c r="E2823" s="27" t="s">
        <v>26</v>
      </c>
      <c r="F2823" s="27" t="s">
        <v>27</v>
      </c>
      <c r="G2823" s="27" t="s">
        <v>28</v>
      </c>
      <c r="H2823" s="29">
        <v>240</v>
      </c>
      <c r="I2823" s="27" t="s">
        <v>29</v>
      </c>
      <c r="J2823" s="37">
        <v>45558</v>
      </c>
      <c r="K2823" s="27" t="s">
        <v>22</v>
      </c>
    </row>
    <row r="2824" spans="1:11" x14ac:dyDescent="0.2">
      <c r="A2824" s="24" t="s">
        <v>6992</v>
      </c>
      <c r="B2824" s="24" t="s">
        <v>6993</v>
      </c>
      <c r="C2824" s="24" t="s">
        <v>5398</v>
      </c>
      <c r="D2824" s="24" t="s">
        <v>17</v>
      </c>
      <c r="E2824" s="24" t="s">
        <v>18</v>
      </c>
      <c r="F2824" s="24" t="s">
        <v>19</v>
      </c>
      <c r="G2824" s="24" t="s">
        <v>20</v>
      </c>
      <c r="H2824" s="26">
        <v>56</v>
      </c>
      <c r="I2824" s="24" t="s">
        <v>21</v>
      </c>
      <c r="J2824" s="36">
        <v>45553</v>
      </c>
      <c r="K2824" s="24" t="s">
        <v>22</v>
      </c>
    </row>
    <row r="2825" spans="1:11" x14ac:dyDescent="0.2">
      <c r="A2825" s="27" t="s">
        <v>6994</v>
      </c>
      <c r="B2825" s="27" t="s">
        <v>6995</v>
      </c>
      <c r="C2825" s="27" t="s">
        <v>3718</v>
      </c>
      <c r="D2825" s="27" t="s">
        <v>17</v>
      </c>
      <c r="E2825" s="27" t="s">
        <v>18</v>
      </c>
      <c r="F2825" s="27" t="s">
        <v>19</v>
      </c>
      <c r="G2825" s="27" t="s">
        <v>20</v>
      </c>
      <c r="H2825" s="29">
        <v>12</v>
      </c>
      <c r="I2825" s="27" t="s">
        <v>21</v>
      </c>
      <c r="J2825" s="37">
        <v>45558</v>
      </c>
      <c r="K2825" s="27" t="s">
        <v>22</v>
      </c>
    </row>
    <row r="2826" spans="1:11" x14ac:dyDescent="0.2">
      <c r="A2826" s="24" t="s">
        <v>6996</v>
      </c>
      <c r="B2826" s="24" t="s">
        <v>6997</v>
      </c>
      <c r="C2826" s="24" t="s">
        <v>2484</v>
      </c>
      <c r="D2826" s="24" t="s">
        <v>17</v>
      </c>
      <c r="E2826" s="24" t="s">
        <v>18</v>
      </c>
      <c r="F2826" s="24" t="s">
        <v>19</v>
      </c>
      <c r="G2826" s="24" t="s">
        <v>20</v>
      </c>
      <c r="H2826" s="26">
        <v>18</v>
      </c>
      <c r="I2826" s="24" t="s">
        <v>21</v>
      </c>
      <c r="J2826" s="36">
        <v>45541</v>
      </c>
      <c r="K2826" s="24" t="s">
        <v>22</v>
      </c>
    </row>
    <row r="2827" spans="1:11" x14ac:dyDescent="0.2">
      <c r="A2827" s="27" t="s">
        <v>6998</v>
      </c>
      <c r="B2827" s="27" t="s">
        <v>6999</v>
      </c>
      <c r="C2827" s="27" t="s">
        <v>140</v>
      </c>
      <c r="D2827" s="27" t="s">
        <v>17</v>
      </c>
      <c r="E2827" s="27" t="s">
        <v>42</v>
      </c>
      <c r="F2827" s="27" t="s">
        <v>43</v>
      </c>
      <c r="G2827" s="27" t="s">
        <v>28</v>
      </c>
      <c r="H2827" s="29">
        <v>669</v>
      </c>
      <c r="I2827" s="27" t="s">
        <v>29</v>
      </c>
      <c r="J2827" s="37">
        <v>45565</v>
      </c>
      <c r="K2827" s="27" t="s">
        <v>22</v>
      </c>
    </row>
    <row r="2828" spans="1:11" x14ac:dyDescent="0.2">
      <c r="A2828" s="24" t="s">
        <v>7000</v>
      </c>
      <c r="B2828" s="24" t="s">
        <v>7001</v>
      </c>
      <c r="C2828" s="24" t="s">
        <v>687</v>
      </c>
      <c r="D2828" s="24" t="s">
        <v>17</v>
      </c>
      <c r="E2828" s="24" t="s">
        <v>81</v>
      </c>
      <c r="F2828" s="24" t="s">
        <v>82</v>
      </c>
      <c r="G2828" s="24" t="s">
        <v>44</v>
      </c>
      <c r="H2828" s="26">
        <v>500</v>
      </c>
      <c r="I2828" s="24" t="s">
        <v>29</v>
      </c>
      <c r="J2828" s="36">
        <v>45552</v>
      </c>
      <c r="K2828" s="24" t="s">
        <v>22</v>
      </c>
    </row>
    <row r="2829" spans="1:11" x14ac:dyDescent="0.2">
      <c r="A2829" s="27" t="s">
        <v>7002</v>
      </c>
      <c r="B2829" s="27" t="s">
        <v>7003</v>
      </c>
      <c r="C2829" s="27" t="s">
        <v>437</v>
      </c>
      <c r="D2829" s="27" t="s">
        <v>17</v>
      </c>
      <c r="E2829" s="27" t="s">
        <v>18</v>
      </c>
      <c r="F2829" s="27" t="s">
        <v>19</v>
      </c>
      <c r="G2829" s="27" t="s">
        <v>44</v>
      </c>
      <c r="H2829" s="29">
        <v>50</v>
      </c>
      <c r="I2829" s="27" t="s">
        <v>21</v>
      </c>
      <c r="J2829" s="37">
        <v>45558</v>
      </c>
      <c r="K2829" s="27" t="s">
        <v>22</v>
      </c>
    </row>
    <row r="2830" spans="1:11" x14ac:dyDescent="0.2">
      <c r="A2830" s="24" t="s">
        <v>7004</v>
      </c>
      <c r="B2830" s="24" t="s">
        <v>7005</v>
      </c>
      <c r="C2830" s="24" t="s">
        <v>55</v>
      </c>
      <c r="D2830" s="24" t="s">
        <v>17</v>
      </c>
      <c r="E2830" s="24" t="s">
        <v>18</v>
      </c>
      <c r="F2830" s="24" t="s">
        <v>19</v>
      </c>
      <c r="G2830" s="24" t="s">
        <v>20</v>
      </c>
      <c r="H2830" s="26">
        <v>8</v>
      </c>
      <c r="I2830" s="24" t="s">
        <v>21</v>
      </c>
      <c r="J2830" s="36">
        <v>45554</v>
      </c>
      <c r="K2830" s="24" t="s">
        <v>22</v>
      </c>
    </row>
    <row r="2831" spans="1:11" x14ac:dyDescent="0.2">
      <c r="A2831" s="27" t="s">
        <v>7006</v>
      </c>
      <c r="B2831" s="27" t="s">
        <v>7007</v>
      </c>
      <c r="C2831" s="27" t="s">
        <v>1617</v>
      </c>
      <c r="D2831" s="27" t="s">
        <v>17</v>
      </c>
      <c r="E2831" s="27" t="s">
        <v>42</v>
      </c>
      <c r="F2831" s="27" t="s">
        <v>43</v>
      </c>
      <c r="G2831" s="27" t="s">
        <v>38</v>
      </c>
      <c r="H2831" s="29">
        <v>514</v>
      </c>
      <c r="I2831" s="27" t="s">
        <v>29</v>
      </c>
      <c r="J2831" s="37">
        <v>45536</v>
      </c>
      <c r="K2831" s="27" t="s">
        <v>22</v>
      </c>
    </row>
    <row r="2832" spans="1:11" x14ac:dyDescent="0.2">
      <c r="A2832" s="24" t="s">
        <v>7008</v>
      </c>
      <c r="B2832" s="24" t="s">
        <v>7009</v>
      </c>
      <c r="C2832" s="24" t="s">
        <v>7010</v>
      </c>
      <c r="D2832" s="24" t="s">
        <v>17</v>
      </c>
      <c r="E2832" s="24" t="s">
        <v>42</v>
      </c>
      <c r="F2832" s="24" t="s">
        <v>43</v>
      </c>
      <c r="G2832" s="24" t="s">
        <v>28</v>
      </c>
      <c r="H2832" s="26">
        <v>546</v>
      </c>
      <c r="I2832" s="24" t="s">
        <v>29</v>
      </c>
      <c r="J2832" s="36">
        <v>45544</v>
      </c>
      <c r="K2832" s="24" t="s">
        <v>22</v>
      </c>
    </row>
    <row r="2833" spans="1:11" x14ac:dyDescent="0.2">
      <c r="A2833" s="27" t="s">
        <v>7011</v>
      </c>
      <c r="B2833" s="27" t="s">
        <v>7012</v>
      </c>
      <c r="C2833" s="27" t="s">
        <v>7013</v>
      </c>
      <c r="D2833" s="27" t="s">
        <v>17</v>
      </c>
      <c r="E2833" s="27" t="s">
        <v>81</v>
      </c>
      <c r="F2833" s="27" t="s">
        <v>82</v>
      </c>
      <c r="G2833" s="27" t="s">
        <v>20</v>
      </c>
      <c r="H2833" s="29">
        <v>5</v>
      </c>
      <c r="I2833" s="27" t="s">
        <v>21</v>
      </c>
      <c r="J2833" s="37">
        <v>45562</v>
      </c>
      <c r="K2833" s="27" t="s">
        <v>22</v>
      </c>
    </row>
    <row r="2834" spans="1:11" x14ac:dyDescent="0.2">
      <c r="A2834" s="24" t="s">
        <v>7014</v>
      </c>
      <c r="B2834" s="24" t="s">
        <v>7015</v>
      </c>
      <c r="C2834" s="24" t="s">
        <v>4881</v>
      </c>
      <c r="D2834" s="24" t="s">
        <v>17</v>
      </c>
      <c r="E2834" s="24" t="s">
        <v>42</v>
      </c>
      <c r="F2834" s="24" t="s">
        <v>43</v>
      </c>
      <c r="G2834" s="24" t="s">
        <v>20</v>
      </c>
      <c r="H2834" s="26">
        <v>279</v>
      </c>
      <c r="I2834" s="24" t="s">
        <v>21</v>
      </c>
      <c r="J2834" s="36">
        <v>45538</v>
      </c>
      <c r="K2834" s="24" t="s">
        <v>22</v>
      </c>
    </row>
    <row r="2835" spans="1:11" x14ac:dyDescent="0.2">
      <c r="A2835" s="27" t="s">
        <v>7016</v>
      </c>
      <c r="B2835" s="27" t="s">
        <v>7017</v>
      </c>
      <c r="C2835" s="27" t="s">
        <v>7018</v>
      </c>
      <c r="D2835" s="27" t="s">
        <v>17</v>
      </c>
      <c r="E2835" s="27" t="s">
        <v>18</v>
      </c>
      <c r="F2835" s="27" t="s">
        <v>19</v>
      </c>
      <c r="G2835" s="27" t="s">
        <v>28</v>
      </c>
      <c r="H2835" s="29">
        <v>255</v>
      </c>
      <c r="I2835" s="27" t="s">
        <v>29</v>
      </c>
      <c r="J2835" s="37">
        <v>45540</v>
      </c>
      <c r="K2835" s="27" t="s">
        <v>22</v>
      </c>
    </row>
    <row r="2836" spans="1:11" x14ac:dyDescent="0.2">
      <c r="A2836" s="24" t="s">
        <v>7019</v>
      </c>
      <c r="B2836" s="24" t="s">
        <v>7020</v>
      </c>
      <c r="C2836" s="24" t="s">
        <v>7021</v>
      </c>
      <c r="D2836" s="24" t="s">
        <v>17</v>
      </c>
      <c r="E2836" s="24" t="s">
        <v>48</v>
      </c>
      <c r="F2836" s="24" t="s">
        <v>49</v>
      </c>
      <c r="G2836" s="24" t="s">
        <v>28</v>
      </c>
      <c r="H2836" s="26">
        <v>60</v>
      </c>
      <c r="I2836" s="24" t="s">
        <v>29</v>
      </c>
      <c r="J2836" s="36">
        <v>45538</v>
      </c>
      <c r="K2836" s="24" t="s">
        <v>22</v>
      </c>
    </row>
    <row r="2837" spans="1:11" x14ac:dyDescent="0.2">
      <c r="A2837" s="27" t="s">
        <v>7022</v>
      </c>
      <c r="B2837" s="27" t="s">
        <v>7023</v>
      </c>
      <c r="C2837" s="27" t="s">
        <v>1227</v>
      </c>
      <c r="D2837" s="27" t="s">
        <v>17</v>
      </c>
      <c r="E2837" s="27" t="s">
        <v>33</v>
      </c>
      <c r="F2837" s="27" t="s">
        <v>34</v>
      </c>
      <c r="G2837" s="27" t="s">
        <v>227</v>
      </c>
      <c r="H2837" s="29">
        <v>510</v>
      </c>
      <c r="I2837" s="27" t="s">
        <v>29</v>
      </c>
      <c r="J2837" s="37">
        <v>45561</v>
      </c>
      <c r="K2837" s="27" t="s">
        <v>22</v>
      </c>
    </row>
    <row r="2838" spans="1:11" x14ac:dyDescent="0.2">
      <c r="A2838" s="24" t="s">
        <v>7024</v>
      </c>
      <c r="B2838" s="24" t="s">
        <v>7025</v>
      </c>
      <c r="C2838" s="24" t="s">
        <v>301</v>
      </c>
      <c r="D2838" s="24" t="s">
        <v>17</v>
      </c>
      <c r="E2838" s="24" t="s">
        <v>48</v>
      </c>
      <c r="F2838" s="24" t="s">
        <v>49</v>
      </c>
      <c r="G2838" s="24" t="s">
        <v>44</v>
      </c>
      <c r="H2838" s="26">
        <v>11</v>
      </c>
      <c r="I2838" s="24" t="s">
        <v>21</v>
      </c>
      <c r="J2838" s="36">
        <v>45551</v>
      </c>
      <c r="K2838" s="24" t="s">
        <v>22</v>
      </c>
    </row>
    <row r="2839" spans="1:11" x14ac:dyDescent="0.2">
      <c r="A2839" s="27" t="s">
        <v>7026</v>
      </c>
      <c r="B2839" s="27" t="s">
        <v>7027</v>
      </c>
      <c r="C2839" s="27" t="s">
        <v>388</v>
      </c>
      <c r="D2839" s="27" t="s">
        <v>17</v>
      </c>
      <c r="E2839" s="27" t="s">
        <v>42</v>
      </c>
      <c r="F2839" s="27" t="s">
        <v>43</v>
      </c>
      <c r="G2839" s="27" t="s">
        <v>20</v>
      </c>
      <c r="H2839" s="29">
        <v>120</v>
      </c>
      <c r="I2839" s="27" t="s">
        <v>21</v>
      </c>
      <c r="J2839" s="37">
        <v>45551</v>
      </c>
      <c r="K2839" s="27" t="s">
        <v>22</v>
      </c>
    </row>
    <row r="2840" spans="1:11" x14ac:dyDescent="0.2">
      <c r="A2840" s="24" t="s">
        <v>7028</v>
      </c>
      <c r="B2840" s="24" t="s">
        <v>7029</v>
      </c>
      <c r="C2840" s="24" t="s">
        <v>106</v>
      </c>
      <c r="D2840" s="24" t="s">
        <v>17</v>
      </c>
      <c r="E2840" s="24" t="s">
        <v>18</v>
      </c>
      <c r="F2840" s="24" t="s">
        <v>19</v>
      </c>
      <c r="G2840" s="24" t="s">
        <v>59</v>
      </c>
      <c r="H2840" s="26">
        <v>8</v>
      </c>
      <c r="I2840" s="24" t="s">
        <v>21</v>
      </c>
      <c r="J2840" s="36">
        <v>45565</v>
      </c>
      <c r="K2840" s="24" t="s">
        <v>22</v>
      </c>
    </row>
    <row r="2841" spans="1:11" x14ac:dyDescent="0.2">
      <c r="A2841" s="27" t="s">
        <v>7030</v>
      </c>
      <c r="B2841" s="27" t="s">
        <v>7031</v>
      </c>
      <c r="C2841" s="27" t="s">
        <v>7032</v>
      </c>
      <c r="D2841" s="27" t="s">
        <v>17</v>
      </c>
      <c r="E2841" s="27" t="s">
        <v>18</v>
      </c>
      <c r="F2841" s="27" t="s">
        <v>19</v>
      </c>
      <c r="G2841" s="27" t="s">
        <v>59</v>
      </c>
      <c r="H2841" s="29">
        <v>9</v>
      </c>
      <c r="I2841" s="27" t="s">
        <v>21</v>
      </c>
      <c r="J2841" s="37">
        <v>45553</v>
      </c>
      <c r="K2841" s="27" t="s">
        <v>22</v>
      </c>
    </row>
    <row r="2842" spans="1:11" x14ac:dyDescent="0.2">
      <c r="A2842" s="24" t="s">
        <v>7033</v>
      </c>
      <c r="B2842" s="24" t="s">
        <v>7034</v>
      </c>
      <c r="C2842" s="24" t="s">
        <v>7035</v>
      </c>
      <c r="D2842" s="24" t="s">
        <v>17</v>
      </c>
      <c r="E2842" s="24" t="s">
        <v>18</v>
      </c>
      <c r="F2842" s="24" t="s">
        <v>19</v>
      </c>
      <c r="G2842" s="24" t="s">
        <v>227</v>
      </c>
      <c r="H2842" s="26">
        <v>12</v>
      </c>
      <c r="I2842" s="24" t="s">
        <v>29</v>
      </c>
      <c r="J2842" s="36">
        <v>45545</v>
      </c>
      <c r="K2842" s="24" t="s">
        <v>22</v>
      </c>
    </row>
    <row r="2843" spans="1:11" x14ac:dyDescent="0.2">
      <c r="A2843" s="27" t="s">
        <v>7036</v>
      </c>
      <c r="B2843" s="27" t="s">
        <v>7037</v>
      </c>
      <c r="C2843" s="27" t="s">
        <v>7038</v>
      </c>
      <c r="D2843" s="27" t="s">
        <v>17</v>
      </c>
      <c r="E2843" s="27" t="s">
        <v>18</v>
      </c>
      <c r="F2843" s="27" t="s">
        <v>19</v>
      </c>
      <c r="G2843" s="27" t="s">
        <v>28</v>
      </c>
      <c r="H2843" s="29">
        <v>10</v>
      </c>
      <c r="I2843" s="27" t="s">
        <v>29</v>
      </c>
      <c r="J2843" s="37">
        <v>45539</v>
      </c>
      <c r="K2843" s="27" t="s">
        <v>22</v>
      </c>
    </row>
    <row r="2844" spans="1:11" x14ac:dyDescent="0.2">
      <c r="A2844" s="24" t="s">
        <v>7039</v>
      </c>
      <c r="B2844" s="24" t="s">
        <v>7040</v>
      </c>
      <c r="C2844" s="24" t="s">
        <v>7041</v>
      </c>
      <c r="D2844" s="24" t="s">
        <v>17</v>
      </c>
      <c r="E2844" s="24" t="s">
        <v>26</v>
      </c>
      <c r="F2844" s="24" t="s">
        <v>27</v>
      </c>
      <c r="G2844" s="24" t="s">
        <v>28</v>
      </c>
      <c r="H2844" s="26">
        <v>121</v>
      </c>
      <c r="I2844" s="24" t="s">
        <v>29</v>
      </c>
      <c r="J2844" s="36">
        <v>45565</v>
      </c>
      <c r="K2844" s="24" t="s">
        <v>22</v>
      </c>
    </row>
    <row r="2845" spans="1:11" x14ac:dyDescent="0.2">
      <c r="A2845" s="27" t="s">
        <v>7042</v>
      </c>
      <c r="B2845" s="27" t="s">
        <v>7043</v>
      </c>
      <c r="C2845" s="27" t="s">
        <v>708</v>
      </c>
      <c r="D2845" s="27" t="s">
        <v>17</v>
      </c>
      <c r="E2845" s="27" t="s">
        <v>48</v>
      </c>
      <c r="F2845" s="27" t="s">
        <v>49</v>
      </c>
      <c r="G2845" s="27" t="s">
        <v>44</v>
      </c>
      <c r="H2845" s="29">
        <v>195</v>
      </c>
      <c r="I2845" s="27" t="s">
        <v>21</v>
      </c>
      <c r="J2845" s="37">
        <v>45555</v>
      </c>
      <c r="K2845" s="27" t="s">
        <v>22</v>
      </c>
    </row>
    <row r="2846" spans="1:11" x14ac:dyDescent="0.2">
      <c r="A2846" s="24" t="s">
        <v>7044</v>
      </c>
      <c r="B2846" s="24" t="s">
        <v>7045</v>
      </c>
      <c r="C2846" s="24" t="s">
        <v>2738</v>
      </c>
      <c r="D2846" s="24" t="s">
        <v>17</v>
      </c>
      <c r="E2846" s="24" t="s">
        <v>33</v>
      </c>
      <c r="F2846" s="24" t="s">
        <v>34</v>
      </c>
      <c r="G2846" s="24" t="s">
        <v>28</v>
      </c>
      <c r="H2846" s="26">
        <v>52</v>
      </c>
      <c r="I2846" s="24" t="s">
        <v>29</v>
      </c>
      <c r="J2846" s="36">
        <v>45536</v>
      </c>
      <c r="K2846" s="24" t="s">
        <v>22</v>
      </c>
    </row>
    <row r="2847" spans="1:11" x14ac:dyDescent="0.2">
      <c r="A2847" s="27" t="s">
        <v>7046</v>
      </c>
      <c r="B2847" s="27" t="s">
        <v>7047</v>
      </c>
      <c r="C2847" s="27" t="s">
        <v>534</v>
      </c>
      <c r="D2847" s="27" t="s">
        <v>17</v>
      </c>
      <c r="E2847" s="27" t="s">
        <v>18</v>
      </c>
      <c r="F2847" s="27" t="s">
        <v>19</v>
      </c>
      <c r="G2847" s="27" t="s">
        <v>59</v>
      </c>
      <c r="H2847" s="29">
        <v>3</v>
      </c>
      <c r="I2847" s="27" t="s">
        <v>21</v>
      </c>
      <c r="J2847" s="37">
        <v>45553</v>
      </c>
      <c r="K2847" s="27" t="s">
        <v>22</v>
      </c>
    </row>
    <row r="2848" spans="1:11" x14ac:dyDescent="0.2">
      <c r="A2848" s="24" t="s">
        <v>7048</v>
      </c>
      <c r="B2848" s="24" t="s">
        <v>7049</v>
      </c>
      <c r="C2848" s="24" t="s">
        <v>5624</v>
      </c>
      <c r="D2848" s="24" t="s">
        <v>17</v>
      </c>
      <c r="E2848" s="24" t="s">
        <v>33</v>
      </c>
      <c r="F2848" s="24" t="s">
        <v>34</v>
      </c>
      <c r="G2848" s="24" t="s">
        <v>59</v>
      </c>
      <c r="H2848" s="26">
        <v>28</v>
      </c>
      <c r="I2848" s="24" t="s">
        <v>21</v>
      </c>
      <c r="J2848" s="36">
        <v>45537</v>
      </c>
      <c r="K2848" s="24" t="s">
        <v>22</v>
      </c>
    </row>
    <row r="2849" spans="1:11" x14ac:dyDescent="0.2">
      <c r="A2849" s="27" t="s">
        <v>7050</v>
      </c>
      <c r="B2849" s="27" t="s">
        <v>7051</v>
      </c>
      <c r="C2849" s="27" t="s">
        <v>7052</v>
      </c>
      <c r="D2849" s="27" t="s">
        <v>17</v>
      </c>
      <c r="E2849" s="27" t="s">
        <v>18</v>
      </c>
      <c r="F2849" s="27" t="s">
        <v>19</v>
      </c>
      <c r="G2849" s="27" t="s">
        <v>217</v>
      </c>
      <c r="H2849" s="29">
        <v>30</v>
      </c>
      <c r="I2849" s="27" t="s">
        <v>29</v>
      </c>
      <c r="J2849" s="37">
        <v>45536</v>
      </c>
      <c r="K2849" s="27" t="s">
        <v>22</v>
      </c>
    </row>
    <row r="2850" spans="1:11" x14ac:dyDescent="0.2">
      <c r="A2850" s="24" t="s">
        <v>7053</v>
      </c>
      <c r="B2850" s="24" t="s">
        <v>7054</v>
      </c>
      <c r="C2850" s="24" t="s">
        <v>106</v>
      </c>
      <c r="D2850" s="24" t="s">
        <v>17</v>
      </c>
      <c r="E2850" s="24" t="s">
        <v>18</v>
      </c>
      <c r="F2850" s="24" t="s">
        <v>19</v>
      </c>
      <c r="G2850" s="24" t="s">
        <v>44</v>
      </c>
      <c r="H2850" s="26">
        <v>56</v>
      </c>
      <c r="I2850" s="24" t="s">
        <v>21</v>
      </c>
      <c r="J2850" s="36">
        <v>45547</v>
      </c>
      <c r="K2850" s="24" t="s">
        <v>22</v>
      </c>
    </row>
    <row r="2851" spans="1:11" x14ac:dyDescent="0.2">
      <c r="A2851" s="27" t="s">
        <v>7055</v>
      </c>
      <c r="B2851" s="27" t="s">
        <v>7056</v>
      </c>
      <c r="C2851" s="27" t="s">
        <v>7057</v>
      </c>
      <c r="D2851" s="27" t="s">
        <v>17</v>
      </c>
      <c r="E2851" s="27" t="s">
        <v>18</v>
      </c>
      <c r="F2851" s="27" t="s">
        <v>19</v>
      </c>
      <c r="G2851" s="27" t="s">
        <v>217</v>
      </c>
      <c r="H2851" s="29">
        <v>16</v>
      </c>
      <c r="I2851" s="27" t="s">
        <v>29</v>
      </c>
      <c r="J2851" s="37">
        <v>45536</v>
      </c>
      <c r="K2851" s="27" t="s">
        <v>22</v>
      </c>
    </row>
    <row r="2852" spans="1:11" x14ac:dyDescent="0.2">
      <c r="A2852" s="24" t="s">
        <v>7058</v>
      </c>
      <c r="B2852" s="24" t="s">
        <v>7059</v>
      </c>
      <c r="C2852" s="24" t="s">
        <v>5398</v>
      </c>
      <c r="D2852" s="24" t="s">
        <v>17</v>
      </c>
      <c r="E2852" s="24" t="s">
        <v>42</v>
      </c>
      <c r="F2852" s="24" t="s">
        <v>43</v>
      </c>
      <c r="G2852" s="24" t="s">
        <v>28</v>
      </c>
      <c r="H2852" s="26">
        <v>1000</v>
      </c>
      <c r="I2852" s="24" t="s">
        <v>29</v>
      </c>
      <c r="J2852" s="36">
        <v>45541</v>
      </c>
      <c r="K2852" s="24" t="s">
        <v>22</v>
      </c>
    </row>
    <row r="2853" spans="1:11" x14ac:dyDescent="0.2">
      <c r="A2853" s="27" t="s">
        <v>7060</v>
      </c>
      <c r="B2853" s="27" t="s">
        <v>7061</v>
      </c>
      <c r="C2853" s="27" t="s">
        <v>7062</v>
      </c>
      <c r="D2853" s="27" t="s">
        <v>17</v>
      </c>
      <c r="E2853" s="27" t="s">
        <v>42</v>
      </c>
      <c r="F2853" s="27" t="s">
        <v>43</v>
      </c>
      <c r="G2853" s="27" t="s">
        <v>217</v>
      </c>
      <c r="H2853" s="29">
        <v>374</v>
      </c>
      <c r="I2853" s="27" t="s">
        <v>29</v>
      </c>
      <c r="J2853" s="37">
        <v>45536</v>
      </c>
      <c r="K2853" s="27" t="s">
        <v>22</v>
      </c>
    </row>
    <row r="2854" spans="1:11" x14ac:dyDescent="0.2">
      <c r="A2854" s="24" t="s">
        <v>7063</v>
      </c>
      <c r="B2854" s="24" t="s">
        <v>7064</v>
      </c>
      <c r="C2854" s="24" t="s">
        <v>494</v>
      </c>
      <c r="D2854" s="24" t="s">
        <v>17</v>
      </c>
      <c r="E2854" s="24" t="s">
        <v>48</v>
      </c>
      <c r="F2854" s="24" t="s">
        <v>49</v>
      </c>
      <c r="G2854" s="24" t="s">
        <v>20</v>
      </c>
      <c r="H2854" s="26">
        <v>240</v>
      </c>
      <c r="I2854" s="24" t="s">
        <v>21</v>
      </c>
      <c r="J2854" s="36">
        <v>45549</v>
      </c>
      <c r="K2854" s="24" t="s">
        <v>22</v>
      </c>
    </row>
    <row r="2855" spans="1:11" x14ac:dyDescent="0.2">
      <c r="A2855" s="27" t="s">
        <v>7065</v>
      </c>
      <c r="B2855" s="27" t="s">
        <v>7066</v>
      </c>
      <c r="C2855" s="27" t="s">
        <v>1050</v>
      </c>
      <c r="D2855" s="27" t="s">
        <v>17</v>
      </c>
      <c r="E2855" s="27" t="s">
        <v>33</v>
      </c>
      <c r="F2855" s="27" t="s">
        <v>34</v>
      </c>
      <c r="G2855" s="27" t="s">
        <v>217</v>
      </c>
      <c r="H2855" s="29">
        <v>884</v>
      </c>
      <c r="I2855" s="27" t="s">
        <v>29</v>
      </c>
      <c r="J2855" s="37">
        <v>45548</v>
      </c>
      <c r="K2855" s="27" t="s">
        <v>22</v>
      </c>
    </row>
    <row r="2856" spans="1:11" x14ac:dyDescent="0.2">
      <c r="A2856" s="24" t="s">
        <v>7067</v>
      </c>
      <c r="B2856" s="24" t="s">
        <v>7068</v>
      </c>
      <c r="C2856" s="24" t="s">
        <v>7069</v>
      </c>
      <c r="D2856" s="24" t="s">
        <v>17</v>
      </c>
      <c r="E2856" s="24" t="s">
        <v>18</v>
      </c>
      <c r="F2856" s="24" t="s">
        <v>19</v>
      </c>
      <c r="G2856" s="24" t="s">
        <v>20</v>
      </c>
      <c r="H2856" s="26">
        <v>16</v>
      </c>
      <c r="I2856" s="24" t="s">
        <v>21</v>
      </c>
      <c r="J2856" s="36">
        <v>45563</v>
      </c>
      <c r="K2856" s="24" t="s">
        <v>22</v>
      </c>
    </row>
    <row r="2857" spans="1:11" x14ac:dyDescent="0.2">
      <c r="A2857" s="27" t="s">
        <v>7070</v>
      </c>
      <c r="B2857" s="27" t="s">
        <v>7071</v>
      </c>
      <c r="C2857" s="27" t="s">
        <v>7072</v>
      </c>
      <c r="D2857" s="27" t="s">
        <v>17</v>
      </c>
      <c r="E2857" s="27" t="s">
        <v>42</v>
      </c>
      <c r="F2857" s="27" t="s">
        <v>43</v>
      </c>
      <c r="G2857" s="27" t="s">
        <v>28</v>
      </c>
      <c r="H2857" s="29">
        <v>4220</v>
      </c>
      <c r="I2857" s="27" t="s">
        <v>29</v>
      </c>
      <c r="J2857" s="37">
        <v>45562</v>
      </c>
      <c r="K2857" s="27" t="s">
        <v>22</v>
      </c>
    </row>
    <row r="2858" spans="1:11" x14ac:dyDescent="0.2">
      <c r="A2858" s="24" t="s">
        <v>7073</v>
      </c>
      <c r="B2858" s="24" t="s">
        <v>7074</v>
      </c>
      <c r="C2858" s="24" t="s">
        <v>7075</v>
      </c>
      <c r="D2858" s="24" t="s">
        <v>17</v>
      </c>
      <c r="E2858" s="24" t="s">
        <v>48</v>
      </c>
      <c r="F2858" s="24" t="s">
        <v>49</v>
      </c>
      <c r="G2858" s="24" t="s">
        <v>28</v>
      </c>
      <c r="H2858" s="26">
        <v>142</v>
      </c>
      <c r="I2858" s="24" t="s">
        <v>29</v>
      </c>
      <c r="J2858" s="36">
        <v>45561</v>
      </c>
      <c r="K2858" s="24" t="s">
        <v>22</v>
      </c>
    </row>
    <row r="2859" spans="1:11" x14ac:dyDescent="0.2">
      <c r="A2859" s="27" t="s">
        <v>7076</v>
      </c>
      <c r="B2859" s="27" t="s">
        <v>7077</v>
      </c>
      <c r="C2859" s="27" t="s">
        <v>708</v>
      </c>
      <c r="D2859" s="27" t="s">
        <v>17</v>
      </c>
      <c r="E2859" s="27" t="s">
        <v>48</v>
      </c>
      <c r="F2859" s="27" t="s">
        <v>49</v>
      </c>
      <c r="G2859" s="27" t="s">
        <v>28</v>
      </c>
      <c r="H2859" s="29">
        <v>95</v>
      </c>
      <c r="I2859" s="27" t="s">
        <v>29</v>
      </c>
      <c r="J2859" s="37">
        <v>45565</v>
      </c>
      <c r="K2859" s="27" t="s">
        <v>22</v>
      </c>
    </row>
    <row r="2860" spans="1:11" x14ac:dyDescent="0.2">
      <c r="A2860" s="24" t="s">
        <v>7078</v>
      </c>
      <c r="B2860" s="24" t="s">
        <v>7079</v>
      </c>
      <c r="C2860" s="24" t="s">
        <v>1562</v>
      </c>
      <c r="D2860" s="24" t="s">
        <v>17</v>
      </c>
      <c r="E2860" s="24" t="s">
        <v>81</v>
      </c>
      <c r="F2860" s="24" t="s">
        <v>82</v>
      </c>
      <c r="G2860" s="24" t="s">
        <v>20</v>
      </c>
      <c r="H2860" s="26">
        <v>899</v>
      </c>
      <c r="I2860" s="24" t="s">
        <v>21</v>
      </c>
      <c r="J2860" s="36">
        <v>45556</v>
      </c>
      <c r="K2860" s="24" t="s">
        <v>22</v>
      </c>
    </row>
    <row r="2861" spans="1:11" x14ac:dyDescent="0.2">
      <c r="A2861" s="27" t="s">
        <v>7080</v>
      </c>
      <c r="B2861" s="27" t="s">
        <v>7081</v>
      </c>
      <c r="C2861" s="27" t="s">
        <v>518</v>
      </c>
      <c r="D2861" s="27" t="s">
        <v>17</v>
      </c>
      <c r="E2861" s="27" t="s">
        <v>42</v>
      </c>
      <c r="F2861" s="27" t="s">
        <v>43</v>
      </c>
      <c r="G2861" s="27" t="s">
        <v>28</v>
      </c>
      <c r="H2861" s="29">
        <v>582</v>
      </c>
      <c r="I2861" s="27" t="s">
        <v>29</v>
      </c>
      <c r="J2861" s="37">
        <v>45538</v>
      </c>
      <c r="K2861" s="27" t="s">
        <v>22</v>
      </c>
    </row>
    <row r="2862" spans="1:11" x14ac:dyDescent="0.2">
      <c r="A2862" s="24" t="s">
        <v>7082</v>
      </c>
      <c r="B2862" s="24" t="s">
        <v>7083</v>
      </c>
      <c r="C2862" s="24" t="s">
        <v>325</v>
      </c>
      <c r="D2862" s="24" t="s">
        <v>17</v>
      </c>
      <c r="E2862" s="24" t="s">
        <v>81</v>
      </c>
      <c r="F2862" s="24" t="s">
        <v>82</v>
      </c>
      <c r="G2862" s="24" t="s">
        <v>20</v>
      </c>
      <c r="H2862" s="26">
        <v>51</v>
      </c>
      <c r="I2862" s="24" t="s">
        <v>21</v>
      </c>
      <c r="J2862" s="36">
        <v>45537</v>
      </c>
      <c r="K2862" s="24" t="s">
        <v>22</v>
      </c>
    </row>
    <row r="2863" spans="1:11" x14ac:dyDescent="0.2">
      <c r="A2863" s="27" t="s">
        <v>7084</v>
      </c>
      <c r="B2863" s="27" t="s">
        <v>7085</v>
      </c>
      <c r="C2863" s="27" t="s">
        <v>97</v>
      </c>
      <c r="D2863" s="27" t="s">
        <v>17</v>
      </c>
      <c r="E2863" s="27" t="s">
        <v>42</v>
      </c>
      <c r="F2863" s="27" t="s">
        <v>43</v>
      </c>
      <c r="G2863" s="27" t="s">
        <v>44</v>
      </c>
      <c r="H2863" s="29">
        <v>326</v>
      </c>
      <c r="I2863" s="27" t="s">
        <v>21</v>
      </c>
      <c r="J2863" s="37">
        <v>45565</v>
      </c>
      <c r="K2863" s="27" t="s">
        <v>22</v>
      </c>
    </row>
    <row r="2864" spans="1:11" x14ac:dyDescent="0.2">
      <c r="A2864" s="24" t="s">
        <v>7086</v>
      </c>
      <c r="B2864" s="24" t="s">
        <v>7087</v>
      </c>
      <c r="C2864" s="24" t="s">
        <v>2015</v>
      </c>
      <c r="D2864" s="24" t="s">
        <v>17</v>
      </c>
      <c r="E2864" s="24" t="s">
        <v>42</v>
      </c>
      <c r="F2864" s="24" t="s">
        <v>43</v>
      </c>
      <c r="G2864" s="24" t="s">
        <v>28</v>
      </c>
      <c r="H2864" s="26">
        <v>274</v>
      </c>
      <c r="I2864" s="24" t="s">
        <v>29</v>
      </c>
      <c r="J2864" s="36">
        <v>45544</v>
      </c>
      <c r="K2864" s="24" t="s">
        <v>22</v>
      </c>
    </row>
    <row r="2865" spans="1:11" x14ac:dyDescent="0.2">
      <c r="A2865" s="27" t="s">
        <v>7088</v>
      </c>
      <c r="B2865" s="27" t="s">
        <v>7089</v>
      </c>
      <c r="C2865" s="27" t="s">
        <v>3299</v>
      </c>
      <c r="D2865" s="27" t="s">
        <v>17</v>
      </c>
      <c r="E2865" s="27" t="s">
        <v>42</v>
      </c>
      <c r="F2865" s="27" t="s">
        <v>43</v>
      </c>
      <c r="G2865" s="27" t="s">
        <v>116</v>
      </c>
      <c r="H2865" s="29">
        <v>0</v>
      </c>
      <c r="I2865" s="27" t="s">
        <v>21</v>
      </c>
      <c r="J2865" s="37">
        <v>45555</v>
      </c>
      <c r="K2865" s="27" t="s">
        <v>22</v>
      </c>
    </row>
    <row r="2866" spans="1:11" x14ac:dyDescent="0.2">
      <c r="A2866" s="24" t="s">
        <v>7090</v>
      </c>
      <c r="B2866" s="24" t="s">
        <v>7091</v>
      </c>
      <c r="C2866" s="24" t="s">
        <v>7092</v>
      </c>
      <c r="D2866" s="24" t="s">
        <v>17</v>
      </c>
      <c r="E2866" s="24" t="s">
        <v>18</v>
      </c>
      <c r="F2866" s="24" t="s">
        <v>19</v>
      </c>
      <c r="G2866" s="24" t="s">
        <v>20</v>
      </c>
      <c r="H2866" s="26">
        <v>14</v>
      </c>
      <c r="I2866" s="24" t="s">
        <v>21</v>
      </c>
      <c r="J2866" s="36">
        <v>45536</v>
      </c>
      <c r="K2866" s="24" t="s">
        <v>22</v>
      </c>
    </row>
    <row r="2867" spans="1:11" x14ac:dyDescent="0.2">
      <c r="A2867" s="27" t="s">
        <v>7093</v>
      </c>
      <c r="B2867" s="27" t="s">
        <v>7094</v>
      </c>
      <c r="C2867" s="27" t="s">
        <v>301</v>
      </c>
      <c r="D2867" s="27" t="s">
        <v>17</v>
      </c>
      <c r="E2867" s="27" t="s">
        <v>42</v>
      </c>
      <c r="F2867" s="27" t="s">
        <v>43</v>
      </c>
      <c r="G2867" s="27" t="s">
        <v>59</v>
      </c>
      <c r="H2867" s="29">
        <v>47</v>
      </c>
      <c r="I2867" s="27" t="s">
        <v>21</v>
      </c>
      <c r="J2867" s="37">
        <v>45554</v>
      </c>
      <c r="K2867" s="27" t="s">
        <v>22</v>
      </c>
    </row>
    <row r="2868" spans="1:11" x14ac:dyDescent="0.2">
      <c r="A2868" s="24" t="s">
        <v>7095</v>
      </c>
      <c r="B2868" s="24" t="s">
        <v>7096</v>
      </c>
      <c r="C2868" s="24" t="s">
        <v>134</v>
      </c>
      <c r="D2868" s="24" t="s">
        <v>17</v>
      </c>
      <c r="E2868" s="24" t="s">
        <v>18</v>
      </c>
      <c r="F2868" s="24" t="s">
        <v>19</v>
      </c>
      <c r="G2868" s="24" t="s">
        <v>20</v>
      </c>
      <c r="H2868" s="26">
        <v>25</v>
      </c>
      <c r="I2868" s="24" t="s">
        <v>21</v>
      </c>
      <c r="J2868" s="36">
        <v>45538</v>
      </c>
      <c r="K2868" s="24" t="s">
        <v>22</v>
      </c>
    </row>
    <row r="2869" spans="1:11" x14ac:dyDescent="0.2">
      <c r="A2869" s="27" t="s">
        <v>7097</v>
      </c>
      <c r="B2869" s="27" t="s">
        <v>7098</v>
      </c>
      <c r="C2869" s="27" t="s">
        <v>7099</v>
      </c>
      <c r="D2869" s="27" t="s">
        <v>17</v>
      </c>
      <c r="E2869" s="27" t="s">
        <v>48</v>
      </c>
      <c r="F2869" s="27" t="s">
        <v>49</v>
      </c>
      <c r="G2869" s="27" t="s">
        <v>257</v>
      </c>
      <c r="H2869" s="29">
        <v>45</v>
      </c>
      <c r="I2869" s="27" t="s">
        <v>29</v>
      </c>
      <c r="J2869" s="37">
        <v>45536</v>
      </c>
      <c r="K2869" s="27" t="s">
        <v>22</v>
      </c>
    </row>
    <row r="2870" spans="1:11" x14ac:dyDescent="0.2">
      <c r="A2870" s="24" t="s">
        <v>7100</v>
      </c>
      <c r="B2870" s="24" t="s">
        <v>7101</v>
      </c>
      <c r="C2870" s="24" t="s">
        <v>4350</v>
      </c>
      <c r="D2870" s="24" t="s">
        <v>17</v>
      </c>
      <c r="E2870" s="24" t="s">
        <v>48</v>
      </c>
      <c r="F2870" s="24" t="s">
        <v>49</v>
      </c>
      <c r="G2870" s="24" t="s">
        <v>28</v>
      </c>
      <c r="H2870" s="26">
        <v>180</v>
      </c>
      <c r="I2870" s="24" t="s">
        <v>29</v>
      </c>
      <c r="J2870" s="36">
        <v>45546</v>
      </c>
      <c r="K2870" s="24" t="s">
        <v>22</v>
      </c>
    </row>
    <row r="2871" spans="1:11" x14ac:dyDescent="0.2">
      <c r="A2871" s="27" t="s">
        <v>7102</v>
      </c>
      <c r="B2871" s="27" t="s">
        <v>7103</v>
      </c>
      <c r="C2871" s="27" t="s">
        <v>85</v>
      </c>
      <c r="D2871" s="27" t="s">
        <v>17</v>
      </c>
      <c r="E2871" s="27" t="s">
        <v>18</v>
      </c>
      <c r="F2871" s="27" t="s">
        <v>19</v>
      </c>
      <c r="G2871" s="27" t="s">
        <v>28</v>
      </c>
      <c r="H2871" s="29">
        <v>20</v>
      </c>
      <c r="I2871" s="27" t="s">
        <v>29</v>
      </c>
      <c r="J2871" s="37">
        <v>45546</v>
      </c>
      <c r="K2871" s="27" t="s">
        <v>22</v>
      </c>
    </row>
    <row r="2872" spans="1:11" x14ac:dyDescent="0.2">
      <c r="A2872" s="24" t="s">
        <v>7104</v>
      </c>
      <c r="B2872" s="24" t="s">
        <v>7105</v>
      </c>
      <c r="C2872" s="24" t="s">
        <v>437</v>
      </c>
      <c r="D2872" s="24" t="s">
        <v>17</v>
      </c>
      <c r="E2872" s="24" t="s">
        <v>18</v>
      </c>
      <c r="F2872" s="24" t="s">
        <v>19</v>
      </c>
      <c r="G2872" s="24" t="s">
        <v>28</v>
      </c>
      <c r="H2872" s="26">
        <v>80</v>
      </c>
      <c r="I2872" s="24" t="s">
        <v>29</v>
      </c>
      <c r="J2872" s="36">
        <v>45544</v>
      </c>
      <c r="K2872" s="24" t="s">
        <v>22</v>
      </c>
    </row>
    <row r="2873" spans="1:11" x14ac:dyDescent="0.2">
      <c r="A2873" s="27" t="s">
        <v>7106</v>
      </c>
      <c r="B2873" s="27" t="s">
        <v>7107</v>
      </c>
      <c r="C2873" s="27" t="s">
        <v>1895</v>
      </c>
      <c r="D2873" s="27" t="s">
        <v>17</v>
      </c>
      <c r="E2873" s="27" t="s">
        <v>48</v>
      </c>
      <c r="F2873" s="27" t="s">
        <v>49</v>
      </c>
      <c r="G2873" s="27" t="s">
        <v>28</v>
      </c>
      <c r="H2873" s="29">
        <v>81</v>
      </c>
      <c r="I2873" s="27" t="s">
        <v>29</v>
      </c>
      <c r="J2873" s="37">
        <v>45562</v>
      </c>
      <c r="K2873" s="27" t="s">
        <v>22</v>
      </c>
    </row>
    <row r="2874" spans="1:11" x14ac:dyDescent="0.2">
      <c r="A2874" s="24" t="s">
        <v>7108</v>
      </c>
      <c r="B2874" s="24" t="s">
        <v>7109</v>
      </c>
      <c r="C2874" s="24" t="s">
        <v>7110</v>
      </c>
      <c r="D2874" s="24" t="s">
        <v>17</v>
      </c>
      <c r="E2874" s="24" t="s">
        <v>26</v>
      </c>
      <c r="F2874" s="24" t="s">
        <v>27</v>
      </c>
      <c r="G2874" s="24" t="s">
        <v>217</v>
      </c>
      <c r="H2874" s="26">
        <v>15</v>
      </c>
      <c r="I2874" s="24" t="s">
        <v>29</v>
      </c>
      <c r="J2874" s="36">
        <v>45536</v>
      </c>
      <c r="K2874" s="24" t="s">
        <v>22</v>
      </c>
    </row>
    <row r="2875" spans="1:11" x14ac:dyDescent="0.2">
      <c r="A2875" s="27" t="s">
        <v>7111</v>
      </c>
      <c r="B2875" s="27" t="s">
        <v>7112</v>
      </c>
      <c r="C2875" s="27" t="s">
        <v>1417</v>
      </c>
      <c r="D2875" s="27" t="s">
        <v>17</v>
      </c>
      <c r="E2875" s="27" t="s">
        <v>48</v>
      </c>
      <c r="F2875" s="27" t="s">
        <v>49</v>
      </c>
      <c r="G2875" s="27" t="s">
        <v>28</v>
      </c>
      <c r="H2875" s="29">
        <v>30</v>
      </c>
      <c r="I2875" s="27" t="s">
        <v>29</v>
      </c>
      <c r="J2875" s="37">
        <v>45562</v>
      </c>
      <c r="K2875" s="27" t="s">
        <v>22</v>
      </c>
    </row>
    <row r="2876" spans="1:11" x14ac:dyDescent="0.2">
      <c r="A2876" s="24" t="s">
        <v>7113</v>
      </c>
      <c r="B2876" s="24" t="s">
        <v>7114</v>
      </c>
      <c r="C2876" s="24" t="s">
        <v>146</v>
      </c>
      <c r="D2876" s="24" t="s">
        <v>17</v>
      </c>
      <c r="E2876" s="24" t="s">
        <v>18</v>
      </c>
      <c r="F2876" s="24" t="s">
        <v>19</v>
      </c>
      <c r="G2876" s="24" t="s">
        <v>44</v>
      </c>
      <c r="H2876" s="26">
        <v>213</v>
      </c>
      <c r="I2876" s="24" t="s">
        <v>21</v>
      </c>
      <c r="J2876" s="36">
        <v>45565</v>
      </c>
      <c r="K2876" s="24" t="s">
        <v>22</v>
      </c>
    </row>
    <row r="2877" spans="1:11" x14ac:dyDescent="0.2">
      <c r="A2877" s="27" t="s">
        <v>7115</v>
      </c>
      <c r="B2877" s="27" t="s">
        <v>7116</v>
      </c>
      <c r="C2877" s="27" t="s">
        <v>7117</v>
      </c>
      <c r="D2877" s="27" t="s">
        <v>17</v>
      </c>
      <c r="E2877" s="27" t="s">
        <v>18</v>
      </c>
      <c r="F2877" s="27" t="s">
        <v>19</v>
      </c>
      <c r="G2877" s="27" t="s">
        <v>227</v>
      </c>
      <c r="H2877" s="29">
        <v>30</v>
      </c>
      <c r="I2877" s="27" t="s">
        <v>29</v>
      </c>
      <c r="J2877" s="37">
        <v>45552</v>
      </c>
      <c r="K2877" s="27" t="s">
        <v>22</v>
      </c>
    </row>
    <row r="2878" spans="1:11" x14ac:dyDescent="0.2">
      <c r="A2878" s="24" t="s">
        <v>7118</v>
      </c>
      <c r="B2878" s="24" t="s">
        <v>7119</v>
      </c>
      <c r="C2878" s="24" t="s">
        <v>7120</v>
      </c>
      <c r="D2878" s="24" t="s">
        <v>17</v>
      </c>
      <c r="E2878" s="24" t="s">
        <v>48</v>
      </c>
      <c r="F2878" s="24" t="s">
        <v>49</v>
      </c>
      <c r="G2878" s="24" t="s">
        <v>20</v>
      </c>
      <c r="H2878" s="26">
        <v>40</v>
      </c>
      <c r="I2878" s="24" t="s">
        <v>21</v>
      </c>
      <c r="J2878" s="36">
        <v>45561</v>
      </c>
      <c r="K2878" s="24" t="s">
        <v>22</v>
      </c>
    </row>
    <row r="2879" spans="1:11" x14ac:dyDescent="0.2">
      <c r="A2879" s="27" t="s">
        <v>7121</v>
      </c>
      <c r="B2879" s="27" t="s">
        <v>7122</v>
      </c>
      <c r="C2879" s="27" t="s">
        <v>1938</v>
      </c>
      <c r="D2879" s="27" t="s">
        <v>17</v>
      </c>
      <c r="E2879" s="27" t="s">
        <v>42</v>
      </c>
      <c r="F2879" s="27" t="s">
        <v>43</v>
      </c>
      <c r="G2879" s="27" t="s">
        <v>28</v>
      </c>
      <c r="H2879" s="29">
        <v>420</v>
      </c>
      <c r="I2879" s="27" t="s">
        <v>29</v>
      </c>
      <c r="J2879" s="37">
        <v>45545</v>
      </c>
      <c r="K2879" s="27" t="s">
        <v>22</v>
      </c>
    </row>
    <row r="2880" spans="1:11" x14ac:dyDescent="0.2">
      <c r="A2880" s="24" t="s">
        <v>7123</v>
      </c>
      <c r="B2880" s="24" t="s">
        <v>7124</v>
      </c>
      <c r="C2880" s="24" t="s">
        <v>7125</v>
      </c>
      <c r="D2880" s="24" t="s">
        <v>17</v>
      </c>
      <c r="E2880" s="24" t="s">
        <v>42</v>
      </c>
      <c r="F2880" s="24" t="s">
        <v>43</v>
      </c>
      <c r="G2880" s="24" t="s">
        <v>28</v>
      </c>
      <c r="H2880" s="26">
        <v>500</v>
      </c>
      <c r="I2880" s="24" t="s">
        <v>29</v>
      </c>
      <c r="J2880" s="36">
        <v>45559</v>
      </c>
      <c r="K2880" s="24" t="s">
        <v>22</v>
      </c>
    </row>
    <row r="2881" spans="1:11" x14ac:dyDescent="0.2">
      <c r="A2881" s="27" t="s">
        <v>7126</v>
      </c>
      <c r="B2881" s="27" t="s">
        <v>7127</v>
      </c>
      <c r="C2881" s="27" t="s">
        <v>1473</v>
      </c>
      <c r="D2881" s="27" t="s">
        <v>17</v>
      </c>
      <c r="E2881" s="27" t="s">
        <v>33</v>
      </c>
      <c r="F2881" s="27" t="s">
        <v>34</v>
      </c>
      <c r="G2881" s="27" t="s">
        <v>28</v>
      </c>
      <c r="H2881" s="29">
        <v>33</v>
      </c>
      <c r="I2881" s="27" t="s">
        <v>29</v>
      </c>
      <c r="J2881" s="37">
        <v>45537</v>
      </c>
      <c r="K2881" s="27" t="s">
        <v>22</v>
      </c>
    </row>
    <row r="2882" spans="1:11" x14ac:dyDescent="0.2">
      <c r="A2882" s="24" t="s">
        <v>7128</v>
      </c>
      <c r="B2882" s="24" t="s">
        <v>7129</v>
      </c>
      <c r="C2882" s="24" t="s">
        <v>106</v>
      </c>
      <c r="D2882" s="24" t="s">
        <v>17</v>
      </c>
      <c r="E2882" s="24" t="s">
        <v>42</v>
      </c>
      <c r="F2882" s="24" t="s">
        <v>43</v>
      </c>
      <c r="G2882" s="24" t="s">
        <v>28</v>
      </c>
      <c r="H2882" s="26">
        <v>1800</v>
      </c>
      <c r="I2882" s="24" t="s">
        <v>29</v>
      </c>
      <c r="J2882" s="36">
        <v>45552</v>
      </c>
      <c r="K2882" s="24" t="s">
        <v>22</v>
      </c>
    </row>
    <row r="2883" spans="1:11" x14ac:dyDescent="0.2">
      <c r="A2883" s="27" t="s">
        <v>7130</v>
      </c>
      <c r="B2883" s="27" t="s">
        <v>7131</v>
      </c>
      <c r="C2883" s="27" t="s">
        <v>5350</v>
      </c>
      <c r="D2883" s="27" t="s">
        <v>17</v>
      </c>
      <c r="E2883" s="27" t="s">
        <v>42</v>
      </c>
      <c r="F2883" s="27" t="s">
        <v>43</v>
      </c>
      <c r="G2883" s="27" t="s">
        <v>116</v>
      </c>
      <c r="H2883" s="29">
        <v>0</v>
      </c>
      <c r="I2883" s="27" t="s">
        <v>21</v>
      </c>
      <c r="J2883" s="37">
        <v>45536</v>
      </c>
      <c r="K2883" s="27" t="s">
        <v>22</v>
      </c>
    </row>
    <row r="2884" spans="1:11" x14ac:dyDescent="0.2">
      <c r="A2884" s="24" t="s">
        <v>7132</v>
      </c>
      <c r="B2884" s="24" t="s">
        <v>7133</v>
      </c>
      <c r="C2884" s="24" t="s">
        <v>595</v>
      </c>
      <c r="D2884" s="24" t="s">
        <v>17</v>
      </c>
      <c r="E2884" s="24" t="s">
        <v>42</v>
      </c>
      <c r="F2884" s="24" t="s">
        <v>43</v>
      </c>
      <c r="G2884" s="24" t="s">
        <v>217</v>
      </c>
      <c r="H2884" s="26">
        <v>60</v>
      </c>
      <c r="I2884" s="24" t="s">
        <v>29</v>
      </c>
      <c r="J2884" s="36">
        <v>45555</v>
      </c>
      <c r="K2884" s="24" t="s">
        <v>22</v>
      </c>
    </row>
    <row r="2885" spans="1:11" x14ac:dyDescent="0.2">
      <c r="A2885" s="27" t="s">
        <v>7134</v>
      </c>
      <c r="B2885" s="27" t="s">
        <v>7135</v>
      </c>
      <c r="C2885" s="27" t="s">
        <v>208</v>
      </c>
      <c r="D2885" s="27" t="s">
        <v>17</v>
      </c>
      <c r="E2885" s="27" t="s">
        <v>48</v>
      </c>
      <c r="F2885" s="27" t="s">
        <v>49</v>
      </c>
      <c r="G2885" s="27" t="s">
        <v>28</v>
      </c>
      <c r="H2885" s="29">
        <v>900</v>
      </c>
      <c r="I2885" s="27" t="s">
        <v>29</v>
      </c>
      <c r="J2885" s="37">
        <v>45565</v>
      </c>
      <c r="K2885" s="27" t="s">
        <v>22</v>
      </c>
    </row>
    <row r="2886" spans="1:11" x14ac:dyDescent="0.2">
      <c r="A2886" s="24" t="s">
        <v>7136</v>
      </c>
      <c r="B2886" s="24" t="s">
        <v>7137</v>
      </c>
      <c r="C2886" s="24" t="s">
        <v>354</v>
      </c>
      <c r="D2886" s="24" t="s">
        <v>17</v>
      </c>
      <c r="E2886" s="24" t="s">
        <v>18</v>
      </c>
      <c r="F2886" s="24" t="s">
        <v>19</v>
      </c>
      <c r="G2886" s="24" t="s">
        <v>20</v>
      </c>
      <c r="H2886" s="26">
        <v>30</v>
      </c>
      <c r="I2886" s="24" t="s">
        <v>21</v>
      </c>
      <c r="J2886" s="36">
        <v>45565</v>
      </c>
      <c r="K2886" s="24" t="s">
        <v>22</v>
      </c>
    </row>
    <row r="2887" spans="1:11" x14ac:dyDescent="0.2">
      <c r="A2887" s="27" t="s">
        <v>7138</v>
      </c>
      <c r="B2887" s="27" t="s">
        <v>7139</v>
      </c>
      <c r="C2887" s="27" t="s">
        <v>1912</v>
      </c>
      <c r="D2887" s="27" t="s">
        <v>17</v>
      </c>
      <c r="E2887" s="27" t="s">
        <v>18</v>
      </c>
      <c r="F2887" s="27" t="s">
        <v>19</v>
      </c>
      <c r="G2887" s="27" t="s">
        <v>20</v>
      </c>
      <c r="H2887" s="29">
        <v>119</v>
      </c>
      <c r="I2887" s="27" t="s">
        <v>21</v>
      </c>
      <c r="J2887" s="37">
        <v>45542</v>
      </c>
      <c r="K2887" s="27" t="s">
        <v>22</v>
      </c>
    </row>
    <row r="2888" spans="1:11" x14ac:dyDescent="0.2">
      <c r="A2888" s="24" t="s">
        <v>7140</v>
      </c>
      <c r="B2888" s="24" t="s">
        <v>7141</v>
      </c>
      <c r="C2888" s="24" t="s">
        <v>4060</v>
      </c>
      <c r="D2888" s="24" t="s">
        <v>17</v>
      </c>
      <c r="E2888" s="24" t="s">
        <v>48</v>
      </c>
      <c r="F2888" s="24" t="s">
        <v>49</v>
      </c>
      <c r="G2888" s="24" t="s">
        <v>28</v>
      </c>
      <c r="H2888" s="26">
        <v>84</v>
      </c>
      <c r="I2888" s="24" t="s">
        <v>29</v>
      </c>
      <c r="J2888" s="36">
        <v>45556</v>
      </c>
      <c r="K2888" s="24" t="s">
        <v>22</v>
      </c>
    </row>
    <row r="2889" spans="1:11" x14ac:dyDescent="0.2">
      <c r="A2889" s="27" t="s">
        <v>7142</v>
      </c>
      <c r="B2889" s="27" t="s">
        <v>7143</v>
      </c>
      <c r="C2889" s="27" t="s">
        <v>984</v>
      </c>
      <c r="D2889" s="27" t="s">
        <v>17</v>
      </c>
      <c r="E2889" s="27" t="s">
        <v>42</v>
      </c>
      <c r="F2889" s="27" t="s">
        <v>43</v>
      </c>
      <c r="G2889" s="27" t="s">
        <v>44</v>
      </c>
      <c r="H2889" s="29">
        <v>37864</v>
      </c>
      <c r="I2889" s="27" t="s">
        <v>21</v>
      </c>
      <c r="J2889" s="37">
        <v>45559</v>
      </c>
      <c r="K2889" s="27" t="s">
        <v>22</v>
      </c>
    </row>
    <row r="2890" spans="1:11" x14ac:dyDescent="0.2">
      <c r="A2890" s="24" t="s">
        <v>7144</v>
      </c>
      <c r="B2890" s="24" t="s">
        <v>7145</v>
      </c>
      <c r="C2890" s="24" t="s">
        <v>7146</v>
      </c>
      <c r="D2890" s="24" t="s">
        <v>17</v>
      </c>
      <c r="E2890" s="24" t="s">
        <v>18</v>
      </c>
      <c r="F2890" s="24" t="s">
        <v>19</v>
      </c>
      <c r="G2890" s="24" t="s">
        <v>28</v>
      </c>
      <c r="H2890" s="26">
        <v>60</v>
      </c>
      <c r="I2890" s="24" t="s">
        <v>29</v>
      </c>
      <c r="J2890" s="36">
        <v>45551</v>
      </c>
      <c r="K2890" s="24" t="s">
        <v>22</v>
      </c>
    </row>
    <row r="2891" spans="1:11" x14ac:dyDescent="0.2">
      <c r="A2891" s="27" t="s">
        <v>7147</v>
      </c>
      <c r="B2891" s="27" t="s">
        <v>7148</v>
      </c>
      <c r="C2891" s="27" t="s">
        <v>7149</v>
      </c>
      <c r="D2891" s="27" t="s">
        <v>17</v>
      </c>
      <c r="E2891" s="27" t="s">
        <v>26</v>
      </c>
      <c r="F2891" s="27" t="s">
        <v>27</v>
      </c>
      <c r="G2891" s="27" t="s">
        <v>44</v>
      </c>
      <c r="H2891" s="29">
        <v>108</v>
      </c>
      <c r="I2891" s="27" t="s">
        <v>29</v>
      </c>
      <c r="J2891" s="37">
        <v>45565</v>
      </c>
      <c r="K2891" s="27" t="s">
        <v>22</v>
      </c>
    </row>
    <row r="2892" spans="1:11" x14ac:dyDescent="0.2">
      <c r="A2892" s="24" t="s">
        <v>7150</v>
      </c>
      <c r="B2892" s="24" t="s">
        <v>7151</v>
      </c>
      <c r="C2892" s="24" t="s">
        <v>7152</v>
      </c>
      <c r="D2892" s="24" t="s">
        <v>17</v>
      </c>
      <c r="E2892" s="24" t="s">
        <v>18</v>
      </c>
      <c r="F2892" s="24" t="s">
        <v>19</v>
      </c>
      <c r="G2892" s="24" t="s">
        <v>44</v>
      </c>
      <c r="H2892" s="26">
        <v>60</v>
      </c>
      <c r="I2892" s="24" t="s">
        <v>29</v>
      </c>
      <c r="J2892" s="36">
        <v>45565</v>
      </c>
      <c r="K2892" s="24" t="s">
        <v>22</v>
      </c>
    </row>
    <row r="2893" spans="1:11" x14ac:dyDescent="0.2">
      <c r="A2893" s="27" t="s">
        <v>7153</v>
      </c>
      <c r="B2893" s="27" t="s">
        <v>7154</v>
      </c>
      <c r="C2893" s="27" t="s">
        <v>3205</v>
      </c>
      <c r="D2893" s="27" t="s">
        <v>17</v>
      </c>
      <c r="E2893" s="27" t="s">
        <v>42</v>
      </c>
      <c r="F2893" s="27" t="s">
        <v>43</v>
      </c>
      <c r="G2893" s="27" t="s">
        <v>20</v>
      </c>
      <c r="H2893" s="29">
        <v>136</v>
      </c>
      <c r="I2893" s="27" t="s">
        <v>21</v>
      </c>
      <c r="J2893" s="37">
        <v>45553</v>
      </c>
      <c r="K2893" s="27" t="s">
        <v>22</v>
      </c>
    </row>
    <row r="2894" spans="1:11" x14ac:dyDescent="0.2">
      <c r="A2894" s="24" t="s">
        <v>7155</v>
      </c>
      <c r="B2894" s="24" t="s">
        <v>7156</v>
      </c>
      <c r="C2894" s="24" t="s">
        <v>7157</v>
      </c>
      <c r="D2894" s="24" t="s">
        <v>17</v>
      </c>
      <c r="E2894" s="24" t="s">
        <v>48</v>
      </c>
      <c r="F2894" s="24" t="s">
        <v>49</v>
      </c>
      <c r="G2894" s="24" t="s">
        <v>28</v>
      </c>
      <c r="H2894" s="26">
        <v>455</v>
      </c>
      <c r="I2894" s="24" t="s">
        <v>29</v>
      </c>
      <c r="J2894" s="36">
        <v>45559</v>
      </c>
      <c r="K2894" s="24" t="s">
        <v>22</v>
      </c>
    </row>
    <row r="2895" spans="1:11" x14ac:dyDescent="0.2">
      <c r="A2895" s="27" t="s">
        <v>7158</v>
      </c>
      <c r="B2895" s="27" t="s">
        <v>7159</v>
      </c>
      <c r="C2895" s="27" t="s">
        <v>801</v>
      </c>
      <c r="D2895" s="27" t="s">
        <v>17</v>
      </c>
      <c r="E2895" s="27" t="s">
        <v>18</v>
      </c>
      <c r="F2895" s="27" t="s">
        <v>19</v>
      </c>
      <c r="G2895" s="27" t="s">
        <v>116</v>
      </c>
      <c r="H2895" s="29">
        <v>0</v>
      </c>
      <c r="I2895" s="27" t="s">
        <v>21</v>
      </c>
      <c r="J2895" s="37">
        <v>45565</v>
      </c>
      <c r="K2895" s="27" t="s">
        <v>22</v>
      </c>
    </row>
    <row r="2896" spans="1:11" x14ac:dyDescent="0.2">
      <c r="A2896" s="24" t="s">
        <v>7160</v>
      </c>
      <c r="B2896" s="24" t="s">
        <v>7161</v>
      </c>
      <c r="C2896" s="24" t="s">
        <v>55</v>
      </c>
      <c r="D2896" s="24" t="s">
        <v>17</v>
      </c>
      <c r="E2896" s="24" t="s">
        <v>18</v>
      </c>
      <c r="F2896" s="24" t="s">
        <v>19</v>
      </c>
      <c r="G2896" s="24" t="s">
        <v>59</v>
      </c>
      <c r="H2896" s="26">
        <v>24</v>
      </c>
      <c r="I2896" s="24" t="s">
        <v>21</v>
      </c>
      <c r="J2896" s="36">
        <v>45544</v>
      </c>
      <c r="K2896" s="24" t="s">
        <v>22</v>
      </c>
    </row>
    <row r="2897" spans="1:11" x14ac:dyDescent="0.2">
      <c r="A2897" s="27" t="s">
        <v>7162</v>
      </c>
      <c r="B2897" s="27" t="s">
        <v>7163</v>
      </c>
      <c r="C2897" s="27" t="s">
        <v>7164</v>
      </c>
      <c r="D2897" s="27" t="s">
        <v>17</v>
      </c>
      <c r="E2897" s="27" t="s">
        <v>18</v>
      </c>
      <c r="F2897" s="27" t="s">
        <v>19</v>
      </c>
      <c r="G2897" s="27" t="s">
        <v>20</v>
      </c>
      <c r="H2897" s="29">
        <v>32</v>
      </c>
      <c r="I2897" s="27" t="s">
        <v>21</v>
      </c>
      <c r="J2897" s="37">
        <v>45536</v>
      </c>
      <c r="K2897" s="27" t="s">
        <v>22</v>
      </c>
    </row>
    <row r="2898" spans="1:11" x14ac:dyDescent="0.2">
      <c r="A2898" s="24" t="s">
        <v>7165</v>
      </c>
      <c r="B2898" s="24" t="s">
        <v>7166</v>
      </c>
      <c r="C2898" s="24" t="s">
        <v>85</v>
      </c>
      <c r="D2898" s="24" t="s">
        <v>17</v>
      </c>
      <c r="E2898" s="24" t="s">
        <v>26</v>
      </c>
      <c r="F2898" s="24" t="s">
        <v>27</v>
      </c>
      <c r="G2898" s="24" t="s">
        <v>28</v>
      </c>
      <c r="H2898" s="26">
        <v>30</v>
      </c>
      <c r="I2898" s="24" t="s">
        <v>29</v>
      </c>
      <c r="J2898" s="36">
        <v>45565</v>
      </c>
      <c r="K2898" s="24" t="s">
        <v>22</v>
      </c>
    </row>
    <row r="2899" spans="1:11" x14ac:dyDescent="0.2">
      <c r="A2899" s="27" t="s">
        <v>7167</v>
      </c>
      <c r="B2899" s="27" t="s">
        <v>7168</v>
      </c>
      <c r="C2899" s="27" t="s">
        <v>7169</v>
      </c>
      <c r="D2899" s="27" t="s">
        <v>17</v>
      </c>
      <c r="E2899" s="27" t="s">
        <v>18</v>
      </c>
      <c r="F2899" s="27" t="s">
        <v>19</v>
      </c>
      <c r="G2899" s="27" t="s">
        <v>44</v>
      </c>
      <c r="H2899" s="29">
        <v>56</v>
      </c>
      <c r="I2899" s="27" t="s">
        <v>21</v>
      </c>
      <c r="J2899" s="37">
        <v>45539</v>
      </c>
      <c r="K2899" s="27" t="s">
        <v>22</v>
      </c>
    </row>
    <row r="2900" spans="1:11" x14ac:dyDescent="0.2">
      <c r="A2900" s="24" t="s">
        <v>7170</v>
      </c>
      <c r="B2900" s="24" t="s">
        <v>7171</v>
      </c>
      <c r="C2900" s="24" t="s">
        <v>7092</v>
      </c>
      <c r="D2900" s="24" t="s">
        <v>17</v>
      </c>
      <c r="E2900" s="24" t="s">
        <v>18</v>
      </c>
      <c r="F2900" s="24" t="s">
        <v>19</v>
      </c>
      <c r="G2900" s="24" t="s">
        <v>20</v>
      </c>
      <c r="H2900" s="26">
        <v>14</v>
      </c>
      <c r="I2900" s="24" t="s">
        <v>21</v>
      </c>
      <c r="J2900" s="36">
        <v>45536</v>
      </c>
      <c r="K2900" s="24" t="s">
        <v>22</v>
      </c>
    </row>
    <row r="2901" spans="1:11" x14ac:dyDescent="0.2">
      <c r="A2901" s="27" t="s">
        <v>7172</v>
      </c>
      <c r="B2901" s="27" t="s">
        <v>7173</v>
      </c>
      <c r="C2901" s="27" t="s">
        <v>6838</v>
      </c>
      <c r="D2901" s="27" t="s">
        <v>17</v>
      </c>
      <c r="E2901" s="27" t="s">
        <v>48</v>
      </c>
      <c r="F2901" s="27" t="s">
        <v>49</v>
      </c>
      <c r="G2901" s="27" t="s">
        <v>28</v>
      </c>
      <c r="H2901" s="29">
        <v>240</v>
      </c>
      <c r="I2901" s="27" t="s">
        <v>29</v>
      </c>
      <c r="J2901" s="37">
        <v>45545</v>
      </c>
      <c r="K2901" s="27" t="s">
        <v>22</v>
      </c>
    </row>
    <row r="2902" spans="1:11" x14ac:dyDescent="0.2">
      <c r="A2902" s="24" t="s">
        <v>7174</v>
      </c>
      <c r="B2902" s="24" t="s">
        <v>7175</v>
      </c>
      <c r="C2902" s="24" t="s">
        <v>7176</v>
      </c>
      <c r="D2902" s="24" t="s">
        <v>17</v>
      </c>
      <c r="E2902" s="24" t="s">
        <v>48</v>
      </c>
      <c r="F2902" s="24" t="s">
        <v>49</v>
      </c>
      <c r="G2902" s="24" t="s">
        <v>116</v>
      </c>
      <c r="H2902" s="26">
        <v>0</v>
      </c>
      <c r="I2902" s="24" t="s">
        <v>21</v>
      </c>
      <c r="J2902" s="36">
        <v>45536</v>
      </c>
      <c r="K2902" s="24" t="s">
        <v>22</v>
      </c>
    </row>
    <row r="2903" spans="1:11" x14ac:dyDescent="0.2">
      <c r="A2903" s="27" t="s">
        <v>7177</v>
      </c>
      <c r="B2903" s="27" t="s">
        <v>7178</v>
      </c>
      <c r="C2903" s="27" t="s">
        <v>251</v>
      </c>
      <c r="D2903" s="27" t="s">
        <v>17</v>
      </c>
      <c r="E2903" s="27" t="s">
        <v>48</v>
      </c>
      <c r="F2903" s="27" t="s">
        <v>49</v>
      </c>
      <c r="G2903" s="27" t="s">
        <v>28</v>
      </c>
      <c r="H2903" s="29">
        <v>179</v>
      </c>
      <c r="I2903" s="27" t="s">
        <v>29</v>
      </c>
      <c r="J2903" s="37">
        <v>45539</v>
      </c>
      <c r="K2903" s="27" t="s">
        <v>22</v>
      </c>
    </row>
    <row r="2904" spans="1:11" x14ac:dyDescent="0.2">
      <c r="A2904" s="24" t="s">
        <v>7179</v>
      </c>
      <c r="B2904" s="24" t="s">
        <v>7180</v>
      </c>
      <c r="C2904" s="24" t="s">
        <v>7181</v>
      </c>
      <c r="D2904" s="24" t="s">
        <v>17</v>
      </c>
      <c r="E2904" s="24" t="s">
        <v>48</v>
      </c>
      <c r="F2904" s="24" t="s">
        <v>49</v>
      </c>
      <c r="G2904" s="24" t="s">
        <v>217</v>
      </c>
      <c r="H2904" s="26">
        <v>25</v>
      </c>
      <c r="I2904" s="24" t="s">
        <v>29</v>
      </c>
      <c r="J2904" s="36">
        <v>45561</v>
      </c>
      <c r="K2904" s="24" t="s">
        <v>22</v>
      </c>
    </row>
    <row r="2905" spans="1:11" x14ac:dyDescent="0.2">
      <c r="A2905" s="27" t="s">
        <v>7182</v>
      </c>
      <c r="B2905" s="27" t="s">
        <v>7183</v>
      </c>
      <c r="C2905" s="27" t="s">
        <v>687</v>
      </c>
      <c r="D2905" s="27" t="s">
        <v>17</v>
      </c>
      <c r="E2905" s="27" t="s">
        <v>18</v>
      </c>
      <c r="F2905" s="27" t="s">
        <v>19</v>
      </c>
      <c r="G2905" s="27" t="s">
        <v>28</v>
      </c>
      <c r="H2905" s="29">
        <v>108</v>
      </c>
      <c r="I2905" s="27" t="s">
        <v>29</v>
      </c>
      <c r="J2905" s="37">
        <v>45558</v>
      </c>
      <c r="K2905" s="27" t="s">
        <v>22</v>
      </c>
    </row>
    <row r="2906" spans="1:11" x14ac:dyDescent="0.2">
      <c r="A2906" s="24" t="s">
        <v>7184</v>
      </c>
      <c r="B2906" s="24" t="s">
        <v>7185</v>
      </c>
      <c r="C2906" s="24" t="s">
        <v>1481</v>
      </c>
      <c r="D2906" s="24" t="s">
        <v>17</v>
      </c>
      <c r="E2906" s="24" t="s">
        <v>18</v>
      </c>
      <c r="F2906" s="24" t="s">
        <v>19</v>
      </c>
      <c r="G2906" s="24" t="s">
        <v>217</v>
      </c>
      <c r="H2906" s="26">
        <v>32</v>
      </c>
      <c r="I2906" s="24" t="s">
        <v>29</v>
      </c>
      <c r="J2906" s="36">
        <v>45550</v>
      </c>
      <c r="K2906" s="24" t="s">
        <v>22</v>
      </c>
    </row>
    <row r="2907" spans="1:11" x14ac:dyDescent="0.2">
      <c r="A2907" s="27" t="s">
        <v>7186</v>
      </c>
      <c r="B2907" s="27" t="s">
        <v>7187</v>
      </c>
      <c r="C2907" s="27" t="s">
        <v>7188</v>
      </c>
      <c r="D2907" s="27" t="s">
        <v>17</v>
      </c>
      <c r="E2907" s="27" t="s">
        <v>18</v>
      </c>
      <c r="F2907" s="27" t="s">
        <v>19</v>
      </c>
      <c r="G2907" s="27" t="s">
        <v>28</v>
      </c>
      <c r="H2907" s="29">
        <v>78</v>
      </c>
      <c r="I2907" s="27" t="s">
        <v>29</v>
      </c>
      <c r="J2907" s="37">
        <v>45561</v>
      </c>
      <c r="K2907" s="27" t="s">
        <v>22</v>
      </c>
    </row>
    <row r="2908" spans="1:11" x14ac:dyDescent="0.2">
      <c r="A2908" s="24" t="s">
        <v>7189</v>
      </c>
      <c r="B2908" s="24" t="s">
        <v>7190</v>
      </c>
      <c r="C2908" s="24" t="s">
        <v>7191</v>
      </c>
      <c r="D2908" s="24" t="s">
        <v>17</v>
      </c>
      <c r="E2908" s="24" t="s">
        <v>18</v>
      </c>
      <c r="F2908" s="24" t="s">
        <v>19</v>
      </c>
      <c r="G2908" s="24" t="s">
        <v>28</v>
      </c>
      <c r="H2908" s="26">
        <v>33</v>
      </c>
      <c r="I2908" s="24" t="s">
        <v>29</v>
      </c>
      <c r="J2908" s="36">
        <v>45554</v>
      </c>
      <c r="K2908" s="24" t="s">
        <v>22</v>
      </c>
    </row>
    <row r="2909" spans="1:11" x14ac:dyDescent="0.2">
      <c r="A2909" s="27" t="s">
        <v>7192</v>
      </c>
      <c r="B2909" s="27" t="s">
        <v>7193</v>
      </c>
      <c r="C2909" s="27" t="s">
        <v>388</v>
      </c>
      <c r="D2909" s="27" t="s">
        <v>17</v>
      </c>
      <c r="E2909" s="27" t="s">
        <v>42</v>
      </c>
      <c r="F2909" s="27" t="s">
        <v>43</v>
      </c>
      <c r="G2909" s="27" t="s">
        <v>20</v>
      </c>
      <c r="H2909" s="29">
        <v>120</v>
      </c>
      <c r="I2909" s="27" t="s">
        <v>21</v>
      </c>
      <c r="J2909" s="37">
        <v>45552</v>
      </c>
      <c r="K2909" s="27" t="s">
        <v>22</v>
      </c>
    </row>
    <row r="2910" spans="1:11" x14ac:dyDescent="0.2">
      <c r="A2910" s="24" t="s">
        <v>7194</v>
      </c>
      <c r="B2910" s="24" t="s">
        <v>7195</v>
      </c>
      <c r="C2910" s="24" t="s">
        <v>1617</v>
      </c>
      <c r="D2910" s="24" t="s">
        <v>17</v>
      </c>
      <c r="E2910" s="24" t="s">
        <v>42</v>
      </c>
      <c r="F2910" s="24" t="s">
        <v>43</v>
      </c>
      <c r="G2910" s="24" t="s">
        <v>38</v>
      </c>
      <c r="H2910" s="26">
        <v>232</v>
      </c>
      <c r="I2910" s="24" t="s">
        <v>29</v>
      </c>
      <c r="J2910" s="36">
        <v>45536</v>
      </c>
      <c r="K2910" s="24" t="s">
        <v>22</v>
      </c>
    </row>
    <row r="2911" spans="1:11" x14ac:dyDescent="0.2">
      <c r="A2911" s="27" t="s">
        <v>7196</v>
      </c>
      <c r="B2911" s="27" t="s">
        <v>7197</v>
      </c>
      <c r="C2911" s="27" t="s">
        <v>1931</v>
      </c>
      <c r="D2911" s="27" t="s">
        <v>17</v>
      </c>
      <c r="E2911" s="27" t="s">
        <v>18</v>
      </c>
      <c r="F2911" s="27" t="s">
        <v>19</v>
      </c>
      <c r="G2911" s="27" t="s">
        <v>59</v>
      </c>
      <c r="H2911" s="29">
        <v>35</v>
      </c>
      <c r="I2911" s="27" t="s">
        <v>21</v>
      </c>
      <c r="J2911" s="37">
        <v>45546</v>
      </c>
      <c r="K2911" s="27" t="s">
        <v>22</v>
      </c>
    </row>
    <row r="2912" spans="1:11" x14ac:dyDescent="0.2">
      <c r="A2912" s="24" t="s">
        <v>7198</v>
      </c>
      <c r="B2912" s="24" t="s">
        <v>7199</v>
      </c>
      <c r="C2912" s="24" t="s">
        <v>55</v>
      </c>
      <c r="D2912" s="24" t="s">
        <v>17</v>
      </c>
      <c r="E2912" s="24" t="s">
        <v>18</v>
      </c>
      <c r="F2912" s="24" t="s">
        <v>19</v>
      </c>
      <c r="G2912" s="24" t="s">
        <v>20</v>
      </c>
      <c r="H2912" s="26">
        <v>60</v>
      </c>
      <c r="I2912" s="24" t="s">
        <v>21</v>
      </c>
      <c r="J2912" s="36">
        <v>45559</v>
      </c>
      <c r="K2912" s="24" t="s">
        <v>22</v>
      </c>
    </row>
    <row r="2913" spans="1:11" x14ac:dyDescent="0.2">
      <c r="A2913" s="27" t="s">
        <v>7200</v>
      </c>
      <c r="B2913" s="27" t="s">
        <v>7201</v>
      </c>
      <c r="C2913" s="27" t="s">
        <v>7181</v>
      </c>
      <c r="D2913" s="27" t="s">
        <v>17</v>
      </c>
      <c r="E2913" s="27" t="s">
        <v>42</v>
      </c>
      <c r="F2913" s="27" t="s">
        <v>43</v>
      </c>
      <c r="G2913" s="27" t="s">
        <v>217</v>
      </c>
      <c r="H2913" s="29">
        <v>394</v>
      </c>
      <c r="I2913" s="27" t="s">
        <v>29</v>
      </c>
      <c r="J2913" s="37">
        <v>45551</v>
      </c>
      <c r="K2913" s="27" t="s">
        <v>22</v>
      </c>
    </row>
    <row r="2914" spans="1:11" x14ac:dyDescent="0.2">
      <c r="A2914" s="24" t="s">
        <v>7202</v>
      </c>
      <c r="B2914" s="24" t="s">
        <v>7203</v>
      </c>
      <c r="C2914" s="24" t="s">
        <v>55</v>
      </c>
      <c r="D2914" s="24" t="s">
        <v>17</v>
      </c>
      <c r="E2914" s="24" t="s">
        <v>18</v>
      </c>
      <c r="F2914" s="24" t="s">
        <v>19</v>
      </c>
      <c r="G2914" s="24" t="s">
        <v>20</v>
      </c>
      <c r="H2914" s="26">
        <v>20</v>
      </c>
      <c r="I2914" s="24" t="s">
        <v>21</v>
      </c>
      <c r="J2914" s="36">
        <v>45555</v>
      </c>
      <c r="K2914" s="24" t="s">
        <v>22</v>
      </c>
    </row>
    <row r="2915" spans="1:11" x14ac:dyDescent="0.2">
      <c r="A2915" s="27" t="s">
        <v>7204</v>
      </c>
      <c r="B2915" s="27" t="s">
        <v>7205</v>
      </c>
      <c r="C2915" s="27" t="s">
        <v>437</v>
      </c>
      <c r="D2915" s="27" t="s">
        <v>17</v>
      </c>
      <c r="E2915" s="27" t="s">
        <v>42</v>
      </c>
      <c r="F2915" s="27" t="s">
        <v>43</v>
      </c>
      <c r="G2915" s="27" t="s">
        <v>28</v>
      </c>
      <c r="H2915" s="29">
        <v>154</v>
      </c>
      <c r="I2915" s="27" t="s">
        <v>29</v>
      </c>
      <c r="J2915" s="37">
        <v>45547</v>
      </c>
      <c r="K2915" s="27" t="s">
        <v>22</v>
      </c>
    </row>
    <row r="2916" spans="1:11" x14ac:dyDescent="0.2">
      <c r="A2916" s="24" t="s">
        <v>7206</v>
      </c>
      <c r="B2916" s="24" t="s">
        <v>7207</v>
      </c>
      <c r="C2916" s="24" t="s">
        <v>7208</v>
      </c>
      <c r="D2916" s="24" t="s">
        <v>17</v>
      </c>
      <c r="E2916" s="24" t="s">
        <v>42</v>
      </c>
      <c r="F2916" s="24" t="s">
        <v>43</v>
      </c>
      <c r="G2916" s="24" t="s">
        <v>28</v>
      </c>
      <c r="H2916" s="26">
        <v>75</v>
      </c>
      <c r="I2916" s="24" t="s">
        <v>29</v>
      </c>
      <c r="J2916" s="36">
        <v>45565</v>
      </c>
      <c r="K2916" s="24" t="s">
        <v>22</v>
      </c>
    </row>
    <row r="2917" spans="1:11" x14ac:dyDescent="0.2">
      <c r="A2917" s="27" t="s">
        <v>7209</v>
      </c>
      <c r="B2917" s="27" t="s">
        <v>7210</v>
      </c>
      <c r="C2917" s="27" t="s">
        <v>2367</v>
      </c>
      <c r="D2917" s="27" t="s">
        <v>17</v>
      </c>
      <c r="E2917" s="27" t="s">
        <v>18</v>
      </c>
      <c r="F2917" s="27" t="s">
        <v>19</v>
      </c>
      <c r="G2917" s="27" t="s">
        <v>28</v>
      </c>
      <c r="H2917" s="29">
        <v>40</v>
      </c>
      <c r="I2917" s="27" t="s">
        <v>29</v>
      </c>
      <c r="J2917" s="37">
        <v>45559</v>
      </c>
      <c r="K2917" s="27" t="s">
        <v>22</v>
      </c>
    </row>
    <row r="2918" spans="1:11" x14ac:dyDescent="0.2">
      <c r="A2918" s="24" t="s">
        <v>7211</v>
      </c>
      <c r="B2918" s="24" t="s">
        <v>7212</v>
      </c>
      <c r="C2918" s="24" t="s">
        <v>7213</v>
      </c>
      <c r="D2918" s="24" t="s">
        <v>17</v>
      </c>
      <c r="E2918" s="24" t="s">
        <v>18</v>
      </c>
      <c r="F2918" s="24" t="s">
        <v>19</v>
      </c>
      <c r="G2918" s="24" t="s">
        <v>28</v>
      </c>
      <c r="H2918" s="26">
        <v>45</v>
      </c>
      <c r="I2918" s="24" t="s">
        <v>29</v>
      </c>
      <c r="J2918" s="36">
        <v>45538</v>
      </c>
      <c r="K2918" s="24" t="s">
        <v>22</v>
      </c>
    </row>
    <row r="2919" spans="1:11" x14ac:dyDescent="0.2">
      <c r="A2919" s="27" t="s">
        <v>7214</v>
      </c>
      <c r="B2919" s="27" t="s">
        <v>7215</v>
      </c>
      <c r="C2919" s="27" t="s">
        <v>7216</v>
      </c>
      <c r="D2919" s="27" t="s">
        <v>17</v>
      </c>
      <c r="E2919" s="27" t="s">
        <v>18</v>
      </c>
      <c r="F2919" s="27" t="s">
        <v>19</v>
      </c>
      <c r="G2919" s="27" t="s">
        <v>20</v>
      </c>
      <c r="H2919" s="29">
        <v>46</v>
      </c>
      <c r="I2919" s="27" t="s">
        <v>21</v>
      </c>
      <c r="J2919" s="37">
        <v>45537</v>
      </c>
      <c r="K2919" s="27" t="s">
        <v>22</v>
      </c>
    </row>
    <row r="2920" spans="1:11" x14ac:dyDescent="0.2">
      <c r="A2920" s="24" t="s">
        <v>7217</v>
      </c>
      <c r="B2920" s="24" t="s">
        <v>7218</v>
      </c>
      <c r="C2920" s="24" t="s">
        <v>85</v>
      </c>
      <c r="D2920" s="24" t="s">
        <v>17</v>
      </c>
      <c r="E2920" s="24" t="s">
        <v>18</v>
      </c>
      <c r="F2920" s="24" t="s">
        <v>19</v>
      </c>
      <c r="G2920" s="24" t="s">
        <v>20</v>
      </c>
      <c r="H2920" s="26">
        <v>231</v>
      </c>
      <c r="I2920" s="24" t="s">
        <v>21</v>
      </c>
      <c r="J2920" s="36">
        <v>45546</v>
      </c>
      <c r="K2920" s="24" t="s">
        <v>22</v>
      </c>
    </row>
    <row r="2921" spans="1:11" x14ac:dyDescent="0.2">
      <c r="A2921" s="27" t="s">
        <v>7219</v>
      </c>
      <c r="B2921" s="27" t="s">
        <v>7220</v>
      </c>
      <c r="C2921" s="27" t="s">
        <v>4894</v>
      </c>
      <c r="D2921" s="27" t="s">
        <v>17</v>
      </c>
      <c r="E2921" s="27" t="s">
        <v>18</v>
      </c>
      <c r="F2921" s="27" t="s">
        <v>19</v>
      </c>
      <c r="G2921" s="27" t="s">
        <v>227</v>
      </c>
      <c r="H2921" s="29">
        <v>64</v>
      </c>
      <c r="I2921" s="27" t="s">
        <v>29</v>
      </c>
      <c r="J2921" s="37">
        <v>45547</v>
      </c>
      <c r="K2921" s="27" t="s">
        <v>22</v>
      </c>
    </row>
    <row r="2922" spans="1:11" x14ac:dyDescent="0.2">
      <c r="A2922" s="24" t="s">
        <v>7221</v>
      </c>
      <c r="B2922" s="24" t="s">
        <v>7222</v>
      </c>
      <c r="C2922" s="24" t="s">
        <v>7223</v>
      </c>
      <c r="D2922" s="24" t="s">
        <v>17</v>
      </c>
      <c r="E2922" s="24" t="s">
        <v>26</v>
      </c>
      <c r="F2922" s="24" t="s">
        <v>27</v>
      </c>
      <c r="G2922" s="24" t="s">
        <v>217</v>
      </c>
      <c r="H2922" s="26">
        <v>100</v>
      </c>
      <c r="I2922" s="24" t="s">
        <v>29</v>
      </c>
      <c r="J2922" s="36">
        <v>45565</v>
      </c>
      <c r="K2922" s="24" t="s">
        <v>22</v>
      </c>
    </row>
    <row r="2923" spans="1:11" x14ac:dyDescent="0.2">
      <c r="A2923" s="27" t="s">
        <v>7224</v>
      </c>
      <c r="B2923" s="27" t="s">
        <v>7225</v>
      </c>
      <c r="C2923" s="27" t="s">
        <v>7226</v>
      </c>
      <c r="D2923" s="27" t="s">
        <v>17</v>
      </c>
      <c r="E2923" s="27" t="s">
        <v>42</v>
      </c>
      <c r="F2923" s="27" t="s">
        <v>43</v>
      </c>
      <c r="G2923" s="27" t="s">
        <v>116</v>
      </c>
      <c r="H2923" s="29">
        <v>0</v>
      </c>
      <c r="I2923" s="27" t="s">
        <v>21</v>
      </c>
      <c r="J2923" s="37">
        <v>45550</v>
      </c>
      <c r="K2923" s="27" t="s">
        <v>22</v>
      </c>
    </row>
    <row r="2924" spans="1:11" x14ac:dyDescent="0.2">
      <c r="A2924" s="24" t="s">
        <v>7227</v>
      </c>
      <c r="B2924" s="24" t="s">
        <v>7228</v>
      </c>
      <c r="C2924" s="24" t="s">
        <v>1014</v>
      </c>
      <c r="D2924" s="24" t="s">
        <v>17</v>
      </c>
      <c r="E2924" s="24" t="s">
        <v>18</v>
      </c>
      <c r="F2924" s="24" t="s">
        <v>19</v>
      </c>
      <c r="G2924" s="24" t="s">
        <v>38</v>
      </c>
      <c r="H2924" s="26">
        <v>46</v>
      </c>
      <c r="I2924" s="24" t="s">
        <v>29</v>
      </c>
      <c r="J2924" s="36">
        <v>45538</v>
      </c>
      <c r="K2924" s="24" t="s">
        <v>22</v>
      </c>
    </row>
    <row r="2925" spans="1:11" x14ac:dyDescent="0.2">
      <c r="A2925" s="27" t="s">
        <v>7229</v>
      </c>
      <c r="B2925" s="27" t="s">
        <v>7230</v>
      </c>
      <c r="C2925" s="27" t="s">
        <v>5041</v>
      </c>
      <c r="D2925" s="27" t="s">
        <v>17</v>
      </c>
      <c r="E2925" s="27" t="s">
        <v>18</v>
      </c>
      <c r="F2925" s="27" t="s">
        <v>19</v>
      </c>
      <c r="G2925" s="27" t="s">
        <v>44</v>
      </c>
      <c r="H2925" s="29">
        <v>180</v>
      </c>
      <c r="I2925" s="27" t="s">
        <v>21</v>
      </c>
      <c r="J2925" s="37">
        <v>45540</v>
      </c>
      <c r="K2925" s="27" t="s">
        <v>22</v>
      </c>
    </row>
    <row r="2926" spans="1:11" x14ac:dyDescent="0.2">
      <c r="A2926" s="24" t="s">
        <v>7231</v>
      </c>
      <c r="B2926" s="24" t="s">
        <v>7232</v>
      </c>
      <c r="C2926" s="24" t="s">
        <v>55</v>
      </c>
      <c r="D2926" s="24" t="s">
        <v>17</v>
      </c>
      <c r="E2926" s="24" t="s">
        <v>18</v>
      </c>
      <c r="F2926" s="24" t="s">
        <v>19</v>
      </c>
      <c r="G2926" s="24" t="s">
        <v>20</v>
      </c>
      <c r="H2926" s="26">
        <v>65</v>
      </c>
      <c r="I2926" s="24" t="s">
        <v>21</v>
      </c>
      <c r="J2926" s="36">
        <v>45560</v>
      </c>
      <c r="K2926" s="24" t="s">
        <v>22</v>
      </c>
    </row>
    <row r="2927" spans="1:11" x14ac:dyDescent="0.2">
      <c r="A2927" s="27" t="s">
        <v>7233</v>
      </c>
      <c r="B2927" s="27" t="s">
        <v>7234</v>
      </c>
      <c r="C2927" s="27" t="s">
        <v>1562</v>
      </c>
      <c r="D2927" s="27" t="s">
        <v>17</v>
      </c>
      <c r="E2927" s="27" t="s">
        <v>81</v>
      </c>
      <c r="F2927" s="27" t="s">
        <v>82</v>
      </c>
      <c r="G2927" s="27" t="s">
        <v>20</v>
      </c>
      <c r="H2927" s="29">
        <v>412</v>
      </c>
      <c r="I2927" s="27" t="s">
        <v>21</v>
      </c>
      <c r="J2927" s="37">
        <v>45556</v>
      </c>
      <c r="K2927" s="27" t="s">
        <v>22</v>
      </c>
    </row>
    <row r="2928" spans="1:11" x14ac:dyDescent="0.2">
      <c r="A2928" s="24" t="s">
        <v>7235</v>
      </c>
      <c r="B2928" s="24" t="s">
        <v>7236</v>
      </c>
      <c r="C2928" s="24" t="s">
        <v>1288</v>
      </c>
      <c r="D2928" s="24" t="s">
        <v>17</v>
      </c>
      <c r="E2928" s="24" t="s">
        <v>42</v>
      </c>
      <c r="F2928" s="24" t="s">
        <v>43</v>
      </c>
      <c r="G2928" s="24" t="s">
        <v>217</v>
      </c>
      <c r="H2928" s="26">
        <v>520</v>
      </c>
      <c r="I2928" s="24" t="s">
        <v>29</v>
      </c>
      <c r="J2928" s="36">
        <v>45536</v>
      </c>
      <c r="K2928" s="24" t="s">
        <v>22</v>
      </c>
    </row>
    <row r="2929" spans="1:11" x14ac:dyDescent="0.2">
      <c r="A2929" s="27" t="s">
        <v>7237</v>
      </c>
      <c r="B2929" s="27" t="s">
        <v>7238</v>
      </c>
      <c r="C2929" s="27" t="s">
        <v>1199</v>
      </c>
      <c r="D2929" s="27" t="s">
        <v>17</v>
      </c>
      <c r="E2929" s="27" t="s">
        <v>48</v>
      </c>
      <c r="F2929" s="27" t="s">
        <v>49</v>
      </c>
      <c r="G2929" s="27" t="s">
        <v>217</v>
      </c>
      <c r="H2929" s="29">
        <v>60</v>
      </c>
      <c r="I2929" s="27" t="s">
        <v>29</v>
      </c>
      <c r="J2929" s="37">
        <v>45555</v>
      </c>
      <c r="K2929" s="27" t="s">
        <v>22</v>
      </c>
    </row>
    <row r="2930" spans="1:11" x14ac:dyDescent="0.2">
      <c r="A2930" s="24" t="s">
        <v>7239</v>
      </c>
      <c r="B2930" s="24" t="s">
        <v>7240</v>
      </c>
      <c r="C2930" s="24" t="s">
        <v>197</v>
      </c>
      <c r="D2930" s="24" t="s">
        <v>17</v>
      </c>
      <c r="E2930" s="24" t="s">
        <v>18</v>
      </c>
      <c r="F2930" s="24" t="s">
        <v>19</v>
      </c>
      <c r="G2930" s="24" t="s">
        <v>59</v>
      </c>
      <c r="H2930" s="26">
        <v>1</v>
      </c>
      <c r="I2930" s="24" t="s">
        <v>21</v>
      </c>
      <c r="J2930" s="36">
        <v>45541</v>
      </c>
      <c r="K2930" s="24" t="s">
        <v>22</v>
      </c>
    </row>
    <row r="2931" spans="1:11" x14ac:dyDescent="0.2">
      <c r="A2931" s="27" t="s">
        <v>7241</v>
      </c>
      <c r="B2931" s="27" t="s">
        <v>7242</v>
      </c>
      <c r="C2931" s="27" t="s">
        <v>708</v>
      </c>
      <c r="D2931" s="27" t="s">
        <v>17</v>
      </c>
      <c r="E2931" s="27" t="s">
        <v>26</v>
      </c>
      <c r="F2931" s="27" t="s">
        <v>27</v>
      </c>
      <c r="G2931" s="27" t="s">
        <v>28</v>
      </c>
      <c r="H2931" s="29">
        <v>130</v>
      </c>
      <c r="I2931" s="27" t="s">
        <v>29</v>
      </c>
      <c r="J2931" s="37">
        <v>45546</v>
      </c>
      <c r="K2931" s="27" t="s">
        <v>22</v>
      </c>
    </row>
    <row r="2932" spans="1:11" x14ac:dyDescent="0.2">
      <c r="A2932" s="24" t="s">
        <v>7243</v>
      </c>
      <c r="B2932" s="24" t="s">
        <v>7244</v>
      </c>
      <c r="C2932" s="24" t="s">
        <v>810</v>
      </c>
      <c r="D2932" s="24" t="s">
        <v>17</v>
      </c>
      <c r="E2932" s="24" t="s">
        <v>18</v>
      </c>
      <c r="F2932" s="24" t="s">
        <v>19</v>
      </c>
      <c r="G2932" s="24" t="s">
        <v>20</v>
      </c>
      <c r="H2932" s="26">
        <v>32</v>
      </c>
      <c r="I2932" s="24" t="s">
        <v>21</v>
      </c>
      <c r="J2932" s="36">
        <v>45546</v>
      </c>
      <c r="K2932" s="24" t="s">
        <v>22</v>
      </c>
    </row>
    <row r="2933" spans="1:11" x14ac:dyDescent="0.2">
      <c r="A2933" s="27" t="s">
        <v>7245</v>
      </c>
      <c r="B2933" s="27" t="s">
        <v>7246</v>
      </c>
      <c r="C2933" s="27" t="s">
        <v>437</v>
      </c>
      <c r="D2933" s="27" t="s">
        <v>17</v>
      </c>
      <c r="E2933" s="27" t="s">
        <v>42</v>
      </c>
      <c r="F2933" s="27" t="s">
        <v>43</v>
      </c>
      <c r="G2933" s="27" t="s">
        <v>44</v>
      </c>
      <c r="H2933" s="29">
        <v>315</v>
      </c>
      <c r="I2933" s="27" t="s">
        <v>21</v>
      </c>
      <c r="J2933" s="37">
        <v>45544</v>
      </c>
      <c r="K2933" s="27" t="s">
        <v>22</v>
      </c>
    </row>
    <row r="2934" spans="1:11" x14ac:dyDescent="0.2">
      <c r="A2934" s="24" t="s">
        <v>7247</v>
      </c>
      <c r="B2934" s="24" t="s">
        <v>7248</v>
      </c>
      <c r="C2934" s="24" t="s">
        <v>140</v>
      </c>
      <c r="D2934" s="24" t="s">
        <v>17</v>
      </c>
      <c r="E2934" s="24" t="s">
        <v>18</v>
      </c>
      <c r="F2934" s="24" t="s">
        <v>19</v>
      </c>
      <c r="G2934" s="24" t="s">
        <v>20</v>
      </c>
      <c r="H2934" s="26">
        <v>63</v>
      </c>
      <c r="I2934" s="24" t="s">
        <v>21</v>
      </c>
      <c r="J2934" s="36">
        <v>45537</v>
      </c>
      <c r="K2934" s="24" t="s">
        <v>22</v>
      </c>
    </row>
    <row r="2935" spans="1:11" x14ac:dyDescent="0.2">
      <c r="A2935" s="27" t="s">
        <v>7249</v>
      </c>
      <c r="B2935" s="27" t="s">
        <v>7250</v>
      </c>
      <c r="C2935" s="27" t="s">
        <v>1769</v>
      </c>
      <c r="D2935" s="27" t="s">
        <v>17</v>
      </c>
      <c r="E2935" s="27" t="s">
        <v>163</v>
      </c>
      <c r="F2935" s="27" t="s">
        <v>164</v>
      </c>
      <c r="G2935" s="27" t="s">
        <v>28</v>
      </c>
      <c r="H2935" s="29">
        <v>5</v>
      </c>
      <c r="I2935" s="27" t="s">
        <v>29</v>
      </c>
      <c r="J2935" s="37">
        <v>45537</v>
      </c>
      <c r="K2935" s="27" t="s">
        <v>22</v>
      </c>
    </row>
    <row r="2936" spans="1:11" x14ac:dyDescent="0.2">
      <c r="A2936" s="24" t="s">
        <v>7251</v>
      </c>
      <c r="B2936" s="24" t="s">
        <v>7252</v>
      </c>
      <c r="C2936" s="24" t="s">
        <v>2504</v>
      </c>
      <c r="D2936" s="24" t="s">
        <v>17</v>
      </c>
      <c r="E2936" s="24" t="s">
        <v>26</v>
      </c>
      <c r="F2936" s="24" t="s">
        <v>27</v>
      </c>
      <c r="G2936" s="24" t="s">
        <v>28</v>
      </c>
      <c r="H2936" s="26">
        <v>60</v>
      </c>
      <c r="I2936" s="24" t="s">
        <v>29</v>
      </c>
      <c r="J2936" s="36">
        <v>45546</v>
      </c>
      <c r="K2936" s="24" t="s">
        <v>22</v>
      </c>
    </row>
    <row r="2937" spans="1:11" x14ac:dyDescent="0.2">
      <c r="A2937" s="27" t="s">
        <v>7253</v>
      </c>
      <c r="B2937" s="27" t="s">
        <v>7254</v>
      </c>
      <c r="C2937" s="27" t="s">
        <v>859</v>
      </c>
      <c r="D2937" s="27" t="s">
        <v>17</v>
      </c>
      <c r="E2937" s="27" t="s">
        <v>48</v>
      </c>
      <c r="F2937" s="27" t="s">
        <v>49</v>
      </c>
      <c r="G2937" s="27" t="s">
        <v>28</v>
      </c>
      <c r="H2937" s="29">
        <v>200</v>
      </c>
      <c r="I2937" s="27" t="s">
        <v>29</v>
      </c>
      <c r="J2937" s="37">
        <v>45565</v>
      </c>
      <c r="K2937" s="27" t="s">
        <v>22</v>
      </c>
    </row>
    <row r="2938" spans="1:11" x14ac:dyDescent="0.2">
      <c r="A2938" s="24" t="s">
        <v>7255</v>
      </c>
      <c r="B2938" s="24" t="s">
        <v>7256</v>
      </c>
      <c r="C2938" s="24" t="s">
        <v>140</v>
      </c>
      <c r="D2938" s="24" t="s">
        <v>17</v>
      </c>
      <c r="E2938" s="24" t="s">
        <v>48</v>
      </c>
      <c r="F2938" s="24" t="s">
        <v>49</v>
      </c>
      <c r="G2938" s="24" t="s">
        <v>20</v>
      </c>
      <c r="H2938" s="26">
        <v>161</v>
      </c>
      <c r="I2938" s="24" t="s">
        <v>21</v>
      </c>
      <c r="J2938" s="36">
        <v>45548</v>
      </c>
      <c r="K2938" s="24" t="s">
        <v>22</v>
      </c>
    </row>
    <row r="2939" spans="1:11" x14ac:dyDescent="0.2">
      <c r="A2939" s="27" t="s">
        <v>7257</v>
      </c>
      <c r="B2939" s="27" t="s">
        <v>7258</v>
      </c>
      <c r="C2939" s="27" t="s">
        <v>5182</v>
      </c>
      <c r="D2939" s="27" t="s">
        <v>17</v>
      </c>
      <c r="E2939" s="27" t="s">
        <v>26</v>
      </c>
      <c r="F2939" s="27" t="s">
        <v>27</v>
      </c>
      <c r="G2939" s="27" t="s">
        <v>28</v>
      </c>
      <c r="H2939" s="29">
        <v>8</v>
      </c>
      <c r="I2939" s="27" t="s">
        <v>29</v>
      </c>
      <c r="J2939" s="37">
        <v>45548</v>
      </c>
      <c r="K2939" s="27" t="s">
        <v>22</v>
      </c>
    </row>
    <row r="2940" spans="1:11" x14ac:dyDescent="0.2">
      <c r="A2940" s="24" t="s">
        <v>7259</v>
      </c>
      <c r="B2940" s="24" t="s">
        <v>7260</v>
      </c>
      <c r="C2940" s="24" t="s">
        <v>7261</v>
      </c>
      <c r="D2940" s="24" t="s">
        <v>17</v>
      </c>
      <c r="E2940" s="24" t="s">
        <v>18</v>
      </c>
      <c r="F2940" s="24" t="s">
        <v>19</v>
      </c>
      <c r="G2940" s="24" t="s">
        <v>20</v>
      </c>
      <c r="H2940" s="26">
        <v>112</v>
      </c>
      <c r="I2940" s="24" t="s">
        <v>21</v>
      </c>
      <c r="J2940" s="36">
        <v>45538</v>
      </c>
      <c r="K2940" s="24" t="s">
        <v>22</v>
      </c>
    </row>
    <row r="2941" spans="1:11" x14ac:dyDescent="0.2">
      <c r="A2941" s="27" t="s">
        <v>7262</v>
      </c>
      <c r="B2941" s="27" t="s">
        <v>7263</v>
      </c>
      <c r="C2941" s="27" t="s">
        <v>6020</v>
      </c>
      <c r="D2941" s="27" t="s">
        <v>17</v>
      </c>
      <c r="E2941" s="27" t="s">
        <v>48</v>
      </c>
      <c r="F2941" s="27" t="s">
        <v>49</v>
      </c>
      <c r="G2941" s="27" t="s">
        <v>44</v>
      </c>
      <c r="H2941" s="29">
        <v>25</v>
      </c>
      <c r="I2941" s="27" t="s">
        <v>29</v>
      </c>
      <c r="J2941" s="37">
        <v>45560</v>
      </c>
      <c r="K2941" s="27" t="s">
        <v>22</v>
      </c>
    </row>
    <row r="2942" spans="1:11" x14ac:dyDescent="0.2">
      <c r="A2942" s="24" t="s">
        <v>7264</v>
      </c>
      <c r="B2942" s="24" t="s">
        <v>7265</v>
      </c>
      <c r="C2942" s="24" t="s">
        <v>7266</v>
      </c>
      <c r="D2942" s="24" t="s">
        <v>17</v>
      </c>
      <c r="E2942" s="24" t="s">
        <v>18</v>
      </c>
      <c r="F2942" s="24" t="s">
        <v>19</v>
      </c>
      <c r="G2942" s="24" t="s">
        <v>20</v>
      </c>
      <c r="H2942" s="26">
        <v>17</v>
      </c>
      <c r="I2942" s="24" t="s">
        <v>21</v>
      </c>
      <c r="J2942" s="36">
        <v>45551</v>
      </c>
      <c r="K2942" s="24" t="s">
        <v>22</v>
      </c>
    </row>
    <row r="2943" spans="1:11" x14ac:dyDescent="0.2">
      <c r="A2943" s="27" t="s">
        <v>7267</v>
      </c>
      <c r="B2943" s="27" t="s">
        <v>7268</v>
      </c>
      <c r="C2943" s="27" t="s">
        <v>1212</v>
      </c>
      <c r="D2943" s="27" t="s">
        <v>17</v>
      </c>
      <c r="E2943" s="27" t="s">
        <v>18</v>
      </c>
      <c r="F2943" s="27" t="s">
        <v>19</v>
      </c>
      <c r="G2943" s="27" t="s">
        <v>20</v>
      </c>
      <c r="H2943" s="29">
        <v>28</v>
      </c>
      <c r="I2943" s="27" t="s">
        <v>21</v>
      </c>
      <c r="J2943" s="37">
        <v>45559</v>
      </c>
      <c r="K2943" s="27" t="s">
        <v>22</v>
      </c>
    </row>
    <row r="2944" spans="1:11" x14ac:dyDescent="0.2">
      <c r="A2944" s="24" t="s">
        <v>7269</v>
      </c>
      <c r="B2944" s="24" t="s">
        <v>7270</v>
      </c>
      <c r="C2944" s="24" t="s">
        <v>618</v>
      </c>
      <c r="D2944" s="24" t="s">
        <v>17</v>
      </c>
      <c r="E2944" s="24" t="s">
        <v>42</v>
      </c>
      <c r="F2944" s="24" t="s">
        <v>43</v>
      </c>
      <c r="G2944" s="24" t="s">
        <v>217</v>
      </c>
      <c r="H2944" s="26">
        <v>406</v>
      </c>
      <c r="I2944" s="24" t="s">
        <v>29</v>
      </c>
      <c r="J2944" s="36">
        <v>45565</v>
      </c>
      <c r="K2944" s="24" t="s">
        <v>22</v>
      </c>
    </row>
    <row r="2945" spans="1:11" x14ac:dyDescent="0.2">
      <c r="A2945" s="27" t="s">
        <v>7271</v>
      </c>
      <c r="B2945" s="27" t="s">
        <v>7272</v>
      </c>
      <c r="C2945" s="27" t="s">
        <v>6743</v>
      </c>
      <c r="D2945" s="27" t="s">
        <v>17</v>
      </c>
      <c r="E2945" s="27" t="s">
        <v>18</v>
      </c>
      <c r="F2945" s="27" t="s">
        <v>19</v>
      </c>
      <c r="G2945" s="27" t="s">
        <v>20</v>
      </c>
      <c r="H2945" s="29">
        <v>36</v>
      </c>
      <c r="I2945" s="27" t="s">
        <v>21</v>
      </c>
      <c r="J2945" s="37">
        <v>45562</v>
      </c>
      <c r="K2945" s="27" t="s">
        <v>22</v>
      </c>
    </row>
    <row r="2946" spans="1:11" x14ac:dyDescent="0.2">
      <c r="A2946" s="24" t="s">
        <v>7273</v>
      </c>
      <c r="B2946" s="24" t="s">
        <v>7274</v>
      </c>
      <c r="C2946" s="24" t="s">
        <v>7275</v>
      </c>
      <c r="D2946" s="24" t="s">
        <v>17</v>
      </c>
      <c r="E2946" s="24" t="s">
        <v>48</v>
      </c>
      <c r="F2946" s="24" t="s">
        <v>49</v>
      </c>
      <c r="G2946" s="24" t="s">
        <v>28</v>
      </c>
      <c r="H2946" s="26">
        <v>120</v>
      </c>
      <c r="I2946" s="24" t="s">
        <v>29</v>
      </c>
      <c r="J2946" s="36">
        <v>45565</v>
      </c>
      <c r="K2946" s="24" t="s">
        <v>22</v>
      </c>
    </row>
    <row r="2947" spans="1:11" x14ac:dyDescent="0.2">
      <c r="A2947" s="27" t="s">
        <v>7276</v>
      </c>
      <c r="B2947" s="27" t="s">
        <v>7277</v>
      </c>
      <c r="C2947" s="27" t="s">
        <v>1523</v>
      </c>
      <c r="D2947" s="27" t="s">
        <v>17</v>
      </c>
      <c r="E2947" s="27" t="s">
        <v>18</v>
      </c>
      <c r="F2947" s="27" t="s">
        <v>19</v>
      </c>
      <c r="G2947" s="27" t="s">
        <v>20</v>
      </c>
      <c r="H2947" s="29">
        <v>110</v>
      </c>
      <c r="I2947" s="27" t="s">
        <v>21</v>
      </c>
      <c r="J2947" s="37">
        <v>45537</v>
      </c>
      <c r="K2947" s="27" t="s">
        <v>22</v>
      </c>
    </row>
    <row r="2948" spans="1:11" x14ac:dyDescent="0.2">
      <c r="A2948" s="24" t="s">
        <v>7278</v>
      </c>
      <c r="B2948" s="24" t="s">
        <v>7279</v>
      </c>
      <c r="C2948" s="24" t="s">
        <v>213</v>
      </c>
      <c r="D2948" s="24" t="s">
        <v>17</v>
      </c>
      <c r="E2948" s="24" t="s">
        <v>18</v>
      </c>
      <c r="F2948" s="24" t="s">
        <v>19</v>
      </c>
      <c r="G2948" s="24" t="s">
        <v>20</v>
      </c>
      <c r="H2948" s="26">
        <v>16</v>
      </c>
      <c r="I2948" s="24" t="s">
        <v>21</v>
      </c>
      <c r="J2948" s="36">
        <v>45545</v>
      </c>
      <c r="K2948" s="24" t="s">
        <v>22</v>
      </c>
    </row>
    <row r="2949" spans="1:11" x14ac:dyDescent="0.2">
      <c r="A2949" s="27" t="s">
        <v>7280</v>
      </c>
      <c r="B2949" s="27" t="s">
        <v>7281</v>
      </c>
      <c r="C2949" s="27" t="s">
        <v>7282</v>
      </c>
      <c r="D2949" s="27" t="s">
        <v>17</v>
      </c>
      <c r="E2949" s="27" t="s">
        <v>18</v>
      </c>
      <c r="F2949" s="27" t="s">
        <v>19</v>
      </c>
      <c r="G2949" s="27" t="s">
        <v>217</v>
      </c>
      <c r="H2949" s="29">
        <v>17</v>
      </c>
      <c r="I2949" s="27" t="s">
        <v>29</v>
      </c>
      <c r="J2949" s="37">
        <v>45536</v>
      </c>
      <c r="K2949" s="27" t="s">
        <v>22</v>
      </c>
    </row>
    <row r="2950" spans="1:11" x14ac:dyDescent="0.2">
      <c r="A2950" s="24" t="s">
        <v>7283</v>
      </c>
      <c r="B2950" s="24" t="s">
        <v>7284</v>
      </c>
      <c r="C2950" s="24" t="s">
        <v>2304</v>
      </c>
      <c r="D2950" s="24" t="s">
        <v>17</v>
      </c>
      <c r="E2950" s="24" t="s">
        <v>33</v>
      </c>
      <c r="F2950" s="24" t="s">
        <v>34</v>
      </c>
      <c r="G2950" s="24" t="s">
        <v>28</v>
      </c>
      <c r="H2950" s="26">
        <v>254</v>
      </c>
      <c r="I2950" s="24" t="s">
        <v>29</v>
      </c>
      <c r="J2950" s="36">
        <v>45549</v>
      </c>
      <c r="K2950" s="24" t="s">
        <v>22</v>
      </c>
    </row>
    <row r="2951" spans="1:11" x14ac:dyDescent="0.2">
      <c r="A2951" s="27" t="s">
        <v>7285</v>
      </c>
      <c r="B2951" s="27" t="s">
        <v>7286</v>
      </c>
      <c r="C2951" s="27" t="s">
        <v>7287</v>
      </c>
      <c r="D2951" s="27" t="s">
        <v>17</v>
      </c>
      <c r="E2951" s="27" t="s">
        <v>81</v>
      </c>
      <c r="F2951" s="27" t="s">
        <v>82</v>
      </c>
      <c r="G2951" s="27" t="s">
        <v>20</v>
      </c>
      <c r="H2951" s="29">
        <v>240</v>
      </c>
      <c r="I2951" s="27" t="s">
        <v>21</v>
      </c>
      <c r="J2951" s="37">
        <v>45536</v>
      </c>
      <c r="K2951" s="27" t="s">
        <v>22</v>
      </c>
    </row>
    <row r="2952" spans="1:11" x14ac:dyDescent="0.2">
      <c r="A2952" s="24" t="s">
        <v>7288</v>
      </c>
      <c r="B2952" s="24" t="s">
        <v>7289</v>
      </c>
      <c r="C2952" s="24" t="s">
        <v>140</v>
      </c>
      <c r="D2952" s="24" t="s">
        <v>17</v>
      </c>
      <c r="E2952" s="24" t="s">
        <v>18</v>
      </c>
      <c r="F2952" s="24" t="s">
        <v>19</v>
      </c>
      <c r="G2952" s="24" t="s">
        <v>20</v>
      </c>
      <c r="H2952" s="26">
        <v>7</v>
      </c>
      <c r="I2952" s="24" t="s">
        <v>21</v>
      </c>
      <c r="J2952" s="36">
        <v>45544</v>
      </c>
      <c r="K2952" s="24" t="s">
        <v>22</v>
      </c>
    </row>
    <row r="2953" spans="1:11" x14ac:dyDescent="0.2">
      <c r="A2953" s="27" t="s">
        <v>7290</v>
      </c>
      <c r="B2953" s="27" t="s">
        <v>7291</v>
      </c>
      <c r="C2953" s="27" t="s">
        <v>429</v>
      </c>
      <c r="D2953" s="27" t="s">
        <v>17</v>
      </c>
      <c r="E2953" s="27" t="s">
        <v>48</v>
      </c>
      <c r="F2953" s="27" t="s">
        <v>49</v>
      </c>
      <c r="G2953" s="27" t="s">
        <v>20</v>
      </c>
      <c r="H2953" s="29">
        <v>38</v>
      </c>
      <c r="I2953" s="27" t="s">
        <v>21</v>
      </c>
      <c r="J2953" s="37">
        <v>45539</v>
      </c>
      <c r="K2953" s="27" t="s">
        <v>22</v>
      </c>
    </row>
    <row r="2954" spans="1:11" x14ac:dyDescent="0.2">
      <c r="A2954" s="24" t="s">
        <v>7292</v>
      </c>
      <c r="B2954" s="24" t="s">
        <v>7293</v>
      </c>
      <c r="C2954" s="24" t="s">
        <v>146</v>
      </c>
      <c r="D2954" s="24" t="s">
        <v>17</v>
      </c>
      <c r="E2954" s="24" t="s">
        <v>48</v>
      </c>
      <c r="F2954" s="24" t="s">
        <v>49</v>
      </c>
      <c r="G2954" s="24" t="s">
        <v>28</v>
      </c>
      <c r="H2954" s="26">
        <v>393</v>
      </c>
      <c r="I2954" s="24" t="s">
        <v>29</v>
      </c>
      <c r="J2954" s="36">
        <v>45562</v>
      </c>
      <c r="K2954" s="24" t="s">
        <v>22</v>
      </c>
    </row>
    <row r="2955" spans="1:11" x14ac:dyDescent="0.2">
      <c r="A2955" s="27" t="s">
        <v>7294</v>
      </c>
      <c r="B2955" s="27" t="s">
        <v>7295</v>
      </c>
      <c r="C2955" s="27" t="s">
        <v>7296</v>
      </c>
      <c r="D2955" s="27" t="s">
        <v>17</v>
      </c>
      <c r="E2955" s="27" t="s">
        <v>18</v>
      </c>
      <c r="F2955" s="27" t="s">
        <v>19</v>
      </c>
      <c r="G2955" s="27" t="s">
        <v>59</v>
      </c>
      <c r="H2955" s="29">
        <v>1</v>
      </c>
      <c r="I2955" s="27" t="s">
        <v>21</v>
      </c>
      <c r="J2955" s="37">
        <v>45541</v>
      </c>
      <c r="K2955" s="27" t="s">
        <v>22</v>
      </c>
    </row>
    <row r="2956" spans="1:11" x14ac:dyDescent="0.2">
      <c r="A2956" s="24" t="s">
        <v>7297</v>
      </c>
      <c r="B2956" s="24" t="s">
        <v>7298</v>
      </c>
      <c r="C2956" s="24" t="s">
        <v>752</v>
      </c>
      <c r="D2956" s="24" t="s">
        <v>17</v>
      </c>
      <c r="E2956" s="24" t="s">
        <v>18</v>
      </c>
      <c r="F2956" s="24" t="s">
        <v>19</v>
      </c>
      <c r="G2956" s="24" t="s">
        <v>20</v>
      </c>
      <c r="H2956" s="26">
        <v>60</v>
      </c>
      <c r="I2956" s="24" t="s">
        <v>21</v>
      </c>
      <c r="J2956" s="36">
        <v>45539</v>
      </c>
      <c r="K2956" s="24" t="s">
        <v>22</v>
      </c>
    </row>
    <row r="2957" spans="1:11" x14ac:dyDescent="0.2">
      <c r="A2957" s="27" t="s">
        <v>7299</v>
      </c>
      <c r="B2957" s="27" t="s">
        <v>7300</v>
      </c>
      <c r="C2957" s="27" t="s">
        <v>233</v>
      </c>
      <c r="D2957" s="27" t="s">
        <v>17</v>
      </c>
      <c r="E2957" s="27" t="s">
        <v>18</v>
      </c>
      <c r="F2957" s="27" t="s">
        <v>19</v>
      </c>
      <c r="G2957" s="27" t="s">
        <v>20</v>
      </c>
      <c r="H2957" s="29">
        <v>29</v>
      </c>
      <c r="I2957" s="27" t="s">
        <v>21</v>
      </c>
      <c r="J2957" s="37">
        <v>45550</v>
      </c>
      <c r="K2957" s="27" t="s">
        <v>22</v>
      </c>
    </row>
    <row r="2958" spans="1:11" x14ac:dyDescent="0.2">
      <c r="A2958" s="24" t="s">
        <v>7301</v>
      </c>
      <c r="B2958" s="24" t="s">
        <v>7302</v>
      </c>
      <c r="C2958" s="24" t="s">
        <v>2944</v>
      </c>
      <c r="D2958" s="24" t="s">
        <v>17</v>
      </c>
      <c r="E2958" s="24" t="s">
        <v>42</v>
      </c>
      <c r="F2958" s="24" t="s">
        <v>43</v>
      </c>
      <c r="G2958" s="24" t="s">
        <v>217</v>
      </c>
      <c r="H2958" s="26">
        <v>408</v>
      </c>
      <c r="I2958" s="24" t="s">
        <v>29</v>
      </c>
      <c r="J2958" s="36">
        <v>45536</v>
      </c>
      <c r="K2958" s="24" t="s">
        <v>22</v>
      </c>
    </row>
    <row r="2959" spans="1:11" x14ac:dyDescent="0.2">
      <c r="A2959" s="27" t="s">
        <v>7303</v>
      </c>
      <c r="B2959" s="27" t="s">
        <v>7304</v>
      </c>
      <c r="C2959" s="27" t="s">
        <v>2892</v>
      </c>
      <c r="D2959" s="27" t="s">
        <v>17</v>
      </c>
      <c r="E2959" s="27" t="s">
        <v>18</v>
      </c>
      <c r="F2959" s="27" t="s">
        <v>19</v>
      </c>
      <c r="G2959" s="27" t="s">
        <v>20</v>
      </c>
      <c r="H2959" s="29">
        <v>18</v>
      </c>
      <c r="I2959" s="27" t="s">
        <v>21</v>
      </c>
      <c r="J2959" s="37">
        <v>45553</v>
      </c>
      <c r="K2959" s="27" t="s">
        <v>22</v>
      </c>
    </row>
    <row r="2960" spans="1:11" x14ac:dyDescent="0.2">
      <c r="A2960" s="24" t="s">
        <v>7305</v>
      </c>
      <c r="B2960" s="24" t="s">
        <v>7306</v>
      </c>
      <c r="C2960" s="24" t="s">
        <v>5983</v>
      </c>
      <c r="D2960" s="24" t="s">
        <v>17</v>
      </c>
      <c r="E2960" s="24" t="s">
        <v>18</v>
      </c>
      <c r="F2960" s="24" t="s">
        <v>19</v>
      </c>
      <c r="G2960" s="24" t="s">
        <v>20</v>
      </c>
      <c r="H2960" s="26">
        <v>29</v>
      </c>
      <c r="I2960" s="24" t="s">
        <v>21</v>
      </c>
      <c r="J2960" s="36">
        <v>45562</v>
      </c>
      <c r="K2960" s="24" t="s">
        <v>22</v>
      </c>
    </row>
    <row r="2961" spans="1:11" x14ac:dyDescent="0.2">
      <c r="A2961" s="27" t="s">
        <v>7307</v>
      </c>
      <c r="B2961" s="27" t="s">
        <v>7308</v>
      </c>
      <c r="C2961" s="27" t="s">
        <v>526</v>
      </c>
      <c r="D2961" s="27" t="s">
        <v>17</v>
      </c>
      <c r="E2961" s="27" t="s">
        <v>18</v>
      </c>
      <c r="F2961" s="27" t="s">
        <v>19</v>
      </c>
      <c r="G2961" s="27" t="s">
        <v>44</v>
      </c>
      <c r="H2961" s="29">
        <v>302</v>
      </c>
      <c r="I2961" s="27" t="s">
        <v>29</v>
      </c>
      <c r="J2961" s="37">
        <v>45540</v>
      </c>
      <c r="K2961" s="27" t="s">
        <v>22</v>
      </c>
    </row>
    <row r="2962" spans="1:11" x14ac:dyDescent="0.2">
      <c r="A2962" s="24" t="s">
        <v>7309</v>
      </c>
      <c r="B2962" s="24" t="s">
        <v>7310</v>
      </c>
      <c r="C2962" s="24" t="s">
        <v>1349</v>
      </c>
      <c r="D2962" s="24" t="s">
        <v>17</v>
      </c>
      <c r="E2962" s="24" t="s">
        <v>48</v>
      </c>
      <c r="F2962" s="24" t="s">
        <v>49</v>
      </c>
      <c r="G2962" s="24" t="s">
        <v>44</v>
      </c>
      <c r="H2962" s="26">
        <v>41</v>
      </c>
      <c r="I2962" s="24" t="s">
        <v>21</v>
      </c>
      <c r="J2962" s="36">
        <v>45545</v>
      </c>
      <c r="K2962" s="24" t="s">
        <v>22</v>
      </c>
    </row>
    <row r="2963" spans="1:11" x14ac:dyDescent="0.2">
      <c r="A2963" s="27" t="s">
        <v>7311</v>
      </c>
      <c r="B2963" s="27" t="s">
        <v>7312</v>
      </c>
      <c r="C2963" s="27" t="s">
        <v>7313</v>
      </c>
      <c r="D2963" s="27" t="s">
        <v>17</v>
      </c>
      <c r="E2963" s="27" t="s">
        <v>48</v>
      </c>
      <c r="F2963" s="27" t="s">
        <v>49</v>
      </c>
      <c r="G2963" s="27" t="s">
        <v>44</v>
      </c>
      <c r="H2963" s="29">
        <v>70</v>
      </c>
      <c r="I2963" s="27" t="s">
        <v>29</v>
      </c>
      <c r="J2963" s="37">
        <v>45559</v>
      </c>
      <c r="K2963" s="27" t="s">
        <v>22</v>
      </c>
    </row>
    <row r="2964" spans="1:11" x14ac:dyDescent="0.2">
      <c r="A2964" s="24" t="s">
        <v>7314</v>
      </c>
      <c r="B2964" s="24" t="s">
        <v>7315</v>
      </c>
      <c r="C2964" s="24" t="s">
        <v>388</v>
      </c>
      <c r="D2964" s="24" t="s">
        <v>17</v>
      </c>
      <c r="E2964" s="24" t="s">
        <v>42</v>
      </c>
      <c r="F2964" s="24" t="s">
        <v>43</v>
      </c>
      <c r="G2964" s="24" t="s">
        <v>20</v>
      </c>
      <c r="H2964" s="26">
        <v>90</v>
      </c>
      <c r="I2964" s="24" t="s">
        <v>21</v>
      </c>
      <c r="J2964" s="36">
        <v>45558</v>
      </c>
      <c r="K2964" s="24" t="s">
        <v>22</v>
      </c>
    </row>
    <row r="2965" spans="1:11" x14ac:dyDescent="0.2">
      <c r="A2965" s="27" t="s">
        <v>7316</v>
      </c>
      <c r="B2965" s="27" t="s">
        <v>7317</v>
      </c>
      <c r="C2965" s="27" t="s">
        <v>3205</v>
      </c>
      <c r="D2965" s="27" t="s">
        <v>17</v>
      </c>
      <c r="E2965" s="27" t="s">
        <v>42</v>
      </c>
      <c r="F2965" s="27" t="s">
        <v>43</v>
      </c>
      <c r="G2965" s="27" t="s">
        <v>28</v>
      </c>
      <c r="H2965" s="29">
        <v>231</v>
      </c>
      <c r="I2965" s="27" t="s">
        <v>29</v>
      </c>
      <c r="J2965" s="37">
        <v>45544</v>
      </c>
      <c r="K2965" s="27" t="s">
        <v>22</v>
      </c>
    </row>
    <row r="2966" spans="1:11" x14ac:dyDescent="0.2">
      <c r="A2966" s="24" t="s">
        <v>7318</v>
      </c>
      <c r="B2966" s="24" t="s">
        <v>7319</v>
      </c>
      <c r="C2966" s="24" t="s">
        <v>7320</v>
      </c>
      <c r="D2966" s="24" t="s">
        <v>17</v>
      </c>
      <c r="E2966" s="24" t="s">
        <v>18</v>
      </c>
      <c r="F2966" s="24" t="s">
        <v>19</v>
      </c>
      <c r="G2966" s="24" t="s">
        <v>20</v>
      </c>
      <c r="H2966" s="26">
        <v>6</v>
      </c>
      <c r="I2966" s="24" t="s">
        <v>21</v>
      </c>
      <c r="J2966" s="36">
        <v>45561</v>
      </c>
      <c r="K2966" s="24" t="s">
        <v>22</v>
      </c>
    </row>
    <row r="2967" spans="1:11" x14ac:dyDescent="0.2">
      <c r="A2967" s="27" t="s">
        <v>7321</v>
      </c>
      <c r="B2967" s="27" t="s">
        <v>7322</v>
      </c>
      <c r="C2967" s="27" t="s">
        <v>2512</v>
      </c>
      <c r="D2967" s="27" t="s">
        <v>17</v>
      </c>
      <c r="E2967" s="27" t="s">
        <v>48</v>
      </c>
      <c r="F2967" s="27" t="s">
        <v>49</v>
      </c>
      <c r="G2967" s="27" t="s">
        <v>20</v>
      </c>
      <c r="H2967" s="29">
        <v>19</v>
      </c>
      <c r="I2967" s="27" t="s">
        <v>21</v>
      </c>
      <c r="J2967" s="37">
        <v>45542</v>
      </c>
      <c r="K2967" s="27" t="s">
        <v>22</v>
      </c>
    </row>
    <row r="2968" spans="1:11" x14ac:dyDescent="0.2">
      <c r="A2968" s="24" t="s">
        <v>7323</v>
      </c>
      <c r="B2968" s="24" t="s">
        <v>7324</v>
      </c>
      <c r="C2968" s="24" t="s">
        <v>3433</v>
      </c>
      <c r="D2968" s="24" t="s">
        <v>17</v>
      </c>
      <c r="E2968" s="24" t="s">
        <v>18</v>
      </c>
      <c r="F2968" s="24" t="s">
        <v>19</v>
      </c>
      <c r="G2968" s="24" t="s">
        <v>20</v>
      </c>
      <c r="H2968" s="26">
        <v>40</v>
      </c>
      <c r="I2968" s="24" t="s">
        <v>21</v>
      </c>
      <c r="J2968" s="36">
        <v>45545</v>
      </c>
      <c r="K2968" s="24" t="s">
        <v>22</v>
      </c>
    </row>
    <row r="2969" spans="1:11" x14ac:dyDescent="0.2">
      <c r="A2969" s="27" t="s">
        <v>7325</v>
      </c>
      <c r="B2969" s="27" t="s">
        <v>7326</v>
      </c>
      <c r="C2969" s="27" t="s">
        <v>7327</v>
      </c>
      <c r="D2969" s="27" t="s">
        <v>17</v>
      </c>
      <c r="E2969" s="27" t="s">
        <v>81</v>
      </c>
      <c r="F2969" s="27" t="s">
        <v>82</v>
      </c>
      <c r="G2969" s="27" t="s">
        <v>44</v>
      </c>
      <c r="H2969" s="29">
        <v>660</v>
      </c>
      <c r="I2969" s="27" t="s">
        <v>29</v>
      </c>
      <c r="J2969" s="37">
        <v>45555</v>
      </c>
      <c r="K2969" s="27" t="s">
        <v>22</v>
      </c>
    </row>
    <row r="2970" spans="1:11" x14ac:dyDescent="0.2">
      <c r="A2970" s="24" t="s">
        <v>7328</v>
      </c>
      <c r="B2970" s="24" t="s">
        <v>7329</v>
      </c>
      <c r="C2970" s="24" t="s">
        <v>7330</v>
      </c>
      <c r="D2970" s="24" t="s">
        <v>17</v>
      </c>
      <c r="E2970" s="24" t="s">
        <v>48</v>
      </c>
      <c r="F2970" s="24" t="s">
        <v>49</v>
      </c>
      <c r="G2970" s="24" t="s">
        <v>28</v>
      </c>
      <c r="H2970" s="26">
        <v>325</v>
      </c>
      <c r="I2970" s="24" t="s">
        <v>29</v>
      </c>
      <c r="J2970" s="36">
        <v>45551</v>
      </c>
      <c r="K2970" s="24" t="s">
        <v>22</v>
      </c>
    </row>
    <row r="2971" spans="1:11" x14ac:dyDescent="0.2">
      <c r="A2971" s="27" t="s">
        <v>7331</v>
      </c>
      <c r="B2971" s="27" t="s">
        <v>7332</v>
      </c>
      <c r="C2971" s="27" t="s">
        <v>1236</v>
      </c>
      <c r="D2971" s="27" t="s">
        <v>17</v>
      </c>
      <c r="E2971" s="27" t="s">
        <v>42</v>
      </c>
      <c r="F2971" s="27" t="s">
        <v>43</v>
      </c>
      <c r="G2971" s="27" t="s">
        <v>44</v>
      </c>
      <c r="H2971" s="29">
        <v>462</v>
      </c>
      <c r="I2971" s="27" t="s">
        <v>21</v>
      </c>
      <c r="J2971" s="37">
        <v>45555</v>
      </c>
      <c r="K2971" s="27" t="s">
        <v>22</v>
      </c>
    </row>
    <row r="2972" spans="1:11" x14ac:dyDescent="0.2">
      <c r="A2972" s="24" t="s">
        <v>7333</v>
      </c>
      <c r="B2972" s="24" t="s">
        <v>7334</v>
      </c>
      <c r="C2972" s="24" t="s">
        <v>7335</v>
      </c>
      <c r="D2972" s="24" t="s">
        <v>17</v>
      </c>
      <c r="E2972" s="24" t="s">
        <v>48</v>
      </c>
      <c r="F2972" s="24" t="s">
        <v>49</v>
      </c>
      <c r="G2972" s="24" t="s">
        <v>20</v>
      </c>
      <c r="H2972" s="26">
        <v>5071</v>
      </c>
      <c r="I2972" s="24" t="s">
        <v>21</v>
      </c>
      <c r="J2972" s="36">
        <v>45555</v>
      </c>
      <c r="K2972" s="24" t="s">
        <v>22</v>
      </c>
    </row>
    <row r="2973" spans="1:11" x14ac:dyDescent="0.2">
      <c r="A2973" s="27" t="s">
        <v>7336</v>
      </c>
      <c r="B2973" s="27" t="s">
        <v>7337</v>
      </c>
      <c r="C2973" s="27" t="s">
        <v>5810</v>
      </c>
      <c r="D2973" s="27" t="s">
        <v>17</v>
      </c>
      <c r="E2973" s="27" t="s">
        <v>163</v>
      </c>
      <c r="F2973" s="27" t="s">
        <v>164</v>
      </c>
      <c r="G2973" s="27" t="s">
        <v>28</v>
      </c>
      <c r="H2973" s="29">
        <v>20</v>
      </c>
      <c r="I2973" s="27" t="s">
        <v>29</v>
      </c>
      <c r="J2973" s="37">
        <v>45549</v>
      </c>
      <c r="K2973" s="27" t="s">
        <v>22</v>
      </c>
    </row>
    <row r="2974" spans="1:11" x14ac:dyDescent="0.2">
      <c r="A2974" s="24" t="s">
        <v>7338</v>
      </c>
      <c r="B2974" s="24" t="s">
        <v>7339</v>
      </c>
      <c r="C2974" s="24" t="s">
        <v>526</v>
      </c>
      <c r="D2974" s="24" t="s">
        <v>17</v>
      </c>
      <c r="E2974" s="24" t="s">
        <v>42</v>
      </c>
      <c r="F2974" s="24" t="s">
        <v>43</v>
      </c>
      <c r="G2974" s="24" t="s">
        <v>20</v>
      </c>
      <c r="H2974" s="26">
        <v>376</v>
      </c>
      <c r="I2974" s="24" t="s">
        <v>21</v>
      </c>
      <c r="J2974" s="36">
        <v>45548</v>
      </c>
      <c r="K2974" s="24" t="s">
        <v>22</v>
      </c>
    </row>
    <row r="2975" spans="1:11" x14ac:dyDescent="0.2">
      <c r="A2975" s="27" t="s">
        <v>7340</v>
      </c>
      <c r="B2975" s="27" t="s">
        <v>7341</v>
      </c>
      <c r="C2975" s="27" t="s">
        <v>526</v>
      </c>
      <c r="D2975" s="27" t="s">
        <v>17</v>
      </c>
      <c r="E2975" s="27" t="s">
        <v>18</v>
      </c>
      <c r="F2975" s="27" t="s">
        <v>19</v>
      </c>
      <c r="G2975" s="27" t="s">
        <v>28</v>
      </c>
      <c r="H2975" s="29">
        <v>630</v>
      </c>
      <c r="I2975" s="27" t="s">
        <v>29</v>
      </c>
      <c r="J2975" s="37">
        <v>45547</v>
      </c>
      <c r="K2975" s="27" t="s">
        <v>22</v>
      </c>
    </row>
    <row r="2976" spans="1:11" x14ac:dyDescent="0.2">
      <c r="A2976" s="24" t="s">
        <v>7342</v>
      </c>
      <c r="B2976" s="24" t="s">
        <v>7343</v>
      </c>
      <c r="C2976" s="24" t="s">
        <v>7344</v>
      </c>
      <c r="D2976" s="24" t="s">
        <v>17</v>
      </c>
      <c r="E2976" s="24" t="s">
        <v>26</v>
      </c>
      <c r="F2976" s="24" t="s">
        <v>27</v>
      </c>
      <c r="G2976" s="24" t="s">
        <v>44</v>
      </c>
      <c r="H2976" s="26">
        <v>16</v>
      </c>
      <c r="I2976" s="24" t="s">
        <v>21</v>
      </c>
      <c r="J2976" s="36">
        <v>45540</v>
      </c>
      <c r="K2976" s="24" t="s">
        <v>22</v>
      </c>
    </row>
    <row r="2977" spans="1:11" x14ac:dyDescent="0.2">
      <c r="A2977" s="27" t="s">
        <v>7345</v>
      </c>
      <c r="B2977" s="27" t="s">
        <v>7346</v>
      </c>
      <c r="C2977" s="27" t="s">
        <v>1244</v>
      </c>
      <c r="D2977" s="27" t="s">
        <v>17</v>
      </c>
      <c r="E2977" s="27" t="s">
        <v>26</v>
      </c>
      <c r="F2977" s="27" t="s">
        <v>27</v>
      </c>
      <c r="G2977" s="27" t="s">
        <v>28</v>
      </c>
      <c r="H2977" s="29">
        <v>20</v>
      </c>
      <c r="I2977" s="27" t="s">
        <v>29</v>
      </c>
      <c r="J2977" s="37">
        <v>45553</v>
      </c>
      <c r="K2977" s="27" t="s">
        <v>22</v>
      </c>
    </row>
    <row r="2978" spans="1:11" x14ac:dyDescent="0.2">
      <c r="A2978" s="24" t="s">
        <v>7347</v>
      </c>
      <c r="B2978" s="24" t="s">
        <v>7348</v>
      </c>
      <c r="C2978" s="24" t="s">
        <v>7349</v>
      </c>
      <c r="D2978" s="24" t="s">
        <v>17</v>
      </c>
      <c r="E2978" s="24" t="s">
        <v>26</v>
      </c>
      <c r="F2978" s="24" t="s">
        <v>27</v>
      </c>
      <c r="G2978" s="24" t="s">
        <v>28</v>
      </c>
      <c r="H2978" s="26">
        <v>15</v>
      </c>
      <c r="I2978" s="24" t="s">
        <v>29</v>
      </c>
      <c r="J2978" s="36">
        <v>45551</v>
      </c>
      <c r="K2978" s="24" t="s">
        <v>22</v>
      </c>
    </row>
    <row r="2979" spans="1:11" x14ac:dyDescent="0.2">
      <c r="A2979" s="27" t="s">
        <v>7350</v>
      </c>
      <c r="B2979" s="27" t="s">
        <v>7351</v>
      </c>
      <c r="C2979" s="27" t="s">
        <v>827</v>
      </c>
      <c r="D2979" s="27" t="s">
        <v>17</v>
      </c>
      <c r="E2979" s="27" t="s">
        <v>26</v>
      </c>
      <c r="F2979" s="27" t="s">
        <v>27</v>
      </c>
      <c r="G2979" s="27" t="s">
        <v>28</v>
      </c>
      <c r="H2979" s="29">
        <v>280</v>
      </c>
      <c r="I2979" s="27" t="s">
        <v>29</v>
      </c>
      <c r="J2979" s="37">
        <v>45559</v>
      </c>
      <c r="K2979" s="27" t="s">
        <v>22</v>
      </c>
    </row>
    <row r="2980" spans="1:11" x14ac:dyDescent="0.2">
      <c r="A2980" s="24" t="s">
        <v>7352</v>
      </c>
      <c r="B2980" s="24" t="s">
        <v>7353</v>
      </c>
      <c r="C2980" s="24" t="s">
        <v>518</v>
      </c>
      <c r="D2980" s="24" t="s">
        <v>17</v>
      </c>
      <c r="E2980" s="24" t="s">
        <v>42</v>
      </c>
      <c r="F2980" s="24" t="s">
        <v>43</v>
      </c>
      <c r="G2980" s="24" t="s">
        <v>44</v>
      </c>
      <c r="H2980" s="26">
        <v>228</v>
      </c>
      <c r="I2980" s="24" t="s">
        <v>29</v>
      </c>
      <c r="J2980" s="36">
        <v>45554</v>
      </c>
      <c r="K2980" s="24" t="s">
        <v>22</v>
      </c>
    </row>
    <row r="2981" spans="1:11" x14ac:dyDescent="0.2">
      <c r="A2981" s="27" t="s">
        <v>7354</v>
      </c>
      <c r="B2981" s="27" t="s">
        <v>7355</v>
      </c>
      <c r="C2981" s="27" t="s">
        <v>7356</v>
      </c>
      <c r="D2981" s="27" t="s">
        <v>17</v>
      </c>
      <c r="E2981" s="27" t="s">
        <v>18</v>
      </c>
      <c r="F2981" s="27" t="s">
        <v>19</v>
      </c>
      <c r="G2981" s="27" t="s">
        <v>44</v>
      </c>
      <c r="H2981" s="29">
        <v>30</v>
      </c>
      <c r="I2981" s="27" t="s">
        <v>29</v>
      </c>
      <c r="J2981" s="37">
        <v>45538</v>
      </c>
      <c r="K2981" s="27" t="s">
        <v>22</v>
      </c>
    </row>
    <row r="2982" spans="1:11" x14ac:dyDescent="0.2">
      <c r="A2982" s="24" t="s">
        <v>7357</v>
      </c>
      <c r="B2982" s="24" t="s">
        <v>7358</v>
      </c>
      <c r="C2982" s="24" t="s">
        <v>2583</v>
      </c>
      <c r="D2982" s="24" t="s">
        <v>17</v>
      </c>
      <c r="E2982" s="24" t="s">
        <v>42</v>
      </c>
      <c r="F2982" s="24" t="s">
        <v>43</v>
      </c>
      <c r="G2982" s="24" t="s">
        <v>217</v>
      </c>
      <c r="H2982" s="26">
        <v>432</v>
      </c>
      <c r="I2982" s="24" t="s">
        <v>29</v>
      </c>
      <c r="J2982" s="36">
        <v>45536</v>
      </c>
      <c r="K2982" s="24" t="s">
        <v>22</v>
      </c>
    </row>
    <row r="2983" spans="1:11" x14ac:dyDescent="0.2">
      <c r="A2983" s="27" t="s">
        <v>7359</v>
      </c>
      <c r="B2983" s="27" t="s">
        <v>7360</v>
      </c>
      <c r="C2983" s="27" t="s">
        <v>827</v>
      </c>
      <c r="D2983" s="27" t="s">
        <v>17</v>
      </c>
      <c r="E2983" s="27" t="s">
        <v>26</v>
      </c>
      <c r="F2983" s="27" t="s">
        <v>27</v>
      </c>
      <c r="G2983" s="27" t="s">
        <v>217</v>
      </c>
      <c r="H2983" s="29">
        <v>294</v>
      </c>
      <c r="I2983" s="27" t="s">
        <v>29</v>
      </c>
      <c r="J2983" s="37">
        <v>45545</v>
      </c>
      <c r="K2983" s="27" t="s">
        <v>22</v>
      </c>
    </row>
    <row r="2984" spans="1:11" x14ac:dyDescent="0.2">
      <c r="A2984" s="24" t="s">
        <v>7361</v>
      </c>
      <c r="B2984" s="24" t="s">
        <v>7362</v>
      </c>
      <c r="C2984" s="24" t="s">
        <v>1093</v>
      </c>
      <c r="D2984" s="24" t="s">
        <v>17</v>
      </c>
      <c r="E2984" s="24" t="s">
        <v>42</v>
      </c>
      <c r="F2984" s="24" t="s">
        <v>43</v>
      </c>
      <c r="G2984" s="24" t="s">
        <v>20</v>
      </c>
      <c r="H2984" s="26">
        <v>33</v>
      </c>
      <c r="I2984" s="24" t="s">
        <v>21</v>
      </c>
      <c r="J2984" s="36">
        <v>45547</v>
      </c>
      <c r="K2984" s="24" t="s">
        <v>22</v>
      </c>
    </row>
    <row r="2985" spans="1:11" x14ac:dyDescent="0.2">
      <c r="A2985" s="27" t="s">
        <v>7363</v>
      </c>
      <c r="B2985" s="27" t="s">
        <v>7364</v>
      </c>
      <c r="C2985" s="27" t="s">
        <v>7365</v>
      </c>
      <c r="D2985" s="27" t="s">
        <v>17</v>
      </c>
      <c r="E2985" s="27" t="s">
        <v>42</v>
      </c>
      <c r="F2985" s="27" t="s">
        <v>43</v>
      </c>
      <c r="G2985" s="27" t="s">
        <v>217</v>
      </c>
      <c r="H2985" s="29">
        <v>500</v>
      </c>
      <c r="I2985" s="27" t="s">
        <v>29</v>
      </c>
      <c r="J2985" s="37">
        <v>45536</v>
      </c>
      <c r="K2985" s="27" t="s">
        <v>22</v>
      </c>
    </row>
    <row r="2986" spans="1:11" x14ac:dyDescent="0.2">
      <c r="A2986" s="24" t="s">
        <v>7366</v>
      </c>
      <c r="B2986" s="24" t="s">
        <v>7367</v>
      </c>
      <c r="C2986" s="24" t="s">
        <v>97</v>
      </c>
      <c r="D2986" s="24" t="s">
        <v>17</v>
      </c>
      <c r="E2986" s="24" t="s">
        <v>18</v>
      </c>
      <c r="F2986" s="24" t="s">
        <v>19</v>
      </c>
      <c r="G2986" s="24" t="s">
        <v>20</v>
      </c>
      <c r="H2986" s="26">
        <v>59</v>
      </c>
      <c r="I2986" s="24" t="s">
        <v>21</v>
      </c>
      <c r="J2986" s="36">
        <v>45560</v>
      </c>
      <c r="K2986" s="24" t="s">
        <v>22</v>
      </c>
    </row>
    <row r="2987" spans="1:11" x14ac:dyDescent="0.2">
      <c r="A2987" s="27" t="s">
        <v>7368</v>
      </c>
      <c r="B2987" s="27" t="s">
        <v>7369</v>
      </c>
      <c r="C2987" s="27" t="s">
        <v>4436</v>
      </c>
      <c r="D2987" s="27" t="s">
        <v>17</v>
      </c>
      <c r="E2987" s="27" t="s">
        <v>81</v>
      </c>
      <c r="F2987" s="27" t="s">
        <v>82</v>
      </c>
      <c r="G2987" s="27" t="s">
        <v>20</v>
      </c>
      <c r="H2987" s="29">
        <v>30</v>
      </c>
      <c r="I2987" s="27" t="s">
        <v>21</v>
      </c>
      <c r="J2987" s="37">
        <v>45555</v>
      </c>
      <c r="K2987" s="27" t="s">
        <v>22</v>
      </c>
    </row>
    <row r="2988" spans="1:11" x14ac:dyDescent="0.2">
      <c r="A2988" s="24" t="s">
        <v>7370</v>
      </c>
      <c r="B2988" s="24" t="s">
        <v>7371</v>
      </c>
      <c r="C2988" s="24" t="s">
        <v>7372</v>
      </c>
      <c r="D2988" s="24" t="s">
        <v>17</v>
      </c>
      <c r="E2988" s="24" t="s">
        <v>48</v>
      </c>
      <c r="F2988" s="24" t="s">
        <v>49</v>
      </c>
      <c r="G2988" s="24" t="s">
        <v>28</v>
      </c>
      <c r="H2988" s="26">
        <v>33</v>
      </c>
      <c r="I2988" s="24" t="s">
        <v>29</v>
      </c>
      <c r="J2988" s="36">
        <v>45583</v>
      </c>
      <c r="K2988" s="24" t="s">
        <v>22</v>
      </c>
    </row>
    <row r="2989" spans="1:11" x14ac:dyDescent="0.2">
      <c r="A2989" s="27" t="s">
        <v>7373</v>
      </c>
      <c r="B2989" s="27" t="s">
        <v>7374</v>
      </c>
      <c r="C2989" s="27" t="s">
        <v>7375</v>
      </c>
      <c r="D2989" s="27" t="s">
        <v>17</v>
      </c>
      <c r="E2989" s="27" t="s">
        <v>48</v>
      </c>
      <c r="F2989" s="27" t="s">
        <v>49</v>
      </c>
      <c r="G2989" s="27" t="s">
        <v>28</v>
      </c>
      <c r="H2989" s="29">
        <v>110</v>
      </c>
      <c r="I2989" s="27" t="s">
        <v>29</v>
      </c>
      <c r="J2989" s="37">
        <v>45569</v>
      </c>
      <c r="K2989" s="27" t="s">
        <v>22</v>
      </c>
    </row>
    <row r="2990" spans="1:11" x14ac:dyDescent="0.2">
      <c r="A2990" s="24" t="s">
        <v>7376</v>
      </c>
      <c r="B2990" s="24" t="s">
        <v>7377</v>
      </c>
      <c r="C2990" s="24" t="s">
        <v>97</v>
      </c>
      <c r="D2990" s="24" t="s">
        <v>17</v>
      </c>
      <c r="E2990" s="24" t="s">
        <v>18</v>
      </c>
      <c r="F2990" s="24" t="s">
        <v>19</v>
      </c>
      <c r="G2990" s="24" t="s">
        <v>59</v>
      </c>
      <c r="H2990" s="26">
        <v>17</v>
      </c>
      <c r="I2990" s="24" t="s">
        <v>21</v>
      </c>
      <c r="J2990" s="36">
        <v>45583</v>
      </c>
      <c r="K2990" s="24" t="s">
        <v>22</v>
      </c>
    </row>
    <row r="2991" spans="1:11" x14ac:dyDescent="0.2">
      <c r="A2991" s="27" t="s">
        <v>7378</v>
      </c>
      <c r="B2991" s="27" t="s">
        <v>7379</v>
      </c>
      <c r="C2991" s="27" t="s">
        <v>2200</v>
      </c>
      <c r="D2991" s="27" t="s">
        <v>17</v>
      </c>
      <c r="E2991" s="27" t="s">
        <v>48</v>
      </c>
      <c r="F2991" s="27" t="s">
        <v>49</v>
      </c>
      <c r="G2991" s="27" t="s">
        <v>20</v>
      </c>
      <c r="H2991" s="29">
        <v>222</v>
      </c>
      <c r="I2991" s="27" t="s">
        <v>21</v>
      </c>
      <c r="J2991" s="37">
        <v>45590</v>
      </c>
      <c r="K2991" s="27" t="s">
        <v>22</v>
      </c>
    </row>
    <row r="2992" spans="1:11" x14ac:dyDescent="0.2">
      <c r="A2992" s="24" t="s">
        <v>7380</v>
      </c>
      <c r="B2992" s="24" t="s">
        <v>7381</v>
      </c>
      <c r="C2992" s="24" t="s">
        <v>1158</v>
      </c>
      <c r="D2992" s="24" t="s">
        <v>17</v>
      </c>
      <c r="E2992" s="24" t="s">
        <v>48</v>
      </c>
      <c r="F2992" s="24" t="s">
        <v>49</v>
      </c>
      <c r="G2992" s="24" t="s">
        <v>44</v>
      </c>
      <c r="H2992" s="26">
        <v>60</v>
      </c>
      <c r="I2992" s="24" t="s">
        <v>29</v>
      </c>
      <c r="J2992" s="36">
        <v>45588</v>
      </c>
      <c r="K2992" s="24" t="s">
        <v>22</v>
      </c>
    </row>
    <row r="2993" spans="1:11" x14ac:dyDescent="0.2">
      <c r="A2993" s="27" t="s">
        <v>7382</v>
      </c>
      <c r="B2993" s="27" t="s">
        <v>7383</v>
      </c>
      <c r="C2993" s="27" t="s">
        <v>5154</v>
      </c>
      <c r="D2993" s="27" t="s">
        <v>17</v>
      </c>
      <c r="E2993" s="27" t="s">
        <v>81</v>
      </c>
      <c r="F2993" s="27" t="s">
        <v>82</v>
      </c>
      <c r="G2993" s="27" t="s">
        <v>20</v>
      </c>
      <c r="H2993" s="29">
        <v>105</v>
      </c>
      <c r="I2993" s="27" t="s">
        <v>21</v>
      </c>
      <c r="J2993" s="37">
        <v>45569</v>
      </c>
      <c r="K2993" s="27" t="s">
        <v>22</v>
      </c>
    </row>
    <row r="2994" spans="1:11" x14ac:dyDescent="0.2">
      <c r="A2994" s="24" t="s">
        <v>7384</v>
      </c>
      <c r="B2994" s="24" t="s">
        <v>7385</v>
      </c>
      <c r="C2994" s="24" t="s">
        <v>2484</v>
      </c>
      <c r="D2994" s="24" t="s">
        <v>17</v>
      </c>
      <c r="E2994" s="24" t="s">
        <v>33</v>
      </c>
      <c r="F2994" s="24" t="s">
        <v>34</v>
      </c>
      <c r="G2994" s="24" t="s">
        <v>28</v>
      </c>
      <c r="H2994" s="26">
        <v>8</v>
      </c>
      <c r="I2994" s="24" t="s">
        <v>29</v>
      </c>
      <c r="J2994" s="36">
        <v>45581</v>
      </c>
      <c r="K2994" s="24" t="s">
        <v>22</v>
      </c>
    </row>
    <row r="2995" spans="1:11" x14ac:dyDescent="0.2">
      <c r="A2995" s="27" t="s">
        <v>7386</v>
      </c>
      <c r="B2995" s="27" t="s">
        <v>7387</v>
      </c>
      <c r="C2995" s="27" t="s">
        <v>1022</v>
      </c>
      <c r="D2995" s="27" t="s">
        <v>17</v>
      </c>
      <c r="E2995" s="27" t="s">
        <v>18</v>
      </c>
      <c r="F2995" s="27" t="s">
        <v>19</v>
      </c>
      <c r="G2995" s="27" t="s">
        <v>217</v>
      </c>
      <c r="H2995" s="29">
        <v>52</v>
      </c>
      <c r="I2995" s="27" t="s">
        <v>29</v>
      </c>
      <c r="J2995" s="37">
        <v>45571</v>
      </c>
      <c r="K2995" s="27" t="s">
        <v>22</v>
      </c>
    </row>
    <row r="2996" spans="1:11" x14ac:dyDescent="0.2">
      <c r="A2996" s="24" t="s">
        <v>7388</v>
      </c>
      <c r="B2996" s="24" t="s">
        <v>7389</v>
      </c>
      <c r="C2996" s="24" t="s">
        <v>7390</v>
      </c>
      <c r="D2996" s="24" t="s">
        <v>17</v>
      </c>
      <c r="E2996" s="24" t="s">
        <v>18</v>
      </c>
      <c r="F2996" s="24" t="s">
        <v>19</v>
      </c>
      <c r="G2996" s="24" t="s">
        <v>20</v>
      </c>
      <c r="H2996" s="26">
        <v>22</v>
      </c>
      <c r="I2996" s="24" t="s">
        <v>21</v>
      </c>
      <c r="J2996" s="36">
        <v>45568</v>
      </c>
      <c r="K2996" s="24" t="s">
        <v>22</v>
      </c>
    </row>
    <row r="2997" spans="1:11" x14ac:dyDescent="0.2">
      <c r="A2997" s="27" t="s">
        <v>7391</v>
      </c>
      <c r="B2997" s="27" t="s">
        <v>7392</v>
      </c>
      <c r="C2997" s="27" t="s">
        <v>667</v>
      </c>
      <c r="D2997" s="27" t="s">
        <v>17</v>
      </c>
      <c r="E2997" s="27" t="s">
        <v>18</v>
      </c>
      <c r="F2997" s="27" t="s">
        <v>19</v>
      </c>
      <c r="G2997" s="27" t="s">
        <v>44</v>
      </c>
      <c r="H2997" s="29">
        <v>12</v>
      </c>
      <c r="I2997" s="27" t="s">
        <v>21</v>
      </c>
      <c r="J2997" s="37">
        <v>45588</v>
      </c>
      <c r="K2997" s="27" t="s">
        <v>22</v>
      </c>
    </row>
    <row r="2998" spans="1:11" x14ac:dyDescent="0.2">
      <c r="A2998" s="24" t="s">
        <v>7393</v>
      </c>
      <c r="B2998" s="24" t="s">
        <v>7394</v>
      </c>
      <c r="C2998" s="24" t="s">
        <v>7395</v>
      </c>
      <c r="D2998" s="24" t="s">
        <v>17</v>
      </c>
      <c r="E2998" s="24" t="s">
        <v>48</v>
      </c>
      <c r="F2998" s="24" t="s">
        <v>49</v>
      </c>
      <c r="G2998" s="24" t="s">
        <v>28</v>
      </c>
      <c r="H2998" s="26">
        <v>64</v>
      </c>
      <c r="I2998" s="24" t="s">
        <v>29</v>
      </c>
      <c r="J2998" s="36">
        <v>45581</v>
      </c>
      <c r="K2998" s="24" t="s">
        <v>22</v>
      </c>
    </row>
    <row r="2999" spans="1:11" x14ac:dyDescent="0.2">
      <c r="A2999" s="27" t="s">
        <v>7396</v>
      </c>
      <c r="B2999" s="27" t="s">
        <v>7397</v>
      </c>
      <c r="C2999" s="27" t="s">
        <v>7398</v>
      </c>
      <c r="D2999" s="27" t="s">
        <v>17</v>
      </c>
      <c r="E2999" s="27" t="s">
        <v>48</v>
      </c>
      <c r="F2999" s="27" t="s">
        <v>49</v>
      </c>
      <c r="G2999" s="27" t="s">
        <v>28</v>
      </c>
      <c r="H2999" s="29">
        <v>100</v>
      </c>
      <c r="I2999" s="27" t="s">
        <v>29</v>
      </c>
      <c r="J2999" s="37">
        <v>45579</v>
      </c>
      <c r="K2999" s="27" t="s">
        <v>22</v>
      </c>
    </row>
    <row r="3000" spans="1:11" x14ac:dyDescent="0.2">
      <c r="A3000" s="24" t="s">
        <v>7399</v>
      </c>
      <c r="B3000" s="24" t="s">
        <v>7400</v>
      </c>
      <c r="C3000" s="24" t="s">
        <v>687</v>
      </c>
      <c r="D3000" s="24" t="s">
        <v>17</v>
      </c>
      <c r="E3000" s="24" t="s">
        <v>18</v>
      </c>
      <c r="F3000" s="24" t="s">
        <v>19</v>
      </c>
      <c r="G3000" s="24" t="s">
        <v>20</v>
      </c>
      <c r="H3000" s="26">
        <v>46</v>
      </c>
      <c r="I3000" s="24" t="s">
        <v>21</v>
      </c>
      <c r="J3000" s="36">
        <v>45580</v>
      </c>
      <c r="K3000" s="24" t="s">
        <v>22</v>
      </c>
    </row>
    <row r="3001" spans="1:11" x14ac:dyDescent="0.2">
      <c r="A3001" s="27" t="s">
        <v>7401</v>
      </c>
      <c r="B3001" s="27" t="s">
        <v>7402</v>
      </c>
      <c r="C3001" s="27" t="s">
        <v>106</v>
      </c>
      <c r="D3001" s="27" t="s">
        <v>17</v>
      </c>
      <c r="E3001" s="27" t="s">
        <v>48</v>
      </c>
      <c r="F3001" s="27" t="s">
        <v>49</v>
      </c>
      <c r="G3001" s="27" t="s">
        <v>28</v>
      </c>
      <c r="H3001" s="29">
        <v>430</v>
      </c>
      <c r="I3001" s="27" t="s">
        <v>29</v>
      </c>
      <c r="J3001" s="37">
        <v>45576</v>
      </c>
      <c r="K3001" s="27" t="s">
        <v>22</v>
      </c>
    </row>
    <row r="3002" spans="1:11" x14ac:dyDescent="0.2">
      <c r="A3002" s="24" t="s">
        <v>7403</v>
      </c>
      <c r="B3002" s="24" t="s">
        <v>7404</v>
      </c>
      <c r="C3002" s="24" t="s">
        <v>298</v>
      </c>
      <c r="D3002" s="24" t="s">
        <v>17</v>
      </c>
      <c r="E3002" s="24" t="s">
        <v>48</v>
      </c>
      <c r="F3002" s="24" t="s">
        <v>49</v>
      </c>
      <c r="G3002" s="24" t="s">
        <v>59</v>
      </c>
      <c r="H3002" s="26">
        <v>150</v>
      </c>
      <c r="I3002" s="24" t="s">
        <v>21</v>
      </c>
      <c r="J3002" s="36">
        <v>45579</v>
      </c>
      <c r="K3002" s="24" t="s">
        <v>22</v>
      </c>
    </row>
    <row r="3003" spans="1:11" x14ac:dyDescent="0.2">
      <c r="A3003" s="27" t="s">
        <v>7405</v>
      </c>
      <c r="B3003" s="27" t="s">
        <v>7406</v>
      </c>
      <c r="C3003" s="27" t="s">
        <v>3836</v>
      </c>
      <c r="D3003" s="27" t="s">
        <v>17</v>
      </c>
      <c r="E3003" s="27" t="s">
        <v>42</v>
      </c>
      <c r="F3003" s="27" t="s">
        <v>43</v>
      </c>
      <c r="G3003" s="27" t="s">
        <v>28</v>
      </c>
      <c r="H3003" s="29">
        <v>600</v>
      </c>
      <c r="I3003" s="27" t="s">
        <v>29</v>
      </c>
      <c r="J3003" s="37">
        <v>45580</v>
      </c>
      <c r="K3003" s="27" t="s">
        <v>22</v>
      </c>
    </row>
    <row r="3004" spans="1:11" x14ac:dyDescent="0.2">
      <c r="A3004" s="24" t="s">
        <v>7407</v>
      </c>
      <c r="B3004" s="24" t="s">
        <v>7408</v>
      </c>
      <c r="C3004" s="24" t="s">
        <v>4090</v>
      </c>
      <c r="D3004" s="24" t="s">
        <v>17</v>
      </c>
      <c r="E3004" s="24" t="s">
        <v>18</v>
      </c>
      <c r="F3004" s="24" t="s">
        <v>19</v>
      </c>
      <c r="G3004" s="24" t="s">
        <v>20</v>
      </c>
      <c r="H3004" s="26">
        <v>19</v>
      </c>
      <c r="I3004" s="24" t="s">
        <v>21</v>
      </c>
      <c r="J3004" s="36">
        <v>45573</v>
      </c>
      <c r="K3004" s="24" t="s">
        <v>22</v>
      </c>
    </row>
    <row r="3005" spans="1:11" x14ac:dyDescent="0.2">
      <c r="A3005" s="27" t="s">
        <v>7409</v>
      </c>
      <c r="B3005" s="27" t="s">
        <v>7410</v>
      </c>
      <c r="C3005" s="27" t="s">
        <v>106</v>
      </c>
      <c r="D3005" s="27" t="s">
        <v>17</v>
      </c>
      <c r="E3005" s="27" t="s">
        <v>18</v>
      </c>
      <c r="F3005" s="27" t="s">
        <v>19</v>
      </c>
      <c r="G3005" s="27" t="s">
        <v>28</v>
      </c>
      <c r="H3005" s="29">
        <v>30</v>
      </c>
      <c r="I3005" s="27" t="s">
        <v>29</v>
      </c>
      <c r="J3005" s="37">
        <v>45566</v>
      </c>
      <c r="K3005" s="27" t="s">
        <v>22</v>
      </c>
    </row>
    <row r="3006" spans="1:11" x14ac:dyDescent="0.2">
      <c r="A3006" s="24" t="s">
        <v>7411</v>
      </c>
      <c r="B3006" s="24" t="s">
        <v>7412</v>
      </c>
      <c r="C3006" s="24" t="s">
        <v>7413</v>
      </c>
      <c r="D3006" s="24" t="s">
        <v>17</v>
      </c>
      <c r="E3006" s="24" t="s">
        <v>48</v>
      </c>
      <c r="F3006" s="24" t="s">
        <v>49</v>
      </c>
      <c r="G3006" s="24" t="s">
        <v>44</v>
      </c>
      <c r="H3006" s="26">
        <v>460</v>
      </c>
      <c r="I3006" s="24" t="s">
        <v>29</v>
      </c>
      <c r="J3006" s="36">
        <v>45586</v>
      </c>
      <c r="K3006" s="24" t="s">
        <v>22</v>
      </c>
    </row>
    <row r="3007" spans="1:11" x14ac:dyDescent="0.2">
      <c r="A3007" s="27" t="s">
        <v>7414</v>
      </c>
      <c r="B3007" s="27" t="s">
        <v>7415</v>
      </c>
      <c r="C3007" s="27" t="s">
        <v>242</v>
      </c>
      <c r="D3007" s="27" t="s">
        <v>17</v>
      </c>
      <c r="E3007" s="27" t="s">
        <v>48</v>
      </c>
      <c r="F3007" s="27" t="s">
        <v>49</v>
      </c>
      <c r="G3007" s="27" t="s">
        <v>28</v>
      </c>
      <c r="H3007" s="29">
        <v>80</v>
      </c>
      <c r="I3007" s="27" t="s">
        <v>29</v>
      </c>
      <c r="J3007" s="37">
        <v>45575</v>
      </c>
      <c r="K3007" s="27" t="s">
        <v>22</v>
      </c>
    </row>
    <row r="3008" spans="1:11" x14ac:dyDescent="0.2">
      <c r="A3008" s="24" t="s">
        <v>7416</v>
      </c>
      <c r="B3008" s="24" t="s">
        <v>7417</v>
      </c>
      <c r="C3008" s="24" t="s">
        <v>7418</v>
      </c>
      <c r="D3008" s="24" t="s">
        <v>17</v>
      </c>
      <c r="E3008" s="24" t="s">
        <v>42</v>
      </c>
      <c r="F3008" s="24" t="s">
        <v>43</v>
      </c>
      <c r="G3008" s="24" t="s">
        <v>28</v>
      </c>
      <c r="H3008" s="26">
        <v>180</v>
      </c>
      <c r="I3008" s="24" t="s">
        <v>29</v>
      </c>
      <c r="J3008" s="36">
        <v>45587</v>
      </c>
      <c r="K3008" s="24" t="s">
        <v>22</v>
      </c>
    </row>
    <row r="3009" spans="1:11" x14ac:dyDescent="0.2">
      <c r="A3009" s="27" t="s">
        <v>7419</v>
      </c>
      <c r="B3009" s="27" t="s">
        <v>7420</v>
      </c>
      <c r="C3009" s="27" t="s">
        <v>621</v>
      </c>
      <c r="D3009" s="27" t="s">
        <v>17</v>
      </c>
      <c r="E3009" s="27" t="s">
        <v>48</v>
      </c>
      <c r="F3009" s="27" t="s">
        <v>49</v>
      </c>
      <c r="G3009" s="27" t="s">
        <v>28</v>
      </c>
      <c r="H3009" s="29">
        <v>300</v>
      </c>
      <c r="I3009" s="27" t="s">
        <v>29</v>
      </c>
      <c r="J3009" s="37">
        <v>45582</v>
      </c>
      <c r="K3009" s="27" t="s">
        <v>22</v>
      </c>
    </row>
    <row r="3010" spans="1:11" x14ac:dyDescent="0.2">
      <c r="A3010" s="24" t="s">
        <v>7421</v>
      </c>
      <c r="B3010" s="24" t="s">
        <v>7422</v>
      </c>
      <c r="C3010" s="24" t="s">
        <v>7423</v>
      </c>
      <c r="D3010" s="24" t="s">
        <v>17</v>
      </c>
      <c r="E3010" s="24" t="s">
        <v>18</v>
      </c>
      <c r="F3010" s="24" t="s">
        <v>19</v>
      </c>
      <c r="G3010" s="24" t="s">
        <v>20</v>
      </c>
      <c r="H3010" s="26">
        <v>24</v>
      </c>
      <c r="I3010" s="24" t="s">
        <v>21</v>
      </c>
      <c r="J3010" s="36">
        <v>45589</v>
      </c>
      <c r="K3010" s="24" t="s">
        <v>22</v>
      </c>
    </row>
    <row r="3011" spans="1:11" x14ac:dyDescent="0.2">
      <c r="A3011" s="27" t="s">
        <v>7424</v>
      </c>
      <c r="B3011" s="27" t="s">
        <v>7425</v>
      </c>
      <c r="C3011" s="27" t="s">
        <v>7426</v>
      </c>
      <c r="D3011" s="27" t="s">
        <v>17</v>
      </c>
      <c r="E3011" s="27" t="s">
        <v>18</v>
      </c>
      <c r="F3011" s="27" t="s">
        <v>19</v>
      </c>
      <c r="G3011" s="27" t="s">
        <v>20</v>
      </c>
      <c r="H3011" s="29">
        <v>56</v>
      </c>
      <c r="I3011" s="27" t="s">
        <v>21</v>
      </c>
      <c r="J3011" s="37">
        <v>45581</v>
      </c>
      <c r="K3011" s="27" t="s">
        <v>22</v>
      </c>
    </row>
    <row r="3012" spans="1:11" x14ac:dyDescent="0.2">
      <c r="A3012" s="24" t="s">
        <v>7427</v>
      </c>
      <c r="B3012" s="24" t="s">
        <v>7428</v>
      </c>
      <c r="C3012" s="24" t="s">
        <v>4009</v>
      </c>
      <c r="D3012" s="24" t="s">
        <v>17</v>
      </c>
      <c r="E3012" s="24" t="s">
        <v>18</v>
      </c>
      <c r="F3012" s="24" t="s">
        <v>19</v>
      </c>
      <c r="G3012" s="24" t="s">
        <v>28</v>
      </c>
      <c r="H3012" s="26">
        <v>392</v>
      </c>
      <c r="I3012" s="24" t="s">
        <v>29</v>
      </c>
      <c r="J3012" s="36">
        <v>45594</v>
      </c>
      <c r="K3012" s="24" t="s">
        <v>22</v>
      </c>
    </row>
    <row r="3013" spans="1:11" x14ac:dyDescent="0.2">
      <c r="A3013" s="27" t="s">
        <v>7429</v>
      </c>
      <c r="B3013" s="27" t="s">
        <v>7430</v>
      </c>
      <c r="C3013" s="27" t="s">
        <v>2779</v>
      </c>
      <c r="D3013" s="27" t="s">
        <v>17</v>
      </c>
      <c r="E3013" s="27" t="s">
        <v>18</v>
      </c>
      <c r="F3013" s="27" t="s">
        <v>19</v>
      </c>
      <c r="G3013" s="27" t="s">
        <v>28</v>
      </c>
      <c r="H3013" s="29">
        <v>140</v>
      </c>
      <c r="I3013" s="27" t="s">
        <v>29</v>
      </c>
      <c r="J3013" s="37">
        <v>45577</v>
      </c>
      <c r="K3013" s="27" t="s">
        <v>22</v>
      </c>
    </row>
    <row r="3014" spans="1:11" x14ac:dyDescent="0.2">
      <c r="A3014" s="24" t="s">
        <v>7431</v>
      </c>
      <c r="B3014" s="24" t="s">
        <v>7432</v>
      </c>
      <c r="C3014" s="24" t="s">
        <v>526</v>
      </c>
      <c r="D3014" s="24" t="s">
        <v>17</v>
      </c>
      <c r="E3014" s="24" t="s">
        <v>18</v>
      </c>
      <c r="F3014" s="24" t="s">
        <v>19</v>
      </c>
      <c r="G3014" s="24" t="s">
        <v>44</v>
      </c>
      <c r="H3014" s="26">
        <v>750</v>
      </c>
      <c r="I3014" s="24" t="s">
        <v>29</v>
      </c>
      <c r="J3014" s="36">
        <v>45586</v>
      </c>
      <c r="K3014" s="24" t="s">
        <v>22</v>
      </c>
    </row>
    <row r="3015" spans="1:11" x14ac:dyDescent="0.2">
      <c r="A3015" s="27" t="s">
        <v>7433</v>
      </c>
      <c r="B3015" s="27" t="s">
        <v>7434</v>
      </c>
      <c r="C3015" s="27" t="s">
        <v>7435</v>
      </c>
      <c r="D3015" s="27" t="s">
        <v>17</v>
      </c>
      <c r="E3015" s="27" t="s">
        <v>48</v>
      </c>
      <c r="F3015" s="27" t="s">
        <v>49</v>
      </c>
      <c r="G3015" s="27" t="s">
        <v>28</v>
      </c>
      <c r="H3015" s="29">
        <v>212</v>
      </c>
      <c r="I3015" s="27" t="s">
        <v>29</v>
      </c>
      <c r="J3015" s="37">
        <v>45595</v>
      </c>
      <c r="K3015" s="27" t="s">
        <v>22</v>
      </c>
    </row>
    <row r="3016" spans="1:11" x14ac:dyDescent="0.2">
      <c r="A3016" s="24" t="s">
        <v>7436</v>
      </c>
      <c r="B3016" s="24" t="s">
        <v>7437</v>
      </c>
      <c r="C3016" s="24" t="s">
        <v>208</v>
      </c>
      <c r="D3016" s="24" t="s">
        <v>17</v>
      </c>
      <c r="E3016" s="24" t="s">
        <v>48</v>
      </c>
      <c r="F3016" s="24" t="s">
        <v>49</v>
      </c>
      <c r="G3016" s="24" t="s">
        <v>116</v>
      </c>
      <c r="H3016" s="26">
        <v>0</v>
      </c>
      <c r="I3016" s="24" t="s">
        <v>21</v>
      </c>
      <c r="J3016" s="36">
        <v>45573</v>
      </c>
      <c r="K3016" s="24" t="s">
        <v>22</v>
      </c>
    </row>
    <row r="3017" spans="1:11" x14ac:dyDescent="0.2">
      <c r="A3017" s="27" t="s">
        <v>7438</v>
      </c>
      <c r="B3017" s="27" t="s">
        <v>7439</v>
      </c>
      <c r="C3017" s="27" t="s">
        <v>618</v>
      </c>
      <c r="D3017" s="27" t="s">
        <v>17</v>
      </c>
      <c r="E3017" s="27" t="s">
        <v>18</v>
      </c>
      <c r="F3017" s="27" t="s">
        <v>19</v>
      </c>
      <c r="G3017" s="27" t="s">
        <v>28</v>
      </c>
      <c r="H3017" s="29">
        <v>560</v>
      </c>
      <c r="I3017" s="27" t="s">
        <v>29</v>
      </c>
      <c r="J3017" s="37">
        <v>45568</v>
      </c>
      <c r="K3017" s="27" t="s">
        <v>22</v>
      </c>
    </row>
    <row r="3018" spans="1:11" x14ac:dyDescent="0.2">
      <c r="A3018" s="24" t="s">
        <v>7440</v>
      </c>
      <c r="B3018" s="24" t="s">
        <v>7441</v>
      </c>
      <c r="C3018" s="24" t="s">
        <v>7442</v>
      </c>
      <c r="D3018" s="24" t="s">
        <v>17</v>
      </c>
      <c r="E3018" s="24" t="s">
        <v>26</v>
      </c>
      <c r="F3018" s="24" t="s">
        <v>27</v>
      </c>
      <c r="G3018" s="24" t="s">
        <v>44</v>
      </c>
      <c r="H3018" s="26">
        <v>10</v>
      </c>
      <c r="I3018" s="24" t="s">
        <v>29</v>
      </c>
      <c r="J3018" s="36">
        <v>45579</v>
      </c>
      <c r="K3018" s="24" t="s">
        <v>22</v>
      </c>
    </row>
    <row r="3019" spans="1:11" x14ac:dyDescent="0.2">
      <c r="A3019" s="27" t="s">
        <v>7443</v>
      </c>
      <c r="B3019" s="27" t="s">
        <v>7444</v>
      </c>
      <c r="C3019" s="27" t="s">
        <v>7445</v>
      </c>
      <c r="D3019" s="27" t="s">
        <v>17</v>
      </c>
      <c r="E3019" s="27" t="s">
        <v>81</v>
      </c>
      <c r="F3019" s="27" t="s">
        <v>82</v>
      </c>
      <c r="G3019" s="27" t="s">
        <v>28</v>
      </c>
      <c r="H3019" s="29">
        <v>100</v>
      </c>
      <c r="I3019" s="27" t="s">
        <v>29</v>
      </c>
      <c r="J3019" s="37">
        <v>45593</v>
      </c>
      <c r="K3019" s="27" t="s">
        <v>22</v>
      </c>
    </row>
    <row r="3020" spans="1:11" x14ac:dyDescent="0.2">
      <c r="A3020" s="24" t="s">
        <v>7446</v>
      </c>
      <c r="B3020" s="24" t="s">
        <v>7447</v>
      </c>
      <c r="C3020" s="24" t="s">
        <v>6439</v>
      </c>
      <c r="D3020" s="24" t="s">
        <v>17</v>
      </c>
      <c r="E3020" s="24" t="s">
        <v>42</v>
      </c>
      <c r="F3020" s="24" t="s">
        <v>43</v>
      </c>
      <c r="G3020" s="24" t="s">
        <v>20</v>
      </c>
      <c r="H3020" s="26">
        <v>283</v>
      </c>
      <c r="I3020" s="24" t="s">
        <v>21</v>
      </c>
      <c r="J3020" s="36">
        <v>45572</v>
      </c>
      <c r="K3020" s="24" t="s">
        <v>22</v>
      </c>
    </row>
    <row r="3021" spans="1:11" x14ac:dyDescent="0.2">
      <c r="A3021" s="27" t="s">
        <v>7448</v>
      </c>
      <c r="B3021" s="27" t="s">
        <v>7449</v>
      </c>
      <c r="C3021" s="27" t="s">
        <v>7450</v>
      </c>
      <c r="D3021" s="27" t="s">
        <v>17</v>
      </c>
      <c r="E3021" s="27" t="s">
        <v>42</v>
      </c>
      <c r="F3021" s="27" t="s">
        <v>43</v>
      </c>
      <c r="G3021" s="27" t="s">
        <v>28</v>
      </c>
      <c r="H3021" s="29">
        <v>364</v>
      </c>
      <c r="I3021" s="27" t="s">
        <v>29</v>
      </c>
      <c r="J3021" s="37">
        <v>45587</v>
      </c>
      <c r="K3021" s="27" t="s">
        <v>22</v>
      </c>
    </row>
    <row r="3022" spans="1:11" x14ac:dyDescent="0.2">
      <c r="A3022" s="24" t="s">
        <v>7451</v>
      </c>
      <c r="B3022" s="24" t="s">
        <v>7452</v>
      </c>
      <c r="C3022" s="24" t="s">
        <v>526</v>
      </c>
      <c r="D3022" s="24" t="s">
        <v>17</v>
      </c>
      <c r="E3022" s="24" t="s">
        <v>18</v>
      </c>
      <c r="F3022" s="24" t="s">
        <v>19</v>
      </c>
      <c r="G3022" s="24" t="s">
        <v>20</v>
      </c>
      <c r="H3022" s="26">
        <v>59</v>
      </c>
      <c r="I3022" s="24" t="s">
        <v>21</v>
      </c>
      <c r="J3022" s="36">
        <v>45587</v>
      </c>
      <c r="K3022" s="24" t="s">
        <v>22</v>
      </c>
    </row>
    <row r="3023" spans="1:11" x14ac:dyDescent="0.2">
      <c r="A3023" s="27" t="s">
        <v>7453</v>
      </c>
      <c r="B3023" s="27" t="s">
        <v>7454</v>
      </c>
      <c r="C3023" s="27" t="s">
        <v>7455</v>
      </c>
      <c r="D3023" s="27" t="s">
        <v>17</v>
      </c>
      <c r="E3023" s="27" t="s">
        <v>18</v>
      </c>
      <c r="F3023" s="27" t="s">
        <v>19</v>
      </c>
      <c r="G3023" s="27" t="s">
        <v>28</v>
      </c>
      <c r="H3023" s="29">
        <v>128</v>
      </c>
      <c r="I3023" s="27" t="s">
        <v>29</v>
      </c>
      <c r="J3023" s="37">
        <v>45589</v>
      </c>
      <c r="K3023" s="27" t="s">
        <v>22</v>
      </c>
    </row>
    <row r="3024" spans="1:11" x14ac:dyDescent="0.2">
      <c r="A3024" s="24" t="s">
        <v>7456</v>
      </c>
      <c r="B3024" s="24" t="s">
        <v>7457</v>
      </c>
      <c r="C3024" s="24" t="s">
        <v>97</v>
      </c>
      <c r="D3024" s="24" t="s">
        <v>17</v>
      </c>
      <c r="E3024" s="24" t="s">
        <v>18</v>
      </c>
      <c r="F3024" s="24" t="s">
        <v>19</v>
      </c>
      <c r="G3024" s="24" t="s">
        <v>20</v>
      </c>
      <c r="H3024" s="26">
        <v>16</v>
      </c>
      <c r="I3024" s="24" t="s">
        <v>21</v>
      </c>
      <c r="J3024" s="36">
        <v>45596</v>
      </c>
      <c r="K3024" s="24" t="s">
        <v>22</v>
      </c>
    </row>
    <row r="3025" spans="1:11" x14ac:dyDescent="0.2">
      <c r="A3025" s="27" t="s">
        <v>7458</v>
      </c>
      <c r="B3025" s="27" t="s">
        <v>7459</v>
      </c>
      <c r="C3025" s="27" t="s">
        <v>1883</v>
      </c>
      <c r="D3025" s="27" t="s">
        <v>17</v>
      </c>
      <c r="E3025" s="27" t="s">
        <v>18</v>
      </c>
      <c r="F3025" s="27" t="s">
        <v>19</v>
      </c>
      <c r="G3025" s="27" t="s">
        <v>217</v>
      </c>
      <c r="H3025" s="29">
        <v>30</v>
      </c>
      <c r="I3025" s="27" t="s">
        <v>29</v>
      </c>
      <c r="J3025" s="37">
        <v>45566</v>
      </c>
      <c r="K3025" s="27" t="s">
        <v>22</v>
      </c>
    </row>
    <row r="3026" spans="1:11" x14ac:dyDescent="0.2">
      <c r="A3026" s="24" t="s">
        <v>7460</v>
      </c>
      <c r="B3026" s="24" t="s">
        <v>7461</v>
      </c>
      <c r="C3026" s="24" t="s">
        <v>1017</v>
      </c>
      <c r="D3026" s="24" t="s">
        <v>17</v>
      </c>
      <c r="E3026" s="24" t="s">
        <v>26</v>
      </c>
      <c r="F3026" s="24" t="s">
        <v>27</v>
      </c>
      <c r="G3026" s="24" t="s">
        <v>28</v>
      </c>
      <c r="H3026" s="26">
        <v>258</v>
      </c>
      <c r="I3026" s="24" t="s">
        <v>29</v>
      </c>
      <c r="J3026" s="36">
        <v>45589</v>
      </c>
      <c r="K3026" s="24" t="s">
        <v>22</v>
      </c>
    </row>
    <row r="3027" spans="1:11" x14ac:dyDescent="0.2">
      <c r="A3027" s="27" t="s">
        <v>7462</v>
      </c>
      <c r="B3027" s="27" t="s">
        <v>7463</v>
      </c>
      <c r="C3027" s="27" t="s">
        <v>5409</v>
      </c>
      <c r="D3027" s="27" t="s">
        <v>17</v>
      </c>
      <c r="E3027" s="27" t="s">
        <v>18</v>
      </c>
      <c r="F3027" s="27" t="s">
        <v>19</v>
      </c>
      <c r="G3027" s="27" t="s">
        <v>20</v>
      </c>
      <c r="H3027" s="29">
        <v>24</v>
      </c>
      <c r="I3027" s="27" t="s">
        <v>21</v>
      </c>
      <c r="J3027" s="37">
        <v>45572</v>
      </c>
      <c r="K3027" s="27" t="s">
        <v>22</v>
      </c>
    </row>
    <row r="3028" spans="1:11" x14ac:dyDescent="0.2">
      <c r="A3028" s="24" t="s">
        <v>7464</v>
      </c>
      <c r="B3028" s="24" t="s">
        <v>7465</v>
      </c>
      <c r="C3028" s="24" t="s">
        <v>526</v>
      </c>
      <c r="D3028" s="24" t="s">
        <v>17</v>
      </c>
      <c r="E3028" s="24" t="s">
        <v>48</v>
      </c>
      <c r="F3028" s="24" t="s">
        <v>49</v>
      </c>
      <c r="G3028" s="24" t="s">
        <v>28</v>
      </c>
      <c r="H3028" s="26">
        <v>140</v>
      </c>
      <c r="I3028" s="24" t="s">
        <v>29</v>
      </c>
      <c r="J3028" s="36">
        <v>45575</v>
      </c>
      <c r="K3028" s="24" t="s">
        <v>22</v>
      </c>
    </row>
    <row r="3029" spans="1:11" x14ac:dyDescent="0.2">
      <c r="A3029" s="27" t="s">
        <v>7466</v>
      </c>
      <c r="B3029" s="27" t="s">
        <v>7467</v>
      </c>
      <c r="C3029" s="27" t="s">
        <v>7468</v>
      </c>
      <c r="D3029" s="27" t="s">
        <v>17</v>
      </c>
      <c r="E3029" s="27" t="s">
        <v>48</v>
      </c>
      <c r="F3029" s="27" t="s">
        <v>49</v>
      </c>
      <c r="G3029" s="27" t="s">
        <v>28</v>
      </c>
      <c r="H3029" s="29">
        <v>220</v>
      </c>
      <c r="I3029" s="27" t="s">
        <v>29</v>
      </c>
      <c r="J3029" s="37">
        <v>45588</v>
      </c>
      <c r="K3029" s="27" t="s">
        <v>22</v>
      </c>
    </row>
    <row r="3030" spans="1:11" x14ac:dyDescent="0.2">
      <c r="A3030" s="24" t="s">
        <v>7469</v>
      </c>
      <c r="B3030" s="24" t="s">
        <v>7470</v>
      </c>
      <c r="C3030" s="24" t="s">
        <v>7471</v>
      </c>
      <c r="D3030" s="24" t="s">
        <v>17</v>
      </c>
      <c r="E3030" s="24" t="s">
        <v>48</v>
      </c>
      <c r="F3030" s="24" t="s">
        <v>49</v>
      </c>
      <c r="G3030" s="24" t="s">
        <v>44</v>
      </c>
      <c r="H3030" s="26">
        <v>12</v>
      </c>
      <c r="I3030" s="24" t="s">
        <v>29</v>
      </c>
      <c r="J3030" s="36">
        <v>45586</v>
      </c>
      <c r="K3030" s="24" t="s">
        <v>22</v>
      </c>
    </row>
    <row r="3031" spans="1:11" x14ac:dyDescent="0.2">
      <c r="A3031" s="27" t="s">
        <v>7472</v>
      </c>
      <c r="B3031" s="27" t="s">
        <v>7473</v>
      </c>
      <c r="C3031" s="27" t="s">
        <v>3447</v>
      </c>
      <c r="D3031" s="27" t="s">
        <v>17</v>
      </c>
      <c r="E3031" s="27" t="s">
        <v>26</v>
      </c>
      <c r="F3031" s="27" t="s">
        <v>27</v>
      </c>
      <c r="G3031" s="27" t="s">
        <v>28</v>
      </c>
      <c r="H3031" s="29">
        <v>20</v>
      </c>
      <c r="I3031" s="27" t="s">
        <v>29</v>
      </c>
      <c r="J3031" s="37">
        <v>45585</v>
      </c>
      <c r="K3031" s="27" t="s">
        <v>22</v>
      </c>
    </row>
    <row r="3032" spans="1:11" x14ac:dyDescent="0.2">
      <c r="A3032" s="24" t="s">
        <v>7474</v>
      </c>
      <c r="B3032" s="24" t="s">
        <v>7475</v>
      </c>
      <c r="C3032" s="24" t="s">
        <v>1307</v>
      </c>
      <c r="D3032" s="24" t="s">
        <v>17</v>
      </c>
      <c r="E3032" s="24" t="s">
        <v>18</v>
      </c>
      <c r="F3032" s="24" t="s">
        <v>19</v>
      </c>
      <c r="G3032" s="24" t="s">
        <v>20</v>
      </c>
      <c r="H3032" s="26">
        <v>44</v>
      </c>
      <c r="I3032" s="24" t="s">
        <v>21</v>
      </c>
      <c r="J3032" s="36">
        <v>45582</v>
      </c>
      <c r="K3032" s="24" t="s">
        <v>22</v>
      </c>
    </row>
    <row r="3033" spans="1:11" x14ac:dyDescent="0.2">
      <c r="A3033" s="27" t="s">
        <v>7476</v>
      </c>
      <c r="B3033" s="27" t="s">
        <v>7477</v>
      </c>
      <c r="C3033" s="27" t="s">
        <v>1233</v>
      </c>
      <c r="D3033" s="27" t="s">
        <v>17</v>
      </c>
      <c r="E3033" s="27" t="s">
        <v>18</v>
      </c>
      <c r="F3033" s="27" t="s">
        <v>19</v>
      </c>
      <c r="G3033" s="27" t="s">
        <v>44</v>
      </c>
      <c r="H3033" s="29">
        <v>12</v>
      </c>
      <c r="I3033" s="27" t="s">
        <v>29</v>
      </c>
      <c r="J3033" s="37">
        <v>45587</v>
      </c>
      <c r="K3033" s="27" t="s">
        <v>22</v>
      </c>
    </row>
    <row r="3034" spans="1:11" x14ac:dyDescent="0.2">
      <c r="A3034" s="24" t="s">
        <v>7478</v>
      </c>
      <c r="B3034" s="24" t="s">
        <v>7479</v>
      </c>
      <c r="C3034" s="24" t="s">
        <v>1876</v>
      </c>
      <c r="D3034" s="24" t="s">
        <v>17</v>
      </c>
      <c r="E3034" s="24" t="s">
        <v>42</v>
      </c>
      <c r="F3034" s="24" t="s">
        <v>43</v>
      </c>
      <c r="G3034" s="24" t="s">
        <v>28</v>
      </c>
      <c r="H3034" s="26">
        <v>458</v>
      </c>
      <c r="I3034" s="24" t="s">
        <v>29</v>
      </c>
      <c r="J3034" s="36">
        <v>45568</v>
      </c>
      <c r="K3034" s="24" t="s">
        <v>22</v>
      </c>
    </row>
    <row r="3035" spans="1:11" x14ac:dyDescent="0.2">
      <c r="A3035" s="27" t="s">
        <v>7480</v>
      </c>
      <c r="B3035" s="27" t="s">
        <v>7481</v>
      </c>
      <c r="C3035" s="27" t="s">
        <v>7482</v>
      </c>
      <c r="D3035" s="27" t="s">
        <v>17</v>
      </c>
      <c r="E3035" s="27" t="s">
        <v>42</v>
      </c>
      <c r="F3035" s="27" t="s">
        <v>43</v>
      </c>
      <c r="G3035" s="27" t="s">
        <v>28</v>
      </c>
      <c r="H3035" s="29">
        <v>620</v>
      </c>
      <c r="I3035" s="27" t="s">
        <v>29</v>
      </c>
      <c r="J3035" s="37">
        <v>45593</v>
      </c>
      <c r="K3035" s="27" t="s">
        <v>22</v>
      </c>
    </row>
    <row r="3036" spans="1:11" x14ac:dyDescent="0.2">
      <c r="A3036" s="24" t="s">
        <v>7483</v>
      </c>
      <c r="B3036" s="24" t="s">
        <v>7484</v>
      </c>
      <c r="C3036" s="24" t="s">
        <v>4269</v>
      </c>
      <c r="D3036" s="24" t="s">
        <v>17</v>
      </c>
      <c r="E3036" s="24" t="s">
        <v>18</v>
      </c>
      <c r="F3036" s="24" t="s">
        <v>19</v>
      </c>
      <c r="G3036" s="24" t="s">
        <v>20</v>
      </c>
      <c r="H3036" s="26">
        <v>34</v>
      </c>
      <c r="I3036" s="24" t="s">
        <v>21</v>
      </c>
      <c r="J3036" s="36">
        <v>45571</v>
      </c>
      <c r="K3036" s="24" t="s">
        <v>22</v>
      </c>
    </row>
    <row r="3037" spans="1:11" x14ac:dyDescent="0.2">
      <c r="A3037" s="27" t="s">
        <v>7485</v>
      </c>
      <c r="B3037" s="27" t="s">
        <v>7486</v>
      </c>
      <c r="C3037" s="27" t="s">
        <v>7487</v>
      </c>
      <c r="D3037" s="27" t="s">
        <v>17</v>
      </c>
      <c r="E3037" s="27" t="s">
        <v>48</v>
      </c>
      <c r="F3037" s="27" t="s">
        <v>49</v>
      </c>
      <c r="G3037" s="27" t="s">
        <v>44</v>
      </c>
      <c r="H3037" s="29">
        <v>25</v>
      </c>
      <c r="I3037" s="27" t="s">
        <v>29</v>
      </c>
      <c r="J3037" s="37">
        <v>45581</v>
      </c>
      <c r="K3037" s="27" t="s">
        <v>22</v>
      </c>
    </row>
    <row r="3038" spans="1:11" x14ac:dyDescent="0.2">
      <c r="A3038" s="24" t="s">
        <v>7488</v>
      </c>
      <c r="B3038" s="24" t="s">
        <v>7489</v>
      </c>
      <c r="C3038" s="24" t="s">
        <v>91</v>
      </c>
      <c r="D3038" s="24" t="s">
        <v>17</v>
      </c>
      <c r="E3038" s="24" t="s">
        <v>42</v>
      </c>
      <c r="F3038" s="24" t="s">
        <v>43</v>
      </c>
      <c r="G3038" s="24" t="s">
        <v>28</v>
      </c>
      <c r="H3038" s="26">
        <v>516</v>
      </c>
      <c r="I3038" s="24" t="s">
        <v>29</v>
      </c>
      <c r="J3038" s="36">
        <v>45588</v>
      </c>
      <c r="K3038" s="24" t="s">
        <v>22</v>
      </c>
    </row>
    <row r="3039" spans="1:11" x14ac:dyDescent="0.2">
      <c r="A3039" s="27" t="s">
        <v>7490</v>
      </c>
      <c r="B3039" s="27" t="s">
        <v>7491</v>
      </c>
      <c r="C3039" s="27" t="s">
        <v>251</v>
      </c>
      <c r="D3039" s="27" t="s">
        <v>17</v>
      </c>
      <c r="E3039" s="27" t="s">
        <v>26</v>
      </c>
      <c r="F3039" s="27" t="s">
        <v>27</v>
      </c>
      <c r="G3039" s="27" t="s">
        <v>28</v>
      </c>
      <c r="H3039" s="29">
        <v>232</v>
      </c>
      <c r="I3039" s="27" t="s">
        <v>29</v>
      </c>
      <c r="J3039" s="37">
        <v>45589</v>
      </c>
      <c r="K3039" s="27" t="s">
        <v>22</v>
      </c>
    </row>
    <row r="3040" spans="1:11" x14ac:dyDescent="0.2">
      <c r="A3040" s="24" t="s">
        <v>7492</v>
      </c>
      <c r="B3040" s="24" t="s">
        <v>7493</v>
      </c>
      <c r="C3040" s="24" t="s">
        <v>301</v>
      </c>
      <c r="D3040" s="24" t="s">
        <v>17</v>
      </c>
      <c r="E3040" s="24" t="s">
        <v>18</v>
      </c>
      <c r="F3040" s="24" t="s">
        <v>19</v>
      </c>
      <c r="G3040" s="24" t="s">
        <v>44</v>
      </c>
      <c r="H3040" s="26">
        <v>19</v>
      </c>
      <c r="I3040" s="24" t="s">
        <v>21</v>
      </c>
      <c r="J3040" s="36">
        <v>45587</v>
      </c>
      <c r="K3040" s="24" t="s">
        <v>22</v>
      </c>
    </row>
    <row r="3041" spans="1:11" x14ac:dyDescent="0.2">
      <c r="A3041" s="27" t="s">
        <v>7494</v>
      </c>
      <c r="B3041" s="27" t="s">
        <v>7495</v>
      </c>
      <c r="C3041" s="27" t="s">
        <v>301</v>
      </c>
      <c r="D3041" s="27" t="s">
        <v>17</v>
      </c>
      <c r="E3041" s="27" t="s">
        <v>42</v>
      </c>
      <c r="F3041" s="27" t="s">
        <v>43</v>
      </c>
      <c r="G3041" s="27" t="s">
        <v>28</v>
      </c>
      <c r="H3041" s="29">
        <v>196</v>
      </c>
      <c r="I3041" s="27" t="s">
        <v>29</v>
      </c>
      <c r="J3041" s="37">
        <v>45594</v>
      </c>
      <c r="K3041" s="27" t="s">
        <v>22</v>
      </c>
    </row>
    <row r="3042" spans="1:11" x14ac:dyDescent="0.2">
      <c r="A3042" s="24" t="s">
        <v>7496</v>
      </c>
      <c r="B3042" s="24" t="s">
        <v>7497</v>
      </c>
      <c r="C3042" s="24" t="s">
        <v>2321</v>
      </c>
      <c r="D3042" s="24" t="s">
        <v>17</v>
      </c>
      <c r="E3042" s="24" t="s">
        <v>48</v>
      </c>
      <c r="F3042" s="24" t="s">
        <v>49</v>
      </c>
      <c r="G3042" s="24" t="s">
        <v>44</v>
      </c>
      <c r="H3042" s="26">
        <v>12</v>
      </c>
      <c r="I3042" s="24" t="s">
        <v>29</v>
      </c>
      <c r="J3042" s="36">
        <v>45586</v>
      </c>
      <c r="K3042" s="24" t="s">
        <v>22</v>
      </c>
    </row>
    <row r="3043" spans="1:11" x14ac:dyDescent="0.2">
      <c r="A3043" s="27" t="s">
        <v>7498</v>
      </c>
      <c r="B3043" s="27" t="s">
        <v>7499</v>
      </c>
      <c r="C3043" s="27" t="s">
        <v>1438</v>
      </c>
      <c r="D3043" s="27" t="s">
        <v>17</v>
      </c>
      <c r="E3043" s="27" t="s">
        <v>42</v>
      </c>
      <c r="F3043" s="27" t="s">
        <v>43</v>
      </c>
      <c r="G3043" s="27" t="s">
        <v>20</v>
      </c>
      <c r="H3043" s="29">
        <v>76</v>
      </c>
      <c r="I3043" s="27" t="s">
        <v>21</v>
      </c>
      <c r="J3043" s="37">
        <v>45590</v>
      </c>
      <c r="K3043" s="27" t="s">
        <v>22</v>
      </c>
    </row>
    <row r="3044" spans="1:11" x14ac:dyDescent="0.2">
      <c r="A3044" s="24" t="s">
        <v>7500</v>
      </c>
      <c r="B3044" s="24" t="s">
        <v>7501</v>
      </c>
      <c r="C3044" s="24" t="s">
        <v>7502</v>
      </c>
      <c r="D3044" s="24" t="s">
        <v>17</v>
      </c>
      <c r="E3044" s="24" t="s">
        <v>18</v>
      </c>
      <c r="F3044" s="24" t="s">
        <v>19</v>
      </c>
      <c r="G3044" s="24" t="s">
        <v>28</v>
      </c>
      <c r="H3044" s="26">
        <v>92</v>
      </c>
      <c r="I3044" s="24" t="s">
        <v>29</v>
      </c>
      <c r="J3044" s="36">
        <v>45587</v>
      </c>
      <c r="K3044" s="24" t="s">
        <v>22</v>
      </c>
    </row>
    <row r="3045" spans="1:11" x14ac:dyDescent="0.2">
      <c r="A3045" s="27" t="s">
        <v>7503</v>
      </c>
      <c r="B3045" s="27" t="s">
        <v>7504</v>
      </c>
      <c r="C3045" s="27" t="s">
        <v>3199</v>
      </c>
      <c r="D3045" s="27" t="s">
        <v>17</v>
      </c>
      <c r="E3045" s="27" t="s">
        <v>18</v>
      </c>
      <c r="F3045" s="27" t="s">
        <v>19</v>
      </c>
      <c r="G3045" s="27" t="s">
        <v>217</v>
      </c>
      <c r="H3045" s="29">
        <v>32</v>
      </c>
      <c r="I3045" s="27" t="s">
        <v>29</v>
      </c>
      <c r="J3045" s="37">
        <v>45595</v>
      </c>
      <c r="K3045" s="27" t="s">
        <v>22</v>
      </c>
    </row>
    <row r="3046" spans="1:11" x14ac:dyDescent="0.2">
      <c r="A3046" s="24" t="s">
        <v>7505</v>
      </c>
      <c r="B3046" s="24" t="s">
        <v>7506</v>
      </c>
      <c r="C3046" s="24" t="s">
        <v>7507</v>
      </c>
      <c r="D3046" s="24" t="s">
        <v>17</v>
      </c>
      <c r="E3046" s="24" t="s">
        <v>18</v>
      </c>
      <c r="F3046" s="24" t="s">
        <v>19</v>
      </c>
      <c r="G3046" s="24" t="s">
        <v>116</v>
      </c>
      <c r="H3046" s="26">
        <v>0</v>
      </c>
      <c r="I3046" s="24" t="s">
        <v>21</v>
      </c>
      <c r="J3046" s="36">
        <v>45596</v>
      </c>
      <c r="K3046" s="24" t="s">
        <v>22</v>
      </c>
    </row>
    <row r="3047" spans="1:11" x14ac:dyDescent="0.2">
      <c r="A3047" s="27" t="s">
        <v>7508</v>
      </c>
      <c r="B3047" s="27" t="s">
        <v>7509</v>
      </c>
      <c r="C3047" s="27" t="s">
        <v>277</v>
      </c>
      <c r="D3047" s="27" t="s">
        <v>17</v>
      </c>
      <c r="E3047" s="27" t="s">
        <v>18</v>
      </c>
      <c r="F3047" s="27" t="s">
        <v>19</v>
      </c>
      <c r="G3047" s="27" t="s">
        <v>20</v>
      </c>
      <c r="H3047" s="29">
        <v>25</v>
      </c>
      <c r="I3047" s="27" t="s">
        <v>21</v>
      </c>
      <c r="J3047" s="37">
        <v>45581</v>
      </c>
      <c r="K3047" s="27" t="s">
        <v>22</v>
      </c>
    </row>
    <row r="3048" spans="1:11" x14ac:dyDescent="0.2">
      <c r="A3048" s="24" t="s">
        <v>7510</v>
      </c>
      <c r="B3048" s="24" t="s">
        <v>7511</v>
      </c>
      <c r="C3048" s="24" t="s">
        <v>7512</v>
      </c>
      <c r="D3048" s="24" t="s">
        <v>17</v>
      </c>
      <c r="E3048" s="24" t="s">
        <v>42</v>
      </c>
      <c r="F3048" s="24" t="s">
        <v>43</v>
      </c>
      <c r="G3048" s="24" t="s">
        <v>44</v>
      </c>
      <c r="H3048" s="26">
        <v>128</v>
      </c>
      <c r="I3048" s="24" t="s">
        <v>29</v>
      </c>
      <c r="J3048" s="36">
        <v>45574</v>
      </c>
      <c r="K3048" s="24" t="s">
        <v>22</v>
      </c>
    </row>
    <row r="3049" spans="1:11" x14ac:dyDescent="0.2">
      <c r="A3049" s="27" t="s">
        <v>7513</v>
      </c>
      <c r="B3049" s="27" t="s">
        <v>7514</v>
      </c>
      <c r="C3049" s="27" t="s">
        <v>7515</v>
      </c>
      <c r="D3049" s="27" t="s">
        <v>17</v>
      </c>
      <c r="E3049" s="27" t="s">
        <v>42</v>
      </c>
      <c r="F3049" s="27" t="s">
        <v>43</v>
      </c>
      <c r="G3049" s="27" t="s">
        <v>217</v>
      </c>
      <c r="H3049" s="29">
        <v>376</v>
      </c>
      <c r="I3049" s="27" t="s">
        <v>29</v>
      </c>
      <c r="J3049" s="37">
        <v>45566</v>
      </c>
      <c r="K3049" s="27" t="s">
        <v>22</v>
      </c>
    </row>
    <row r="3050" spans="1:11" x14ac:dyDescent="0.2">
      <c r="A3050" s="24" t="s">
        <v>7516</v>
      </c>
      <c r="B3050" s="24" t="s">
        <v>7517</v>
      </c>
      <c r="C3050" s="24" t="s">
        <v>687</v>
      </c>
      <c r="D3050" s="24" t="s">
        <v>17</v>
      </c>
      <c r="E3050" s="24" t="s">
        <v>18</v>
      </c>
      <c r="F3050" s="24" t="s">
        <v>19</v>
      </c>
      <c r="G3050" s="24" t="s">
        <v>20</v>
      </c>
      <c r="H3050" s="26">
        <v>90</v>
      </c>
      <c r="I3050" s="24" t="s">
        <v>21</v>
      </c>
      <c r="J3050" s="36">
        <v>45580</v>
      </c>
      <c r="K3050" s="24" t="s">
        <v>22</v>
      </c>
    </row>
    <row r="3051" spans="1:11" x14ac:dyDescent="0.2">
      <c r="A3051" s="27" t="s">
        <v>7518</v>
      </c>
      <c r="B3051" s="27" t="s">
        <v>7519</v>
      </c>
      <c r="C3051" s="27" t="s">
        <v>354</v>
      </c>
      <c r="D3051" s="27" t="s">
        <v>17</v>
      </c>
      <c r="E3051" s="27" t="s">
        <v>42</v>
      </c>
      <c r="F3051" s="27" t="s">
        <v>43</v>
      </c>
      <c r="G3051" s="27" t="s">
        <v>28</v>
      </c>
      <c r="H3051" s="29">
        <v>1100</v>
      </c>
      <c r="I3051" s="27" t="s">
        <v>29</v>
      </c>
      <c r="J3051" s="37">
        <v>45566</v>
      </c>
      <c r="K3051" s="27" t="s">
        <v>22</v>
      </c>
    </row>
    <row r="3052" spans="1:11" x14ac:dyDescent="0.2">
      <c r="A3052" s="24" t="s">
        <v>7520</v>
      </c>
      <c r="B3052" s="24" t="s">
        <v>7521</v>
      </c>
      <c r="C3052" s="24" t="s">
        <v>526</v>
      </c>
      <c r="D3052" s="24" t="s">
        <v>17</v>
      </c>
      <c r="E3052" s="24" t="s">
        <v>42</v>
      </c>
      <c r="F3052" s="24" t="s">
        <v>43</v>
      </c>
      <c r="G3052" s="24" t="s">
        <v>44</v>
      </c>
      <c r="H3052" s="26">
        <v>600</v>
      </c>
      <c r="I3052" s="24" t="s">
        <v>29</v>
      </c>
      <c r="J3052" s="36">
        <v>45587</v>
      </c>
      <c r="K3052" s="24" t="s">
        <v>22</v>
      </c>
    </row>
    <row r="3053" spans="1:11" x14ac:dyDescent="0.2">
      <c r="A3053" s="27" t="s">
        <v>7522</v>
      </c>
      <c r="B3053" s="27" t="s">
        <v>7523</v>
      </c>
      <c r="C3053" s="27" t="s">
        <v>1572</v>
      </c>
      <c r="D3053" s="27" t="s">
        <v>17</v>
      </c>
      <c r="E3053" s="27" t="s">
        <v>42</v>
      </c>
      <c r="F3053" s="27" t="s">
        <v>43</v>
      </c>
      <c r="G3053" s="27" t="s">
        <v>28</v>
      </c>
      <c r="H3053" s="29">
        <v>24</v>
      </c>
      <c r="I3053" s="27" t="s">
        <v>29</v>
      </c>
      <c r="J3053" s="37">
        <v>45579</v>
      </c>
      <c r="K3053" s="27" t="s">
        <v>22</v>
      </c>
    </row>
    <row r="3054" spans="1:11" x14ac:dyDescent="0.2">
      <c r="A3054" s="24" t="s">
        <v>7524</v>
      </c>
      <c r="B3054" s="24" t="s">
        <v>7525</v>
      </c>
      <c r="C3054" s="24" t="s">
        <v>1283</v>
      </c>
      <c r="D3054" s="24" t="s">
        <v>17</v>
      </c>
      <c r="E3054" s="24" t="s">
        <v>26</v>
      </c>
      <c r="F3054" s="24" t="s">
        <v>27</v>
      </c>
      <c r="G3054" s="24" t="s">
        <v>28</v>
      </c>
      <c r="H3054" s="26">
        <v>441</v>
      </c>
      <c r="I3054" s="24" t="s">
        <v>29</v>
      </c>
      <c r="J3054" s="36">
        <v>45575</v>
      </c>
      <c r="K3054" s="24" t="s">
        <v>22</v>
      </c>
    </row>
    <row r="3055" spans="1:11" x14ac:dyDescent="0.2">
      <c r="A3055" s="27" t="s">
        <v>7526</v>
      </c>
      <c r="B3055" s="27" t="s">
        <v>7527</v>
      </c>
      <c r="C3055" s="27" t="s">
        <v>97</v>
      </c>
      <c r="D3055" s="27" t="s">
        <v>17</v>
      </c>
      <c r="E3055" s="27" t="s">
        <v>48</v>
      </c>
      <c r="F3055" s="27" t="s">
        <v>49</v>
      </c>
      <c r="G3055" s="27" t="s">
        <v>20</v>
      </c>
      <c r="H3055" s="29">
        <v>202</v>
      </c>
      <c r="I3055" s="27" t="s">
        <v>21</v>
      </c>
      <c r="J3055" s="37">
        <v>45595</v>
      </c>
      <c r="K3055" s="27" t="s">
        <v>22</v>
      </c>
    </row>
    <row r="3056" spans="1:11" x14ac:dyDescent="0.2">
      <c r="A3056" s="24" t="s">
        <v>7528</v>
      </c>
      <c r="B3056" s="24" t="s">
        <v>7529</v>
      </c>
      <c r="C3056" s="24" t="s">
        <v>1931</v>
      </c>
      <c r="D3056" s="24" t="s">
        <v>17</v>
      </c>
      <c r="E3056" s="24" t="s">
        <v>18</v>
      </c>
      <c r="F3056" s="24" t="s">
        <v>19</v>
      </c>
      <c r="G3056" s="24" t="s">
        <v>28</v>
      </c>
      <c r="H3056" s="26">
        <v>87</v>
      </c>
      <c r="I3056" s="24" t="s">
        <v>29</v>
      </c>
      <c r="J3056" s="36">
        <v>45583</v>
      </c>
      <c r="K3056" s="24" t="s">
        <v>22</v>
      </c>
    </row>
    <row r="3057" spans="1:11" x14ac:dyDescent="0.2">
      <c r="A3057" s="27" t="s">
        <v>7530</v>
      </c>
      <c r="B3057" s="27" t="s">
        <v>7531</v>
      </c>
      <c r="C3057" s="27" t="s">
        <v>6118</v>
      </c>
      <c r="D3057" s="27" t="s">
        <v>17</v>
      </c>
      <c r="E3057" s="27" t="s">
        <v>48</v>
      </c>
      <c r="F3057" s="27" t="s">
        <v>49</v>
      </c>
      <c r="G3057" s="27" t="s">
        <v>28</v>
      </c>
      <c r="H3057" s="29">
        <v>250</v>
      </c>
      <c r="I3057" s="27" t="s">
        <v>29</v>
      </c>
      <c r="J3057" s="37">
        <v>45596</v>
      </c>
      <c r="K3057" s="27" t="s">
        <v>22</v>
      </c>
    </row>
    <row r="3058" spans="1:11" x14ac:dyDescent="0.2">
      <c r="A3058" s="24" t="s">
        <v>7532</v>
      </c>
      <c r="B3058" s="24" t="s">
        <v>7533</v>
      </c>
      <c r="C3058" s="24" t="s">
        <v>106</v>
      </c>
      <c r="D3058" s="24" t="s">
        <v>17</v>
      </c>
      <c r="E3058" s="24" t="s">
        <v>18</v>
      </c>
      <c r="F3058" s="24" t="s">
        <v>19</v>
      </c>
      <c r="G3058" s="24" t="s">
        <v>20</v>
      </c>
      <c r="H3058" s="26">
        <v>34</v>
      </c>
      <c r="I3058" s="24" t="s">
        <v>21</v>
      </c>
      <c r="J3058" s="36">
        <v>45566</v>
      </c>
      <c r="K3058" s="24" t="s">
        <v>22</v>
      </c>
    </row>
    <row r="3059" spans="1:11" x14ac:dyDescent="0.2">
      <c r="A3059" s="27" t="s">
        <v>7534</v>
      </c>
      <c r="B3059" s="27" t="s">
        <v>7535</v>
      </c>
      <c r="C3059" s="27" t="s">
        <v>526</v>
      </c>
      <c r="D3059" s="27" t="s">
        <v>17</v>
      </c>
      <c r="E3059" s="27" t="s">
        <v>48</v>
      </c>
      <c r="F3059" s="27" t="s">
        <v>49</v>
      </c>
      <c r="G3059" s="27" t="s">
        <v>116</v>
      </c>
      <c r="H3059" s="29">
        <v>0</v>
      </c>
      <c r="I3059" s="27" t="s">
        <v>21</v>
      </c>
      <c r="J3059" s="37">
        <v>45574</v>
      </c>
      <c r="K3059" s="27" t="s">
        <v>22</v>
      </c>
    </row>
    <row r="3060" spans="1:11" x14ac:dyDescent="0.2">
      <c r="A3060" s="24" t="s">
        <v>7536</v>
      </c>
      <c r="B3060" s="24" t="s">
        <v>7537</v>
      </c>
      <c r="C3060" s="24" t="s">
        <v>4269</v>
      </c>
      <c r="D3060" s="24" t="s">
        <v>17</v>
      </c>
      <c r="E3060" s="24" t="s">
        <v>26</v>
      </c>
      <c r="F3060" s="24" t="s">
        <v>27</v>
      </c>
      <c r="G3060" s="24" t="s">
        <v>28</v>
      </c>
      <c r="H3060" s="26">
        <v>161</v>
      </c>
      <c r="I3060" s="24" t="s">
        <v>29</v>
      </c>
      <c r="J3060" s="36">
        <v>45567</v>
      </c>
      <c r="K3060" s="24" t="s">
        <v>22</v>
      </c>
    </row>
    <row r="3061" spans="1:11" x14ac:dyDescent="0.2">
      <c r="A3061" s="27" t="s">
        <v>7538</v>
      </c>
      <c r="B3061" s="27" t="s">
        <v>7539</v>
      </c>
      <c r="C3061" s="27" t="s">
        <v>55</v>
      </c>
      <c r="D3061" s="27" t="s">
        <v>17</v>
      </c>
      <c r="E3061" s="27" t="s">
        <v>42</v>
      </c>
      <c r="F3061" s="27" t="s">
        <v>43</v>
      </c>
      <c r="G3061" s="27" t="s">
        <v>28</v>
      </c>
      <c r="H3061" s="29">
        <v>680</v>
      </c>
      <c r="I3061" s="27" t="s">
        <v>29</v>
      </c>
      <c r="J3061" s="37">
        <v>45586</v>
      </c>
      <c r="K3061" s="27" t="s">
        <v>22</v>
      </c>
    </row>
    <row r="3062" spans="1:11" x14ac:dyDescent="0.2">
      <c r="A3062" s="24" t="s">
        <v>7540</v>
      </c>
      <c r="B3062" s="24" t="s">
        <v>7541</v>
      </c>
      <c r="C3062" s="24" t="s">
        <v>2238</v>
      </c>
      <c r="D3062" s="24" t="s">
        <v>17</v>
      </c>
      <c r="E3062" s="24" t="s">
        <v>18</v>
      </c>
      <c r="F3062" s="24" t="s">
        <v>19</v>
      </c>
      <c r="G3062" s="24" t="s">
        <v>44</v>
      </c>
      <c r="H3062" s="26">
        <v>80</v>
      </c>
      <c r="I3062" s="24" t="s">
        <v>29</v>
      </c>
      <c r="J3062" s="36">
        <v>45585</v>
      </c>
      <c r="K3062" s="24" t="s">
        <v>22</v>
      </c>
    </row>
    <row r="3063" spans="1:11" x14ac:dyDescent="0.2">
      <c r="A3063" s="27" t="s">
        <v>7542</v>
      </c>
      <c r="B3063" s="27" t="s">
        <v>7543</v>
      </c>
      <c r="C3063" s="27" t="s">
        <v>4244</v>
      </c>
      <c r="D3063" s="27" t="s">
        <v>17</v>
      </c>
      <c r="E3063" s="27" t="s">
        <v>18</v>
      </c>
      <c r="F3063" s="27" t="s">
        <v>19</v>
      </c>
      <c r="G3063" s="27" t="s">
        <v>44</v>
      </c>
      <c r="H3063" s="29">
        <v>18</v>
      </c>
      <c r="I3063" s="27" t="s">
        <v>29</v>
      </c>
      <c r="J3063" s="37">
        <v>45596</v>
      </c>
      <c r="K3063" s="27" t="s">
        <v>22</v>
      </c>
    </row>
    <row r="3064" spans="1:11" x14ac:dyDescent="0.2">
      <c r="A3064" s="24" t="s">
        <v>7544</v>
      </c>
      <c r="B3064" s="24" t="s">
        <v>7545</v>
      </c>
      <c r="C3064" s="24" t="s">
        <v>7546</v>
      </c>
      <c r="D3064" s="24" t="s">
        <v>17</v>
      </c>
      <c r="E3064" s="24" t="s">
        <v>18</v>
      </c>
      <c r="F3064" s="24" t="s">
        <v>19</v>
      </c>
      <c r="G3064" s="24" t="s">
        <v>28</v>
      </c>
      <c r="H3064" s="26">
        <v>12</v>
      </c>
      <c r="I3064" s="24" t="s">
        <v>29</v>
      </c>
      <c r="J3064" s="36">
        <v>45582</v>
      </c>
      <c r="K3064" s="24" t="s">
        <v>22</v>
      </c>
    </row>
    <row r="3065" spans="1:11" x14ac:dyDescent="0.2">
      <c r="A3065" s="27" t="s">
        <v>7547</v>
      </c>
      <c r="B3065" s="27" t="s">
        <v>7548</v>
      </c>
      <c r="C3065" s="27" t="s">
        <v>743</v>
      </c>
      <c r="D3065" s="27" t="s">
        <v>17</v>
      </c>
      <c r="E3065" s="27" t="s">
        <v>163</v>
      </c>
      <c r="F3065" s="27" t="s">
        <v>164</v>
      </c>
      <c r="G3065" s="27" t="s">
        <v>217</v>
      </c>
      <c r="H3065" s="29">
        <v>9</v>
      </c>
      <c r="I3065" s="27" t="s">
        <v>29</v>
      </c>
      <c r="J3065" s="37">
        <v>45566</v>
      </c>
      <c r="K3065" s="27" t="s">
        <v>22</v>
      </c>
    </row>
    <row r="3066" spans="1:11" x14ac:dyDescent="0.2">
      <c r="A3066" s="24" t="s">
        <v>7549</v>
      </c>
      <c r="B3066" s="24" t="s">
        <v>7550</v>
      </c>
      <c r="C3066" s="24" t="s">
        <v>1260</v>
      </c>
      <c r="D3066" s="24" t="s">
        <v>17</v>
      </c>
      <c r="E3066" s="24" t="s">
        <v>18</v>
      </c>
      <c r="F3066" s="24" t="s">
        <v>19</v>
      </c>
      <c r="G3066" s="24" t="s">
        <v>44</v>
      </c>
      <c r="H3066" s="26">
        <v>102</v>
      </c>
      <c r="I3066" s="24" t="s">
        <v>29</v>
      </c>
      <c r="J3066" s="36">
        <v>45567</v>
      </c>
      <c r="K3066" s="24" t="s">
        <v>22</v>
      </c>
    </row>
    <row r="3067" spans="1:11" x14ac:dyDescent="0.2">
      <c r="A3067" s="27" t="s">
        <v>7551</v>
      </c>
      <c r="B3067" s="27" t="s">
        <v>7552</v>
      </c>
      <c r="C3067" s="27" t="s">
        <v>7553</v>
      </c>
      <c r="D3067" s="27" t="s">
        <v>17</v>
      </c>
      <c r="E3067" s="27" t="s">
        <v>33</v>
      </c>
      <c r="F3067" s="27" t="s">
        <v>34</v>
      </c>
      <c r="G3067" s="27" t="s">
        <v>44</v>
      </c>
      <c r="H3067" s="29">
        <v>270</v>
      </c>
      <c r="I3067" s="27" t="s">
        <v>29</v>
      </c>
      <c r="J3067" s="37">
        <v>45586</v>
      </c>
      <c r="K3067" s="27" t="s">
        <v>22</v>
      </c>
    </row>
    <row r="3068" spans="1:11" x14ac:dyDescent="0.2">
      <c r="A3068" s="24" t="s">
        <v>7554</v>
      </c>
      <c r="B3068" s="24" t="s">
        <v>7555</v>
      </c>
      <c r="C3068" s="24" t="s">
        <v>7556</v>
      </c>
      <c r="D3068" s="24" t="s">
        <v>17</v>
      </c>
      <c r="E3068" s="24" t="s">
        <v>42</v>
      </c>
      <c r="F3068" s="24" t="s">
        <v>43</v>
      </c>
      <c r="G3068" s="24" t="s">
        <v>217</v>
      </c>
      <c r="H3068" s="26">
        <v>370</v>
      </c>
      <c r="I3068" s="24" t="s">
        <v>29</v>
      </c>
      <c r="J3068" s="36">
        <v>45595</v>
      </c>
      <c r="K3068" s="24" t="s">
        <v>22</v>
      </c>
    </row>
    <row r="3069" spans="1:11" x14ac:dyDescent="0.2">
      <c r="A3069" s="27" t="s">
        <v>7557</v>
      </c>
      <c r="B3069" s="27" t="s">
        <v>7558</v>
      </c>
      <c r="C3069" s="27" t="s">
        <v>7559</v>
      </c>
      <c r="D3069" s="27" t="s">
        <v>17</v>
      </c>
      <c r="E3069" s="27" t="s">
        <v>26</v>
      </c>
      <c r="F3069" s="27" t="s">
        <v>27</v>
      </c>
      <c r="G3069" s="27" t="s">
        <v>28</v>
      </c>
      <c r="H3069" s="29">
        <v>108</v>
      </c>
      <c r="I3069" s="27" t="s">
        <v>29</v>
      </c>
      <c r="J3069" s="37">
        <v>45574</v>
      </c>
      <c r="K3069" s="27" t="s">
        <v>22</v>
      </c>
    </row>
    <row r="3070" spans="1:11" x14ac:dyDescent="0.2">
      <c r="A3070" s="24" t="s">
        <v>7560</v>
      </c>
      <c r="B3070" s="24" t="s">
        <v>7561</v>
      </c>
      <c r="C3070" s="24" t="s">
        <v>340</v>
      </c>
      <c r="D3070" s="24" t="s">
        <v>17</v>
      </c>
      <c r="E3070" s="24" t="s">
        <v>48</v>
      </c>
      <c r="F3070" s="24" t="s">
        <v>49</v>
      </c>
      <c r="G3070" s="24" t="s">
        <v>44</v>
      </c>
      <c r="H3070" s="26">
        <v>63</v>
      </c>
      <c r="I3070" s="24" t="s">
        <v>21</v>
      </c>
      <c r="J3070" s="36">
        <v>45595</v>
      </c>
      <c r="K3070" s="24" t="s">
        <v>22</v>
      </c>
    </row>
    <row r="3071" spans="1:11" x14ac:dyDescent="0.2">
      <c r="A3071" s="27" t="s">
        <v>7562</v>
      </c>
      <c r="B3071" s="27" t="s">
        <v>7563</v>
      </c>
      <c r="C3071" s="27" t="s">
        <v>7564</v>
      </c>
      <c r="D3071" s="27" t="s">
        <v>17</v>
      </c>
      <c r="E3071" s="27" t="s">
        <v>81</v>
      </c>
      <c r="F3071" s="27" t="s">
        <v>82</v>
      </c>
      <c r="G3071" s="27" t="s">
        <v>44</v>
      </c>
      <c r="H3071" s="29">
        <v>60</v>
      </c>
      <c r="I3071" s="27" t="s">
        <v>29</v>
      </c>
      <c r="J3071" s="37">
        <v>45566</v>
      </c>
      <c r="K3071" s="27" t="s">
        <v>22</v>
      </c>
    </row>
    <row r="3072" spans="1:11" x14ac:dyDescent="0.2">
      <c r="A3072" s="24" t="s">
        <v>7565</v>
      </c>
      <c r="B3072" s="24" t="s">
        <v>7566</v>
      </c>
      <c r="C3072" s="24" t="s">
        <v>388</v>
      </c>
      <c r="D3072" s="24" t="s">
        <v>17</v>
      </c>
      <c r="E3072" s="24" t="s">
        <v>42</v>
      </c>
      <c r="F3072" s="24" t="s">
        <v>43</v>
      </c>
      <c r="G3072" s="24" t="s">
        <v>20</v>
      </c>
      <c r="H3072" s="26">
        <v>87</v>
      </c>
      <c r="I3072" s="24" t="s">
        <v>21</v>
      </c>
      <c r="J3072" s="36">
        <v>45573</v>
      </c>
      <c r="K3072" s="24" t="s">
        <v>22</v>
      </c>
    </row>
    <row r="3073" spans="1:11" x14ac:dyDescent="0.2">
      <c r="A3073" s="27" t="s">
        <v>7567</v>
      </c>
      <c r="B3073" s="27" t="s">
        <v>7568</v>
      </c>
      <c r="C3073" s="27" t="s">
        <v>1502</v>
      </c>
      <c r="D3073" s="27" t="s">
        <v>17</v>
      </c>
      <c r="E3073" s="27" t="s">
        <v>42</v>
      </c>
      <c r="F3073" s="27" t="s">
        <v>43</v>
      </c>
      <c r="G3073" s="27" t="s">
        <v>28</v>
      </c>
      <c r="H3073" s="29">
        <v>454</v>
      </c>
      <c r="I3073" s="27" t="s">
        <v>29</v>
      </c>
      <c r="J3073" s="37">
        <v>45566</v>
      </c>
      <c r="K3073" s="27" t="s">
        <v>22</v>
      </c>
    </row>
    <row r="3074" spans="1:11" x14ac:dyDescent="0.2">
      <c r="A3074" s="24" t="s">
        <v>7569</v>
      </c>
      <c r="B3074" s="24" t="s">
        <v>7570</v>
      </c>
      <c r="C3074" s="24" t="s">
        <v>298</v>
      </c>
      <c r="D3074" s="24" t="s">
        <v>17</v>
      </c>
      <c r="E3074" s="24" t="s">
        <v>48</v>
      </c>
      <c r="F3074" s="24" t="s">
        <v>49</v>
      </c>
      <c r="G3074" s="24" t="s">
        <v>44</v>
      </c>
      <c r="H3074" s="26">
        <v>268</v>
      </c>
      <c r="I3074" s="24" t="s">
        <v>21</v>
      </c>
      <c r="J3074" s="36">
        <v>45572</v>
      </c>
      <c r="K3074" s="24" t="s">
        <v>22</v>
      </c>
    </row>
    <row r="3075" spans="1:11" x14ac:dyDescent="0.2">
      <c r="A3075" s="27" t="s">
        <v>7571</v>
      </c>
      <c r="B3075" s="27" t="s">
        <v>7572</v>
      </c>
      <c r="C3075" s="27" t="s">
        <v>7573</v>
      </c>
      <c r="D3075" s="27" t="s">
        <v>17</v>
      </c>
      <c r="E3075" s="27" t="s">
        <v>48</v>
      </c>
      <c r="F3075" s="27" t="s">
        <v>49</v>
      </c>
      <c r="G3075" s="27" t="s">
        <v>28</v>
      </c>
      <c r="H3075" s="29">
        <v>600</v>
      </c>
      <c r="I3075" s="27" t="s">
        <v>29</v>
      </c>
      <c r="J3075" s="37">
        <v>45567</v>
      </c>
      <c r="K3075" s="27" t="s">
        <v>22</v>
      </c>
    </row>
    <row r="3076" spans="1:11" x14ac:dyDescent="0.2">
      <c r="A3076" s="24" t="s">
        <v>7574</v>
      </c>
      <c r="B3076" s="24" t="s">
        <v>7575</v>
      </c>
      <c r="C3076" s="24" t="s">
        <v>41</v>
      </c>
      <c r="D3076" s="24" t="s">
        <v>17</v>
      </c>
      <c r="E3076" s="24" t="s">
        <v>42</v>
      </c>
      <c r="F3076" s="24" t="s">
        <v>43</v>
      </c>
      <c r="G3076" s="24" t="s">
        <v>20</v>
      </c>
      <c r="H3076" s="26">
        <v>18</v>
      </c>
      <c r="I3076" s="24" t="s">
        <v>21</v>
      </c>
      <c r="J3076" s="36">
        <v>45575</v>
      </c>
      <c r="K3076" s="24" t="s">
        <v>22</v>
      </c>
    </row>
    <row r="3077" spans="1:11" x14ac:dyDescent="0.2">
      <c r="A3077" s="27" t="s">
        <v>7576</v>
      </c>
      <c r="B3077" s="27" t="s">
        <v>7577</v>
      </c>
      <c r="C3077" s="27" t="s">
        <v>7578</v>
      </c>
      <c r="D3077" s="27" t="s">
        <v>17</v>
      </c>
      <c r="E3077" s="27" t="s">
        <v>26</v>
      </c>
      <c r="F3077" s="27" t="s">
        <v>27</v>
      </c>
      <c r="G3077" s="27" t="s">
        <v>44</v>
      </c>
      <c r="H3077" s="29">
        <v>60</v>
      </c>
      <c r="I3077" s="27" t="s">
        <v>29</v>
      </c>
      <c r="J3077" s="37">
        <v>45581</v>
      </c>
      <c r="K3077" s="27" t="s">
        <v>22</v>
      </c>
    </row>
    <row r="3078" spans="1:11" x14ac:dyDescent="0.2">
      <c r="A3078" s="24" t="s">
        <v>7579</v>
      </c>
      <c r="B3078" s="24" t="s">
        <v>7580</v>
      </c>
      <c r="C3078" s="24" t="s">
        <v>708</v>
      </c>
      <c r="D3078" s="24" t="s">
        <v>17</v>
      </c>
      <c r="E3078" s="24" t="s">
        <v>42</v>
      </c>
      <c r="F3078" s="24" t="s">
        <v>43</v>
      </c>
      <c r="G3078" s="24" t="s">
        <v>28</v>
      </c>
      <c r="H3078" s="26">
        <v>975</v>
      </c>
      <c r="I3078" s="24" t="s">
        <v>29</v>
      </c>
      <c r="J3078" s="36">
        <v>45595</v>
      </c>
      <c r="K3078" s="24" t="s">
        <v>22</v>
      </c>
    </row>
    <row r="3079" spans="1:11" x14ac:dyDescent="0.2">
      <c r="A3079" s="27" t="s">
        <v>7581</v>
      </c>
      <c r="B3079" s="27" t="s">
        <v>7582</v>
      </c>
      <c r="C3079" s="27" t="s">
        <v>7583</v>
      </c>
      <c r="D3079" s="27" t="s">
        <v>17</v>
      </c>
      <c r="E3079" s="27" t="s">
        <v>18</v>
      </c>
      <c r="F3079" s="27" t="s">
        <v>19</v>
      </c>
      <c r="G3079" s="27" t="s">
        <v>20</v>
      </c>
      <c r="H3079" s="29">
        <v>40</v>
      </c>
      <c r="I3079" s="27" t="s">
        <v>21</v>
      </c>
      <c r="J3079" s="37">
        <v>45589</v>
      </c>
      <c r="K3079" s="27" t="s">
        <v>22</v>
      </c>
    </row>
    <row r="3080" spans="1:11" x14ac:dyDescent="0.2">
      <c r="A3080" s="24" t="s">
        <v>7584</v>
      </c>
      <c r="B3080" s="24" t="s">
        <v>7585</v>
      </c>
      <c r="C3080" s="24" t="s">
        <v>213</v>
      </c>
      <c r="D3080" s="24" t="s">
        <v>17</v>
      </c>
      <c r="E3080" s="24" t="s">
        <v>18</v>
      </c>
      <c r="F3080" s="24" t="s">
        <v>19</v>
      </c>
      <c r="G3080" s="24" t="s">
        <v>20</v>
      </c>
      <c r="H3080" s="26">
        <v>12</v>
      </c>
      <c r="I3080" s="24" t="s">
        <v>21</v>
      </c>
      <c r="J3080" s="36">
        <v>45581</v>
      </c>
      <c r="K3080" s="24" t="s">
        <v>22</v>
      </c>
    </row>
    <row r="3081" spans="1:11" x14ac:dyDescent="0.2">
      <c r="A3081" s="27" t="s">
        <v>7586</v>
      </c>
      <c r="B3081" s="27" t="s">
        <v>7587</v>
      </c>
      <c r="C3081" s="27" t="s">
        <v>1093</v>
      </c>
      <c r="D3081" s="27" t="s">
        <v>17</v>
      </c>
      <c r="E3081" s="27" t="s">
        <v>42</v>
      </c>
      <c r="F3081" s="27" t="s">
        <v>43</v>
      </c>
      <c r="G3081" s="27" t="s">
        <v>20</v>
      </c>
      <c r="H3081" s="29">
        <v>35</v>
      </c>
      <c r="I3081" s="27" t="s">
        <v>21</v>
      </c>
      <c r="J3081" s="37">
        <v>45596</v>
      </c>
      <c r="K3081" s="27" t="s">
        <v>22</v>
      </c>
    </row>
    <row r="3082" spans="1:11" x14ac:dyDescent="0.2">
      <c r="A3082" s="24" t="s">
        <v>7588</v>
      </c>
      <c r="B3082" s="24" t="s">
        <v>7589</v>
      </c>
      <c r="C3082" s="24" t="s">
        <v>7590</v>
      </c>
      <c r="D3082" s="24" t="s">
        <v>17</v>
      </c>
      <c r="E3082" s="24" t="s">
        <v>42</v>
      </c>
      <c r="F3082" s="24" t="s">
        <v>43</v>
      </c>
      <c r="G3082" s="24" t="s">
        <v>20</v>
      </c>
      <c r="H3082" s="26">
        <v>392</v>
      </c>
      <c r="I3082" s="24" t="s">
        <v>21</v>
      </c>
      <c r="J3082" s="36">
        <v>45582</v>
      </c>
      <c r="K3082" s="24" t="s">
        <v>22</v>
      </c>
    </row>
    <row r="3083" spans="1:11" x14ac:dyDescent="0.2">
      <c r="A3083" s="27" t="s">
        <v>7591</v>
      </c>
      <c r="B3083" s="27" t="s">
        <v>7592</v>
      </c>
      <c r="C3083" s="27" t="s">
        <v>7593</v>
      </c>
      <c r="D3083" s="27" t="s">
        <v>17</v>
      </c>
      <c r="E3083" s="27" t="s">
        <v>26</v>
      </c>
      <c r="F3083" s="27" t="s">
        <v>27</v>
      </c>
      <c r="G3083" s="27" t="s">
        <v>28</v>
      </c>
      <c r="H3083" s="29">
        <v>50</v>
      </c>
      <c r="I3083" s="27" t="s">
        <v>29</v>
      </c>
      <c r="J3083" s="37">
        <v>45567</v>
      </c>
      <c r="K3083" s="27" t="s">
        <v>22</v>
      </c>
    </row>
    <row r="3084" spans="1:11" x14ac:dyDescent="0.2">
      <c r="A3084" s="24" t="s">
        <v>7594</v>
      </c>
      <c r="B3084" s="24" t="s">
        <v>7595</v>
      </c>
      <c r="C3084" s="24" t="s">
        <v>7596</v>
      </c>
      <c r="D3084" s="24" t="s">
        <v>17</v>
      </c>
      <c r="E3084" s="24" t="s">
        <v>33</v>
      </c>
      <c r="F3084" s="24" t="s">
        <v>34</v>
      </c>
      <c r="G3084" s="24" t="s">
        <v>217</v>
      </c>
      <c r="H3084" s="26">
        <v>10</v>
      </c>
      <c r="I3084" s="24" t="s">
        <v>29</v>
      </c>
      <c r="J3084" s="36">
        <v>45566</v>
      </c>
      <c r="K3084" s="24" t="s">
        <v>22</v>
      </c>
    </row>
    <row r="3085" spans="1:11" x14ac:dyDescent="0.2">
      <c r="A3085" s="27" t="s">
        <v>7597</v>
      </c>
      <c r="B3085" s="27" t="s">
        <v>7598</v>
      </c>
      <c r="C3085" s="27" t="s">
        <v>827</v>
      </c>
      <c r="D3085" s="27" t="s">
        <v>17</v>
      </c>
      <c r="E3085" s="27" t="s">
        <v>42</v>
      </c>
      <c r="F3085" s="27" t="s">
        <v>43</v>
      </c>
      <c r="G3085" s="27" t="s">
        <v>44</v>
      </c>
      <c r="H3085" s="29">
        <v>682</v>
      </c>
      <c r="I3085" s="27" t="s">
        <v>21</v>
      </c>
      <c r="J3085" s="37">
        <v>45585</v>
      </c>
      <c r="K3085" s="27" t="s">
        <v>22</v>
      </c>
    </row>
    <row r="3086" spans="1:11" x14ac:dyDescent="0.2">
      <c r="A3086" s="24" t="s">
        <v>7599</v>
      </c>
      <c r="B3086" s="24" t="s">
        <v>7600</v>
      </c>
      <c r="C3086" s="24" t="s">
        <v>7601</v>
      </c>
      <c r="D3086" s="24" t="s">
        <v>17</v>
      </c>
      <c r="E3086" s="24" t="s">
        <v>42</v>
      </c>
      <c r="F3086" s="24" t="s">
        <v>43</v>
      </c>
      <c r="G3086" s="24" t="s">
        <v>28</v>
      </c>
      <c r="H3086" s="26">
        <v>90</v>
      </c>
      <c r="I3086" s="24" t="s">
        <v>29</v>
      </c>
      <c r="J3086" s="36">
        <v>45579</v>
      </c>
      <c r="K3086" s="24" t="s">
        <v>22</v>
      </c>
    </row>
    <row r="3087" spans="1:11" x14ac:dyDescent="0.2">
      <c r="A3087" s="27" t="s">
        <v>7602</v>
      </c>
      <c r="B3087" s="27" t="s">
        <v>7603</v>
      </c>
      <c r="C3087" s="27" t="s">
        <v>7604</v>
      </c>
      <c r="D3087" s="27" t="s">
        <v>17</v>
      </c>
      <c r="E3087" s="27" t="s">
        <v>48</v>
      </c>
      <c r="F3087" s="27" t="s">
        <v>49</v>
      </c>
      <c r="G3087" s="27" t="s">
        <v>28</v>
      </c>
      <c r="H3087" s="29">
        <v>126</v>
      </c>
      <c r="I3087" s="27" t="s">
        <v>29</v>
      </c>
      <c r="J3087" s="37">
        <v>45582</v>
      </c>
      <c r="K3087" s="27" t="s">
        <v>22</v>
      </c>
    </row>
    <row r="3088" spans="1:11" x14ac:dyDescent="0.2">
      <c r="A3088" s="24" t="s">
        <v>7605</v>
      </c>
      <c r="B3088" s="24" t="s">
        <v>7606</v>
      </c>
      <c r="C3088" s="24" t="s">
        <v>7607</v>
      </c>
      <c r="D3088" s="24" t="s">
        <v>17</v>
      </c>
      <c r="E3088" s="24" t="s">
        <v>48</v>
      </c>
      <c r="F3088" s="24" t="s">
        <v>49</v>
      </c>
      <c r="G3088" s="24" t="s">
        <v>44</v>
      </c>
      <c r="H3088" s="26">
        <v>220</v>
      </c>
      <c r="I3088" s="24" t="s">
        <v>29</v>
      </c>
      <c r="J3088" s="36">
        <v>45582</v>
      </c>
      <c r="K3088" s="24" t="s">
        <v>22</v>
      </c>
    </row>
    <row r="3089" spans="1:11" x14ac:dyDescent="0.2">
      <c r="A3089" s="27" t="s">
        <v>7608</v>
      </c>
      <c r="B3089" s="27" t="s">
        <v>7609</v>
      </c>
      <c r="C3089" s="27" t="s">
        <v>1740</v>
      </c>
      <c r="D3089" s="27" t="s">
        <v>17</v>
      </c>
      <c r="E3089" s="27" t="s">
        <v>48</v>
      </c>
      <c r="F3089" s="27" t="s">
        <v>49</v>
      </c>
      <c r="G3089" s="27" t="s">
        <v>28</v>
      </c>
      <c r="H3089" s="29">
        <v>50</v>
      </c>
      <c r="I3089" s="27" t="s">
        <v>29</v>
      </c>
      <c r="J3089" s="37">
        <v>45589</v>
      </c>
      <c r="K3089" s="27" t="s">
        <v>22</v>
      </c>
    </row>
    <row r="3090" spans="1:11" x14ac:dyDescent="0.2">
      <c r="A3090" s="24" t="s">
        <v>7610</v>
      </c>
      <c r="B3090" s="24" t="s">
        <v>7611</v>
      </c>
      <c r="C3090" s="24" t="s">
        <v>7612</v>
      </c>
      <c r="D3090" s="24" t="s">
        <v>17</v>
      </c>
      <c r="E3090" s="24" t="s">
        <v>48</v>
      </c>
      <c r="F3090" s="24" t="s">
        <v>49</v>
      </c>
      <c r="G3090" s="24" t="s">
        <v>44</v>
      </c>
      <c r="H3090" s="26">
        <v>379</v>
      </c>
      <c r="I3090" s="24" t="s">
        <v>21</v>
      </c>
      <c r="J3090" s="36">
        <v>45596</v>
      </c>
      <c r="K3090" s="24" t="s">
        <v>22</v>
      </c>
    </row>
    <row r="3091" spans="1:11" x14ac:dyDescent="0.2">
      <c r="A3091" s="27" t="s">
        <v>7613</v>
      </c>
      <c r="B3091" s="27" t="s">
        <v>7614</v>
      </c>
      <c r="C3091" s="27" t="s">
        <v>1161</v>
      </c>
      <c r="D3091" s="27" t="s">
        <v>17</v>
      </c>
      <c r="E3091" s="27" t="s">
        <v>26</v>
      </c>
      <c r="F3091" s="27" t="s">
        <v>27</v>
      </c>
      <c r="G3091" s="27" t="s">
        <v>28</v>
      </c>
      <c r="H3091" s="29">
        <v>201</v>
      </c>
      <c r="I3091" s="27" t="s">
        <v>29</v>
      </c>
      <c r="J3091" s="37">
        <v>45569</v>
      </c>
      <c r="K3091" s="27" t="s">
        <v>22</v>
      </c>
    </row>
    <row r="3092" spans="1:11" x14ac:dyDescent="0.2">
      <c r="A3092" s="24" t="s">
        <v>7615</v>
      </c>
      <c r="B3092" s="24" t="s">
        <v>7616</v>
      </c>
      <c r="C3092" s="24" t="s">
        <v>71</v>
      </c>
      <c r="D3092" s="24" t="s">
        <v>17</v>
      </c>
      <c r="E3092" s="24" t="s">
        <v>33</v>
      </c>
      <c r="F3092" s="24" t="s">
        <v>34</v>
      </c>
      <c r="G3092" s="24" t="s">
        <v>28</v>
      </c>
      <c r="H3092" s="26">
        <v>235</v>
      </c>
      <c r="I3092" s="24" t="s">
        <v>29</v>
      </c>
      <c r="J3092" s="36">
        <v>45587</v>
      </c>
      <c r="K3092" s="24" t="s">
        <v>22</v>
      </c>
    </row>
    <row r="3093" spans="1:11" x14ac:dyDescent="0.2">
      <c r="A3093" s="27" t="s">
        <v>7617</v>
      </c>
      <c r="B3093" s="27" t="s">
        <v>7618</v>
      </c>
      <c r="C3093" s="27" t="s">
        <v>699</v>
      </c>
      <c r="D3093" s="27" t="s">
        <v>17</v>
      </c>
      <c r="E3093" s="27" t="s">
        <v>18</v>
      </c>
      <c r="F3093" s="27" t="s">
        <v>19</v>
      </c>
      <c r="G3093" s="27" t="s">
        <v>20</v>
      </c>
      <c r="H3093" s="29">
        <v>40</v>
      </c>
      <c r="I3093" s="27" t="s">
        <v>21</v>
      </c>
      <c r="J3093" s="37">
        <v>45594</v>
      </c>
      <c r="K3093" s="27" t="s">
        <v>22</v>
      </c>
    </row>
    <row r="3094" spans="1:11" x14ac:dyDescent="0.2">
      <c r="A3094" s="24" t="s">
        <v>7619</v>
      </c>
      <c r="B3094" s="24" t="s">
        <v>7620</v>
      </c>
      <c r="C3094" s="24" t="s">
        <v>1546</v>
      </c>
      <c r="D3094" s="24" t="s">
        <v>17</v>
      </c>
      <c r="E3094" s="24" t="s">
        <v>18</v>
      </c>
      <c r="F3094" s="24" t="s">
        <v>19</v>
      </c>
      <c r="G3094" s="24" t="s">
        <v>20</v>
      </c>
      <c r="H3094" s="26">
        <v>17</v>
      </c>
      <c r="I3094" s="24" t="s">
        <v>21</v>
      </c>
      <c r="J3094" s="36">
        <v>45566</v>
      </c>
      <c r="K3094" s="24" t="s">
        <v>22</v>
      </c>
    </row>
    <row r="3095" spans="1:11" x14ac:dyDescent="0.2">
      <c r="A3095" s="27" t="s">
        <v>7621</v>
      </c>
      <c r="B3095" s="27" t="s">
        <v>7622</v>
      </c>
      <c r="C3095" s="27" t="s">
        <v>7623</v>
      </c>
      <c r="D3095" s="27" t="s">
        <v>17</v>
      </c>
      <c r="E3095" s="27" t="s">
        <v>48</v>
      </c>
      <c r="F3095" s="27" t="s">
        <v>49</v>
      </c>
      <c r="G3095" s="27" t="s">
        <v>28</v>
      </c>
      <c r="H3095" s="29">
        <v>12</v>
      </c>
      <c r="I3095" s="27" t="s">
        <v>29</v>
      </c>
      <c r="J3095" s="37">
        <v>45594</v>
      </c>
      <c r="K3095" s="27" t="s">
        <v>22</v>
      </c>
    </row>
    <row r="3096" spans="1:11" x14ac:dyDescent="0.2">
      <c r="A3096" s="24" t="s">
        <v>7624</v>
      </c>
      <c r="B3096" s="24" t="s">
        <v>7625</v>
      </c>
      <c r="C3096" s="24" t="s">
        <v>5086</v>
      </c>
      <c r="D3096" s="24" t="s">
        <v>17</v>
      </c>
      <c r="E3096" s="24" t="s">
        <v>42</v>
      </c>
      <c r="F3096" s="24" t="s">
        <v>43</v>
      </c>
      <c r="G3096" s="24" t="s">
        <v>44</v>
      </c>
      <c r="H3096" s="26">
        <v>6</v>
      </c>
      <c r="I3096" s="24" t="s">
        <v>21</v>
      </c>
      <c r="J3096" s="36">
        <v>45590</v>
      </c>
      <c r="K3096" s="24" t="s">
        <v>22</v>
      </c>
    </row>
    <row r="3097" spans="1:11" x14ac:dyDescent="0.2">
      <c r="A3097" s="27" t="s">
        <v>7626</v>
      </c>
      <c r="B3097" s="27" t="s">
        <v>7627</v>
      </c>
      <c r="C3097" s="27" t="s">
        <v>7628</v>
      </c>
      <c r="D3097" s="27" t="s">
        <v>17</v>
      </c>
      <c r="E3097" s="27" t="s">
        <v>48</v>
      </c>
      <c r="F3097" s="27" t="s">
        <v>49</v>
      </c>
      <c r="G3097" s="27" t="s">
        <v>44</v>
      </c>
      <c r="H3097" s="29">
        <v>200</v>
      </c>
      <c r="I3097" s="27" t="s">
        <v>29</v>
      </c>
      <c r="J3097" s="37">
        <v>45579</v>
      </c>
      <c r="K3097" s="27" t="s">
        <v>22</v>
      </c>
    </row>
    <row r="3098" spans="1:11" x14ac:dyDescent="0.2">
      <c r="A3098" s="24" t="s">
        <v>7629</v>
      </c>
      <c r="B3098" s="24" t="s">
        <v>7630</v>
      </c>
      <c r="C3098" s="24" t="s">
        <v>437</v>
      </c>
      <c r="D3098" s="24" t="s">
        <v>17</v>
      </c>
      <c r="E3098" s="24" t="s">
        <v>18</v>
      </c>
      <c r="F3098" s="24" t="s">
        <v>19</v>
      </c>
      <c r="G3098" s="24" t="s">
        <v>28</v>
      </c>
      <c r="H3098" s="26">
        <v>124</v>
      </c>
      <c r="I3098" s="24" t="s">
        <v>29</v>
      </c>
      <c r="J3098" s="36">
        <v>45581</v>
      </c>
      <c r="K3098" s="24" t="s">
        <v>22</v>
      </c>
    </row>
    <row r="3099" spans="1:11" x14ac:dyDescent="0.2">
      <c r="A3099" s="27" t="s">
        <v>7631</v>
      </c>
      <c r="B3099" s="27" t="s">
        <v>7632</v>
      </c>
      <c r="C3099" s="27" t="s">
        <v>3972</v>
      </c>
      <c r="D3099" s="27" t="s">
        <v>17</v>
      </c>
      <c r="E3099" s="27" t="s">
        <v>18</v>
      </c>
      <c r="F3099" s="27" t="s">
        <v>19</v>
      </c>
      <c r="G3099" s="27" t="s">
        <v>28</v>
      </c>
      <c r="H3099" s="29">
        <v>20</v>
      </c>
      <c r="I3099" s="27" t="s">
        <v>29</v>
      </c>
      <c r="J3099" s="37">
        <v>45579</v>
      </c>
      <c r="K3099" s="27" t="s">
        <v>22</v>
      </c>
    </row>
    <row r="3100" spans="1:11" x14ac:dyDescent="0.2">
      <c r="A3100" s="24" t="s">
        <v>7633</v>
      </c>
      <c r="B3100" s="24" t="s">
        <v>7634</v>
      </c>
      <c r="C3100" s="24" t="s">
        <v>85</v>
      </c>
      <c r="D3100" s="24" t="s">
        <v>17</v>
      </c>
      <c r="E3100" s="24" t="s">
        <v>48</v>
      </c>
      <c r="F3100" s="24" t="s">
        <v>49</v>
      </c>
      <c r="G3100" s="24" t="s">
        <v>28</v>
      </c>
      <c r="H3100" s="26">
        <v>488</v>
      </c>
      <c r="I3100" s="24" t="s">
        <v>29</v>
      </c>
      <c r="J3100" s="36">
        <v>45572</v>
      </c>
      <c r="K3100" s="24" t="s">
        <v>22</v>
      </c>
    </row>
    <row r="3101" spans="1:11" x14ac:dyDescent="0.2">
      <c r="A3101" s="27" t="s">
        <v>7635</v>
      </c>
      <c r="B3101" s="27" t="s">
        <v>7636</v>
      </c>
      <c r="C3101" s="27" t="s">
        <v>984</v>
      </c>
      <c r="D3101" s="27" t="s">
        <v>17</v>
      </c>
      <c r="E3101" s="27" t="s">
        <v>81</v>
      </c>
      <c r="F3101" s="27" t="s">
        <v>82</v>
      </c>
      <c r="G3101" s="27" t="s">
        <v>20</v>
      </c>
      <c r="H3101" s="29">
        <v>1000</v>
      </c>
      <c r="I3101" s="27" t="s">
        <v>21</v>
      </c>
      <c r="J3101" s="37">
        <v>45573</v>
      </c>
      <c r="K3101" s="27" t="s">
        <v>22</v>
      </c>
    </row>
    <row r="3102" spans="1:11" x14ac:dyDescent="0.2">
      <c r="A3102" s="24" t="s">
        <v>7637</v>
      </c>
      <c r="B3102" s="24" t="s">
        <v>7638</v>
      </c>
      <c r="C3102" s="24" t="s">
        <v>7639</v>
      </c>
      <c r="D3102" s="24" t="s">
        <v>17</v>
      </c>
      <c r="E3102" s="24" t="s">
        <v>18</v>
      </c>
      <c r="F3102" s="24" t="s">
        <v>19</v>
      </c>
      <c r="G3102" s="24" t="s">
        <v>28</v>
      </c>
      <c r="H3102" s="26">
        <v>90</v>
      </c>
      <c r="I3102" s="24" t="s">
        <v>29</v>
      </c>
      <c r="J3102" s="36">
        <v>45595</v>
      </c>
      <c r="K3102" s="24" t="s">
        <v>22</v>
      </c>
    </row>
    <row r="3103" spans="1:11" x14ac:dyDescent="0.2">
      <c r="A3103" s="27" t="s">
        <v>7640</v>
      </c>
      <c r="B3103" s="27" t="s">
        <v>7641</v>
      </c>
      <c r="C3103" s="27" t="s">
        <v>1110</v>
      </c>
      <c r="D3103" s="27" t="s">
        <v>17</v>
      </c>
      <c r="E3103" s="27" t="s">
        <v>42</v>
      </c>
      <c r="F3103" s="27" t="s">
        <v>43</v>
      </c>
      <c r="G3103" s="27" t="s">
        <v>20</v>
      </c>
      <c r="H3103" s="29">
        <v>100</v>
      </c>
      <c r="I3103" s="27" t="s">
        <v>21</v>
      </c>
      <c r="J3103" s="37">
        <v>45592</v>
      </c>
      <c r="K3103" s="27" t="s">
        <v>22</v>
      </c>
    </row>
    <row r="3104" spans="1:11" x14ac:dyDescent="0.2">
      <c r="A3104" s="24" t="s">
        <v>7642</v>
      </c>
      <c r="B3104" s="24" t="s">
        <v>7643</v>
      </c>
      <c r="C3104" s="24" t="s">
        <v>792</v>
      </c>
      <c r="D3104" s="24" t="s">
        <v>17</v>
      </c>
      <c r="E3104" s="24" t="s">
        <v>18</v>
      </c>
      <c r="F3104" s="24" t="s">
        <v>19</v>
      </c>
      <c r="G3104" s="24" t="s">
        <v>20</v>
      </c>
      <c r="H3104" s="26">
        <v>70</v>
      </c>
      <c r="I3104" s="24" t="s">
        <v>21</v>
      </c>
      <c r="J3104" s="36">
        <v>45589</v>
      </c>
      <c r="K3104" s="24" t="s">
        <v>22</v>
      </c>
    </row>
    <row r="3105" spans="1:11" x14ac:dyDescent="0.2">
      <c r="A3105" s="27" t="s">
        <v>7644</v>
      </c>
      <c r="B3105" s="27" t="s">
        <v>7645</v>
      </c>
      <c r="C3105" s="27" t="s">
        <v>97</v>
      </c>
      <c r="D3105" s="27" t="s">
        <v>17</v>
      </c>
      <c r="E3105" s="27" t="s">
        <v>18</v>
      </c>
      <c r="F3105" s="27" t="s">
        <v>19</v>
      </c>
      <c r="G3105" s="27" t="s">
        <v>116</v>
      </c>
      <c r="H3105" s="29">
        <v>0</v>
      </c>
      <c r="I3105" s="27" t="s">
        <v>21</v>
      </c>
      <c r="J3105" s="37">
        <v>45582</v>
      </c>
      <c r="K3105" s="27" t="s">
        <v>22</v>
      </c>
    </row>
    <row r="3106" spans="1:11" x14ac:dyDescent="0.2">
      <c r="A3106" s="24" t="s">
        <v>7646</v>
      </c>
      <c r="B3106" s="24" t="s">
        <v>7647</v>
      </c>
      <c r="C3106" s="24" t="s">
        <v>7648</v>
      </c>
      <c r="D3106" s="24" t="s">
        <v>17</v>
      </c>
      <c r="E3106" s="24" t="s">
        <v>18</v>
      </c>
      <c r="F3106" s="24" t="s">
        <v>19</v>
      </c>
      <c r="G3106" s="24" t="s">
        <v>44</v>
      </c>
      <c r="H3106" s="26">
        <v>30</v>
      </c>
      <c r="I3106" s="24" t="s">
        <v>29</v>
      </c>
      <c r="J3106" s="36">
        <v>45583</v>
      </c>
      <c r="K3106" s="24" t="s">
        <v>22</v>
      </c>
    </row>
    <row r="3107" spans="1:11" x14ac:dyDescent="0.2">
      <c r="A3107" s="27" t="s">
        <v>7649</v>
      </c>
      <c r="B3107" s="27" t="s">
        <v>7650</v>
      </c>
      <c r="C3107" s="27" t="s">
        <v>7651</v>
      </c>
      <c r="D3107" s="27" t="s">
        <v>17</v>
      </c>
      <c r="E3107" s="27" t="s">
        <v>81</v>
      </c>
      <c r="F3107" s="27" t="s">
        <v>82</v>
      </c>
      <c r="G3107" s="27" t="s">
        <v>44</v>
      </c>
      <c r="H3107" s="29">
        <v>292</v>
      </c>
      <c r="I3107" s="27" t="s">
        <v>29</v>
      </c>
      <c r="J3107" s="37">
        <v>45579</v>
      </c>
      <c r="K3107" s="27" t="s">
        <v>22</v>
      </c>
    </row>
    <row r="3108" spans="1:11" x14ac:dyDescent="0.2">
      <c r="A3108" s="24" t="s">
        <v>7652</v>
      </c>
      <c r="B3108" s="24" t="s">
        <v>7653</v>
      </c>
      <c r="C3108" s="24" t="s">
        <v>7654</v>
      </c>
      <c r="D3108" s="24" t="s">
        <v>17</v>
      </c>
      <c r="E3108" s="24" t="s">
        <v>18</v>
      </c>
      <c r="F3108" s="24" t="s">
        <v>19</v>
      </c>
      <c r="G3108" s="24" t="s">
        <v>44</v>
      </c>
      <c r="H3108" s="26">
        <v>100</v>
      </c>
      <c r="I3108" s="24" t="s">
        <v>29</v>
      </c>
      <c r="J3108" s="36">
        <v>45580</v>
      </c>
      <c r="K3108" s="24" t="s">
        <v>22</v>
      </c>
    </row>
    <row r="3109" spans="1:11" x14ac:dyDescent="0.2">
      <c r="A3109" s="27" t="s">
        <v>7655</v>
      </c>
      <c r="B3109" s="27" t="s">
        <v>7656</v>
      </c>
      <c r="C3109" s="27" t="s">
        <v>690</v>
      </c>
      <c r="D3109" s="27" t="s">
        <v>17</v>
      </c>
      <c r="E3109" s="27" t="s">
        <v>42</v>
      </c>
      <c r="F3109" s="27" t="s">
        <v>43</v>
      </c>
      <c r="G3109" s="27" t="s">
        <v>28</v>
      </c>
      <c r="H3109" s="29">
        <v>60</v>
      </c>
      <c r="I3109" s="27" t="s">
        <v>29</v>
      </c>
      <c r="J3109" s="37">
        <v>45573</v>
      </c>
      <c r="K3109" s="27" t="s">
        <v>22</v>
      </c>
    </row>
    <row r="3110" spans="1:11" x14ac:dyDescent="0.2">
      <c r="A3110" s="24" t="s">
        <v>7657</v>
      </c>
      <c r="B3110" s="24" t="s">
        <v>7658</v>
      </c>
      <c r="C3110" s="24" t="s">
        <v>984</v>
      </c>
      <c r="D3110" s="24" t="s">
        <v>17</v>
      </c>
      <c r="E3110" s="24" t="s">
        <v>18</v>
      </c>
      <c r="F3110" s="24" t="s">
        <v>19</v>
      </c>
      <c r="G3110" s="24" t="s">
        <v>44</v>
      </c>
      <c r="H3110" s="26">
        <v>52</v>
      </c>
      <c r="I3110" s="24" t="s">
        <v>29</v>
      </c>
      <c r="J3110" s="36">
        <v>45596</v>
      </c>
      <c r="K3110" s="24" t="s">
        <v>22</v>
      </c>
    </row>
    <row r="3111" spans="1:11" x14ac:dyDescent="0.2">
      <c r="A3111" s="27" t="s">
        <v>7659</v>
      </c>
      <c r="B3111" s="27" t="s">
        <v>7660</v>
      </c>
      <c r="C3111" s="27" t="s">
        <v>7661</v>
      </c>
      <c r="D3111" s="27" t="s">
        <v>17</v>
      </c>
      <c r="E3111" s="27" t="s">
        <v>42</v>
      </c>
      <c r="F3111" s="27" t="s">
        <v>43</v>
      </c>
      <c r="G3111" s="27" t="s">
        <v>44</v>
      </c>
      <c r="H3111" s="29">
        <v>57</v>
      </c>
      <c r="I3111" s="27" t="s">
        <v>21</v>
      </c>
      <c r="J3111" s="37">
        <v>45583</v>
      </c>
      <c r="K3111" s="27" t="s">
        <v>22</v>
      </c>
    </row>
    <row r="3112" spans="1:11" x14ac:dyDescent="0.2">
      <c r="A3112" s="24" t="s">
        <v>7662</v>
      </c>
      <c r="B3112" s="24" t="s">
        <v>7663</v>
      </c>
      <c r="C3112" s="24" t="s">
        <v>526</v>
      </c>
      <c r="D3112" s="24" t="s">
        <v>17</v>
      </c>
      <c r="E3112" s="24" t="s">
        <v>81</v>
      </c>
      <c r="F3112" s="24" t="s">
        <v>82</v>
      </c>
      <c r="G3112" s="24" t="s">
        <v>44</v>
      </c>
      <c r="H3112" s="26">
        <v>130</v>
      </c>
      <c r="I3112" s="24" t="s">
        <v>29</v>
      </c>
      <c r="J3112" s="36">
        <v>45576</v>
      </c>
      <c r="K3112" s="24" t="s">
        <v>22</v>
      </c>
    </row>
    <row r="3113" spans="1:11" x14ac:dyDescent="0.2">
      <c r="A3113" s="27" t="s">
        <v>7664</v>
      </c>
      <c r="B3113" s="27" t="s">
        <v>7665</v>
      </c>
      <c r="C3113" s="27" t="s">
        <v>301</v>
      </c>
      <c r="D3113" s="27" t="s">
        <v>17</v>
      </c>
      <c r="E3113" s="27" t="s">
        <v>18</v>
      </c>
      <c r="F3113" s="27" t="s">
        <v>19</v>
      </c>
      <c r="G3113" s="27" t="s">
        <v>28</v>
      </c>
      <c r="H3113" s="29">
        <v>220</v>
      </c>
      <c r="I3113" s="27" t="s">
        <v>29</v>
      </c>
      <c r="J3113" s="37">
        <v>45580</v>
      </c>
      <c r="K3113" s="27" t="s">
        <v>22</v>
      </c>
    </row>
    <row r="3114" spans="1:11" x14ac:dyDescent="0.2">
      <c r="A3114" s="24" t="s">
        <v>7666</v>
      </c>
      <c r="B3114" s="24" t="s">
        <v>7667</v>
      </c>
      <c r="C3114" s="24" t="s">
        <v>7668</v>
      </c>
      <c r="D3114" s="24" t="s">
        <v>17</v>
      </c>
      <c r="E3114" s="24" t="s">
        <v>18</v>
      </c>
      <c r="F3114" s="24" t="s">
        <v>19</v>
      </c>
      <c r="G3114" s="24" t="s">
        <v>28</v>
      </c>
      <c r="H3114" s="26">
        <v>100</v>
      </c>
      <c r="I3114" s="24" t="s">
        <v>29</v>
      </c>
      <c r="J3114" s="36">
        <v>45573</v>
      </c>
      <c r="K3114" s="24" t="s">
        <v>22</v>
      </c>
    </row>
    <row r="3115" spans="1:11" x14ac:dyDescent="0.2">
      <c r="A3115" s="27" t="s">
        <v>7669</v>
      </c>
      <c r="B3115" s="27" t="s">
        <v>7670</v>
      </c>
      <c r="C3115" s="27" t="s">
        <v>7671</v>
      </c>
      <c r="D3115" s="27" t="s">
        <v>17</v>
      </c>
      <c r="E3115" s="27" t="s">
        <v>18</v>
      </c>
      <c r="F3115" s="27" t="s">
        <v>19</v>
      </c>
      <c r="G3115" s="27" t="s">
        <v>20</v>
      </c>
      <c r="H3115" s="29">
        <v>118</v>
      </c>
      <c r="I3115" s="27" t="s">
        <v>21</v>
      </c>
      <c r="J3115" s="37">
        <v>45587</v>
      </c>
      <c r="K3115" s="27" t="s">
        <v>22</v>
      </c>
    </row>
    <row r="3116" spans="1:11" x14ac:dyDescent="0.2">
      <c r="A3116" s="24" t="s">
        <v>7672</v>
      </c>
      <c r="B3116" s="24" t="s">
        <v>7673</v>
      </c>
      <c r="C3116" s="24" t="s">
        <v>251</v>
      </c>
      <c r="D3116" s="24" t="s">
        <v>17</v>
      </c>
      <c r="E3116" s="24" t="s">
        <v>48</v>
      </c>
      <c r="F3116" s="24" t="s">
        <v>49</v>
      </c>
      <c r="G3116" s="24" t="s">
        <v>28</v>
      </c>
      <c r="H3116" s="26">
        <v>96</v>
      </c>
      <c r="I3116" s="24" t="s">
        <v>29</v>
      </c>
      <c r="J3116" s="36">
        <v>45594</v>
      </c>
      <c r="K3116" s="24" t="s">
        <v>22</v>
      </c>
    </row>
    <row r="3117" spans="1:11" x14ac:dyDescent="0.2">
      <c r="A3117" s="27" t="s">
        <v>7674</v>
      </c>
      <c r="B3117" s="27" t="s">
        <v>7675</v>
      </c>
      <c r="C3117" s="27" t="s">
        <v>595</v>
      </c>
      <c r="D3117" s="27" t="s">
        <v>17</v>
      </c>
      <c r="E3117" s="27" t="s">
        <v>48</v>
      </c>
      <c r="F3117" s="27" t="s">
        <v>49</v>
      </c>
      <c r="G3117" s="27" t="s">
        <v>20</v>
      </c>
      <c r="H3117" s="29">
        <v>129</v>
      </c>
      <c r="I3117" s="27" t="s">
        <v>21</v>
      </c>
      <c r="J3117" s="37">
        <v>45579</v>
      </c>
      <c r="K3117" s="27" t="s">
        <v>22</v>
      </c>
    </row>
    <row r="3118" spans="1:11" x14ac:dyDescent="0.2">
      <c r="A3118" s="24" t="s">
        <v>7676</v>
      </c>
      <c r="B3118" s="24" t="s">
        <v>7677</v>
      </c>
      <c r="C3118" s="24" t="s">
        <v>1807</v>
      </c>
      <c r="D3118" s="24" t="s">
        <v>17</v>
      </c>
      <c r="E3118" s="24" t="s">
        <v>18</v>
      </c>
      <c r="F3118" s="24" t="s">
        <v>19</v>
      </c>
      <c r="G3118" s="24" t="s">
        <v>44</v>
      </c>
      <c r="H3118" s="26">
        <v>24</v>
      </c>
      <c r="I3118" s="24" t="s">
        <v>29</v>
      </c>
      <c r="J3118" s="36">
        <v>45574</v>
      </c>
      <c r="K3118" s="24" t="s">
        <v>22</v>
      </c>
    </row>
    <row r="3119" spans="1:11" x14ac:dyDescent="0.2">
      <c r="A3119" s="27" t="s">
        <v>7678</v>
      </c>
      <c r="B3119" s="27" t="s">
        <v>7679</v>
      </c>
      <c r="C3119" s="27" t="s">
        <v>792</v>
      </c>
      <c r="D3119" s="27" t="s">
        <v>17</v>
      </c>
      <c r="E3119" s="27" t="s">
        <v>18</v>
      </c>
      <c r="F3119" s="27" t="s">
        <v>19</v>
      </c>
      <c r="G3119" s="27" t="s">
        <v>20</v>
      </c>
      <c r="H3119" s="29">
        <v>32</v>
      </c>
      <c r="I3119" s="27" t="s">
        <v>21</v>
      </c>
      <c r="J3119" s="37">
        <v>45594</v>
      </c>
      <c r="K3119" s="27" t="s">
        <v>22</v>
      </c>
    </row>
    <row r="3120" spans="1:11" x14ac:dyDescent="0.2">
      <c r="A3120" s="24" t="s">
        <v>7680</v>
      </c>
      <c r="B3120" s="24" t="s">
        <v>7681</v>
      </c>
      <c r="C3120" s="24" t="s">
        <v>363</v>
      </c>
      <c r="D3120" s="24" t="s">
        <v>17</v>
      </c>
      <c r="E3120" s="24" t="s">
        <v>48</v>
      </c>
      <c r="F3120" s="24" t="s">
        <v>49</v>
      </c>
      <c r="G3120" s="24" t="s">
        <v>44</v>
      </c>
      <c r="H3120" s="26">
        <v>90</v>
      </c>
      <c r="I3120" s="24" t="s">
        <v>29</v>
      </c>
      <c r="J3120" s="36">
        <v>45574</v>
      </c>
      <c r="K3120" s="24" t="s">
        <v>22</v>
      </c>
    </row>
    <row r="3121" spans="1:11" x14ac:dyDescent="0.2">
      <c r="A3121" s="27" t="s">
        <v>7682</v>
      </c>
      <c r="B3121" s="27" t="s">
        <v>7683</v>
      </c>
      <c r="C3121" s="27" t="s">
        <v>7684</v>
      </c>
      <c r="D3121" s="27" t="s">
        <v>17</v>
      </c>
      <c r="E3121" s="27" t="s">
        <v>48</v>
      </c>
      <c r="F3121" s="27" t="s">
        <v>49</v>
      </c>
      <c r="G3121" s="27" t="s">
        <v>44</v>
      </c>
      <c r="H3121" s="29">
        <v>103</v>
      </c>
      <c r="I3121" s="27" t="s">
        <v>29</v>
      </c>
      <c r="J3121" s="37">
        <v>45581</v>
      </c>
      <c r="K3121" s="27" t="s">
        <v>22</v>
      </c>
    </row>
    <row r="3122" spans="1:11" x14ac:dyDescent="0.2">
      <c r="A3122" s="24" t="s">
        <v>7685</v>
      </c>
      <c r="B3122" s="24" t="s">
        <v>7686</v>
      </c>
      <c r="C3122" s="24" t="s">
        <v>4501</v>
      </c>
      <c r="D3122" s="24" t="s">
        <v>17</v>
      </c>
      <c r="E3122" s="24" t="s">
        <v>48</v>
      </c>
      <c r="F3122" s="24" t="s">
        <v>49</v>
      </c>
      <c r="G3122" s="24" t="s">
        <v>217</v>
      </c>
      <c r="H3122" s="26">
        <v>336</v>
      </c>
      <c r="I3122" s="24" t="s">
        <v>29</v>
      </c>
      <c r="J3122" s="36">
        <v>45567</v>
      </c>
      <c r="K3122" s="24" t="s">
        <v>22</v>
      </c>
    </row>
    <row r="3123" spans="1:11" x14ac:dyDescent="0.2">
      <c r="A3123" s="27" t="s">
        <v>7687</v>
      </c>
      <c r="B3123" s="27" t="s">
        <v>7688</v>
      </c>
      <c r="C3123" s="27" t="s">
        <v>2779</v>
      </c>
      <c r="D3123" s="27" t="s">
        <v>17</v>
      </c>
      <c r="E3123" s="27" t="s">
        <v>18</v>
      </c>
      <c r="F3123" s="27" t="s">
        <v>19</v>
      </c>
      <c r="G3123" s="27" t="s">
        <v>28</v>
      </c>
      <c r="H3123" s="29">
        <v>244</v>
      </c>
      <c r="I3123" s="27" t="s">
        <v>29</v>
      </c>
      <c r="J3123" s="37">
        <v>45576</v>
      </c>
      <c r="K3123" s="27" t="s">
        <v>22</v>
      </c>
    </row>
    <row r="3124" spans="1:11" x14ac:dyDescent="0.2">
      <c r="A3124" s="24" t="s">
        <v>7689</v>
      </c>
      <c r="B3124" s="24" t="s">
        <v>7690</v>
      </c>
      <c r="C3124" s="24" t="s">
        <v>97</v>
      </c>
      <c r="D3124" s="24" t="s">
        <v>17</v>
      </c>
      <c r="E3124" s="24" t="s">
        <v>18</v>
      </c>
      <c r="F3124" s="24" t="s">
        <v>19</v>
      </c>
      <c r="G3124" s="24" t="s">
        <v>59</v>
      </c>
      <c r="H3124" s="26">
        <v>10</v>
      </c>
      <c r="I3124" s="24" t="s">
        <v>21</v>
      </c>
      <c r="J3124" s="36">
        <v>45580</v>
      </c>
      <c r="K3124" s="24" t="s">
        <v>22</v>
      </c>
    </row>
    <row r="3125" spans="1:11" x14ac:dyDescent="0.2">
      <c r="A3125" s="27" t="s">
        <v>7691</v>
      </c>
      <c r="B3125" s="27" t="s">
        <v>7692</v>
      </c>
      <c r="C3125" s="27" t="s">
        <v>7693</v>
      </c>
      <c r="D3125" s="27" t="s">
        <v>17</v>
      </c>
      <c r="E3125" s="27" t="s">
        <v>48</v>
      </c>
      <c r="F3125" s="27" t="s">
        <v>49</v>
      </c>
      <c r="G3125" s="27" t="s">
        <v>20</v>
      </c>
      <c r="H3125" s="29">
        <v>480</v>
      </c>
      <c r="I3125" s="27" t="s">
        <v>21</v>
      </c>
      <c r="J3125" s="37">
        <v>45591</v>
      </c>
      <c r="K3125" s="27" t="s">
        <v>22</v>
      </c>
    </row>
    <row r="3126" spans="1:11" x14ac:dyDescent="0.2">
      <c r="A3126" s="24" t="s">
        <v>7694</v>
      </c>
      <c r="B3126" s="24" t="s">
        <v>7695</v>
      </c>
      <c r="C3126" s="24" t="s">
        <v>185</v>
      </c>
      <c r="D3126" s="24" t="s">
        <v>17</v>
      </c>
      <c r="E3126" s="24" t="s">
        <v>18</v>
      </c>
      <c r="F3126" s="24" t="s">
        <v>19</v>
      </c>
      <c r="G3126" s="24" t="s">
        <v>217</v>
      </c>
      <c r="H3126" s="26">
        <v>350</v>
      </c>
      <c r="I3126" s="24" t="s">
        <v>29</v>
      </c>
      <c r="J3126" s="36">
        <v>45596</v>
      </c>
      <c r="K3126" s="24" t="s">
        <v>22</v>
      </c>
    </row>
    <row r="3127" spans="1:11" x14ac:dyDescent="0.2">
      <c r="A3127" s="27" t="s">
        <v>7696</v>
      </c>
      <c r="B3127" s="27" t="s">
        <v>7697</v>
      </c>
      <c r="C3127" s="27" t="s">
        <v>7698</v>
      </c>
      <c r="D3127" s="27" t="s">
        <v>17</v>
      </c>
      <c r="E3127" s="27" t="s">
        <v>163</v>
      </c>
      <c r="F3127" s="27" t="s">
        <v>164</v>
      </c>
      <c r="G3127" s="27" t="s">
        <v>28</v>
      </c>
      <c r="H3127" s="29">
        <v>30</v>
      </c>
      <c r="I3127" s="27" t="s">
        <v>29</v>
      </c>
      <c r="J3127" s="37">
        <v>45589</v>
      </c>
      <c r="K3127" s="27" t="s">
        <v>22</v>
      </c>
    </row>
    <row r="3128" spans="1:11" x14ac:dyDescent="0.2">
      <c r="A3128" s="24" t="s">
        <v>7699</v>
      </c>
      <c r="B3128" s="24" t="s">
        <v>7700</v>
      </c>
      <c r="C3128" s="24" t="s">
        <v>7701</v>
      </c>
      <c r="D3128" s="24" t="s">
        <v>17</v>
      </c>
      <c r="E3128" s="24" t="s">
        <v>48</v>
      </c>
      <c r="F3128" s="24" t="s">
        <v>49</v>
      </c>
      <c r="G3128" s="24" t="s">
        <v>44</v>
      </c>
      <c r="H3128" s="26">
        <v>135</v>
      </c>
      <c r="I3128" s="24" t="s">
        <v>21</v>
      </c>
      <c r="J3128" s="36">
        <v>45594</v>
      </c>
      <c r="K3128" s="24" t="s">
        <v>22</v>
      </c>
    </row>
    <row r="3129" spans="1:11" x14ac:dyDescent="0.2">
      <c r="A3129" s="27" t="s">
        <v>7702</v>
      </c>
      <c r="B3129" s="27" t="s">
        <v>7703</v>
      </c>
      <c r="C3129" s="27" t="s">
        <v>1307</v>
      </c>
      <c r="D3129" s="27" t="s">
        <v>17</v>
      </c>
      <c r="E3129" s="27" t="s">
        <v>18</v>
      </c>
      <c r="F3129" s="27" t="s">
        <v>19</v>
      </c>
      <c r="G3129" s="27" t="s">
        <v>217</v>
      </c>
      <c r="H3129" s="29">
        <v>24</v>
      </c>
      <c r="I3129" s="27" t="s">
        <v>29</v>
      </c>
      <c r="J3129" s="37">
        <v>45575</v>
      </c>
      <c r="K3129" s="27" t="s">
        <v>22</v>
      </c>
    </row>
    <row r="3130" spans="1:11" x14ac:dyDescent="0.2">
      <c r="A3130" s="24" t="s">
        <v>7704</v>
      </c>
      <c r="B3130" s="24" t="s">
        <v>7705</v>
      </c>
      <c r="C3130" s="24" t="s">
        <v>213</v>
      </c>
      <c r="D3130" s="24" t="s">
        <v>17</v>
      </c>
      <c r="E3130" s="24" t="s">
        <v>42</v>
      </c>
      <c r="F3130" s="24" t="s">
        <v>43</v>
      </c>
      <c r="G3130" s="24" t="s">
        <v>28</v>
      </c>
      <c r="H3130" s="26">
        <v>900</v>
      </c>
      <c r="I3130" s="24" t="s">
        <v>29</v>
      </c>
      <c r="J3130" s="36">
        <v>45587</v>
      </c>
      <c r="K3130" s="24" t="s">
        <v>22</v>
      </c>
    </row>
    <row r="3131" spans="1:11" x14ac:dyDescent="0.2">
      <c r="A3131" s="27" t="s">
        <v>7706</v>
      </c>
      <c r="B3131" s="27" t="s">
        <v>7707</v>
      </c>
      <c r="C3131" s="27" t="s">
        <v>298</v>
      </c>
      <c r="D3131" s="27" t="s">
        <v>17</v>
      </c>
      <c r="E3131" s="27" t="s">
        <v>42</v>
      </c>
      <c r="F3131" s="27" t="s">
        <v>43</v>
      </c>
      <c r="G3131" s="27" t="s">
        <v>44</v>
      </c>
      <c r="H3131" s="29">
        <v>609</v>
      </c>
      <c r="I3131" s="27" t="s">
        <v>21</v>
      </c>
      <c r="J3131" s="37">
        <v>45574</v>
      </c>
      <c r="K3131" s="27" t="s">
        <v>22</v>
      </c>
    </row>
    <row r="3132" spans="1:11" x14ac:dyDescent="0.2">
      <c r="A3132" s="24" t="s">
        <v>7708</v>
      </c>
      <c r="B3132" s="24" t="s">
        <v>7709</v>
      </c>
      <c r="C3132" s="24" t="s">
        <v>194</v>
      </c>
      <c r="D3132" s="24" t="s">
        <v>17</v>
      </c>
      <c r="E3132" s="24" t="s">
        <v>48</v>
      </c>
      <c r="F3132" s="24" t="s">
        <v>49</v>
      </c>
      <c r="G3132" s="24" t="s">
        <v>28</v>
      </c>
      <c r="H3132" s="26">
        <v>20</v>
      </c>
      <c r="I3132" s="24" t="s">
        <v>29</v>
      </c>
      <c r="J3132" s="36">
        <v>45582</v>
      </c>
      <c r="K3132" s="24" t="s">
        <v>22</v>
      </c>
    </row>
    <row r="3133" spans="1:11" x14ac:dyDescent="0.2">
      <c r="A3133" s="27" t="s">
        <v>7710</v>
      </c>
      <c r="B3133" s="27" t="s">
        <v>7711</v>
      </c>
      <c r="C3133" s="27" t="s">
        <v>7712</v>
      </c>
      <c r="D3133" s="27" t="s">
        <v>17</v>
      </c>
      <c r="E3133" s="27" t="s">
        <v>18</v>
      </c>
      <c r="F3133" s="27" t="s">
        <v>19</v>
      </c>
      <c r="G3133" s="27" t="s">
        <v>20</v>
      </c>
      <c r="H3133" s="29">
        <v>10</v>
      </c>
      <c r="I3133" s="27" t="s">
        <v>21</v>
      </c>
      <c r="J3133" s="37">
        <v>45566</v>
      </c>
      <c r="K3133" s="27" t="s">
        <v>22</v>
      </c>
    </row>
    <row r="3134" spans="1:11" x14ac:dyDescent="0.2">
      <c r="A3134" s="24" t="s">
        <v>7713</v>
      </c>
      <c r="B3134" s="24" t="s">
        <v>7714</v>
      </c>
      <c r="C3134" s="24" t="s">
        <v>55</v>
      </c>
      <c r="D3134" s="24" t="s">
        <v>17</v>
      </c>
      <c r="E3134" s="24" t="s">
        <v>18</v>
      </c>
      <c r="F3134" s="24" t="s">
        <v>19</v>
      </c>
      <c r="G3134" s="24" t="s">
        <v>20</v>
      </c>
      <c r="H3134" s="26">
        <v>23</v>
      </c>
      <c r="I3134" s="24" t="s">
        <v>21</v>
      </c>
      <c r="J3134" s="36">
        <v>45580</v>
      </c>
      <c r="K3134" s="24" t="s">
        <v>22</v>
      </c>
    </row>
    <row r="3135" spans="1:11" x14ac:dyDescent="0.2">
      <c r="A3135" s="27" t="s">
        <v>7715</v>
      </c>
      <c r="B3135" s="27" t="s">
        <v>7716</v>
      </c>
      <c r="C3135" s="27" t="s">
        <v>85</v>
      </c>
      <c r="D3135" s="27" t="s">
        <v>17</v>
      </c>
      <c r="E3135" s="27" t="s">
        <v>18</v>
      </c>
      <c r="F3135" s="27" t="s">
        <v>19</v>
      </c>
      <c r="G3135" s="27" t="s">
        <v>28</v>
      </c>
      <c r="H3135" s="29">
        <v>96</v>
      </c>
      <c r="I3135" s="27" t="s">
        <v>29</v>
      </c>
      <c r="J3135" s="37">
        <v>45594</v>
      </c>
      <c r="K3135" s="27" t="s">
        <v>22</v>
      </c>
    </row>
    <row r="3136" spans="1:11" x14ac:dyDescent="0.2">
      <c r="A3136" s="24" t="s">
        <v>7717</v>
      </c>
      <c r="B3136" s="24" t="s">
        <v>7718</v>
      </c>
      <c r="C3136" s="24" t="s">
        <v>106</v>
      </c>
      <c r="D3136" s="24" t="s">
        <v>17</v>
      </c>
      <c r="E3136" s="24" t="s">
        <v>18</v>
      </c>
      <c r="F3136" s="24" t="s">
        <v>19</v>
      </c>
      <c r="G3136" s="24" t="s">
        <v>20</v>
      </c>
      <c r="H3136" s="26">
        <v>30</v>
      </c>
      <c r="I3136" s="24" t="s">
        <v>21</v>
      </c>
      <c r="J3136" s="36">
        <v>45587</v>
      </c>
      <c r="K3136" s="24" t="s">
        <v>22</v>
      </c>
    </row>
    <row r="3137" spans="1:11" x14ac:dyDescent="0.2">
      <c r="A3137" s="27" t="s">
        <v>7719</v>
      </c>
      <c r="B3137" s="27" t="s">
        <v>7720</v>
      </c>
      <c r="C3137" s="27" t="s">
        <v>1565</v>
      </c>
      <c r="D3137" s="27" t="s">
        <v>17</v>
      </c>
      <c r="E3137" s="27" t="s">
        <v>18</v>
      </c>
      <c r="F3137" s="27" t="s">
        <v>19</v>
      </c>
      <c r="G3137" s="27" t="s">
        <v>20</v>
      </c>
      <c r="H3137" s="29">
        <v>20</v>
      </c>
      <c r="I3137" s="27" t="s">
        <v>21</v>
      </c>
      <c r="J3137" s="37">
        <v>45582</v>
      </c>
      <c r="K3137" s="27" t="s">
        <v>22</v>
      </c>
    </row>
    <row r="3138" spans="1:11" x14ac:dyDescent="0.2">
      <c r="A3138" s="24" t="s">
        <v>7721</v>
      </c>
      <c r="B3138" s="24" t="s">
        <v>7722</v>
      </c>
      <c r="C3138" s="24" t="s">
        <v>340</v>
      </c>
      <c r="D3138" s="24" t="s">
        <v>17</v>
      </c>
      <c r="E3138" s="24" t="s">
        <v>18</v>
      </c>
      <c r="F3138" s="24" t="s">
        <v>19</v>
      </c>
      <c r="G3138" s="24" t="s">
        <v>59</v>
      </c>
      <c r="H3138" s="26">
        <v>3</v>
      </c>
      <c r="I3138" s="24" t="s">
        <v>21</v>
      </c>
      <c r="J3138" s="36">
        <v>45573</v>
      </c>
      <c r="K3138" s="24" t="s">
        <v>22</v>
      </c>
    </row>
    <row r="3139" spans="1:11" x14ac:dyDescent="0.2">
      <c r="A3139" s="27" t="s">
        <v>7723</v>
      </c>
      <c r="B3139" s="27" t="s">
        <v>7724</v>
      </c>
      <c r="C3139" s="27" t="s">
        <v>7725</v>
      </c>
      <c r="D3139" s="27" t="s">
        <v>17</v>
      </c>
      <c r="E3139" s="27" t="s">
        <v>26</v>
      </c>
      <c r="F3139" s="27" t="s">
        <v>27</v>
      </c>
      <c r="G3139" s="27" t="s">
        <v>44</v>
      </c>
      <c r="H3139" s="29">
        <v>12</v>
      </c>
      <c r="I3139" s="27" t="s">
        <v>29</v>
      </c>
      <c r="J3139" s="37">
        <v>45582</v>
      </c>
      <c r="K3139" s="27" t="s">
        <v>22</v>
      </c>
    </row>
    <row r="3140" spans="1:11" x14ac:dyDescent="0.2">
      <c r="A3140" s="24" t="s">
        <v>7726</v>
      </c>
      <c r="B3140" s="24" t="s">
        <v>7727</v>
      </c>
      <c r="C3140" s="24" t="s">
        <v>7728</v>
      </c>
      <c r="D3140" s="24" t="s">
        <v>17</v>
      </c>
      <c r="E3140" s="24" t="s">
        <v>48</v>
      </c>
      <c r="F3140" s="24" t="s">
        <v>49</v>
      </c>
      <c r="G3140" s="24" t="s">
        <v>20</v>
      </c>
      <c r="H3140" s="26">
        <v>100</v>
      </c>
      <c r="I3140" s="24" t="s">
        <v>21</v>
      </c>
      <c r="J3140" s="36">
        <v>45590</v>
      </c>
      <c r="K3140" s="24" t="s">
        <v>22</v>
      </c>
    </row>
    <row r="3141" spans="1:11" x14ac:dyDescent="0.2">
      <c r="A3141" s="27" t="s">
        <v>7729</v>
      </c>
      <c r="B3141" s="27" t="s">
        <v>7730</v>
      </c>
      <c r="C3141" s="27" t="s">
        <v>298</v>
      </c>
      <c r="D3141" s="27" t="s">
        <v>17</v>
      </c>
      <c r="E3141" s="27" t="s">
        <v>33</v>
      </c>
      <c r="F3141" s="27" t="s">
        <v>34</v>
      </c>
      <c r="G3141" s="27" t="s">
        <v>44</v>
      </c>
      <c r="H3141" s="29">
        <v>675</v>
      </c>
      <c r="I3141" s="27" t="s">
        <v>29</v>
      </c>
      <c r="J3141" s="37">
        <v>45586</v>
      </c>
      <c r="K3141" s="27" t="s">
        <v>22</v>
      </c>
    </row>
    <row r="3142" spans="1:11" x14ac:dyDescent="0.2">
      <c r="A3142" s="24" t="s">
        <v>7731</v>
      </c>
      <c r="B3142" s="24" t="s">
        <v>7732</v>
      </c>
      <c r="C3142" s="24" t="s">
        <v>7733</v>
      </c>
      <c r="D3142" s="24" t="s">
        <v>17</v>
      </c>
      <c r="E3142" s="24" t="s">
        <v>18</v>
      </c>
      <c r="F3142" s="24" t="s">
        <v>19</v>
      </c>
      <c r="G3142" s="24" t="s">
        <v>28</v>
      </c>
      <c r="H3142" s="26">
        <v>18</v>
      </c>
      <c r="I3142" s="24" t="s">
        <v>29</v>
      </c>
      <c r="J3142" s="36">
        <v>45596</v>
      </c>
      <c r="K3142" s="24" t="s">
        <v>22</v>
      </c>
    </row>
    <row r="3143" spans="1:11" x14ac:dyDescent="0.2">
      <c r="A3143" s="27" t="s">
        <v>7734</v>
      </c>
      <c r="B3143" s="27" t="s">
        <v>7735</v>
      </c>
      <c r="C3143" s="27" t="s">
        <v>7736</v>
      </c>
      <c r="D3143" s="27" t="s">
        <v>17</v>
      </c>
      <c r="E3143" s="27" t="s">
        <v>48</v>
      </c>
      <c r="F3143" s="27" t="s">
        <v>49</v>
      </c>
      <c r="G3143" s="27" t="s">
        <v>44</v>
      </c>
      <c r="H3143" s="29">
        <v>38</v>
      </c>
      <c r="I3143" s="27" t="s">
        <v>21</v>
      </c>
      <c r="J3143" s="37">
        <v>45589</v>
      </c>
      <c r="K3143" s="27" t="s">
        <v>22</v>
      </c>
    </row>
    <row r="3144" spans="1:11" x14ac:dyDescent="0.2">
      <c r="A3144" s="24" t="s">
        <v>7737</v>
      </c>
      <c r="B3144" s="24" t="s">
        <v>7738</v>
      </c>
      <c r="C3144" s="24" t="s">
        <v>526</v>
      </c>
      <c r="D3144" s="24" t="s">
        <v>17</v>
      </c>
      <c r="E3144" s="24" t="s">
        <v>18</v>
      </c>
      <c r="F3144" s="24" t="s">
        <v>19</v>
      </c>
      <c r="G3144" s="24" t="s">
        <v>20</v>
      </c>
      <c r="H3144" s="26">
        <v>15</v>
      </c>
      <c r="I3144" s="24" t="s">
        <v>21</v>
      </c>
      <c r="J3144" s="36">
        <v>45593</v>
      </c>
      <c r="K3144" s="24" t="s">
        <v>22</v>
      </c>
    </row>
    <row r="3145" spans="1:11" x14ac:dyDescent="0.2">
      <c r="A3145" s="27" t="s">
        <v>7739</v>
      </c>
      <c r="B3145" s="27" t="s">
        <v>7740</v>
      </c>
      <c r="C3145" s="27" t="s">
        <v>7741</v>
      </c>
      <c r="D3145" s="27" t="s">
        <v>17</v>
      </c>
      <c r="E3145" s="27" t="s">
        <v>81</v>
      </c>
      <c r="F3145" s="27" t="s">
        <v>82</v>
      </c>
      <c r="G3145" s="27" t="s">
        <v>28</v>
      </c>
      <c r="H3145" s="29">
        <v>60</v>
      </c>
      <c r="I3145" s="27" t="s">
        <v>29</v>
      </c>
      <c r="J3145" s="37">
        <v>45582</v>
      </c>
      <c r="K3145" s="27" t="s">
        <v>22</v>
      </c>
    </row>
    <row r="3146" spans="1:11" x14ac:dyDescent="0.2">
      <c r="A3146" s="24" t="s">
        <v>7742</v>
      </c>
      <c r="B3146" s="24" t="s">
        <v>7743</v>
      </c>
      <c r="C3146" s="24" t="s">
        <v>7744</v>
      </c>
      <c r="D3146" s="24" t="s">
        <v>17</v>
      </c>
      <c r="E3146" s="24" t="s">
        <v>18</v>
      </c>
      <c r="F3146" s="24" t="s">
        <v>19</v>
      </c>
      <c r="G3146" s="24" t="s">
        <v>59</v>
      </c>
      <c r="H3146" s="26">
        <v>17</v>
      </c>
      <c r="I3146" s="24" t="s">
        <v>21</v>
      </c>
      <c r="J3146" s="36">
        <v>45576</v>
      </c>
      <c r="K3146" s="24" t="s">
        <v>22</v>
      </c>
    </row>
    <row r="3147" spans="1:11" x14ac:dyDescent="0.2">
      <c r="A3147" s="27" t="s">
        <v>7745</v>
      </c>
      <c r="B3147" s="27" t="s">
        <v>7746</v>
      </c>
      <c r="C3147" s="27" t="s">
        <v>1912</v>
      </c>
      <c r="D3147" s="27" t="s">
        <v>17</v>
      </c>
      <c r="E3147" s="27" t="s">
        <v>42</v>
      </c>
      <c r="F3147" s="27" t="s">
        <v>43</v>
      </c>
      <c r="G3147" s="27" t="s">
        <v>28</v>
      </c>
      <c r="H3147" s="29">
        <v>3080</v>
      </c>
      <c r="I3147" s="27" t="s">
        <v>29</v>
      </c>
      <c r="J3147" s="37">
        <v>45588</v>
      </c>
      <c r="K3147" s="27" t="s">
        <v>22</v>
      </c>
    </row>
    <row r="3148" spans="1:11" x14ac:dyDescent="0.2">
      <c r="A3148" s="24" t="s">
        <v>7747</v>
      </c>
      <c r="B3148" s="24" t="s">
        <v>7748</v>
      </c>
      <c r="C3148" s="24" t="s">
        <v>774</v>
      </c>
      <c r="D3148" s="24" t="s">
        <v>17</v>
      </c>
      <c r="E3148" s="24" t="s">
        <v>42</v>
      </c>
      <c r="F3148" s="24" t="s">
        <v>43</v>
      </c>
      <c r="G3148" s="24" t="s">
        <v>44</v>
      </c>
      <c r="H3148" s="26">
        <v>501</v>
      </c>
      <c r="I3148" s="24" t="s">
        <v>21</v>
      </c>
      <c r="J3148" s="36">
        <v>45581</v>
      </c>
      <c r="K3148" s="24" t="s">
        <v>22</v>
      </c>
    </row>
    <row r="3149" spans="1:11" x14ac:dyDescent="0.2">
      <c r="A3149" s="27" t="s">
        <v>7749</v>
      </c>
      <c r="B3149" s="27" t="s">
        <v>7750</v>
      </c>
      <c r="C3149" s="27" t="s">
        <v>1883</v>
      </c>
      <c r="D3149" s="27" t="s">
        <v>17</v>
      </c>
      <c r="E3149" s="27" t="s">
        <v>18</v>
      </c>
      <c r="F3149" s="27" t="s">
        <v>19</v>
      </c>
      <c r="G3149" s="27" t="s">
        <v>217</v>
      </c>
      <c r="H3149" s="29">
        <v>33</v>
      </c>
      <c r="I3149" s="27" t="s">
        <v>29</v>
      </c>
      <c r="J3149" s="37">
        <v>45566</v>
      </c>
      <c r="K3149" s="27" t="s">
        <v>22</v>
      </c>
    </row>
    <row r="3150" spans="1:11" x14ac:dyDescent="0.2">
      <c r="A3150" s="24" t="s">
        <v>7751</v>
      </c>
      <c r="B3150" s="24" t="s">
        <v>7752</v>
      </c>
      <c r="C3150" s="24" t="s">
        <v>325</v>
      </c>
      <c r="D3150" s="24" t="s">
        <v>17</v>
      </c>
      <c r="E3150" s="24" t="s">
        <v>18</v>
      </c>
      <c r="F3150" s="24" t="s">
        <v>19</v>
      </c>
      <c r="G3150" s="24" t="s">
        <v>20</v>
      </c>
      <c r="H3150" s="26">
        <v>24</v>
      </c>
      <c r="I3150" s="24" t="s">
        <v>21</v>
      </c>
      <c r="J3150" s="36">
        <v>45575</v>
      </c>
      <c r="K3150" s="24" t="s">
        <v>22</v>
      </c>
    </row>
    <row r="3151" spans="1:11" x14ac:dyDescent="0.2">
      <c r="A3151" s="27" t="s">
        <v>7753</v>
      </c>
      <c r="B3151" s="27" t="s">
        <v>7754</v>
      </c>
      <c r="C3151" s="27" t="s">
        <v>494</v>
      </c>
      <c r="D3151" s="27" t="s">
        <v>17</v>
      </c>
      <c r="E3151" s="27" t="s">
        <v>18</v>
      </c>
      <c r="F3151" s="27" t="s">
        <v>19</v>
      </c>
      <c r="G3151" s="27" t="s">
        <v>20</v>
      </c>
      <c r="H3151" s="29">
        <v>32</v>
      </c>
      <c r="I3151" s="27" t="s">
        <v>21</v>
      </c>
      <c r="J3151" s="37">
        <v>45577</v>
      </c>
      <c r="K3151" s="27" t="s">
        <v>22</v>
      </c>
    </row>
    <row r="3152" spans="1:11" x14ac:dyDescent="0.2">
      <c r="A3152" s="24" t="s">
        <v>7755</v>
      </c>
      <c r="B3152" s="24" t="s">
        <v>7756</v>
      </c>
      <c r="C3152" s="24" t="s">
        <v>526</v>
      </c>
      <c r="D3152" s="24" t="s">
        <v>17</v>
      </c>
      <c r="E3152" s="24" t="s">
        <v>18</v>
      </c>
      <c r="F3152" s="24" t="s">
        <v>19</v>
      </c>
      <c r="G3152" s="24" t="s">
        <v>20</v>
      </c>
      <c r="H3152" s="26">
        <v>15</v>
      </c>
      <c r="I3152" s="24" t="s">
        <v>21</v>
      </c>
      <c r="J3152" s="36">
        <v>45582</v>
      </c>
      <c r="K3152" s="24" t="s">
        <v>22</v>
      </c>
    </row>
    <row r="3153" spans="1:11" x14ac:dyDescent="0.2">
      <c r="A3153" s="27" t="s">
        <v>7757</v>
      </c>
      <c r="B3153" s="27" t="s">
        <v>7758</v>
      </c>
      <c r="C3153" s="27" t="s">
        <v>6875</v>
      </c>
      <c r="D3153" s="27" t="s">
        <v>17</v>
      </c>
      <c r="E3153" s="27" t="s">
        <v>48</v>
      </c>
      <c r="F3153" s="27" t="s">
        <v>49</v>
      </c>
      <c r="G3153" s="27" t="s">
        <v>44</v>
      </c>
      <c r="H3153" s="29">
        <v>467</v>
      </c>
      <c r="I3153" s="27" t="s">
        <v>21</v>
      </c>
      <c r="J3153" s="37">
        <v>45581</v>
      </c>
      <c r="K3153" s="27" t="s">
        <v>22</v>
      </c>
    </row>
    <row r="3154" spans="1:11" x14ac:dyDescent="0.2">
      <c r="A3154" s="24" t="s">
        <v>7759</v>
      </c>
      <c r="B3154" s="24" t="s">
        <v>7760</v>
      </c>
      <c r="C3154" s="24" t="s">
        <v>2779</v>
      </c>
      <c r="D3154" s="24" t="s">
        <v>17</v>
      </c>
      <c r="E3154" s="24" t="s">
        <v>18</v>
      </c>
      <c r="F3154" s="24" t="s">
        <v>19</v>
      </c>
      <c r="G3154" s="24" t="s">
        <v>28</v>
      </c>
      <c r="H3154" s="26">
        <v>310</v>
      </c>
      <c r="I3154" s="24" t="s">
        <v>29</v>
      </c>
      <c r="J3154" s="36">
        <v>45568</v>
      </c>
      <c r="K3154" s="24" t="s">
        <v>22</v>
      </c>
    </row>
    <row r="3155" spans="1:11" x14ac:dyDescent="0.2">
      <c r="A3155" s="27" t="s">
        <v>7761</v>
      </c>
      <c r="B3155" s="27" t="s">
        <v>7762</v>
      </c>
      <c r="C3155" s="27" t="s">
        <v>7763</v>
      </c>
      <c r="D3155" s="27" t="s">
        <v>17</v>
      </c>
      <c r="E3155" s="27" t="s">
        <v>18</v>
      </c>
      <c r="F3155" s="27" t="s">
        <v>19</v>
      </c>
      <c r="G3155" s="27" t="s">
        <v>28</v>
      </c>
      <c r="H3155" s="29">
        <v>39</v>
      </c>
      <c r="I3155" s="27" t="s">
        <v>29</v>
      </c>
      <c r="J3155" s="37">
        <v>45566</v>
      </c>
      <c r="K3155" s="27" t="s">
        <v>22</v>
      </c>
    </row>
    <row r="3156" spans="1:11" x14ac:dyDescent="0.2">
      <c r="A3156" s="24" t="s">
        <v>7764</v>
      </c>
      <c r="B3156" s="24" t="s">
        <v>7765</v>
      </c>
      <c r="C3156" s="24" t="s">
        <v>55</v>
      </c>
      <c r="D3156" s="24" t="s">
        <v>17</v>
      </c>
      <c r="E3156" s="24" t="s">
        <v>48</v>
      </c>
      <c r="F3156" s="24" t="s">
        <v>49</v>
      </c>
      <c r="G3156" s="24" t="s">
        <v>44</v>
      </c>
      <c r="H3156" s="26">
        <v>66</v>
      </c>
      <c r="I3156" s="24" t="s">
        <v>29</v>
      </c>
      <c r="J3156" s="36">
        <v>45579</v>
      </c>
      <c r="K3156" s="24" t="s">
        <v>22</v>
      </c>
    </row>
    <row r="3157" spans="1:11" x14ac:dyDescent="0.2">
      <c r="A3157" s="27" t="s">
        <v>7766</v>
      </c>
      <c r="B3157" s="27" t="s">
        <v>7767</v>
      </c>
      <c r="C3157" s="27" t="s">
        <v>2469</v>
      </c>
      <c r="D3157" s="27" t="s">
        <v>17</v>
      </c>
      <c r="E3157" s="27" t="s">
        <v>18</v>
      </c>
      <c r="F3157" s="27" t="s">
        <v>19</v>
      </c>
      <c r="G3157" s="27" t="s">
        <v>20</v>
      </c>
      <c r="H3157" s="29">
        <v>114</v>
      </c>
      <c r="I3157" s="27" t="s">
        <v>21</v>
      </c>
      <c r="J3157" s="37">
        <v>45594</v>
      </c>
      <c r="K3157" s="27" t="s">
        <v>22</v>
      </c>
    </row>
    <row r="3158" spans="1:11" x14ac:dyDescent="0.2">
      <c r="A3158" s="24" t="s">
        <v>7768</v>
      </c>
      <c r="B3158" s="24" t="s">
        <v>7769</v>
      </c>
      <c r="C3158" s="24" t="s">
        <v>106</v>
      </c>
      <c r="D3158" s="24" t="s">
        <v>17</v>
      </c>
      <c r="E3158" s="24" t="s">
        <v>18</v>
      </c>
      <c r="F3158" s="24" t="s">
        <v>19</v>
      </c>
      <c r="G3158" s="24" t="s">
        <v>59</v>
      </c>
      <c r="H3158" s="26">
        <v>8</v>
      </c>
      <c r="I3158" s="24" t="s">
        <v>21</v>
      </c>
      <c r="J3158" s="36">
        <v>45581</v>
      </c>
      <c r="K3158" s="24" t="s">
        <v>22</v>
      </c>
    </row>
    <row r="3159" spans="1:11" x14ac:dyDescent="0.2">
      <c r="A3159" s="27" t="s">
        <v>7770</v>
      </c>
      <c r="B3159" s="27" t="s">
        <v>7771</v>
      </c>
      <c r="C3159" s="27" t="s">
        <v>6622</v>
      </c>
      <c r="D3159" s="27" t="s">
        <v>17</v>
      </c>
      <c r="E3159" s="27" t="s">
        <v>18</v>
      </c>
      <c r="F3159" s="27" t="s">
        <v>19</v>
      </c>
      <c r="G3159" s="27" t="s">
        <v>20</v>
      </c>
      <c r="H3159" s="29">
        <v>78</v>
      </c>
      <c r="I3159" s="27" t="s">
        <v>21</v>
      </c>
      <c r="J3159" s="37">
        <v>45566</v>
      </c>
      <c r="K3159" s="27" t="s">
        <v>22</v>
      </c>
    </row>
    <row r="3160" spans="1:11" x14ac:dyDescent="0.2">
      <c r="A3160" s="24" t="s">
        <v>7772</v>
      </c>
      <c r="B3160" s="24" t="s">
        <v>7773</v>
      </c>
      <c r="C3160" s="24" t="s">
        <v>450</v>
      </c>
      <c r="D3160" s="24" t="s">
        <v>17</v>
      </c>
      <c r="E3160" s="24" t="s">
        <v>48</v>
      </c>
      <c r="F3160" s="24" t="s">
        <v>49</v>
      </c>
      <c r="G3160" s="24" t="s">
        <v>28</v>
      </c>
      <c r="H3160" s="26">
        <v>320</v>
      </c>
      <c r="I3160" s="24" t="s">
        <v>29</v>
      </c>
      <c r="J3160" s="36">
        <v>45587</v>
      </c>
      <c r="K3160" s="24" t="s">
        <v>22</v>
      </c>
    </row>
    <row r="3161" spans="1:11" x14ac:dyDescent="0.2">
      <c r="A3161" s="27" t="s">
        <v>7774</v>
      </c>
      <c r="B3161" s="27" t="s">
        <v>7775</v>
      </c>
      <c r="C3161" s="27" t="s">
        <v>6924</v>
      </c>
      <c r="D3161" s="27" t="s">
        <v>17</v>
      </c>
      <c r="E3161" s="27" t="s">
        <v>18</v>
      </c>
      <c r="F3161" s="27" t="s">
        <v>19</v>
      </c>
      <c r="G3161" s="27" t="s">
        <v>28</v>
      </c>
      <c r="H3161" s="29">
        <v>145</v>
      </c>
      <c r="I3161" s="27" t="s">
        <v>29</v>
      </c>
      <c r="J3161" s="37">
        <v>45595</v>
      </c>
      <c r="K3161" s="27" t="s">
        <v>22</v>
      </c>
    </row>
    <row r="3162" spans="1:11" x14ac:dyDescent="0.2">
      <c r="A3162" s="24" t="s">
        <v>7776</v>
      </c>
      <c r="B3162" s="24" t="s">
        <v>7777</v>
      </c>
      <c r="C3162" s="24" t="s">
        <v>55</v>
      </c>
      <c r="D3162" s="24" t="s">
        <v>17</v>
      </c>
      <c r="E3162" s="24" t="s">
        <v>18</v>
      </c>
      <c r="F3162" s="24" t="s">
        <v>19</v>
      </c>
      <c r="G3162" s="24" t="s">
        <v>20</v>
      </c>
      <c r="H3162" s="26">
        <v>16</v>
      </c>
      <c r="I3162" s="24" t="s">
        <v>21</v>
      </c>
      <c r="J3162" s="36">
        <v>45567</v>
      </c>
      <c r="K3162" s="24" t="s">
        <v>22</v>
      </c>
    </row>
    <row r="3163" spans="1:11" x14ac:dyDescent="0.2">
      <c r="A3163" s="27" t="s">
        <v>7778</v>
      </c>
      <c r="B3163" s="27" t="s">
        <v>7779</v>
      </c>
      <c r="C3163" s="27" t="s">
        <v>140</v>
      </c>
      <c r="D3163" s="27" t="s">
        <v>17</v>
      </c>
      <c r="E3163" s="27" t="s">
        <v>48</v>
      </c>
      <c r="F3163" s="27" t="s">
        <v>49</v>
      </c>
      <c r="G3163" s="27" t="s">
        <v>227</v>
      </c>
      <c r="H3163" s="29">
        <v>219</v>
      </c>
      <c r="I3163" s="27" t="s">
        <v>29</v>
      </c>
      <c r="J3163" s="37">
        <v>45587</v>
      </c>
      <c r="K3163" s="27" t="s">
        <v>22</v>
      </c>
    </row>
    <row r="3164" spans="1:11" x14ac:dyDescent="0.2">
      <c r="A3164" s="24" t="s">
        <v>7780</v>
      </c>
      <c r="B3164" s="24" t="s">
        <v>7781</v>
      </c>
      <c r="C3164" s="24" t="s">
        <v>4888</v>
      </c>
      <c r="D3164" s="24" t="s">
        <v>17</v>
      </c>
      <c r="E3164" s="24" t="s">
        <v>48</v>
      </c>
      <c r="F3164" s="24" t="s">
        <v>49</v>
      </c>
      <c r="G3164" s="24" t="s">
        <v>44</v>
      </c>
      <c r="H3164" s="26">
        <v>60</v>
      </c>
      <c r="I3164" s="24" t="s">
        <v>21</v>
      </c>
      <c r="J3164" s="36">
        <v>45596</v>
      </c>
      <c r="K3164" s="24" t="s">
        <v>22</v>
      </c>
    </row>
    <row r="3165" spans="1:11" x14ac:dyDescent="0.2">
      <c r="A3165" s="27" t="s">
        <v>7782</v>
      </c>
      <c r="B3165" s="27" t="s">
        <v>7783</v>
      </c>
      <c r="C3165" s="27" t="s">
        <v>7784</v>
      </c>
      <c r="D3165" s="27" t="s">
        <v>17</v>
      </c>
      <c r="E3165" s="27" t="s">
        <v>81</v>
      </c>
      <c r="F3165" s="27" t="s">
        <v>82</v>
      </c>
      <c r="G3165" s="27" t="s">
        <v>217</v>
      </c>
      <c r="H3165" s="29">
        <v>30</v>
      </c>
      <c r="I3165" s="27" t="s">
        <v>29</v>
      </c>
      <c r="J3165" s="37">
        <v>45580</v>
      </c>
      <c r="K3165" s="27" t="s">
        <v>22</v>
      </c>
    </row>
    <row r="3166" spans="1:11" x14ac:dyDescent="0.2">
      <c r="A3166" s="24" t="s">
        <v>7785</v>
      </c>
      <c r="B3166" s="24" t="s">
        <v>7786</v>
      </c>
      <c r="C3166" s="24" t="s">
        <v>7787</v>
      </c>
      <c r="D3166" s="24" t="s">
        <v>17</v>
      </c>
      <c r="E3166" s="24" t="s">
        <v>48</v>
      </c>
      <c r="F3166" s="24" t="s">
        <v>49</v>
      </c>
      <c r="G3166" s="24" t="s">
        <v>20</v>
      </c>
      <c r="H3166" s="26">
        <v>30</v>
      </c>
      <c r="I3166" s="24" t="s">
        <v>21</v>
      </c>
      <c r="J3166" s="36">
        <v>45575</v>
      </c>
      <c r="K3166" s="24" t="s">
        <v>22</v>
      </c>
    </row>
    <row r="3167" spans="1:11" x14ac:dyDescent="0.2">
      <c r="A3167" s="27" t="s">
        <v>7788</v>
      </c>
      <c r="B3167" s="27" t="s">
        <v>7789</v>
      </c>
      <c r="C3167" s="27" t="s">
        <v>7327</v>
      </c>
      <c r="D3167" s="27" t="s">
        <v>17</v>
      </c>
      <c r="E3167" s="27" t="s">
        <v>42</v>
      </c>
      <c r="F3167" s="27" t="s">
        <v>43</v>
      </c>
      <c r="G3167" s="27" t="s">
        <v>20</v>
      </c>
      <c r="H3167" s="29">
        <v>60</v>
      </c>
      <c r="I3167" s="27" t="s">
        <v>21</v>
      </c>
      <c r="J3167" s="37">
        <v>45579</v>
      </c>
      <c r="K3167" s="27" t="s">
        <v>22</v>
      </c>
    </row>
    <row r="3168" spans="1:11" x14ac:dyDescent="0.2">
      <c r="A3168" s="24" t="s">
        <v>7790</v>
      </c>
      <c r="B3168" s="24" t="s">
        <v>7791</v>
      </c>
      <c r="C3168" s="24" t="s">
        <v>7792</v>
      </c>
      <c r="D3168" s="24" t="s">
        <v>17</v>
      </c>
      <c r="E3168" s="24" t="s">
        <v>42</v>
      </c>
      <c r="F3168" s="24" t="s">
        <v>43</v>
      </c>
      <c r="G3168" s="24" t="s">
        <v>116</v>
      </c>
      <c r="H3168" s="26">
        <v>0</v>
      </c>
      <c r="I3168" s="24" t="s">
        <v>21</v>
      </c>
      <c r="J3168" s="36">
        <v>45566</v>
      </c>
      <c r="K3168" s="24" t="s">
        <v>22</v>
      </c>
    </row>
    <row r="3169" spans="1:11" x14ac:dyDescent="0.2">
      <c r="A3169" s="27" t="s">
        <v>7793</v>
      </c>
      <c r="B3169" s="27" t="s">
        <v>7794</v>
      </c>
      <c r="C3169" s="27" t="s">
        <v>106</v>
      </c>
      <c r="D3169" s="27" t="s">
        <v>17</v>
      </c>
      <c r="E3169" s="27" t="s">
        <v>18</v>
      </c>
      <c r="F3169" s="27" t="s">
        <v>19</v>
      </c>
      <c r="G3169" s="27" t="s">
        <v>20</v>
      </c>
      <c r="H3169" s="29">
        <v>24</v>
      </c>
      <c r="I3169" s="27" t="s">
        <v>21</v>
      </c>
      <c r="J3169" s="37">
        <v>45595</v>
      </c>
      <c r="K3169" s="27" t="s">
        <v>22</v>
      </c>
    </row>
    <row r="3170" spans="1:11" x14ac:dyDescent="0.2">
      <c r="A3170" s="24" t="s">
        <v>7795</v>
      </c>
      <c r="B3170" s="24" t="s">
        <v>7796</v>
      </c>
      <c r="C3170" s="24" t="s">
        <v>115</v>
      </c>
      <c r="D3170" s="24" t="s">
        <v>17</v>
      </c>
      <c r="E3170" s="24" t="s">
        <v>42</v>
      </c>
      <c r="F3170" s="24" t="s">
        <v>43</v>
      </c>
      <c r="G3170" s="24" t="s">
        <v>20</v>
      </c>
      <c r="H3170" s="26">
        <v>105</v>
      </c>
      <c r="I3170" s="24" t="s">
        <v>21</v>
      </c>
      <c r="J3170" s="36">
        <v>45573</v>
      </c>
      <c r="K3170" s="24" t="s">
        <v>22</v>
      </c>
    </row>
    <row r="3171" spans="1:11" x14ac:dyDescent="0.2">
      <c r="A3171" s="27" t="s">
        <v>7797</v>
      </c>
      <c r="B3171" s="27" t="s">
        <v>7798</v>
      </c>
      <c r="C3171" s="27" t="s">
        <v>6900</v>
      </c>
      <c r="D3171" s="27" t="s">
        <v>17</v>
      </c>
      <c r="E3171" s="27" t="s">
        <v>26</v>
      </c>
      <c r="F3171" s="27" t="s">
        <v>27</v>
      </c>
      <c r="G3171" s="27" t="s">
        <v>28</v>
      </c>
      <c r="H3171" s="29">
        <v>140</v>
      </c>
      <c r="I3171" s="27" t="s">
        <v>29</v>
      </c>
      <c r="J3171" s="37">
        <v>45587</v>
      </c>
      <c r="K3171" s="27" t="s">
        <v>22</v>
      </c>
    </row>
    <row r="3172" spans="1:11" x14ac:dyDescent="0.2">
      <c r="A3172" s="24" t="s">
        <v>7799</v>
      </c>
      <c r="B3172" s="24" t="s">
        <v>7800</v>
      </c>
      <c r="C3172" s="24" t="s">
        <v>4075</v>
      </c>
      <c r="D3172" s="24" t="s">
        <v>17</v>
      </c>
      <c r="E3172" s="24" t="s">
        <v>18</v>
      </c>
      <c r="F3172" s="24" t="s">
        <v>19</v>
      </c>
      <c r="G3172" s="24" t="s">
        <v>28</v>
      </c>
      <c r="H3172" s="26">
        <v>12</v>
      </c>
      <c r="I3172" s="24" t="s">
        <v>29</v>
      </c>
      <c r="J3172" s="36">
        <v>45573</v>
      </c>
      <c r="K3172" s="24" t="s">
        <v>22</v>
      </c>
    </row>
    <row r="3173" spans="1:11" x14ac:dyDescent="0.2">
      <c r="A3173" s="27" t="s">
        <v>7801</v>
      </c>
      <c r="B3173" s="27" t="s">
        <v>7802</v>
      </c>
      <c r="C3173" s="27" t="s">
        <v>7803</v>
      </c>
      <c r="D3173" s="27" t="s">
        <v>17</v>
      </c>
      <c r="E3173" s="27" t="s">
        <v>81</v>
      </c>
      <c r="F3173" s="27" t="s">
        <v>82</v>
      </c>
      <c r="G3173" s="27" t="s">
        <v>217</v>
      </c>
      <c r="H3173" s="29">
        <v>14</v>
      </c>
      <c r="I3173" s="27" t="s">
        <v>29</v>
      </c>
      <c r="J3173" s="37">
        <v>45566</v>
      </c>
      <c r="K3173" s="27" t="s">
        <v>22</v>
      </c>
    </row>
    <row r="3174" spans="1:11" x14ac:dyDescent="0.2">
      <c r="A3174" s="24" t="s">
        <v>7804</v>
      </c>
      <c r="B3174" s="24" t="s">
        <v>7805</v>
      </c>
      <c r="C3174" s="24" t="s">
        <v>55</v>
      </c>
      <c r="D3174" s="24" t="s">
        <v>17</v>
      </c>
      <c r="E3174" s="24" t="s">
        <v>18</v>
      </c>
      <c r="F3174" s="24" t="s">
        <v>19</v>
      </c>
      <c r="G3174" s="24" t="s">
        <v>20</v>
      </c>
      <c r="H3174" s="26">
        <v>24</v>
      </c>
      <c r="I3174" s="24" t="s">
        <v>21</v>
      </c>
      <c r="J3174" s="36">
        <v>45572</v>
      </c>
      <c r="K3174" s="24" t="s">
        <v>22</v>
      </c>
    </row>
    <row r="3175" spans="1:11" x14ac:dyDescent="0.2">
      <c r="A3175" s="27" t="s">
        <v>7806</v>
      </c>
      <c r="B3175" s="27" t="s">
        <v>7807</v>
      </c>
      <c r="C3175" s="27" t="s">
        <v>68</v>
      </c>
      <c r="D3175" s="27" t="s">
        <v>17</v>
      </c>
      <c r="E3175" s="27" t="s">
        <v>42</v>
      </c>
      <c r="F3175" s="27" t="s">
        <v>43</v>
      </c>
      <c r="G3175" s="27" t="s">
        <v>44</v>
      </c>
      <c r="H3175" s="29">
        <v>137</v>
      </c>
      <c r="I3175" s="27" t="s">
        <v>21</v>
      </c>
      <c r="J3175" s="37">
        <v>45590</v>
      </c>
      <c r="K3175" s="27" t="s">
        <v>22</v>
      </c>
    </row>
    <row r="3176" spans="1:11" x14ac:dyDescent="0.2">
      <c r="A3176" s="24" t="s">
        <v>7808</v>
      </c>
      <c r="B3176" s="24" t="s">
        <v>7809</v>
      </c>
      <c r="C3176" s="24" t="s">
        <v>7698</v>
      </c>
      <c r="D3176" s="24" t="s">
        <v>17</v>
      </c>
      <c r="E3176" s="24" t="s">
        <v>163</v>
      </c>
      <c r="F3176" s="24" t="s">
        <v>164</v>
      </c>
      <c r="G3176" s="24" t="s">
        <v>28</v>
      </c>
      <c r="H3176" s="26">
        <v>30</v>
      </c>
      <c r="I3176" s="24" t="s">
        <v>29</v>
      </c>
      <c r="J3176" s="36">
        <v>45588</v>
      </c>
      <c r="K3176" s="24" t="s">
        <v>22</v>
      </c>
    </row>
    <row r="3177" spans="1:11" x14ac:dyDescent="0.2">
      <c r="A3177" s="27" t="s">
        <v>7810</v>
      </c>
      <c r="B3177" s="27" t="s">
        <v>7811</v>
      </c>
      <c r="C3177" s="27" t="s">
        <v>146</v>
      </c>
      <c r="D3177" s="27" t="s">
        <v>17</v>
      </c>
      <c r="E3177" s="27" t="s">
        <v>18</v>
      </c>
      <c r="F3177" s="27" t="s">
        <v>19</v>
      </c>
      <c r="G3177" s="27" t="s">
        <v>20</v>
      </c>
      <c r="H3177" s="29">
        <v>50</v>
      </c>
      <c r="I3177" s="27" t="s">
        <v>21</v>
      </c>
      <c r="J3177" s="37">
        <v>45572</v>
      </c>
      <c r="K3177" s="27" t="s">
        <v>22</v>
      </c>
    </row>
    <row r="3178" spans="1:11" x14ac:dyDescent="0.2">
      <c r="A3178" s="24" t="s">
        <v>7812</v>
      </c>
      <c r="B3178" s="24" t="s">
        <v>7813</v>
      </c>
      <c r="C3178" s="24" t="s">
        <v>97</v>
      </c>
      <c r="D3178" s="24" t="s">
        <v>17</v>
      </c>
      <c r="E3178" s="24" t="s">
        <v>18</v>
      </c>
      <c r="F3178" s="24" t="s">
        <v>19</v>
      </c>
      <c r="G3178" s="24" t="s">
        <v>20</v>
      </c>
      <c r="H3178" s="26">
        <v>24</v>
      </c>
      <c r="I3178" s="24" t="s">
        <v>21</v>
      </c>
      <c r="J3178" s="36">
        <v>45586</v>
      </c>
      <c r="K3178" s="24" t="s">
        <v>22</v>
      </c>
    </row>
    <row r="3179" spans="1:11" x14ac:dyDescent="0.2">
      <c r="A3179" s="27" t="s">
        <v>7814</v>
      </c>
      <c r="B3179" s="27" t="s">
        <v>7815</v>
      </c>
      <c r="C3179" s="27" t="s">
        <v>122</v>
      </c>
      <c r="D3179" s="27" t="s">
        <v>17</v>
      </c>
      <c r="E3179" s="27" t="s">
        <v>18</v>
      </c>
      <c r="F3179" s="27" t="s">
        <v>19</v>
      </c>
      <c r="G3179" s="27" t="s">
        <v>59</v>
      </c>
      <c r="H3179" s="29">
        <v>9</v>
      </c>
      <c r="I3179" s="27" t="s">
        <v>21</v>
      </c>
      <c r="J3179" s="37">
        <v>45582</v>
      </c>
      <c r="K3179" s="27" t="s">
        <v>22</v>
      </c>
    </row>
    <row r="3180" spans="1:11" x14ac:dyDescent="0.2">
      <c r="A3180" s="24" t="s">
        <v>7816</v>
      </c>
      <c r="B3180" s="24" t="s">
        <v>7817</v>
      </c>
      <c r="C3180" s="24" t="s">
        <v>2116</v>
      </c>
      <c r="D3180" s="24" t="s">
        <v>17</v>
      </c>
      <c r="E3180" s="24" t="s">
        <v>18</v>
      </c>
      <c r="F3180" s="24" t="s">
        <v>19</v>
      </c>
      <c r="G3180" s="24" t="s">
        <v>20</v>
      </c>
      <c r="H3180" s="26">
        <v>41</v>
      </c>
      <c r="I3180" s="24" t="s">
        <v>21</v>
      </c>
      <c r="J3180" s="36">
        <v>45579</v>
      </c>
      <c r="K3180" s="24" t="s">
        <v>22</v>
      </c>
    </row>
    <row r="3181" spans="1:11" x14ac:dyDescent="0.2">
      <c r="A3181" s="27" t="s">
        <v>7818</v>
      </c>
      <c r="B3181" s="27" t="s">
        <v>7819</v>
      </c>
      <c r="C3181" s="27" t="s">
        <v>154</v>
      </c>
      <c r="D3181" s="27" t="s">
        <v>17</v>
      </c>
      <c r="E3181" s="27" t="s">
        <v>48</v>
      </c>
      <c r="F3181" s="27" t="s">
        <v>49</v>
      </c>
      <c r="G3181" s="27" t="s">
        <v>28</v>
      </c>
      <c r="H3181" s="29">
        <v>100</v>
      </c>
      <c r="I3181" s="27" t="s">
        <v>29</v>
      </c>
      <c r="J3181" s="37">
        <v>45586</v>
      </c>
      <c r="K3181" s="27" t="s">
        <v>22</v>
      </c>
    </row>
    <row r="3182" spans="1:11" x14ac:dyDescent="0.2">
      <c r="A3182" s="24" t="s">
        <v>7820</v>
      </c>
      <c r="B3182" s="24" t="s">
        <v>7821</v>
      </c>
      <c r="C3182" s="24" t="s">
        <v>2616</v>
      </c>
      <c r="D3182" s="24" t="s">
        <v>17</v>
      </c>
      <c r="E3182" s="24" t="s">
        <v>42</v>
      </c>
      <c r="F3182" s="24" t="s">
        <v>43</v>
      </c>
      <c r="G3182" s="24" t="s">
        <v>28</v>
      </c>
      <c r="H3182" s="26">
        <v>150</v>
      </c>
      <c r="I3182" s="24" t="s">
        <v>29</v>
      </c>
      <c r="J3182" s="36">
        <v>45567</v>
      </c>
      <c r="K3182" s="24" t="s">
        <v>22</v>
      </c>
    </row>
    <row r="3183" spans="1:11" x14ac:dyDescent="0.2">
      <c r="A3183" s="27" t="s">
        <v>7822</v>
      </c>
      <c r="B3183" s="27" t="s">
        <v>7823</v>
      </c>
      <c r="C3183" s="27" t="s">
        <v>7824</v>
      </c>
      <c r="D3183" s="27" t="s">
        <v>17</v>
      </c>
      <c r="E3183" s="27" t="s">
        <v>26</v>
      </c>
      <c r="F3183" s="27" t="s">
        <v>27</v>
      </c>
      <c r="G3183" s="27" t="s">
        <v>44</v>
      </c>
      <c r="H3183" s="29">
        <v>20</v>
      </c>
      <c r="I3183" s="27" t="s">
        <v>29</v>
      </c>
      <c r="J3183" s="37">
        <v>45572</v>
      </c>
      <c r="K3183" s="27" t="s">
        <v>22</v>
      </c>
    </row>
    <row r="3184" spans="1:11" x14ac:dyDescent="0.2">
      <c r="A3184" s="24" t="s">
        <v>7825</v>
      </c>
      <c r="B3184" s="24" t="s">
        <v>7826</v>
      </c>
      <c r="C3184" s="24" t="s">
        <v>2451</v>
      </c>
      <c r="D3184" s="24" t="s">
        <v>17</v>
      </c>
      <c r="E3184" s="24" t="s">
        <v>48</v>
      </c>
      <c r="F3184" s="24" t="s">
        <v>49</v>
      </c>
      <c r="G3184" s="24" t="s">
        <v>28</v>
      </c>
      <c r="H3184" s="26">
        <v>200</v>
      </c>
      <c r="I3184" s="24" t="s">
        <v>29</v>
      </c>
      <c r="J3184" s="36">
        <v>45567</v>
      </c>
      <c r="K3184" s="24" t="s">
        <v>22</v>
      </c>
    </row>
    <row r="3185" spans="1:11" x14ac:dyDescent="0.2">
      <c r="A3185" s="27" t="s">
        <v>7827</v>
      </c>
      <c r="B3185" s="27" t="s">
        <v>7828</v>
      </c>
      <c r="C3185" s="27" t="s">
        <v>134</v>
      </c>
      <c r="D3185" s="27" t="s">
        <v>17</v>
      </c>
      <c r="E3185" s="27" t="s">
        <v>42</v>
      </c>
      <c r="F3185" s="27" t="s">
        <v>43</v>
      </c>
      <c r="G3185" s="27" t="s">
        <v>28</v>
      </c>
      <c r="H3185" s="29">
        <v>1000</v>
      </c>
      <c r="I3185" s="27" t="s">
        <v>29</v>
      </c>
      <c r="J3185" s="37">
        <v>45572</v>
      </c>
      <c r="K3185" s="27" t="s">
        <v>22</v>
      </c>
    </row>
    <row r="3186" spans="1:11" x14ac:dyDescent="0.2">
      <c r="A3186" s="24" t="s">
        <v>7829</v>
      </c>
      <c r="B3186" s="24" t="s">
        <v>7830</v>
      </c>
      <c r="C3186" s="24" t="s">
        <v>85</v>
      </c>
      <c r="D3186" s="24" t="s">
        <v>17</v>
      </c>
      <c r="E3186" s="24" t="s">
        <v>18</v>
      </c>
      <c r="F3186" s="24" t="s">
        <v>19</v>
      </c>
      <c r="G3186" s="24" t="s">
        <v>59</v>
      </c>
      <c r="H3186" s="26">
        <v>20</v>
      </c>
      <c r="I3186" s="24" t="s">
        <v>21</v>
      </c>
      <c r="J3186" s="36">
        <v>45588</v>
      </c>
      <c r="K3186" s="24" t="s">
        <v>22</v>
      </c>
    </row>
    <row r="3187" spans="1:11" x14ac:dyDescent="0.2">
      <c r="A3187" s="27" t="s">
        <v>7831</v>
      </c>
      <c r="B3187" s="27" t="s">
        <v>7832</v>
      </c>
      <c r="C3187" s="27" t="s">
        <v>7833</v>
      </c>
      <c r="D3187" s="27" t="s">
        <v>17</v>
      </c>
      <c r="E3187" s="27" t="s">
        <v>26</v>
      </c>
      <c r="F3187" s="27" t="s">
        <v>27</v>
      </c>
      <c r="G3187" s="27" t="s">
        <v>28</v>
      </c>
      <c r="H3187" s="29">
        <v>42</v>
      </c>
      <c r="I3187" s="27" t="s">
        <v>29</v>
      </c>
      <c r="J3187" s="37">
        <v>45586</v>
      </c>
      <c r="K3187" s="27" t="s">
        <v>22</v>
      </c>
    </row>
    <row r="3188" spans="1:11" x14ac:dyDescent="0.2">
      <c r="A3188" s="24" t="s">
        <v>7834</v>
      </c>
      <c r="B3188" s="24" t="s">
        <v>7835</v>
      </c>
      <c r="C3188" s="24" t="s">
        <v>354</v>
      </c>
      <c r="D3188" s="24" t="s">
        <v>17</v>
      </c>
      <c r="E3188" s="24" t="s">
        <v>48</v>
      </c>
      <c r="F3188" s="24" t="s">
        <v>49</v>
      </c>
      <c r="G3188" s="24" t="s">
        <v>20</v>
      </c>
      <c r="H3188" s="26">
        <v>367</v>
      </c>
      <c r="I3188" s="24" t="s">
        <v>21</v>
      </c>
      <c r="J3188" s="36">
        <v>45594</v>
      </c>
      <c r="K3188" s="24" t="s">
        <v>22</v>
      </c>
    </row>
    <row r="3189" spans="1:11" x14ac:dyDescent="0.2">
      <c r="A3189" s="27" t="s">
        <v>7836</v>
      </c>
      <c r="B3189" s="27" t="s">
        <v>7837</v>
      </c>
      <c r="C3189" s="27" t="s">
        <v>7838</v>
      </c>
      <c r="D3189" s="27" t="s">
        <v>17</v>
      </c>
      <c r="E3189" s="27" t="s">
        <v>18</v>
      </c>
      <c r="F3189" s="27" t="s">
        <v>19</v>
      </c>
      <c r="G3189" s="27" t="s">
        <v>28</v>
      </c>
      <c r="H3189" s="29">
        <v>30</v>
      </c>
      <c r="I3189" s="27" t="s">
        <v>29</v>
      </c>
      <c r="J3189" s="37">
        <v>45574</v>
      </c>
      <c r="K3189" s="27" t="s">
        <v>22</v>
      </c>
    </row>
    <row r="3190" spans="1:11" x14ac:dyDescent="0.2">
      <c r="A3190" s="24" t="s">
        <v>7839</v>
      </c>
      <c r="B3190" s="24" t="s">
        <v>7840</v>
      </c>
      <c r="C3190" s="24" t="s">
        <v>618</v>
      </c>
      <c r="D3190" s="24" t="s">
        <v>17</v>
      </c>
      <c r="E3190" s="24" t="s">
        <v>48</v>
      </c>
      <c r="F3190" s="24" t="s">
        <v>49</v>
      </c>
      <c r="G3190" s="24" t="s">
        <v>217</v>
      </c>
      <c r="H3190" s="26">
        <v>176</v>
      </c>
      <c r="I3190" s="24" t="s">
        <v>29</v>
      </c>
      <c r="J3190" s="36">
        <v>45595</v>
      </c>
      <c r="K3190" s="24" t="s">
        <v>22</v>
      </c>
    </row>
    <row r="3191" spans="1:11" x14ac:dyDescent="0.2">
      <c r="A3191" s="27" t="s">
        <v>7841</v>
      </c>
      <c r="B3191" s="27" t="s">
        <v>7842</v>
      </c>
      <c r="C3191" s="27" t="s">
        <v>292</v>
      </c>
      <c r="D3191" s="27" t="s">
        <v>17</v>
      </c>
      <c r="E3191" s="27" t="s">
        <v>42</v>
      </c>
      <c r="F3191" s="27" t="s">
        <v>43</v>
      </c>
      <c r="G3191" s="27" t="s">
        <v>44</v>
      </c>
      <c r="H3191" s="29">
        <v>400</v>
      </c>
      <c r="I3191" s="27" t="s">
        <v>29</v>
      </c>
      <c r="J3191" s="37">
        <v>45587</v>
      </c>
      <c r="K3191" s="27" t="s">
        <v>22</v>
      </c>
    </row>
    <row r="3192" spans="1:11" x14ac:dyDescent="0.2">
      <c r="A3192" s="24" t="s">
        <v>7843</v>
      </c>
      <c r="B3192" s="24" t="s">
        <v>7844</v>
      </c>
      <c r="C3192" s="24" t="s">
        <v>7845</v>
      </c>
      <c r="D3192" s="24" t="s">
        <v>17</v>
      </c>
      <c r="E3192" s="24" t="s">
        <v>42</v>
      </c>
      <c r="F3192" s="24" t="s">
        <v>43</v>
      </c>
      <c r="G3192" s="24" t="s">
        <v>217</v>
      </c>
      <c r="H3192" s="26">
        <v>144</v>
      </c>
      <c r="I3192" s="24" t="s">
        <v>29</v>
      </c>
      <c r="J3192" s="36">
        <v>45580</v>
      </c>
      <c r="K3192" s="24" t="s">
        <v>22</v>
      </c>
    </row>
    <row r="3193" spans="1:11" x14ac:dyDescent="0.2">
      <c r="A3193" s="27" t="s">
        <v>7846</v>
      </c>
      <c r="B3193" s="27" t="s">
        <v>7847</v>
      </c>
      <c r="C3193" s="27" t="s">
        <v>97</v>
      </c>
      <c r="D3193" s="27" t="s">
        <v>17</v>
      </c>
      <c r="E3193" s="27" t="s">
        <v>48</v>
      </c>
      <c r="F3193" s="27" t="s">
        <v>49</v>
      </c>
      <c r="G3193" s="27" t="s">
        <v>20</v>
      </c>
      <c r="H3193" s="29">
        <v>262</v>
      </c>
      <c r="I3193" s="27" t="s">
        <v>21</v>
      </c>
      <c r="J3193" s="37">
        <v>45566</v>
      </c>
      <c r="K3193" s="27" t="s">
        <v>22</v>
      </c>
    </row>
    <row r="3194" spans="1:11" x14ac:dyDescent="0.2">
      <c r="A3194" s="24" t="s">
        <v>7848</v>
      </c>
      <c r="B3194" s="24" t="s">
        <v>7849</v>
      </c>
      <c r="C3194" s="24" t="s">
        <v>7850</v>
      </c>
      <c r="D3194" s="24" t="s">
        <v>17</v>
      </c>
      <c r="E3194" s="24" t="s">
        <v>18</v>
      </c>
      <c r="F3194" s="24" t="s">
        <v>19</v>
      </c>
      <c r="G3194" s="24" t="s">
        <v>20</v>
      </c>
      <c r="H3194" s="26">
        <v>48</v>
      </c>
      <c r="I3194" s="24" t="s">
        <v>21</v>
      </c>
      <c r="J3194" s="36">
        <v>45568</v>
      </c>
      <c r="K3194" s="24" t="s">
        <v>22</v>
      </c>
    </row>
    <row r="3195" spans="1:11" x14ac:dyDescent="0.2">
      <c r="A3195" s="27" t="s">
        <v>7851</v>
      </c>
      <c r="B3195" s="27" t="s">
        <v>7852</v>
      </c>
      <c r="C3195" s="27" t="s">
        <v>97</v>
      </c>
      <c r="D3195" s="27" t="s">
        <v>17</v>
      </c>
      <c r="E3195" s="27" t="s">
        <v>42</v>
      </c>
      <c r="F3195" s="27" t="s">
        <v>43</v>
      </c>
      <c r="G3195" s="27" t="s">
        <v>28</v>
      </c>
      <c r="H3195" s="29">
        <v>744</v>
      </c>
      <c r="I3195" s="27" t="s">
        <v>29</v>
      </c>
      <c r="J3195" s="37">
        <v>45569</v>
      </c>
      <c r="K3195" s="27" t="s">
        <v>22</v>
      </c>
    </row>
    <row r="3196" spans="1:11" x14ac:dyDescent="0.2">
      <c r="A3196" s="24" t="s">
        <v>7853</v>
      </c>
      <c r="B3196" s="24" t="s">
        <v>7854</v>
      </c>
      <c r="C3196" s="24" t="s">
        <v>146</v>
      </c>
      <c r="D3196" s="24" t="s">
        <v>17</v>
      </c>
      <c r="E3196" s="24" t="s">
        <v>42</v>
      </c>
      <c r="F3196" s="24" t="s">
        <v>43</v>
      </c>
      <c r="G3196" s="24" t="s">
        <v>20</v>
      </c>
      <c r="H3196" s="26">
        <v>97</v>
      </c>
      <c r="I3196" s="24" t="s">
        <v>21</v>
      </c>
      <c r="J3196" s="36">
        <v>45567</v>
      </c>
      <c r="K3196" s="24" t="s">
        <v>22</v>
      </c>
    </row>
    <row r="3197" spans="1:11" x14ac:dyDescent="0.2">
      <c r="A3197" s="27" t="s">
        <v>7855</v>
      </c>
      <c r="B3197" s="27" t="s">
        <v>7856</v>
      </c>
      <c r="C3197" s="27" t="s">
        <v>194</v>
      </c>
      <c r="D3197" s="27" t="s">
        <v>17</v>
      </c>
      <c r="E3197" s="27" t="s">
        <v>18</v>
      </c>
      <c r="F3197" s="27" t="s">
        <v>19</v>
      </c>
      <c r="G3197" s="27" t="s">
        <v>28</v>
      </c>
      <c r="H3197" s="29">
        <v>20</v>
      </c>
      <c r="I3197" s="27" t="s">
        <v>29</v>
      </c>
      <c r="J3197" s="37">
        <v>45595</v>
      </c>
      <c r="K3197" s="27" t="s">
        <v>22</v>
      </c>
    </row>
    <row r="3198" spans="1:11" x14ac:dyDescent="0.2">
      <c r="A3198" s="24" t="s">
        <v>7857</v>
      </c>
      <c r="B3198" s="24" t="s">
        <v>7858</v>
      </c>
      <c r="C3198" s="24" t="s">
        <v>7859</v>
      </c>
      <c r="D3198" s="24" t="s">
        <v>17</v>
      </c>
      <c r="E3198" s="24" t="s">
        <v>48</v>
      </c>
      <c r="F3198" s="24" t="s">
        <v>49</v>
      </c>
      <c r="G3198" s="24" t="s">
        <v>217</v>
      </c>
      <c r="H3198" s="26">
        <v>80</v>
      </c>
      <c r="I3198" s="24" t="s">
        <v>29</v>
      </c>
      <c r="J3198" s="36">
        <v>45580</v>
      </c>
      <c r="K3198" s="24" t="s">
        <v>22</v>
      </c>
    </row>
    <row r="3199" spans="1:11" x14ac:dyDescent="0.2">
      <c r="A3199" s="27" t="s">
        <v>7860</v>
      </c>
      <c r="B3199" s="27" t="s">
        <v>7861</v>
      </c>
      <c r="C3199" s="27" t="s">
        <v>937</v>
      </c>
      <c r="D3199" s="27" t="s">
        <v>17</v>
      </c>
      <c r="E3199" s="27" t="s">
        <v>48</v>
      </c>
      <c r="F3199" s="27" t="s">
        <v>49</v>
      </c>
      <c r="G3199" s="27" t="s">
        <v>28</v>
      </c>
      <c r="H3199" s="29">
        <v>14</v>
      </c>
      <c r="I3199" s="27" t="s">
        <v>29</v>
      </c>
      <c r="J3199" s="37">
        <v>45572</v>
      </c>
      <c r="K3199" s="27" t="s">
        <v>22</v>
      </c>
    </row>
    <row r="3200" spans="1:11" x14ac:dyDescent="0.2">
      <c r="A3200" s="24" t="s">
        <v>7862</v>
      </c>
      <c r="B3200" s="24" t="s">
        <v>7863</v>
      </c>
      <c r="C3200" s="24" t="s">
        <v>7864</v>
      </c>
      <c r="D3200" s="24" t="s">
        <v>17</v>
      </c>
      <c r="E3200" s="24" t="s">
        <v>18</v>
      </c>
      <c r="F3200" s="24" t="s">
        <v>19</v>
      </c>
      <c r="G3200" s="24" t="s">
        <v>20</v>
      </c>
      <c r="H3200" s="26">
        <v>30</v>
      </c>
      <c r="I3200" s="24" t="s">
        <v>21</v>
      </c>
      <c r="J3200" s="36">
        <v>45586</v>
      </c>
      <c r="K3200" s="24" t="s">
        <v>22</v>
      </c>
    </row>
    <row r="3201" spans="1:11" x14ac:dyDescent="0.2">
      <c r="A3201" s="27" t="s">
        <v>7865</v>
      </c>
      <c r="B3201" s="27" t="s">
        <v>7866</v>
      </c>
      <c r="C3201" s="27" t="s">
        <v>7867</v>
      </c>
      <c r="D3201" s="27" t="s">
        <v>17</v>
      </c>
      <c r="E3201" s="27" t="s">
        <v>163</v>
      </c>
      <c r="F3201" s="27" t="s">
        <v>164</v>
      </c>
      <c r="G3201" s="27" t="s">
        <v>28</v>
      </c>
      <c r="H3201" s="29">
        <v>120</v>
      </c>
      <c r="I3201" s="27" t="s">
        <v>29</v>
      </c>
      <c r="J3201" s="37">
        <v>45566</v>
      </c>
      <c r="K3201" s="27" t="s">
        <v>22</v>
      </c>
    </row>
    <row r="3202" spans="1:11" x14ac:dyDescent="0.2">
      <c r="A3202" s="24" t="s">
        <v>7868</v>
      </c>
      <c r="B3202" s="24" t="s">
        <v>7869</v>
      </c>
      <c r="C3202" s="24" t="s">
        <v>208</v>
      </c>
      <c r="D3202" s="24" t="s">
        <v>17</v>
      </c>
      <c r="E3202" s="24" t="s">
        <v>18</v>
      </c>
      <c r="F3202" s="24" t="s">
        <v>19</v>
      </c>
      <c r="G3202" s="24" t="s">
        <v>28</v>
      </c>
      <c r="H3202" s="26">
        <v>82</v>
      </c>
      <c r="I3202" s="24" t="s">
        <v>29</v>
      </c>
      <c r="J3202" s="36">
        <v>45595</v>
      </c>
      <c r="K3202" s="24" t="s">
        <v>22</v>
      </c>
    </row>
    <row r="3203" spans="1:11" x14ac:dyDescent="0.2">
      <c r="A3203" s="27" t="s">
        <v>7870</v>
      </c>
      <c r="B3203" s="27" t="s">
        <v>7871</v>
      </c>
      <c r="C3203" s="27" t="s">
        <v>7872</v>
      </c>
      <c r="D3203" s="27" t="s">
        <v>17</v>
      </c>
      <c r="E3203" s="27" t="s">
        <v>18</v>
      </c>
      <c r="F3203" s="27" t="s">
        <v>19</v>
      </c>
      <c r="G3203" s="27" t="s">
        <v>28</v>
      </c>
      <c r="H3203" s="29">
        <v>30</v>
      </c>
      <c r="I3203" s="27" t="s">
        <v>29</v>
      </c>
      <c r="J3203" s="37">
        <v>45569</v>
      </c>
      <c r="K3203" s="27" t="s">
        <v>22</v>
      </c>
    </row>
    <row r="3204" spans="1:11" x14ac:dyDescent="0.2">
      <c r="A3204" s="24" t="s">
        <v>7873</v>
      </c>
      <c r="B3204" s="24" t="s">
        <v>7874</v>
      </c>
      <c r="C3204" s="24" t="s">
        <v>277</v>
      </c>
      <c r="D3204" s="24" t="s">
        <v>17</v>
      </c>
      <c r="E3204" s="24" t="s">
        <v>18</v>
      </c>
      <c r="F3204" s="24" t="s">
        <v>19</v>
      </c>
      <c r="G3204" s="24" t="s">
        <v>20</v>
      </c>
      <c r="H3204" s="26">
        <v>12</v>
      </c>
      <c r="I3204" s="24" t="s">
        <v>21</v>
      </c>
      <c r="J3204" s="36">
        <v>45583</v>
      </c>
      <c r="K3204" s="24" t="s">
        <v>22</v>
      </c>
    </row>
    <row r="3205" spans="1:11" x14ac:dyDescent="0.2">
      <c r="A3205" s="27" t="s">
        <v>7875</v>
      </c>
      <c r="B3205" s="27" t="s">
        <v>7876</v>
      </c>
      <c r="C3205" s="27" t="s">
        <v>7877</v>
      </c>
      <c r="D3205" s="27" t="s">
        <v>17</v>
      </c>
      <c r="E3205" s="27" t="s">
        <v>18</v>
      </c>
      <c r="F3205" s="27" t="s">
        <v>19</v>
      </c>
      <c r="G3205" s="27" t="s">
        <v>20</v>
      </c>
      <c r="H3205" s="29">
        <v>25</v>
      </c>
      <c r="I3205" s="27" t="s">
        <v>21</v>
      </c>
      <c r="J3205" s="37">
        <v>45596</v>
      </c>
      <c r="K3205" s="27" t="s">
        <v>22</v>
      </c>
    </row>
    <row r="3206" spans="1:11" x14ac:dyDescent="0.2">
      <c r="A3206" s="24" t="s">
        <v>7878</v>
      </c>
      <c r="B3206" s="24" t="s">
        <v>7879</v>
      </c>
      <c r="C3206" s="24" t="s">
        <v>354</v>
      </c>
      <c r="D3206" s="24" t="s">
        <v>17</v>
      </c>
      <c r="E3206" s="24" t="s">
        <v>48</v>
      </c>
      <c r="F3206" s="24" t="s">
        <v>49</v>
      </c>
      <c r="G3206" s="24" t="s">
        <v>28</v>
      </c>
      <c r="H3206" s="26">
        <v>300</v>
      </c>
      <c r="I3206" s="24" t="s">
        <v>29</v>
      </c>
      <c r="J3206" s="36">
        <v>45583</v>
      </c>
      <c r="K3206" s="24" t="s">
        <v>22</v>
      </c>
    </row>
    <row r="3207" spans="1:11" x14ac:dyDescent="0.2">
      <c r="A3207" s="27" t="s">
        <v>7880</v>
      </c>
      <c r="B3207" s="27" t="s">
        <v>7881</v>
      </c>
      <c r="C3207" s="27" t="s">
        <v>194</v>
      </c>
      <c r="D3207" s="27" t="s">
        <v>17</v>
      </c>
      <c r="E3207" s="27" t="s">
        <v>18</v>
      </c>
      <c r="F3207" s="27" t="s">
        <v>19</v>
      </c>
      <c r="G3207" s="27" t="s">
        <v>28</v>
      </c>
      <c r="H3207" s="29">
        <v>20</v>
      </c>
      <c r="I3207" s="27" t="s">
        <v>29</v>
      </c>
      <c r="J3207" s="37">
        <v>45581</v>
      </c>
      <c r="K3207" s="27" t="s">
        <v>22</v>
      </c>
    </row>
    <row r="3208" spans="1:11" x14ac:dyDescent="0.2">
      <c r="A3208" s="24" t="s">
        <v>7882</v>
      </c>
      <c r="B3208" s="24" t="s">
        <v>7883</v>
      </c>
      <c r="C3208" s="24" t="s">
        <v>7884</v>
      </c>
      <c r="D3208" s="24" t="s">
        <v>17</v>
      </c>
      <c r="E3208" s="24" t="s">
        <v>163</v>
      </c>
      <c r="F3208" s="24" t="s">
        <v>164</v>
      </c>
      <c r="G3208" s="24" t="s">
        <v>59</v>
      </c>
      <c r="H3208" s="26">
        <v>17</v>
      </c>
      <c r="I3208" s="24" t="s">
        <v>21</v>
      </c>
      <c r="J3208" s="36">
        <v>45596</v>
      </c>
      <c r="K3208" s="24" t="s">
        <v>22</v>
      </c>
    </row>
    <row r="3209" spans="1:11" x14ac:dyDescent="0.2">
      <c r="A3209" s="27" t="s">
        <v>7885</v>
      </c>
      <c r="B3209" s="27" t="s">
        <v>7886</v>
      </c>
      <c r="C3209" s="27" t="s">
        <v>1033</v>
      </c>
      <c r="D3209" s="27" t="s">
        <v>17</v>
      </c>
      <c r="E3209" s="27" t="s">
        <v>48</v>
      </c>
      <c r="F3209" s="27" t="s">
        <v>49</v>
      </c>
      <c r="G3209" s="27" t="s">
        <v>28</v>
      </c>
      <c r="H3209" s="29">
        <v>66</v>
      </c>
      <c r="I3209" s="27" t="s">
        <v>29</v>
      </c>
      <c r="J3209" s="37">
        <v>45568</v>
      </c>
      <c r="K3209" s="27" t="s">
        <v>22</v>
      </c>
    </row>
    <row r="3210" spans="1:11" x14ac:dyDescent="0.2">
      <c r="A3210" s="24" t="s">
        <v>7887</v>
      </c>
      <c r="B3210" s="24" t="s">
        <v>7888</v>
      </c>
      <c r="C3210" s="24" t="s">
        <v>7889</v>
      </c>
      <c r="D3210" s="24" t="s">
        <v>17</v>
      </c>
      <c r="E3210" s="24" t="s">
        <v>18</v>
      </c>
      <c r="F3210" s="24" t="s">
        <v>19</v>
      </c>
      <c r="G3210" s="24" t="s">
        <v>28</v>
      </c>
      <c r="H3210" s="26">
        <v>77</v>
      </c>
      <c r="I3210" s="24" t="s">
        <v>29</v>
      </c>
      <c r="J3210" s="36">
        <v>45594</v>
      </c>
      <c r="K3210" s="24" t="s">
        <v>22</v>
      </c>
    </row>
    <row r="3211" spans="1:11" x14ac:dyDescent="0.2">
      <c r="A3211" s="27" t="s">
        <v>7890</v>
      </c>
      <c r="B3211" s="27" t="s">
        <v>7891</v>
      </c>
      <c r="C3211" s="27" t="s">
        <v>1044</v>
      </c>
      <c r="D3211" s="27" t="s">
        <v>17</v>
      </c>
      <c r="E3211" s="27" t="s">
        <v>18</v>
      </c>
      <c r="F3211" s="27" t="s">
        <v>19</v>
      </c>
      <c r="G3211" s="27" t="s">
        <v>217</v>
      </c>
      <c r="H3211" s="29">
        <v>52</v>
      </c>
      <c r="I3211" s="27" t="s">
        <v>29</v>
      </c>
      <c r="J3211" s="37">
        <v>45566</v>
      </c>
      <c r="K3211" s="27" t="s">
        <v>22</v>
      </c>
    </row>
    <row r="3212" spans="1:11" x14ac:dyDescent="0.2">
      <c r="A3212" s="24" t="s">
        <v>7892</v>
      </c>
      <c r="B3212" s="24" t="s">
        <v>7893</v>
      </c>
      <c r="C3212" s="24" t="s">
        <v>7072</v>
      </c>
      <c r="D3212" s="24" t="s">
        <v>17</v>
      </c>
      <c r="E3212" s="24" t="s">
        <v>18</v>
      </c>
      <c r="F3212" s="24" t="s">
        <v>19</v>
      </c>
      <c r="G3212" s="24" t="s">
        <v>28</v>
      </c>
      <c r="H3212" s="26">
        <v>240</v>
      </c>
      <c r="I3212" s="24" t="s">
        <v>29</v>
      </c>
      <c r="J3212" s="36">
        <v>45590</v>
      </c>
      <c r="K3212" s="24" t="s">
        <v>22</v>
      </c>
    </row>
    <row r="3213" spans="1:11" x14ac:dyDescent="0.2">
      <c r="A3213" s="27" t="s">
        <v>7894</v>
      </c>
      <c r="B3213" s="27" t="s">
        <v>7895</v>
      </c>
      <c r="C3213" s="27" t="s">
        <v>2138</v>
      </c>
      <c r="D3213" s="27" t="s">
        <v>17</v>
      </c>
      <c r="E3213" s="27" t="s">
        <v>26</v>
      </c>
      <c r="F3213" s="27" t="s">
        <v>27</v>
      </c>
      <c r="G3213" s="27" t="s">
        <v>44</v>
      </c>
      <c r="H3213" s="29">
        <v>10</v>
      </c>
      <c r="I3213" s="27" t="s">
        <v>29</v>
      </c>
      <c r="J3213" s="37">
        <v>45582</v>
      </c>
      <c r="K3213" s="27" t="s">
        <v>22</v>
      </c>
    </row>
    <row r="3214" spans="1:11" x14ac:dyDescent="0.2">
      <c r="A3214" s="24" t="s">
        <v>7896</v>
      </c>
      <c r="B3214" s="24" t="s">
        <v>7897</v>
      </c>
      <c r="C3214" s="24" t="s">
        <v>220</v>
      </c>
      <c r="D3214" s="24" t="s">
        <v>17</v>
      </c>
      <c r="E3214" s="24" t="s">
        <v>42</v>
      </c>
      <c r="F3214" s="24" t="s">
        <v>43</v>
      </c>
      <c r="G3214" s="24" t="s">
        <v>28</v>
      </c>
      <c r="H3214" s="26">
        <v>90</v>
      </c>
      <c r="I3214" s="24" t="s">
        <v>29</v>
      </c>
      <c r="J3214" s="36">
        <v>45566</v>
      </c>
      <c r="K3214" s="24" t="s">
        <v>22</v>
      </c>
    </row>
    <row r="3215" spans="1:11" x14ac:dyDescent="0.2">
      <c r="A3215" s="27" t="s">
        <v>7898</v>
      </c>
      <c r="B3215" s="27" t="s">
        <v>7899</v>
      </c>
      <c r="C3215" s="27" t="s">
        <v>7698</v>
      </c>
      <c r="D3215" s="27" t="s">
        <v>17</v>
      </c>
      <c r="E3215" s="27" t="s">
        <v>163</v>
      </c>
      <c r="F3215" s="27" t="s">
        <v>164</v>
      </c>
      <c r="G3215" s="27" t="s">
        <v>28</v>
      </c>
      <c r="H3215" s="29">
        <v>60</v>
      </c>
      <c r="I3215" s="27" t="s">
        <v>29</v>
      </c>
      <c r="J3215" s="37">
        <v>45588</v>
      </c>
      <c r="K3215" s="27" t="s">
        <v>22</v>
      </c>
    </row>
    <row r="3216" spans="1:11" x14ac:dyDescent="0.2">
      <c r="A3216" s="24" t="s">
        <v>7900</v>
      </c>
      <c r="B3216" s="24" t="s">
        <v>7901</v>
      </c>
      <c r="C3216" s="24" t="s">
        <v>7902</v>
      </c>
      <c r="D3216" s="24" t="s">
        <v>17</v>
      </c>
      <c r="E3216" s="24" t="s">
        <v>48</v>
      </c>
      <c r="F3216" s="24" t="s">
        <v>49</v>
      </c>
      <c r="G3216" s="24" t="s">
        <v>44</v>
      </c>
      <c r="H3216" s="26">
        <v>10400</v>
      </c>
      <c r="I3216" s="24" t="s">
        <v>29</v>
      </c>
      <c r="J3216" s="36">
        <v>45573</v>
      </c>
      <c r="K3216" s="24" t="s">
        <v>22</v>
      </c>
    </row>
    <row r="3217" spans="1:11" x14ac:dyDescent="0.2">
      <c r="A3217" s="27" t="s">
        <v>7903</v>
      </c>
      <c r="B3217" s="27" t="s">
        <v>7904</v>
      </c>
      <c r="C3217" s="27" t="s">
        <v>1044</v>
      </c>
      <c r="D3217" s="27" t="s">
        <v>17</v>
      </c>
      <c r="E3217" s="27" t="s">
        <v>18</v>
      </c>
      <c r="F3217" s="27" t="s">
        <v>19</v>
      </c>
      <c r="G3217" s="27" t="s">
        <v>217</v>
      </c>
      <c r="H3217" s="29">
        <v>34</v>
      </c>
      <c r="I3217" s="27" t="s">
        <v>29</v>
      </c>
      <c r="J3217" s="37">
        <v>45591</v>
      </c>
      <c r="K3217" s="27" t="s">
        <v>22</v>
      </c>
    </row>
    <row r="3218" spans="1:11" x14ac:dyDescent="0.2">
      <c r="A3218" s="24" t="s">
        <v>7905</v>
      </c>
      <c r="B3218" s="24" t="s">
        <v>7906</v>
      </c>
      <c r="C3218" s="24" t="s">
        <v>1014</v>
      </c>
      <c r="D3218" s="24" t="s">
        <v>17</v>
      </c>
      <c r="E3218" s="24" t="s">
        <v>18</v>
      </c>
      <c r="F3218" s="24" t="s">
        <v>19</v>
      </c>
      <c r="G3218" s="24" t="s">
        <v>38</v>
      </c>
      <c r="H3218" s="26">
        <v>40</v>
      </c>
      <c r="I3218" s="24" t="s">
        <v>29</v>
      </c>
      <c r="J3218" s="36">
        <v>45566</v>
      </c>
      <c r="K3218" s="24" t="s">
        <v>22</v>
      </c>
    </row>
    <row r="3219" spans="1:11" x14ac:dyDescent="0.2">
      <c r="A3219" s="27" t="s">
        <v>7907</v>
      </c>
      <c r="B3219" s="27" t="s">
        <v>7908</v>
      </c>
      <c r="C3219" s="27" t="s">
        <v>7909</v>
      </c>
      <c r="D3219" s="27" t="s">
        <v>17</v>
      </c>
      <c r="E3219" s="27" t="s">
        <v>48</v>
      </c>
      <c r="F3219" s="27" t="s">
        <v>49</v>
      </c>
      <c r="G3219" s="27" t="s">
        <v>28</v>
      </c>
      <c r="H3219" s="29">
        <v>600</v>
      </c>
      <c r="I3219" s="27" t="s">
        <v>29</v>
      </c>
      <c r="J3219" s="37">
        <v>45568</v>
      </c>
      <c r="K3219" s="27" t="s">
        <v>22</v>
      </c>
    </row>
    <row r="3220" spans="1:11" x14ac:dyDescent="0.2">
      <c r="A3220" s="24" t="s">
        <v>7910</v>
      </c>
      <c r="B3220" s="24" t="s">
        <v>7911</v>
      </c>
      <c r="C3220" s="24" t="s">
        <v>415</v>
      </c>
      <c r="D3220" s="24" t="s">
        <v>17</v>
      </c>
      <c r="E3220" s="24" t="s">
        <v>163</v>
      </c>
      <c r="F3220" s="24" t="s">
        <v>164</v>
      </c>
      <c r="G3220" s="24" t="s">
        <v>28</v>
      </c>
      <c r="H3220" s="26">
        <v>10</v>
      </c>
      <c r="I3220" s="24" t="s">
        <v>29</v>
      </c>
      <c r="J3220" s="36">
        <v>45582</v>
      </c>
      <c r="K3220" s="24" t="s">
        <v>22</v>
      </c>
    </row>
    <row r="3221" spans="1:11" x14ac:dyDescent="0.2">
      <c r="A3221" s="27" t="s">
        <v>7912</v>
      </c>
      <c r="B3221" s="27" t="s">
        <v>7913</v>
      </c>
      <c r="C3221" s="27" t="s">
        <v>7914</v>
      </c>
      <c r="D3221" s="27" t="s">
        <v>17</v>
      </c>
      <c r="E3221" s="27" t="s">
        <v>18</v>
      </c>
      <c r="F3221" s="27" t="s">
        <v>19</v>
      </c>
      <c r="G3221" s="27" t="s">
        <v>20</v>
      </c>
      <c r="H3221" s="29">
        <v>59</v>
      </c>
      <c r="I3221" s="27" t="s">
        <v>21</v>
      </c>
      <c r="J3221" s="37">
        <v>45573</v>
      </c>
      <c r="K3221" s="27" t="s">
        <v>22</v>
      </c>
    </row>
    <row r="3222" spans="1:11" x14ac:dyDescent="0.2">
      <c r="A3222" s="24" t="s">
        <v>7915</v>
      </c>
      <c r="B3222" s="24" t="s">
        <v>7916</v>
      </c>
      <c r="C3222" s="24" t="s">
        <v>2159</v>
      </c>
      <c r="D3222" s="24" t="s">
        <v>17</v>
      </c>
      <c r="E3222" s="24" t="s">
        <v>26</v>
      </c>
      <c r="F3222" s="24" t="s">
        <v>27</v>
      </c>
      <c r="G3222" s="24" t="s">
        <v>28</v>
      </c>
      <c r="H3222" s="26">
        <v>255</v>
      </c>
      <c r="I3222" s="24" t="s">
        <v>29</v>
      </c>
      <c r="J3222" s="36">
        <v>45588</v>
      </c>
      <c r="K3222" s="24" t="s">
        <v>22</v>
      </c>
    </row>
    <row r="3223" spans="1:11" x14ac:dyDescent="0.2">
      <c r="A3223" s="27" t="s">
        <v>7917</v>
      </c>
      <c r="B3223" s="27" t="s">
        <v>7918</v>
      </c>
      <c r="C3223" s="27" t="s">
        <v>1693</v>
      </c>
      <c r="D3223" s="27" t="s">
        <v>17</v>
      </c>
      <c r="E3223" s="27" t="s">
        <v>42</v>
      </c>
      <c r="F3223" s="27" t="s">
        <v>43</v>
      </c>
      <c r="G3223" s="27" t="s">
        <v>227</v>
      </c>
      <c r="H3223" s="29">
        <v>30</v>
      </c>
      <c r="I3223" s="27" t="s">
        <v>29</v>
      </c>
      <c r="J3223" s="37">
        <v>45586</v>
      </c>
      <c r="K3223" s="27" t="s">
        <v>22</v>
      </c>
    </row>
    <row r="3224" spans="1:11" x14ac:dyDescent="0.2">
      <c r="A3224" s="24" t="s">
        <v>7919</v>
      </c>
      <c r="B3224" s="24" t="s">
        <v>7920</v>
      </c>
      <c r="C3224" s="24" t="s">
        <v>792</v>
      </c>
      <c r="D3224" s="24" t="s">
        <v>17</v>
      </c>
      <c r="E3224" s="24" t="s">
        <v>26</v>
      </c>
      <c r="F3224" s="24" t="s">
        <v>27</v>
      </c>
      <c r="G3224" s="24" t="s">
        <v>28</v>
      </c>
      <c r="H3224" s="26">
        <v>137</v>
      </c>
      <c r="I3224" s="24" t="s">
        <v>29</v>
      </c>
      <c r="J3224" s="36">
        <v>45595</v>
      </c>
      <c r="K3224" s="24" t="s">
        <v>22</v>
      </c>
    </row>
    <row r="3225" spans="1:11" x14ac:dyDescent="0.2">
      <c r="A3225" s="27" t="s">
        <v>7921</v>
      </c>
      <c r="B3225" s="27" t="s">
        <v>7922</v>
      </c>
      <c r="C3225" s="27" t="s">
        <v>236</v>
      </c>
      <c r="D3225" s="27" t="s">
        <v>17</v>
      </c>
      <c r="E3225" s="27" t="s">
        <v>18</v>
      </c>
      <c r="F3225" s="27" t="s">
        <v>19</v>
      </c>
      <c r="G3225" s="27" t="s">
        <v>28</v>
      </c>
      <c r="H3225" s="29">
        <v>72</v>
      </c>
      <c r="I3225" s="27" t="s">
        <v>29</v>
      </c>
      <c r="J3225" s="37">
        <v>45575</v>
      </c>
      <c r="K3225" s="27" t="s">
        <v>22</v>
      </c>
    </row>
    <row r="3226" spans="1:11" x14ac:dyDescent="0.2">
      <c r="A3226" s="24" t="s">
        <v>7923</v>
      </c>
      <c r="B3226" s="24" t="s">
        <v>7924</v>
      </c>
      <c r="C3226" s="24" t="s">
        <v>298</v>
      </c>
      <c r="D3226" s="24" t="s">
        <v>17</v>
      </c>
      <c r="E3226" s="24" t="s">
        <v>42</v>
      </c>
      <c r="F3226" s="24" t="s">
        <v>43</v>
      </c>
      <c r="G3226" s="24" t="s">
        <v>44</v>
      </c>
      <c r="H3226" s="26">
        <v>600</v>
      </c>
      <c r="I3226" s="24" t="s">
        <v>29</v>
      </c>
      <c r="J3226" s="36">
        <v>45573</v>
      </c>
      <c r="K3226" s="24" t="s">
        <v>22</v>
      </c>
    </row>
    <row r="3227" spans="1:11" x14ac:dyDescent="0.2">
      <c r="A3227" s="27" t="s">
        <v>7925</v>
      </c>
      <c r="B3227" s="27" t="s">
        <v>7926</v>
      </c>
      <c r="C3227" s="27" t="s">
        <v>2045</v>
      </c>
      <c r="D3227" s="27" t="s">
        <v>17</v>
      </c>
      <c r="E3227" s="27" t="s">
        <v>48</v>
      </c>
      <c r="F3227" s="27" t="s">
        <v>49</v>
      </c>
      <c r="G3227" s="27" t="s">
        <v>28</v>
      </c>
      <c r="H3227" s="29">
        <v>350</v>
      </c>
      <c r="I3227" s="27" t="s">
        <v>29</v>
      </c>
      <c r="J3227" s="37">
        <v>45567</v>
      </c>
      <c r="K3227" s="27" t="s">
        <v>22</v>
      </c>
    </row>
    <row r="3228" spans="1:11" x14ac:dyDescent="0.2">
      <c r="A3228" s="24" t="s">
        <v>7927</v>
      </c>
      <c r="B3228" s="24" t="s">
        <v>7928</v>
      </c>
      <c r="C3228" s="24" t="s">
        <v>309</v>
      </c>
      <c r="D3228" s="24" t="s">
        <v>17</v>
      </c>
      <c r="E3228" s="24" t="s">
        <v>26</v>
      </c>
      <c r="F3228" s="24" t="s">
        <v>27</v>
      </c>
      <c r="G3228" s="24" t="s">
        <v>28</v>
      </c>
      <c r="H3228" s="26">
        <v>148</v>
      </c>
      <c r="I3228" s="24" t="s">
        <v>29</v>
      </c>
      <c r="J3228" s="36">
        <v>45569</v>
      </c>
      <c r="K3228" s="24" t="s">
        <v>22</v>
      </c>
    </row>
    <row r="3229" spans="1:11" x14ac:dyDescent="0.2">
      <c r="A3229" s="27" t="s">
        <v>7929</v>
      </c>
      <c r="B3229" s="27" t="s">
        <v>7930</v>
      </c>
      <c r="C3229" s="27" t="s">
        <v>106</v>
      </c>
      <c r="D3229" s="27" t="s">
        <v>17</v>
      </c>
      <c r="E3229" s="27" t="s">
        <v>18</v>
      </c>
      <c r="F3229" s="27" t="s">
        <v>19</v>
      </c>
      <c r="G3229" s="27" t="s">
        <v>20</v>
      </c>
      <c r="H3229" s="29">
        <v>15</v>
      </c>
      <c r="I3229" s="27" t="s">
        <v>21</v>
      </c>
      <c r="J3229" s="37">
        <v>45580</v>
      </c>
      <c r="K3229" s="27" t="s">
        <v>22</v>
      </c>
    </row>
    <row r="3230" spans="1:11" x14ac:dyDescent="0.2">
      <c r="A3230" s="24" t="s">
        <v>7931</v>
      </c>
      <c r="B3230" s="24" t="s">
        <v>7932</v>
      </c>
      <c r="C3230" s="24" t="s">
        <v>251</v>
      </c>
      <c r="D3230" s="24" t="s">
        <v>17</v>
      </c>
      <c r="E3230" s="24" t="s">
        <v>48</v>
      </c>
      <c r="F3230" s="24" t="s">
        <v>49</v>
      </c>
      <c r="G3230" s="24" t="s">
        <v>28</v>
      </c>
      <c r="H3230" s="26">
        <v>200</v>
      </c>
      <c r="I3230" s="24" t="s">
        <v>29</v>
      </c>
      <c r="J3230" s="36">
        <v>45574</v>
      </c>
      <c r="K3230" s="24" t="s">
        <v>22</v>
      </c>
    </row>
    <row r="3231" spans="1:11" x14ac:dyDescent="0.2">
      <c r="A3231" s="27" t="s">
        <v>7933</v>
      </c>
      <c r="B3231" s="27" t="s">
        <v>7934</v>
      </c>
      <c r="C3231" s="27" t="s">
        <v>3071</v>
      </c>
      <c r="D3231" s="27" t="s">
        <v>17</v>
      </c>
      <c r="E3231" s="27" t="s">
        <v>26</v>
      </c>
      <c r="F3231" s="27" t="s">
        <v>27</v>
      </c>
      <c r="G3231" s="27" t="s">
        <v>28</v>
      </c>
      <c r="H3231" s="29">
        <v>270</v>
      </c>
      <c r="I3231" s="27" t="s">
        <v>29</v>
      </c>
      <c r="J3231" s="37">
        <v>45575</v>
      </c>
      <c r="K3231" s="27" t="s">
        <v>22</v>
      </c>
    </row>
    <row r="3232" spans="1:11" x14ac:dyDescent="0.2">
      <c r="A3232" s="24" t="s">
        <v>7935</v>
      </c>
      <c r="B3232" s="24" t="s">
        <v>7936</v>
      </c>
      <c r="C3232" s="24" t="s">
        <v>140</v>
      </c>
      <c r="D3232" s="24" t="s">
        <v>17</v>
      </c>
      <c r="E3232" s="24" t="s">
        <v>18</v>
      </c>
      <c r="F3232" s="24" t="s">
        <v>19</v>
      </c>
      <c r="G3232" s="24" t="s">
        <v>44</v>
      </c>
      <c r="H3232" s="26">
        <v>24</v>
      </c>
      <c r="I3232" s="24" t="s">
        <v>21</v>
      </c>
      <c r="J3232" s="36">
        <v>45593</v>
      </c>
      <c r="K3232" s="24" t="s">
        <v>22</v>
      </c>
    </row>
    <row r="3233" spans="1:11" x14ac:dyDescent="0.2">
      <c r="A3233" s="27" t="s">
        <v>7937</v>
      </c>
      <c r="B3233" s="27" t="s">
        <v>7938</v>
      </c>
      <c r="C3233" s="27" t="s">
        <v>7939</v>
      </c>
      <c r="D3233" s="27" t="s">
        <v>17</v>
      </c>
      <c r="E3233" s="27" t="s">
        <v>18</v>
      </c>
      <c r="F3233" s="27" t="s">
        <v>19</v>
      </c>
      <c r="G3233" s="27" t="s">
        <v>20</v>
      </c>
      <c r="H3233" s="29">
        <v>24</v>
      </c>
      <c r="I3233" s="27" t="s">
        <v>21</v>
      </c>
      <c r="J3233" s="37">
        <v>45590</v>
      </c>
      <c r="K3233" s="27" t="s">
        <v>22</v>
      </c>
    </row>
    <row r="3234" spans="1:11" x14ac:dyDescent="0.2">
      <c r="A3234" s="24" t="s">
        <v>7940</v>
      </c>
      <c r="B3234" s="24" t="s">
        <v>7941</v>
      </c>
      <c r="C3234" s="24" t="s">
        <v>251</v>
      </c>
      <c r="D3234" s="24" t="s">
        <v>17</v>
      </c>
      <c r="E3234" s="24" t="s">
        <v>42</v>
      </c>
      <c r="F3234" s="24" t="s">
        <v>43</v>
      </c>
      <c r="G3234" s="24" t="s">
        <v>28</v>
      </c>
      <c r="H3234" s="26">
        <v>315</v>
      </c>
      <c r="I3234" s="24" t="s">
        <v>29</v>
      </c>
      <c r="J3234" s="36">
        <v>45589</v>
      </c>
      <c r="K3234" s="24" t="s">
        <v>22</v>
      </c>
    </row>
    <row r="3235" spans="1:11" x14ac:dyDescent="0.2">
      <c r="A3235" s="27" t="s">
        <v>7942</v>
      </c>
      <c r="B3235" s="27" t="s">
        <v>7943</v>
      </c>
      <c r="C3235" s="27" t="s">
        <v>3202</v>
      </c>
      <c r="D3235" s="27" t="s">
        <v>17</v>
      </c>
      <c r="E3235" s="27" t="s">
        <v>48</v>
      </c>
      <c r="F3235" s="27" t="s">
        <v>49</v>
      </c>
      <c r="G3235" s="27" t="s">
        <v>44</v>
      </c>
      <c r="H3235" s="29">
        <v>184</v>
      </c>
      <c r="I3235" s="27" t="s">
        <v>21</v>
      </c>
      <c r="J3235" s="37">
        <v>45581</v>
      </c>
      <c r="K3235" s="27" t="s">
        <v>22</v>
      </c>
    </row>
    <row r="3236" spans="1:11" x14ac:dyDescent="0.2">
      <c r="A3236" s="24" t="s">
        <v>7944</v>
      </c>
      <c r="B3236" s="24" t="s">
        <v>7945</v>
      </c>
      <c r="C3236" s="24" t="s">
        <v>7261</v>
      </c>
      <c r="D3236" s="24" t="s">
        <v>17</v>
      </c>
      <c r="E3236" s="24" t="s">
        <v>163</v>
      </c>
      <c r="F3236" s="24" t="s">
        <v>164</v>
      </c>
      <c r="G3236" s="24" t="s">
        <v>20</v>
      </c>
      <c r="H3236" s="26">
        <v>20</v>
      </c>
      <c r="I3236" s="24" t="s">
        <v>21</v>
      </c>
      <c r="J3236" s="36">
        <v>45572</v>
      </c>
      <c r="K3236" s="24" t="s">
        <v>22</v>
      </c>
    </row>
    <row r="3237" spans="1:11" x14ac:dyDescent="0.2">
      <c r="A3237" s="27" t="s">
        <v>7946</v>
      </c>
      <c r="B3237" s="27" t="s">
        <v>7947</v>
      </c>
      <c r="C3237" s="27" t="s">
        <v>343</v>
      </c>
      <c r="D3237" s="27" t="s">
        <v>17</v>
      </c>
      <c r="E3237" s="27" t="s">
        <v>48</v>
      </c>
      <c r="F3237" s="27" t="s">
        <v>49</v>
      </c>
      <c r="G3237" s="27" t="s">
        <v>59</v>
      </c>
      <c r="H3237" s="29">
        <v>3</v>
      </c>
      <c r="I3237" s="27" t="s">
        <v>21</v>
      </c>
      <c r="J3237" s="37">
        <v>45579</v>
      </c>
      <c r="K3237" s="27" t="s">
        <v>22</v>
      </c>
    </row>
    <row r="3238" spans="1:11" x14ac:dyDescent="0.2">
      <c r="A3238" s="24" t="s">
        <v>7948</v>
      </c>
      <c r="B3238" s="24" t="s">
        <v>7949</v>
      </c>
      <c r="C3238" s="24" t="s">
        <v>437</v>
      </c>
      <c r="D3238" s="24" t="s">
        <v>17</v>
      </c>
      <c r="E3238" s="24" t="s">
        <v>42</v>
      </c>
      <c r="F3238" s="24" t="s">
        <v>43</v>
      </c>
      <c r="G3238" s="24" t="s">
        <v>28</v>
      </c>
      <c r="H3238" s="26">
        <v>20</v>
      </c>
      <c r="I3238" s="24" t="s">
        <v>29</v>
      </c>
      <c r="J3238" s="36">
        <v>45587</v>
      </c>
      <c r="K3238" s="24" t="s">
        <v>22</v>
      </c>
    </row>
    <row r="3239" spans="1:11" x14ac:dyDescent="0.2">
      <c r="A3239" s="27" t="s">
        <v>7950</v>
      </c>
      <c r="B3239" s="27" t="s">
        <v>7951</v>
      </c>
      <c r="C3239" s="27" t="s">
        <v>7952</v>
      </c>
      <c r="D3239" s="27" t="s">
        <v>17</v>
      </c>
      <c r="E3239" s="27" t="s">
        <v>18</v>
      </c>
      <c r="F3239" s="27" t="s">
        <v>19</v>
      </c>
      <c r="G3239" s="27" t="s">
        <v>20</v>
      </c>
      <c r="H3239" s="29">
        <v>24</v>
      </c>
      <c r="I3239" s="27" t="s">
        <v>21</v>
      </c>
      <c r="J3239" s="37">
        <v>45580</v>
      </c>
      <c r="K3239" s="27" t="s">
        <v>22</v>
      </c>
    </row>
    <row r="3240" spans="1:11" x14ac:dyDescent="0.2">
      <c r="A3240" s="24" t="s">
        <v>7953</v>
      </c>
      <c r="B3240" s="24" t="s">
        <v>7954</v>
      </c>
      <c r="C3240" s="24" t="s">
        <v>7955</v>
      </c>
      <c r="D3240" s="24" t="s">
        <v>17</v>
      </c>
      <c r="E3240" s="24" t="s">
        <v>26</v>
      </c>
      <c r="F3240" s="24" t="s">
        <v>27</v>
      </c>
      <c r="G3240" s="24" t="s">
        <v>28</v>
      </c>
      <c r="H3240" s="26">
        <v>56</v>
      </c>
      <c r="I3240" s="24" t="s">
        <v>29</v>
      </c>
      <c r="J3240" s="36">
        <v>45580</v>
      </c>
      <c r="K3240" s="24" t="s">
        <v>22</v>
      </c>
    </row>
    <row r="3241" spans="1:11" x14ac:dyDescent="0.2">
      <c r="A3241" s="27" t="s">
        <v>7956</v>
      </c>
      <c r="B3241" s="27" t="s">
        <v>7957</v>
      </c>
      <c r="C3241" s="27" t="s">
        <v>213</v>
      </c>
      <c r="D3241" s="27" t="s">
        <v>17</v>
      </c>
      <c r="E3241" s="27" t="s">
        <v>42</v>
      </c>
      <c r="F3241" s="27" t="s">
        <v>43</v>
      </c>
      <c r="G3241" s="27" t="s">
        <v>20</v>
      </c>
      <c r="H3241" s="29">
        <v>378</v>
      </c>
      <c r="I3241" s="27" t="s">
        <v>21</v>
      </c>
      <c r="J3241" s="37">
        <v>45572</v>
      </c>
      <c r="K3241" s="27" t="s">
        <v>22</v>
      </c>
    </row>
    <row r="3242" spans="1:11" x14ac:dyDescent="0.2">
      <c r="A3242" s="24" t="s">
        <v>7958</v>
      </c>
      <c r="B3242" s="24" t="s">
        <v>7959</v>
      </c>
      <c r="C3242" s="24" t="s">
        <v>2484</v>
      </c>
      <c r="D3242" s="24" t="s">
        <v>17</v>
      </c>
      <c r="E3242" s="24" t="s">
        <v>42</v>
      </c>
      <c r="F3242" s="24" t="s">
        <v>43</v>
      </c>
      <c r="G3242" s="24" t="s">
        <v>44</v>
      </c>
      <c r="H3242" s="26">
        <v>684</v>
      </c>
      <c r="I3242" s="24" t="s">
        <v>21</v>
      </c>
      <c r="J3242" s="36">
        <v>45586</v>
      </c>
      <c r="K3242" s="24" t="s">
        <v>22</v>
      </c>
    </row>
    <row r="3243" spans="1:11" x14ac:dyDescent="0.2">
      <c r="A3243" s="27" t="s">
        <v>7960</v>
      </c>
      <c r="B3243" s="27" t="s">
        <v>7961</v>
      </c>
      <c r="C3243" s="27" t="s">
        <v>85</v>
      </c>
      <c r="D3243" s="27" t="s">
        <v>17</v>
      </c>
      <c r="E3243" s="27" t="s">
        <v>48</v>
      </c>
      <c r="F3243" s="27" t="s">
        <v>49</v>
      </c>
      <c r="G3243" s="27" t="s">
        <v>20</v>
      </c>
      <c r="H3243" s="29">
        <v>161</v>
      </c>
      <c r="I3243" s="27" t="s">
        <v>21</v>
      </c>
      <c r="J3243" s="37">
        <v>45580</v>
      </c>
      <c r="K3243" s="27" t="s">
        <v>22</v>
      </c>
    </row>
    <row r="3244" spans="1:11" x14ac:dyDescent="0.2">
      <c r="A3244" s="24" t="s">
        <v>7962</v>
      </c>
      <c r="B3244" s="24" t="s">
        <v>7963</v>
      </c>
      <c r="C3244" s="24" t="s">
        <v>2586</v>
      </c>
      <c r="D3244" s="24" t="s">
        <v>17</v>
      </c>
      <c r="E3244" s="24" t="s">
        <v>81</v>
      </c>
      <c r="F3244" s="24" t="s">
        <v>82</v>
      </c>
      <c r="G3244" s="24" t="s">
        <v>20</v>
      </c>
      <c r="H3244" s="26">
        <v>90</v>
      </c>
      <c r="I3244" s="24" t="s">
        <v>21</v>
      </c>
      <c r="J3244" s="36">
        <v>45572</v>
      </c>
      <c r="K3244" s="24" t="s">
        <v>22</v>
      </c>
    </row>
    <row r="3245" spans="1:11" x14ac:dyDescent="0.2">
      <c r="A3245" s="27" t="s">
        <v>7964</v>
      </c>
      <c r="B3245" s="27" t="s">
        <v>7965</v>
      </c>
      <c r="C3245" s="27" t="s">
        <v>2586</v>
      </c>
      <c r="D3245" s="27" t="s">
        <v>17</v>
      </c>
      <c r="E3245" s="27" t="s">
        <v>81</v>
      </c>
      <c r="F3245" s="27" t="s">
        <v>82</v>
      </c>
      <c r="G3245" s="27" t="s">
        <v>20</v>
      </c>
      <c r="H3245" s="29">
        <v>299</v>
      </c>
      <c r="I3245" s="27" t="s">
        <v>21</v>
      </c>
      <c r="J3245" s="37">
        <v>45595</v>
      </c>
      <c r="K3245" s="27" t="s">
        <v>22</v>
      </c>
    </row>
    <row r="3246" spans="1:11" x14ac:dyDescent="0.2">
      <c r="A3246" s="24" t="s">
        <v>7966</v>
      </c>
      <c r="B3246" s="24" t="s">
        <v>7967</v>
      </c>
      <c r="C3246" s="24" t="s">
        <v>236</v>
      </c>
      <c r="D3246" s="24" t="s">
        <v>17</v>
      </c>
      <c r="E3246" s="24" t="s">
        <v>26</v>
      </c>
      <c r="F3246" s="24" t="s">
        <v>27</v>
      </c>
      <c r="G3246" s="24" t="s">
        <v>28</v>
      </c>
      <c r="H3246" s="26">
        <v>24</v>
      </c>
      <c r="I3246" s="24" t="s">
        <v>29</v>
      </c>
      <c r="J3246" s="36">
        <v>45574</v>
      </c>
      <c r="K3246" s="24" t="s">
        <v>22</v>
      </c>
    </row>
    <row r="3247" spans="1:11" x14ac:dyDescent="0.2">
      <c r="A3247" s="27" t="s">
        <v>7968</v>
      </c>
      <c r="B3247" s="27" t="s">
        <v>7969</v>
      </c>
      <c r="C3247" s="27" t="s">
        <v>7970</v>
      </c>
      <c r="D3247" s="27" t="s">
        <v>17</v>
      </c>
      <c r="E3247" s="27" t="s">
        <v>48</v>
      </c>
      <c r="F3247" s="27" t="s">
        <v>49</v>
      </c>
      <c r="G3247" s="27" t="s">
        <v>44</v>
      </c>
      <c r="H3247" s="29">
        <v>80</v>
      </c>
      <c r="I3247" s="27" t="s">
        <v>29</v>
      </c>
      <c r="J3247" s="37">
        <v>45590</v>
      </c>
      <c r="K3247" s="27" t="s">
        <v>22</v>
      </c>
    </row>
    <row r="3248" spans="1:11" x14ac:dyDescent="0.2">
      <c r="A3248" s="24" t="s">
        <v>7971</v>
      </c>
      <c r="B3248" s="24" t="s">
        <v>7972</v>
      </c>
      <c r="C3248" s="24" t="s">
        <v>4827</v>
      </c>
      <c r="D3248" s="24" t="s">
        <v>17</v>
      </c>
      <c r="E3248" s="24" t="s">
        <v>42</v>
      </c>
      <c r="F3248" s="24" t="s">
        <v>43</v>
      </c>
      <c r="G3248" s="24" t="s">
        <v>20</v>
      </c>
      <c r="H3248" s="26">
        <v>160</v>
      </c>
      <c r="I3248" s="24" t="s">
        <v>21</v>
      </c>
      <c r="J3248" s="36">
        <v>45586</v>
      </c>
      <c r="K3248" s="24" t="s">
        <v>22</v>
      </c>
    </row>
    <row r="3249" spans="1:11" x14ac:dyDescent="0.2">
      <c r="A3249" s="27" t="s">
        <v>7973</v>
      </c>
      <c r="B3249" s="27" t="s">
        <v>7974</v>
      </c>
      <c r="C3249" s="27" t="s">
        <v>7975</v>
      </c>
      <c r="D3249" s="27" t="s">
        <v>17</v>
      </c>
      <c r="E3249" s="27" t="s">
        <v>26</v>
      </c>
      <c r="F3249" s="27" t="s">
        <v>27</v>
      </c>
      <c r="G3249" s="27" t="s">
        <v>20</v>
      </c>
      <c r="H3249" s="29">
        <v>40</v>
      </c>
      <c r="I3249" s="27" t="s">
        <v>21</v>
      </c>
      <c r="J3249" s="37">
        <v>45586</v>
      </c>
      <c r="K3249" s="27" t="s">
        <v>22</v>
      </c>
    </row>
    <row r="3250" spans="1:11" x14ac:dyDescent="0.2">
      <c r="A3250" s="24" t="s">
        <v>7976</v>
      </c>
      <c r="B3250" s="24" t="s">
        <v>7977</v>
      </c>
      <c r="C3250" s="24" t="s">
        <v>687</v>
      </c>
      <c r="D3250" s="24" t="s">
        <v>17</v>
      </c>
      <c r="E3250" s="24" t="s">
        <v>18</v>
      </c>
      <c r="F3250" s="24" t="s">
        <v>19</v>
      </c>
      <c r="G3250" s="24" t="s">
        <v>20</v>
      </c>
      <c r="H3250" s="26">
        <v>31</v>
      </c>
      <c r="I3250" s="24" t="s">
        <v>21</v>
      </c>
      <c r="J3250" s="36">
        <v>45568</v>
      </c>
      <c r="K3250" s="24" t="s">
        <v>22</v>
      </c>
    </row>
    <row r="3251" spans="1:11" x14ac:dyDescent="0.2">
      <c r="A3251" s="27" t="s">
        <v>7978</v>
      </c>
      <c r="B3251" s="27" t="s">
        <v>7979</v>
      </c>
      <c r="C3251" s="27" t="s">
        <v>6439</v>
      </c>
      <c r="D3251" s="27" t="s">
        <v>17</v>
      </c>
      <c r="E3251" s="27" t="s">
        <v>42</v>
      </c>
      <c r="F3251" s="27" t="s">
        <v>43</v>
      </c>
      <c r="G3251" s="27" t="s">
        <v>20</v>
      </c>
      <c r="H3251" s="29">
        <v>81</v>
      </c>
      <c r="I3251" s="27" t="s">
        <v>21</v>
      </c>
      <c r="J3251" s="37">
        <v>45580</v>
      </c>
      <c r="K3251" s="27" t="s">
        <v>22</v>
      </c>
    </row>
    <row r="3252" spans="1:11" x14ac:dyDescent="0.2">
      <c r="A3252" s="24" t="s">
        <v>7980</v>
      </c>
      <c r="B3252" s="24" t="s">
        <v>7981</v>
      </c>
      <c r="C3252" s="24" t="s">
        <v>251</v>
      </c>
      <c r="D3252" s="24" t="s">
        <v>17</v>
      </c>
      <c r="E3252" s="24" t="s">
        <v>18</v>
      </c>
      <c r="F3252" s="24" t="s">
        <v>19</v>
      </c>
      <c r="G3252" s="24" t="s">
        <v>28</v>
      </c>
      <c r="H3252" s="26">
        <v>162</v>
      </c>
      <c r="I3252" s="24" t="s">
        <v>29</v>
      </c>
      <c r="J3252" s="36">
        <v>45580</v>
      </c>
      <c r="K3252" s="24" t="s">
        <v>22</v>
      </c>
    </row>
    <row r="3253" spans="1:11" x14ac:dyDescent="0.2">
      <c r="A3253" s="27" t="s">
        <v>7982</v>
      </c>
      <c r="B3253" s="27" t="s">
        <v>7983</v>
      </c>
      <c r="C3253" s="27" t="s">
        <v>7984</v>
      </c>
      <c r="D3253" s="27" t="s">
        <v>17</v>
      </c>
      <c r="E3253" s="27" t="s">
        <v>18</v>
      </c>
      <c r="F3253" s="27" t="s">
        <v>19</v>
      </c>
      <c r="G3253" s="27" t="s">
        <v>20</v>
      </c>
      <c r="H3253" s="29">
        <v>8</v>
      </c>
      <c r="I3253" s="27" t="s">
        <v>21</v>
      </c>
      <c r="J3253" s="37">
        <v>45594</v>
      </c>
      <c r="K3253" s="27" t="s">
        <v>22</v>
      </c>
    </row>
    <row r="3254" spans="1:11" x14ac:dyDescent="0.2">
      <c r="A3254" s="24" t="s">
        <v>7985</v>
      </c>
      <c r="B3254" s="24" t="s">
        <v>7986</v>
      </c>
      <c r="C3254" s="24" t="s">
        <v>1227</v>
      </c>
      <c r="D3254" s="24" t="s">
        <v>17</v>
      </c>
      <c r="E3254" s="24" t="s">
        <v>48</v>
      </c>
      <c r="F3254" s="24" t="s">
        <v>49</v>
      </c>
      <c r="G3254" s="24" t="s">
        <v>28</v>
      </c>
      <c r="H3254" s="26">
        <v>150</v>
      </c>
      <c r="I3254" s="24" t="s">
        <v>29</v>
      </c>
      <c r="J3254" s="36">
        <v>45583</v>
      </c>
      <c r="K3254" s="24" t="s">
        <v>22</v>
      </c>
    </row>
    <row r="3255" spans="1:11" x14ac:dyDescent="0.2">
      <c r="A3255" s="27" t="s">
        <v>7987</v>
      </c>
      <c r="B3255" s="27" t="s">
        <v>7988</v>
      </c>
      <c r="C3255" s="27" t="s">
        <v>7989</v>
      </c>
      <c r="D3255" s="27" t="s">
        <v>17</v>
      </c>
      <c r="E3255" s="27" t="s">
        <v>18</v>
      </c>
      <c r="F3255" s="27" t="s">
        <v>19</v>
      </c>
      <c r="G3255" s="27" t="s">
        <v>59</v>
      </c>
      <c r="H3255" s="29">
        <v>5</v>
      </c>
      <c r="I3255" s="27" t="s">
        <v>21</v>
      </c>
      <c r="J3255" s="37">
        <v>45588</v>
      </c>
      <c r="K3255" s="27" t="s">
        <v>22</v>
      </c>
    </row>
    <row r="3256" spans="1:11" x14ac:dyDescent="0.2">
      <c r="A3256" s="24" t="s">
        <v>7990</v>
      </c>
      <c r="B3256" s="24" t="s">
        <v>7991</v>
      </c>
      <c r="C3256" s="24" t="s">
        <v>1737</v>
      </c>
      <c r="D3256" s="24" t="s">
        <v>17</v>
      </c>
      <c r="E3256" s="24" t="s">
        <v>48</v>
      </c>
      <c r="F3256" s="24" t="s">
        <v>49</v>
      </c>
      <c r="G3256" s="24" t="s">
        <v>28</v>
      </c>
      <c r="H3256" s="26">
        <v>90</v>
      </c>
      <c r="I3256" s="24" t="s">
        <v>29</v>
      </c>
      <c r="J3256" s="36">
        <v>45589</v>
      </c>
      <c r="K3256" s="24" t="s">
        <v>22</v>
      </c>
    </row>
    <row r="3257" spans="1:11" x14ac:dyDescent="0.2">
      <c r="A3257" s="27" t="s">
        <v>7992</v>
      </c>
      <c r="B3257" s="27" t="s">
        <v>7993</v>
      </c>
      <c r="C3257" s="27" t="s">
        <v>7994</v>
      </c>
      <c r="D3257" s="27" t="s">
        <v>17</v>
      </c>
      <c r="E3257" s="27" t="s">
        <v>26</v>
      </c>
      <c r="F3257" s="27" t="s">
        <v>27</v>
      </c>
      <c r="G3257" s="27" t="s">
        <v>28</v>
      </c>
      <c r="H3257" s="29">
        <v>188</v>
      </c>
      <c r="I3257" s="27" t="s">
        <v>29</v>
      </c>
      <c r="J3257" s="37">
        <v>45595</v>
      </c>
      <c r="K3257" s="27" t="s">
        <v>22</v>
      </c>
    </row>
    <row r="3258" spans="1:11" x14ac:dyDescent="0.2">
      <c r="A3258" s="24" t="s">
        <v>7995</v>
      </c>
      <c r="B3258" s="24" t="s">
        <v>7996</v>
      </c>
      <c r="C3258" s="24" t="s">
        <v>223</v>
      </c>
      <c r="D3258" s="24" t="s">
        <v>17</v>
      </c>
      <c r="E3258" s="24" t="s">
        <v>42</v>
      </c>
      <c r="F3258" s="24" t="s">
        <v>43</v>
      </c>
      <c r="G3258" s="24" t="s">
        <v>217</v>
      </c>
      <c r="H3258" s="26">
        <v>450</v>
      </c>
      <c r="I3258" s="24" t="s">
        <v>29</v>
      </c>
      <c r="J3258" s="36">
        <v>45596</v>
      </c>
      <c r="K3258" s="24" t="s">
        <v>22</v>
      </c>
    </row>
    <row r="3259" spans="1:11" x14ac:dyDescent="0.2">
      <c r="A3259" s="27" t="s">
        <v>7997</v>
      </c>
      <c r="B3259" s="27" t="s">
        <v>7998</v>
      </c>
      <c r="C3259" s="27" t="s">
        <v>7999</v>
      </c>
      <c r="D3259" s="27" t="s">
        <v>17</v>
      </c>
      <c r="E3259" s="27" t="s">
        <v>18</v>
      </c>
      <c r="F3259" s="27" t="s">
        <v>19</v>
      </c>
      <c r="G3259" s="27" t="s">
        <v>28</v>
      </c>
      <c r="H3259" s="29">
        <v>50</v>
      </c>
      <c r="I3259" s="27" t="s">
        <v>29</v>
      </c>
      <c r="J3259" s="37">
        <v>45596</v>
      </c>
      <c r="K3259" s="27" t="s">
        <v>22</v>
      </c>
    </row>
    <row r="3260" spans="1:11" x14ac:dyDescent="0.2">
      <c r="A3260" s="24" t="s">
        <v>8000</v>
      </c>
      <c r="B3260" s="24" t="s">
        <v>8001</v>
      </c>
      <c r="C3260" s="24" t="s">
        <v>97</v>
      </c>
      <c r="D3260" s="24" t="s">
        <v>17</v>
      </c>
      <c r="E3260" s="24" t="s">
        <v>48</v>
      </c>
      <c r="F3260" s="24" t="s">
        <v>49</v>
      </c>
      <c r="G3260" s="24" t="s">
        <v>20</v>
      </c>
      <c r="H3260" s="26">
        <v>406</v>
      </c>
      <c r="I3260" s="24" t="s">
        <v>21</v>
      </c>
      <c r="J3260" s="36">
        <v>45573</v>
      </c>
      <c r="K3260" s="24" t="s">
        <v>22</v>
      </c>
    </row>
    <row r="3261" spans="1:11" x14ac:dyDescent="0.2">
      <c r="A3261" s="27" t="s">
        <v>8002</v>
      </c>
      <c r="B3261" s="27" t="s">
        <v>8003</v>
      </c>
      <c r="C3261" s="27" t="s">
        <v>5576</v>
      </c>
      <c r="D3261" s="27" t="s">
        <v>17</v>
      </c>
      <c r="E3261" s="27" t="s">
        <v>48</v>
      </c>
      <c r="F3261" s="27" t="s">
        <v>49</v>
      </c>
      <c r="G3261" s="27" t="s">
        <v>28</v>
      </c>
      <c r="H3261" s="29">
        <v>300</v>
      </c>
      <c r="I3261" s="27" t="s">
        <v>29</v>
      </c>
      <c r="J3261" s="37">
        <v>45566</v>
      </c>
      <c r="K3261" s="27" t="s">
        <v>22</v>
      </c>
    </row>
    <row r="3262" spans="1:11" x14ac:dyDescent="0.2">
      <c r="A3262" s="24" t="s">
        <v>8004</v>
      </c>
      <c r="B3262" s="24" t="s">
        <v>8005</v>
      </c>
      <c r="C3262" s="24" t="s">
        <v>251</v>
      </c>
      <c r="D3262" s="24" t="s">
        <v>17</v>
      </c>
      <c r="E3262" s="24" t="s">
        <v>48</v>
      </c>
      <c r="F3262" s="24" t="s">
        <v>49</v>
      </c>
      <c r="G3262" s="24" t="s">
        <v>44</v>
      </c>
      <c r="H3262" s="26">
        <v>251</v>
      </c>
      <c r="I3262" s="24" t="s">
        <v>21</v>
      </c>
      <c r="J3262" s="36">
        <v>45582</v>
      </c>
      <c r="K3262" s="24" t="s">
        <v>22</v>
      </c>
    </row>
    <row r="3263" spans="1:11" x14ac:dyDescent="0.2">
      <c r="A3263" s="27" t="s">
        <v>8006</v>
      </c>
      <c r="B3263" s="27" t="s">
        <v>8007</v>
      </c>
      <c r="C3263" s="27" t="s">
        <v>2507</v>
      </c>
      <c r="D3263" s="27" t="s">
        <v>17</v>
      </c>
      <c r="E3263" s="27" t="s">
        <v>18</v>
      </c>
      <c r="F3263" s="27" t="s">
        <v>19</v>
      </c>
      <c r="G3263" s="27" t="s">
        <v>227</v>
      </c>
      <c r="H3263" s="29">
        <v>48</v>
      </c>
      <c r="I3263" s="27" t="s">
        <v>29</v>
      </c>
      <c r="J3263" s="37">
        <v>45574</v>
      </c>
      <c r="K3263" s="27" t="s">
        <v>22</v>
      </c>
    </row>
    <row r="3264" spans="1:11" x14ac:dyDescent="0.2">
      <c r="A3264" s="24" t="s">
        <v>8008</v>
      </c>
      <c r="B3264" s="24" t="s">
        <v>8009</v>
      </c>
      <c r="C3264" s="24" t="s">
        <v>41</v>
      </c>
      <c r="D3264" s="24" t="s">
        <v>17</v>
      </c>
      <c r="E3264" s="24" t="s">
        <v>18</v>
      </c>
      <c r="F3264" s="24" t="s">
        <v>19</v>
      </c>
      <c r="G3264" s="24" t="s">
        <v>20</v>
      </c>
      <c r="H3264" s="26">
        <v>8</v>
      </c>
      <c r="I3264" s="24" t="s">
        <v>21</v>
      </c>
      <c r="J3264" s="36">
        <v>45593</v>
      </c>
      <c r="K3264" s="24" t="s">
        <v>22</v>
      </c>
    </row>
    <row r="3265" spans="1:11" x14ac:dyDescent="0.2">
      <c r="A3265" s="27" t="s">
        <v>8010</v>
      </c>
      <c r="B3265" s="27" t="s">
        <v>8011</v>
      </c>
      <c r="C3265" s="27" t="s">
        <v>8012</v>
      </c>
      <c r="D3265" s="27" t="s">
        <v>17</v>
      </c>
      <c r="E3265" s="27" t="s">
        <v>18</v>
      </c>
      <c r="F3265" s="27" t="s">
        <v>19</v>
      </c>
      <c r="G3265" s="27" t="s">
        <v>20</v>
      </c>
      <c r="H3265" s="29">
        <v>10</v>
      </c>
      <c r="I3265" s="27" t="s">
        <v>21</v>
      </c>
      <c r="J3265" s="37">
        <v>45570</v>
      </c>
      <c r="K3265" s="27" t="s">
        <v>22</v>
      </c>
    </row>
    <row r="3266" spans="1:11" x14ac:dyDescent="0.2">
      <c r="A3266" s="24" t="s">
        <v>8013</v>
      </c>
      <c r="B3266" s="24" t="s">
        <v>8014</v>
      </c>
      <c r="C3266" s="24" t="s">
        <v>2148</v>
      </c>
      <c r="D3266" s="24" t="s">
        <v>17</v>
      </c>
      <c r="E3266" s="24" t="s">
        <v>48</v>
      </c>
      <c r="F3266" s="24" t="s">
        <v>49</v>
      </c>
      <c r="G3266" s="24" t="s">
        <v>20</v>
      </c>
      <c r="H3266" s="26">
        <v>120</v>
      </c>
      <c r="I3266" s="24" t="s">
        <v>21</v>
      </c>
      <c r="J3266" s="36">
        <v>45573</v>
      </c>
      <c r="K3266" s="24" t="s">
        <v>22</v>
      </c>
    </row>
    <row r="3267" spans="1:11" x14ac:dyDescent="0.2">
      <c r="A3267" s="27" t="s">
        <v>8015</v>
      </c>
      <c r="B3267" s="27" t="s">
        <v>8016</v>
      </c>
      <c r="C3267" s="27" t="s">
        <v>301</v>
      </c>
      <c r="D3267" s="27" t="s">
        <v>17</v>
      </c>
      <c r="E3267" s="27" t="s">
        <v>42</v>
      </c>
      <c r="F3267" s="27" t="s">
        <v>43</v>
      </c>
      <c r="G3267" s="27" t="s">
        <v>28</v>
      </c>
      <c r="H3267" s="29">
        <v>1000</v>
      </c>
      <c r="I3267" s="27" t="s">
        <v>29</v>
      </c>
      <c r="J3267" s="37">
        <v>45583</v>
      </c>
      <c r="K3267" s="27" t="s">
        <v>22</v>
      </c>
    </row>
    <row r="3268" spans="1:11" x14ac:dyDescent="0.2">
      <c r="A3268" s="24" t="s">
        <v>8017</v>
      </c>
      <c r="B3268" s="24" t="s">
        <v>8018</v>
      </c>
      <c r="C3268" s="24" t="s">
        <v>8019</v>
      </c>
      <c r="D3268" s="24" t="s">
        <v>17</v>
      </c>
      <c r="E3268" s="24" t="s">
        <v>163</v>
      </c>
      <c r="F3268" s="24" t="s">
        <v>164</v>
      </c>
      <c r="G3268" s="24" t="s">
        <v>217</v>
      </c>
      <c r="H3268" s="26">
        <v>28</v>
      </c>
      <c r="I3268" s="24" t="s">
        <v>29</v>
      </c>
      <c r="J3268" s="36">
        <v>45585</v>
      </c>
      <c r="K3268" s="24" t="s">
        <v>22</v>
      </c>
    </row>
    <row r="3269" spans="1:11" x14ac:dyDescent="0.2">
      <c r="A3269" s="27" t="s">
        <v>8020</v>
      </c>
      <c r="B3269" s="27" t="s">
        <v>8021</v>
      </c>
      <c r="C3269" s="27" t="s">
        <v>6622</v>
      </c>
      <c r="D3269" s="27" t="s">
        <v>17</v>
      </c>
      <c r="E3269" s="27" t="s">
        <v>42</v>
      </c>
      <c r="F3269" s="27" t="s">
        <v>43</v>
      </c>
      <c r="G3269" s="27" t="s">
        <v>20</v>
      </c>
      <c r="H3269" s="29">
        <v>173</v>
      </c>
      <c r="I3269" s="27" t="s">
        <v>21</v>
      </c>
      <c r="J3269" s="37">
        <v>45593</v>
      </c>
      <c r="K3269" s="27" t="s">
        <v>22</v>
      </c>
    </row>
    <row r="3270" spans="1:11" x14ac:dyDescent="0.2">
      <c r="A3270" s="24" t="s">
        <v>8022</v>
      </c>
      <c r="B3270" s="24" t="s">
        <v>8023</v>
      </c>
      <c r="C3270" s="24" t="s">
        <v>71</v>
      </c>
      <c r="D3270" s="24" t="s">
        <v>17</v>
      </c>
      <c r="E3270" s="24" t="s">
        <v>42</v>
      </c>
      <c r="F3270" s="24" t="s">
        <v>43</v>
      </c>
      <c r="G3270" s="24" t="s">
        <v>217</v>
      </c>
      <c r="H3270" s="26">
        <v>786</v>
      </c>
      <c r="I3270" s="24" t="s">
        <v>29</v>
      </c>
      <c r="J3270" s="36">
        <v>45596</v>
      </c>
      <c r="K3270" s="24" t="s">
        <v>22</v>
      </c>
    </row>
    <row r="3271" spans="1:11" x14ac:dyDescent="0.2">
      <c r="A3271" s="27" t="s">
        <v>8024</v>
      </c>
      <c r="B3271" s="27" t="s">
        <v>8025</v>
      </c>
      <c r="C3271" s="27" t="s">
        <v>146</v>
      </c>
      <c r="D3271" s="27" t="s">
        <v>17</v>
      </c>
      <c r="E3271" s="27" t="s">
        <v>48</v>
      </c>
      <c r="F3271" s="27" t="s">
        <v>49</v>
      </c>
      <c r="G3271" s="27" t="s">
        <v>44</v>
      </c>
      <c r="H3271" s="29">
        <v>23</v>
      </c>
      <c r="I3271" s="27" t="s">
        <v>21</v>
      </c>
      <c r="J3271" s="37">
        <v>45582</v>
      </c>
      <c r="K3271" s="27" t="s">
        <v>22</v>
      </c>
    </row>
    <row r="3272" spans="1:11" x14ac:dyDescent="0.2">
      <c r="A3272" s="24" t="s">
        <v>8026</v>
      </c>
      <c r="B3272" s="24" t="s">
        <v>8027</v>
      </c>
      <c r="C3272" s="24" t="s">
        <v>260</v>
      </c>
      <c r="D3272" s="24" t="s">
        <v>17</v>
      </c>
      <c r="E3272" s="24" t="s">
        <v>18</v>
      </c>
      <c r="F3272" s="24" t="s">
        <v>19</v>
      </c>
      <c r="G3272" s="24" t="s">
        <v>20</v>
      </c>
      <c r="H3272" s="26">
        <v>385</v>
      </c>
      <c r="I3272" s="24" t="s">
        <v>21</v>
      </c>
      <c r="J3272" s="36">
        <v>45574</v>
      </c>
      <c r="K3272" s="24" t="s">
        <v>22</v>
      </c>
    </row>
    <row r="3273" spans="1:11" x14ac:dyDescent="0.2">
      <c r="A3273" s="27" t="s">
        <v>8028</v>
      </c>
      <c r="B3273" s="27" t="s">
        <v>8029</v>
      </c>
      <c r="C3273" s="27" t="s">
        <v>1863</v>
      </c>
      <c r="D3273" s="27" t="s">
        <v>17</v>
      </c>
      <c r="E3273" s="27" t="s">
        <v>18</v>
      </c>
      <c r="F3273" s="27" t="s">
        <v>19</v>
      </c>
      <c r="G3273" s="27" t="s">
        <v>20</v>
      </c>
      <c r="H3273" s="29">
        <v>8</v>
      </c>
      <c r="I3273" s="27" t="s">
        <v>21</v>
      </c>
      <c r="J3273" s="37">
        <v>45573</v>
      </c>
      <c r="K3273" s="27" t="s">
        <v>22</v>
      </c>
    </row>
    <row r="3274" spans="1:11" x14ac:dyDescent="0.2">
      <c r="A3274" s="24" t="s">
        <v>8030</v>
      </c>
      <c r="B3274" s="24" t="s">
        <v>8031</v>
      </c>
      <c r="C3274" s="24" t="s">
        <v>8032</v>
      </c>
      <c r="D3274" s="24" t="s">
        <v>17</v>
      </c>
      <c r="E3274" s="24" t="s">
        <v>18</v>
      </c>
      <c r="F3274" s="24" t="s">
        <v>19</v>
      </c>
      <c r="G3274" s="24" t="s">
        <v>28</v>
      </c>
      <c r="H3274" s="26">
        <v>58</v>
      </c>
      <c r="I3274" s="24" t="s">
        <v>29</v>
      </c>
      <c r="J3274" s="36">
        <v>45589</v>
      </c>
      <c r="K3274" s="24" t="s">
        <v>22</v>
      </c>
    </row>
    <row r="3275" spans="1:11" x14ac:dyDescent="0.2">
      <c r="A3275" s="27" t="s">
        <v>8033</v>
      </c>
      <c r="B3275" s="27" t="s">
        <v>8034</v>
      </c>
      <c r="C3275" s="27" t="s">
        <v>8035</v>
      </c>
      <c r="D3275" s="27" t="s">
        <v>17</v>
      </c>
      <c r="E3275" s="27" t="s">
        <v>42</v>
      </c>
      <c r="F3275" s="27" t="s">
        <v>43</v>
      </c>
      <c r="G3275" s="27" t="s">
        <v>44</v>
      </c>
      <c r="H3275" s="29">
        <v>20</v>
      </c>
      <c r="I3275" s="27" t="s">
        <v>21</v>
      </c>
      <c r="J3275" s="37">
        <v>45572</v>
      </c>
      <c r="K3275" s="27" t="s">
        <v>22</v>
      </c>
    </row>
    <row r="3276" spans="1:11" x14ac:dyDescent="0.2">
      <c r="A3276" s="24" t="s">
        <v>8036</v>
      </c>
      <c r="B3276" s="24" t="s">
        <v>8037</v>
      </c>
      <c r="C3276" s="24" t="s">
        <v>2484</v>
      </c>
      <c r="D3276" s="24" t="s">
        <v>17</v>
      </c>
      <c r="E3276" s="24" t="s">
        <v>42</v>
      </c>
      <c r="F3276" s="24" t="s">
        <v>43</v>
      </c>
      <c r="G3276" s="24" t="s">
        <v>227</v>
      </c>
      <c r="H3276" s="26">
        <v>12</v>
      </c>
      <c r="I3276" s="24" t="s">
        <v>29</v>
      </c>
      <c r="J3276" s="36">
        <v>45573</v>
      </c>
      <c r="K3276" s="24" t="s">
        <v>22</v>
      </c>
    </row>
    <row r="3277" spans="1:11" x14ac:dyDescent="0.2">
      <c r="A3277" s="27" t="s">
        <v>8038</v>
      </c>
      <c r="B3277" s="27" t="s">
        <v>8039</v>
      </c>
      <c r="C3277" s="27" t="s">
        <v>3208</v>
      </c>
      <c r="D3277" s="27" t="s">
        <v>17</v>
      </c>
      <c r="E3277" s="27" t="s">
        <v>48</v>
      </c>
      <c r="F3277" s="27" t="s">
        <v>49</v>
      </c>
      <c r="G3277" s="27" t="s">
        <v>44</v>
      </c>
      <c r="H3277" s="29">
        <v>225</v>
      </c>
      <c r="I3277" s="27" t="s">
        <v>29</v>
      </c>
      <c r="J3277" s="37">
        <v>45589</v>
      </c>
      <c r="K3277" s="27" t="s">
        <v>22</v>
      </c>
    </row>
    <row r="3278" spans="1:11" x14ac:dyDescent="0.2">
      <c r="A3278" s="24" t="s">
        <v>8040</v>
      </c>
      <c r="B3278" s="24" t="s">
        <v>8041</v>
      </c>
      <c r="C3278" s="24" t="s">
        <v>97</v>
      </c>
      <c r="D3278" s="24" t="s">
        <v>17</v>
      </c>
      <c r="E3278" s="24" t="s">
        <v>42</v>
      </c>
      <c r="F3278" s="24" t="s">
        <v>43</v>
      </c>
      <c r="G3278" s="24" t="s">
        <v>44</v>
      </c>
      <c r="H3278" s="26">
        <v>24</v>
      </c>
      <c r="I3278" s="24" t="s">
        <v>21</v>
      </c>
      <c r="J3278" s="36">
        <v>45580</v>
      </c>
      <c r="K3278" s="24" t="s">
        <v>22</v>
      </c>
    </row>
    <row r="3279" spans="1:11" x14ac:dyDescent="0.2">
      <c r="A3279" s="27" t="s">
        <v>8042</v>
      </c>
      <c r="B3279" s="27" t="s">
        <v>8043</v>
      </c>
      <c r="C3279" s="27" t="s">
        <v>4436</v>
      </c>
      <c r="D3279" s="27" t="s">
        <v>17</v>
      </c>
      <c r="E3279" s="27" t="s">
        <v>42</v>
      </c>
      <c r="F3279" s="27" t="s">
        <v>43</v>
      </c>
      <c r="G3279" s="27" t="s">
        <v>59</v>
      </c>
      <c r="H3279" s="29">
        <v>25</v>
      </c>
      <c r="I3279" s="27" t="s">
        <v>21</v>
      </c>
      <c r="J3279" s="37">
        <v>45568</v>
      </c>
      <c r="K3279" s="27" t="s">
        <v>22</v>
      </c>
    </row>
    <row r="3280" spans="1:11" x14ac:dyDescent="0.2">
      <c r="A3280" s="24" t="s">
        <v>8044</v>
      </c>
      <c r="B3280" s="24" t="s">
        <v>8045</v>
      </c>
      <c r="C3280" s="24" t="s">
        <v>5083</v>
      </c>
      <c r="D3280" s="24" t="s">
        <v>17</v>
      </c>
      <c r="E3280" s="24" t="s">
        <v>18</v>
      </c>
      <c r="F3280" s="24" t="s">
        <v>19</v>
      </c>
      <c r="G3280" s="24" t="s">
        <v>20</v>
      </c>
      <c r="H3280" s="26">
        <v>30</v>
      </c>
      <c r="I3280" s="24" t="s">
        <v>21</v>
      </c>
      <c r="J3280" s="36">
        <v>45589</v>
      </c>
      <c r="K3280" s="24" t="s">
        <v>22</v>
      </c>
    </row>
    <row r="3281" spans="1:11" x14ac:dyDescent="0.2">
      <c r="A3281" s="27" t="s">
        <v>8046</v>
      </c>
      <c r="B3281" s="27" t="s">
        <v>8047</v>
      </c>
      <c r="C3281" s="27" t="s">
        <v>8048</v>
      </c>
      <c r="D3281" s="27" t="s">
        <v>17</v>
      </c>
      <c r="E3281" s="27" t="s">
        <v>48</v>
      </c>
      <c r="F3281" s="27" t="s">
        <v>49</v>
      </c>
      <c r="G3281" s="27" t="s">
        <v>28</v>
      </c>
      <c r="H3281" s="29">
        <v>60</v>
      </c>
      <c r="I3281" s="27" t="s">
        <v>29</v>
      </c>
      <c r="J3281" s="37">
        <v>45575</v>
      </c>
      <c r="K3281" s="27" t="s">
        <v>22</v>
      </c>
    </row>
    <row r="3282" spans="1:11" x14ac:dyDescent="0.2">
      <c r="A3282" s="24" t="s">
        <v>8049</v>
      </c>
      <c r="B3282" s="24" t="s">
        <v>8050</v>
      </c>
      <c r="C3282" s="24" t="s">
        <v>8051</v>
      </c>
      <c r="D3282" s="24" t="s">
        <v>17</v>
      </c>
      <c r="E3282" s="24" t="s">
        <v>26</v>
      </c>
      <c r="F3282" s="24" t="s">
        <v>27</v>
      </c>
      <c r="G3282" s="24" t="s">
        <v>59</v>
      </c>
      <c r="H3282" s="26">
        <v>10</v>
      </c>
      <c r="I3282" s="24" t="s">
        <v>21</v>
      </c>
      <c r="J3282" s="36">
        <v>45587</v>
      </c>
      <c r="K3282" s="24" t="s">
        <v>22</v>
      </c>
    </row>
    <row r="3283" spans="1:11" x14ac:dyDescent="0.2">
      <c r="A3283" s="27" t="s">
        <v>8052</v>
      </c>
      <c r="B3283" s="27" t="s">
        <v>8053</v>
      </c>
      <c r="C3283" s="27" t="s">
        <v>55</v>
      </c>
      <c r="D3283" s="27" t="s">
        <v>17</v>
      </c>
      <c r="E3283" s="27" t="s">
        <v>18</v>
      </c>
      <c r="F3283" s="27" t="s">
        <v>19</v>
      </c>
      <c r="G3283" s="27" t="s">
        <v>20</v>
      </c>
      <c r="H3283" s="29">
        <v>20</v>
      </c>
      <c r="I3283" s="27" t="s">
        <v>21</v>
      </c>
      <c r="J3283" s="37">
        <v>45586</v>
      </c>
      <c r="K3283" s="27" t="s">
        <v>22</v>
      </c>
    </row>
    <row r="3284" spans="1:11" x14ac:dyDescent="0.2">
      <c r="A3284" s="24" t="s">
        <v>8054</v>
      </c>
      <c r="B3284" s="24" t="s">
        <v>8055</v>
      </c>
      <c r="C3284" s="24" t="s">
        <v>8056</v>
      </c>
      <c r="D3284" s="24" t="s">
        <v>17</v>
      </c>
      <c r="E3284" s="24" t="s">
        <v>18</v>
      </c>
      <c r="F3284" s="24" t="s">
        <v>19</v>
      </c>
      <c r="G3284" s="24" t="s">
        <v>59</v>
      </c>
      <c r="H3284" s="26">
        <v>18</v>
      </c>
      <c r="I3284" s="24" t="s">
        <v>21</v>
      </c>
      <c r="J3284" s="36">
        <v>45573</v>
      </c>
      <c r="K3284" s="24" t="s">
        <v>22</v>
      </c>
    </row>
    <row r="3285" spans="1:11" x14ac:dyDescent="0.2">
      <c r="A3285" s="27" t="s">
        <v>8057</v>
      </c>
      <c r="B3285" s="27" t="s">
        <v>8058</v>
      </c>
      <c r="C3285" s="27" t="s">
        <v>8059</v>
      </c>
      <c r="D3285" s="27" t="s">
        <v>17</v>
      </c>
      <c r="E3285" s="27" t="s">
        <v>81</v>
      </c>
      <c r="F3285" s="27" t="s">
        <v>82</v>
      </c>
      <c r="G3285" s="27" t="s">
        <v>44</v>
      </c>
      <c r="H3285" s="29">
        <v>49</v>
      </c>
      <c r="I3285" s="27" t="s">
        <v>21</v>
      </c>
      <c r="J3285" s="37">
        <v>45579</v>
      </c>
      <c r="K3285" s="27" t="s">
        <v>22</v>
      </c>
    </row>
    <row r="3286" spans="1:11" x14ac:dyDescent="0.2">
      <c r="A3286" s="24" t="s">
        <v>8060</v>
      </c>
      <c r="B3286" s="24" t="s">
        <v>8061</v>
      </c>
      <c r="C3286" s="24" t="s">
        <v>8062</v>
      </c>
      <c r="D3286" s="24" t="s">
        <v>17</v>
      </c>
      <c r="E3286" s="24" t="s">
        <v>18</v>
      </c>
      <c r="F3286" s="24" t="s">
        <v>19</v>
      </c>
      <c r="G3286" s="24" t="s">
        <v>217</v>
      </c>
      <c r="H3286" s="26">
        <v>24</v>
      </c>
      <c r="I3286" s="24" t="s">
        <v>29</v>
      </c>
      <c r="J3286" s="36">
        <v>45566</v>
      </c>
      <c r="K3286" s="24" t="s">
        <v>22</v>
      </c>
    </row>
    <row r="3287" spans="1:11" x14ac:dyDescent="0.2">
      <c r="A3287" s="27" t="s">
        <v>8063</v>
      </c>
      <c r="B3287" s="27" t="s">
        <v>8064</v>
      </c>
      <c r="C3287" s="27" t="s">
        <v>827</v>
      </c>
      <c r="D3287" s="27" t="s">
        <v>17</v>
      </c>
      <c r="E3287" s="27" t="s">
        <v>42</v>
      </c>
      <c r="F3287" s="27" t="s">
        <v>43</v>
      </c>
      <c r="G3287" s="27" t="s">
        <v>28</v>
      </c>
      <c r="H3287" s="29">
        <v>510</v>
      </c>
      <c r="I3287" s="27" t="s">
        <v>29</v>
      </c>
      <c r="J3287" s="37">
        <v>45595</v>
      </c>
      <c r="K3287" s="27" t="s">
        <v>22</v>
      </c>
    </row>
    <row r="3288" spans="1:11" x14ac:dyDescent="0.2">
      <c r="A3288" s="24" t="s">
        <v>8065</v>
      </c>
      <c r="B3288" s="24" t="s">
        <v>8066</v>
      </c>
      <c r="C3288" s="24" t="s">
        <v>8067</v>
      </c>
      <c r="D3288" s="24" t="s">
        <v>17</v>
      </c>
      <c r="E3288" s="24" t="s">
        <v>18</v>
      </c>
      <c r="F3288" s="24" t="s">
        <v>19</v>
      </c>
      <c r="G3288" s="24" t="s">
        <v>44</v>
      </c>
      <c r="H3288" s="26">
        <v>6</v>
      </c>
      <c r="I3288" s="24" t="s">
        <v>29</v>
      </c>
      <c r="J3288" s="36">
        <v>45587</v>
      </c>
      <c r="K3288" s="24" t="s">
        <v>22</v>
      </c>
    </row>
    <row r="3289" spans="1:11" x14ac:dyDescent="0.2">
      <c r="A3289" s="27" t="s">
        <v>8068</v>
      </c>
      <c r="B3289" s="27" t="s">
        <v>8069</v>
      </c>
      <c r="C3289" s="27" t="s">
        <v>85</v>
      </c>
      <c r="D3289" s="27" t="s">
        <v>17</v>
      </c>
      <c r="E3289" s="27" t="s">
        <v>18</v>
      </c>
      <c r="F3289" s="27" t="s">
        <v>19</v>
      </c>
      <c r="G3289" s="27" t="s">
        <v>20</v>
      </c>
      <c r="H3289" s="29">
        <v>24</v>
      </c>
      <c r="I3289" s="27" t="s">
        <v>21</v>
      </c>
      <c r="J3289" s="37">
        <v>45573</v>
      </c>
      <c r="K3289" s="27" t="s">
        <v>22</v>
      </c>
    </row>
    <row r="3290" spans="1:11" x14ac:dyDescent="0.2">
      <c r="A3290" s="24" t="s">
        <v>8070</v>
      </c>
      <c r="B3290" s="24" t="s">
        <v>8071</v>
      </c>
      <c r="C3290" s="24" t="s">
        <v>1088</v>
      </c>
      <c r="D3290" s="24" t="s">
        <v>17</v>
      </c>
      <c r="E3290" s="24" t="s">
        <v>18</v>
      </c>
      <c r="F3290" s="24" t="s">
        <v>19</v>
      </c>
      <c r="G3290" s="24" t="s">
        <v>28</v>
      </c>
      <c r="H3290" s="26">
        <v>66</v>
      </c>
      <c r="I3290" s="24" t="s">
        <v>29</v>
      </c>
      <c r="J3290" s="36">
        <v>45579</v>
      </c>
      <c r="K3290" s="24" t="s">
        <v>22</v>
      </c>
    </row>
    <row r="3291" spans="1:11" x14ac:dyDescent="0.2">
      <c r="A3291" s="27" t="s">
        <v>8072</v>
      </c>
      <c r="B3291" s="27" t="s">
        <v>8073</v>
      </c>
      <c r="C3291" s="27" t="s">
        <v>1158</v>
      </c>
      <c r="D3291" s="27" t="s">
        <v>17</v>
      </c>
      <c r="E3291" s="27" t="s">
        <v>42</v>
      </c>
      <c r="F3291" s="27" t="s">
        <v>43</v>
      </c>
      <c r="G3291" s="27" t="s">
        <v>28</v>
      </c>
      <c r="H3291" s="29">
        <v>69</v>
      </c>
      <c r="I3291" s="27" t="s">
        <v>29</v>
      </c>
      <c r="J3291" s="37">
        <v>45583</v>
      </c>
      <c r="K3291" s="27" t="s">
        <v>22</v>
      </c>
    </row>
    <row r="3292" spans="1:11" x14ac:dyDescent="0.2">
      <c r="A3292" s="24" t="s">
        <v>8074</v>
      </c>
      <c r="B3292" s="24" t="s">
        <v>8075</v>
      </c>
      <c r="C3292" s="24" t="s">
        <v>627</v>
      </c>
      <c r="D3292" s="24" t="s">
        <v>17</v>
      </c>
      <c r="E3292" s="24" t="s">
        <v>48</v>
      </c>
      <c r="F3292" s="24" t="s">
        <v>49</v>
      </c>
      <c r="G3292" s="24" t="s">
        <v>20</v>
      </c>
      <c r="H3292" s="26">
        <v>117</v>
      </c>
      <c r="I3292" s="24" t="s">
        <v>21</v>
      </c>
      <c r="J3292" s="36">
        <v>45587</v>
      </c>
      <c r="K3292" s="24" t="s">
        <v>22</v>
      </c>
    </row>
    <row r="3293" spans="1:11" x14ac:dyDescent="0.2">
      <c r="A3293" s="27" t="s">
        <v>8076</v>
      </c>
      <c r="B3293" s="27" t="s">
        <v>8077</v>
      </c>
      <c r="C3293" s="27" t="s">
        <v>8078</v>
      </c>
      <c r="D3293" s="27" t="s">
        <v>17</v>
      </c>
      <c r="E3293" s="27" t="s">
        <v>48</v>
      </c>
      <c r="F3293" s="27" t="s">
        <v>49</v>
      </c>
      <c r="G3293" s="27" t="s">
        <v>28</v>
      </c>
      <c r="H3293" s="29">
        <v>30</v>
      </c>
      <c r="I3293" s="27" t="s">
        <v>29</v>
      </c>
      <c r="J3293" s="37">
        <v>45566</v>
      </c>
      <c r="K3293" s="27" t="s">
        <v>22</v>
      </c>
    </row>
    <row r="3294" spans="1:11" x14ac:dyDescent="0.2">
      <c r="A3294" s="24" t="s">
        <v>8079</v>
      </c>
      <c r="B3294" s="24" t="s">
        <v>8080</v>
      </c>
      <c r="C3294" s="24" t="s">
        <v>140</v>
      </c>
      <c r="D3294" s="24" t="s">
        <v>17</v>
      </c>
      <c r="E3294" s="24" t="s">
        <v>48</v>
      </c>
      <c r="F3294" s="24" t="s">
        <v>49</v>
      </c>
      <c r="G3294" s="24" t="s">
        <v>28</v>
      </c>
      <c r="H3294" s="26">
        <v>80</v>
      </c>
      <c r="I3294" s="24" t="s">
        <v>29</v>
      </c>
      <c r="J3294" s="36">
        <v>45577</v>
      </c>
      <c r="K3294" s="24" t="s">
        <v>22</v>
      </c>
    </row>
    <row r="3295" spans="1:11" x14ac:dyDescent="0.2">
      <c r="A3295" s="27" t="s">
        <v>8081</v>
      </c>
      <c r="B3295" s="27" t="s">
        <v>8082</v>
      </c>
      <c r="C3295" s="27" t="s">
        <v>644</v>
      </c>
      <c r="D3295" s="27" t="s">
        <v>17</v>
      </c>
      <c r="E3295" s="27" t="s">
        <v>18</v>
      </c>
      <c r="F3295" s="27" t="s">
        <v>19</v>
      </c>
      <c r="G3295" s="27" t="s">
        <v>20</v>
      </c>
      <c r="H3295" s="29">
        <v>94</v>
      </c>
      <c r="I3295" s="27" t="s">
        <v>21</v>
      </c>
      <c r="J3295" s="37">
        <v>45566</v>
      </c>
      <c r="K3295" s="27" t="s">
        <v>22</v>
      </c>
    </row>
    <row r="3296" spans="1:11" x14ac:dyDescent="0.2">
      <c r="A3296" s="24" t="s">
        <v>8083</v>
      </c>
      <c r="B3296" s="24" t="s">
        <v>8084</v>
      </c>
      <c r="C3296" s="24" t="s">
        <v>112</v>
      </c>
      <c r="D3296" s="24" t="s">
        <v>17</v>
      </c>
      <c r="E3296" s="24" t="s">
        <v>42</v>
      </c>
      <c r="F3296" s="24" t="s">
        <v>43</v>
      </c>
      <c r="G3296" s="24" t="s">
        <v>28</v>
      </c>
      <c r="H3296" s="26">
        <v>245</v>
      </c>
      <c r="I3296" s="24" t="s">
        <v>29</v>
      </c>
      <c r="J3296" s="36">
        <v>45588</v>
      </c>
      <c r="K3296" s="24" t="s">
        <v>22</v>
      </c>
    </row>
    <row r="3297" spans="1:11" x14ac:dyDescent="0.2">
      <c r="A3297" s="27" t="s">
        <v>8085</v>
      </c>
      <c r="B3297" s="27" t="s">
        <v>8086</v>
      </c>
      <c r="C3297" s="27" t="s">
        <v>8087</v>
      </c>
      <c r="D3297" s="27" t="s">
        <v>17</v>
      </c>
      <c r="E3297" s="27" t="s">
        <v>18</v>
      </c>
      <c r="F3297" s="27" t="s">
        <v>19</v>
      </c>
      <c r="G3297" s="27" t="s">
        <v>28</v>
      </c>
      <c r="H3297" s="29">
        <v>12</v>
      </c>
      <c r="I3297" s="27" t="s">
        <v>29</v>
      </c>
      <c r="J3297" s="37">
        <v>45567</v>
      </c>
      <c r="K3297" s="27" t="s">
        <v>22</v>
      </c>
    </row>
    <row r="3298" spans="1:11" x14ac:dyDescent="0.2">
      <c r="A3298" s="24" t="s">
        <v>8088</v>
      </c>
      <c r="B3298" s="24" t="s">
        <v>8089</v>
      </c>
      <c r="C3298" s="24" t="s">
        <v>613</v>
      </c>
      <c r="D3298" s="24" t="s">
        <v>17</v>
      </c>
      <c r="E3298" s="24" t="s">
        <v>18</v>
      </c>
      <c r="F3298" s="24" t="s">
        <v>19</v>
      </c>
      <c r="G3298" s="24" t="s">
        <v>44</v>
      </c>
      <c r="H3298" s="26">
        <v>6</v>
      </c>
      <c r="I3298" s="24" t="s">
        <v>21</v>
      </c>
      <c r="J3298" s="36">
        <v>45582</v>
      </c>
      <c r="K3298" s="24" t="s">
        <v>22</v>
      </c>
    </row>
    <row r="3299" spans="1:11" x14ac:dyDescent="0.2">
      <c r="A3299" s="27" t="s">
        <v>8090</v>
      </c>
      <c r="B3299" s="27" t="s">
        <v>8091</v>
      </c>
      <c r="C3299" s="27" t="s">
        <v>3253</v>
      </c>
      <c r="D3299" s="27" t="s">
        <v>17</v>
      </c>
      <c r="E3299" s="27" t="s">
        <v>48</v>
      </c>
      <c r="F3299" s="27" t="s">
        <v>49</v>
      </c>
      <c r="G3299" s="27" t="s">
        <v>28</v>
      </c>
      <c r="H3299" s="29">
        <v>641</v>
      </c>
      <c r="I3299" s="27" t="s">
        <v>29</v>
      </c>
      <c r="J3299" s="37">
        <v>45575</v>
      </c>
      <c r="K3299" s="27" t="s">
        <v>22</v>
      </c>
    </row>
    <row r="3300" spans="1:11" x14ac:dyDescent="0.2">
      <c r="A3300" s="24" t="s">
        <v>8092</v>
      </c>
      <c r="B3300" s="24" t="s">
        <v>8093</v>
      </c>
      <c r="C3300" s="24" t="s">
        <v>7423</v>
      </c>
      <c r="D3300" s="24" t="s">
        <v>17</v>
      </c>
      <c r="E3300" s="24" t="s">
        <v>18</v>
      </c>
      <c r="F3300" s="24" t="s">
        <v>19</v>
      </c>
      <c r="G3300" s="24" t="s">
        <v>20</v>
      </c>
      <c r="H3300" s="26">
        <v>40</v>
      </c>
      <c r="I3300" s="24" t="s">
        <v>21</v>
      </c>
      <c r="J3300" s="36">
        <v>45566</v>
      </c>
      <c r="K3300" s="24" t="s">
        <v>22</v>
      </c>
    </row>
    <row r="3301" spans="1:11" x14ac:dyDescent="0.2">
      <c r="A3301" s="27" t="s">
        <v>8094</v>
      </c>
      <c r="B3301" s="27" t="s">
        <v>8095</v>
      </c>
      <c r="C3301" s="27" t="s">
        <v>106</v>
      </c>
      <c r="D3301" s="27" t="s">
        <v>17</v>
      </c>
      <c r="E3301" s="27" t="s">
        <v>48</v>
      </c>
      <c r="F3301" s="27" t="s">
        <v>49</v>
      </c>
      <c r="G3301" s="27" t="s">
        <v>20</v>
      </c>
      <c r="H3301" s="29">
        <v>224</v>
      </c>
      <c r="I3301" s="27" t="s">
        <v>21</v>
      </c>
      <c r="J3301" s="37">
        <v>45566</v>
      </c>
      <c r="K3301" s="27" t="s">
        <v>22</v>
      </c>
    </row>
    <row r="3302" spans="1:11" x14ac:dyDescent="0.2">
      <c r="A3302" s="24" t="s">
        <v>8096</v>
      </c>
      <c r="B3302" s="24" t="s">
        <v>8097</v>
      </c>
      <c r="C3302" s="24" t="s">
        <v>437</v>
      </c>
      <c r="D3302" s="24" t="s">
        <v>17</v>
      </c>
      <c r="E3302" s="24" t="s">
        <v>18</v>
      </c>
      <c r="F3302" s="24" t="s">
        <v>19</v>
      </c>
      <c r="G3302" s="24" t="s">
        <v>28</v>
      </c>
      <c r="H3302" s="26">
        <v>220</v>
      </c>
      <c r="I3302" s="24" t="s">
        <v>29</v>
      </c>
      <c r="J3302" s="36">
        <v>45572</v>
      </c>
      <c r="K3302" s="24" t="s">
        <v>22</v>
      </c>
    </row>
    <row r="3303" spans="1:11" x14ac:dyDescent="0.2">
      <c r="A3303" s="27" t="s">
        <v>8098</v>
      </c>
      <c r="B3303" s="27" t="s">
        <v>8099</v>
      </c>
      <c r="C3303" s="27" t="s">
        <v>8100</v>
      </c>
      <c r="D3303" s="27" t="s">
        <v>17</v>
      </c>
      <c r="E3303" s="27" t="s">
        <v>18</v>
      </c>
      <c r="F3303" s="27" t="s">
        <v>19</v>
      </c>
      <c r="G3303" s="27" t="s">
        <v>28</v>
      </c>
      <c r="H3303" s="29">
        <v>80</v>
      </c>
      <c r="I3303" s="27" t="s">
        <v>29</v>
      </c>
      <c r="J3303" s="37">
        <v>45595</v>
      </c>
      <c r="K3303" s="27" t="s">
        <v>22</v>
      </c>
    </row>
    <row r="3304" spans="1:11" x14ac:dyDescent="0.2">
      <c r="A3304" s="24" t="s">
        <v>8101</v>
      </c>
      <c r="B3304" s="24" t="s">
        <v>1154</v>
      </c>
      <c r="C3304" s="24" t="s">
        <v>280</v>
      </c>
      <c r="D3304" s="24" t="s">
        <v>17</v>
      </c>
      <c r="E3304" s="24" t="s">
        <v>42</v>
      </c>
      <c r="F3304" s="24" t="s">
        <v>43</v>
      </c>
      <c r="G3304" s="24" t="s">
        <v>217</v>
      </c>
      <c r="H3304" s="26">
        <v>486</v>
      </c>
      <c r="I3304" s="24" t="s">
        <v>29</v>
      </c>
      <c r="J3304" s="36">
        <v>45593</v>
      </c>
      <c r="K3304" s="24" t="s">
        <v>22</v>
      </c>
    </row>
    <row r="3305" spans="1:11" x14ac:dyDescent="0.2">
      <c r="A3305" s="27" t="s">
        <v>8102</v>
      </c>
      <c r="B3305" s="27" t="s">
        <v>8103</v>
      </c>
      <c r="C3305" s="27" t="s">
        <v>8104</v>
      </c>
      <c r="D3305" s="27" t="s">
        <v>17</v>
      </c>
      <c r="E3305" s="27" t="s">
        <v>42</v>
      </c>
      <c r="F3305" s="27" t="s">
        <v>43</v>
      </c>
      <c r="G3305" s="27" t="s">
        <v>59</v>
      </c>
      <c r="H3305" s="29">
        <v>98</v>
      </c>
      <c r="I3305" s="27" t="s">
        <v>21</v>
      </c>
      <c r="J3305" s="37">
        <v>45596</v>
      </c>
      <c r="K3305" s="27" t="s">
        <v>22</v>
      </c>
    </row>
    <row r="3306" spans="1:11" x14ac:dyDescent="0.2">
      <c r="A3306" s="24" t="s">
        <v>8105</v>
      </c>
      <c r="B3306" s="24" t="s">
        <v>8106</v>
      </c>
      <c r="C3306" s="24" t="s">
        <v>251</v>
      </c>
      <c r="D3306" s="24" t="s">
        <v>17</v>
      </c>
      <c r="E3306" s="24" t="s">
        <v>18</v>
      </c>
      <c r="F3306" s="24" t="s">
        <v>19</v>
      </c>
      <c r="G3306" s="24" t="s">
        <v>28</v>
      </c>
      <c r="H3306" s="26">
        <v>54</v>
      </c>
      <c r="I3306" s="24" t="s">
        <v>29</v>
      </c>
      <c r="J3306" s="36">
        <v>45573</v>
      </c>
      <c r="K3306" s="24" t="s">
        <v>22</v>
      </c>
    </row>
    <row r="3307" spans="1:11" x14ac:dyDescent="0.2">
      <c r="A3307" s="27" t="s">
        <v>8107</v>
      </c>
      <c r="B3307" s="27" t="s">
        <v>8108</v>
      </c>
      <c r="C3307" s="27" t="s">
        <v>301</v>
      </c>
      <c r="D3307" s="27" t="s">
        <v>17</v>
      </c>
      <c r="E3307" s="27" t="s">
        <v>48</v>
      </c>
      <c r="F3307" s="27" t="s">
        <v>49</v>
      </c>
      <c r="G3307" s="27" t="s">
        <v>44</v>
      </c>
      <c r="H3307" s="29">
        <v>24</v>
      </c>
      <c r="I3307" s="27" t="s">
        <v>21</v>
      </c>
      <c r="J3307" s="37">
        <v>45575</v>
      </c>
      <c r="K3307" s="27" t="s">
        <v>22</v>
      </c>
    </row>
    <row r="3308" spans="1:11" x14ac:dyDescent="0.2">
      <c r="A3308" s="24" t="s">
        <v>8109</v>
      </c>
      <c r="B3308" s="24" t="s">
        <v>8110</v>
      </c>
      <c r="C3308" s="24" t="s">
        <v>526</v>
      </c>
      <c r="D3308" s="24" t="s">
        <v>17</v>
      </c>
      <c r="E3308" s="24" t="s">
        <v>18</v>
      </c>
      <c r="F3308" s="24" t="s">
        <v>19</v>
      </c>
      <c r="G3308" s="24" t="s">
        <v>28</v>
      </c>
      <c r="H3308" s="26">
        <v>128</v>
      </c>
      <c r="I3308" s="24" t="s">
        <v>29</v>
      </c>
      <c r="J3308" s="36">
        <v>45594</v>
      </c>
      <c r="K3308" s="24" t="s">
        <v>22</v>
      </c>
    </row>
    <row r="3309" spans="1:11" x14ac:dyDescent="0.2">
      <c r="A3309" s="27" t="s">
        <v>8111</v>
      </c>
      <c r="B3309" s="27" t="s">
        <v>8112</v>
      </c>
      <c r="C3309" s="27" t="s">
        <v>4269</v>
      </c>
      <c r="D3309" s="27" t="s">
        <v>17</v>
      </c>
      <c r="E3309" s="27" t="s">
        <v>18</v>
      </c>
      <c r="F3309" s="27" t="s">
        <v>19</v>
      </c>
      <c r="G3309" s="27" t="s">
        <v>20</v>
      </c>
      <c r="H3309" s="29">
        <v>26</v>
      </c>
      <c r="I3309" s="27" t="s">
        <v>21</v>
      </c>
      <c r="J3309" s="37">
        <v>45569</v>
      </c>
      <c r="K3309" s="27" t="s">
        <v>22</v>
      </c>
    </row>
    <row r="3310" spans="1:11" x14ac:dyDescent="0.2">
      <c r="A3310" s="24" t="s">
        <v>8113</v>
      </c>
      <c r="B3310" s="24" t="s">
        <v>8114</v>
      </c>
      <c r="C3310" s="24" t="s">
        <v>1617</v>
      </c>
      <c r="D3310" s="24" t="s">
        <v>17</v>
      </c>
      <c r="E3310" s="24" t="s">
        <v>42</v>
      </c>
      <c r="F3310" s="24" t="s">
        <v>43</v>
      </c>
      <c r="G3310" s="24" t="s">
        <v>28</v>
      </c>
      <c r="H3310" s="26">
        <v>480</v>
      </c>
      <c r="I3310" s="24" t="s">
        <v>29</v>
      </c>
      <c r="J3310" s="36">
        <v>45573</v>
      </c>
      <c r="K3310" s="24" t="s">
        <v>22</v>
      </c>
    </row>
    <row r="3311" spans="1:11" x14ac:dyDescent="0.2">
      <c r="A3311" s="27" t="s">
        <v>8115</v>
      </c>
      <c r="B3311" s="27" t="s">
        <v>8116</v>
      </c>
      <c r="C3311" s="27" t="s">
        <v>8117</v>
      </c>
      <c r="D3311" s="27" t="s">
        <v>17</v>
      </c>
      <c r="E3311" s="27" t="s">
        <v>33</v>
      </c>
      <c r="F3311" s="27" t="s">
        <v>34</v>
      </c>
      <c r="G3311" s="27" t="s">
        <v>116</v>
      </c>
      <c r="H3311" s="29">
        <v>0</v>
      </c>
      <c r="I3311" s="27" t="s">
        <v>21</v>
      </c>
      <c r="J3311" s="37">
        <v>45586</v>
      </c>
      <c r="K3311" s="27" t="s">
        <v>22</v>
      </c>
    </row>
    <row r="3312" spans="1:11" x14ac:dyDescent="0.2">
      <c r="A3312" s="24" t="s">
        <v>8118</v>
      </c>
      <c r="B3312" s="24" t="s">
        <v>8119</v>
      </c>
      <c r="C3312" s="24" t="s">
        <v>97</v>
      </c>
      <c r="D3312" s="24" t="s">
        <v>17</v>
      </c>
      <c r="E3312" s="24" t="s">
        <v>48</v>
      </c>
      <c r="F3312" s="24" t="s">
        <v>49</v>
      </c>
      <c r="G3312" s="24" t="s">
        <v>20</v>
      </c>
      <c r="H3312" s="26">
        <v>310</v>
      </c>
      <c r="I3312" s="24" t="s">
        <v>21</v>
      </c>
      <c r="J3312" s="36">
        <v>45573</v>
      </c>
      <c r="K3312" s="24" t="s">
        <v>22</v>
      </c>
    </row>
    <row r="3313" spans="1:11" x14ac:dyDescent="0.2">
      <c r="A3313" s="27" t="s">
        <v>8120</v>
      </c>
      <c r="B3313" s="27" t="s">
        <v>8121</v>
      </c>
      <c r="C3313" s="27" t="s">
        <v>4899</v>
      </c>
      <c r="D3313" s="27" t="s">
        <v>17</v>
      </c>
      <c r="E3313" s="27" t="s">
        <v>26</v>
      </c>
      <c r="F3313" s="27" t="s">
        <v>27</v>
      </c>
      <c r="G3313" s="27" t="s">
        <v>44</v>
      </c>
      <c r="H3313" s="29">
        <v>150</v>
      </c>
      <c r="I3313" s="27" t="s">
        <v>21</v>
      </c>
      <c r="J3313" s="37">
        <v>45572</v>
      </c>
      <c r="K3313" s="27" t="s">
        <v>22</v>
      </c>
    </row>
    <row r="3314" spans="1:11" x14ac:dyDescent="0.2">
      <c r="A3314" s="24" t="s">
        <v>8122</v>
      </c>
      <c r="B3314" s="24" t="s">
        <v>8123</v>
      </c>
      <c r="C3314" s="24" t="s">
        <v>146</v>
      </c>
      <c r="D3314" s="24" t="s">
        <v>17</v>
      </c>
      <c r="E3314" s="24" t="s">
        <v>42</v>
      </c>
      <c r="F3314" s="24" t="s">
        <v>43</v>
      </c>
      <c r="G3314" s="24" t="s">
        <v>20</v>
      </c>
      <c r="H3314" s="26">
        <v>751</v>
      </c>
      <c r="I3314" s="24" t="s">
        <v>21</v>
      </c>
      <c r="J3314" s="36">
        <v>45566</v>
      </c>
      <c r="K3314" s="24" t="s">
        <v>22</v>
      </c>
    </row>
    <row r="3315" spans="1:11" x14ac:dyDescent="0.2">
      <c r="A3315" s="27" t="s">
        <v>8124</v>
      </c>
      <c r="B3315" s="27" t="s">
        <v>8125</v>
      </c>
      <c r="C3315" s="27" t="s">
        <v>8126</v>
      </c>
      <c r="D3315" s="27" t="s">
        <v>17</v>
      </c>
      <c r="E3315" s="27" t="s">
        <v>48</v>
      </c>
      <c r="F3315" s="27" t="s">
        <v>49</v>
      </c>
      <c r="G3315" s="27" t="s">
        <v>28</v>
      </c>
      <c r="H3315" s="29">
        <v>240</v>
      </c>
      <c r="I3315" s="27" t="s">
        <v>29</v>
      </c>
      <c r="J3315" s="37">
        <v>45594</v>
      </c>
      <c r="K3315" s="27" t="s">
        <v>22</v>
      </c>
    </row>
    <row r="3316" spans="1:11" x14ac:dyDescent="0.2">
      <c r="A3316" s="24" t="s">
        <v>8127</v>
      </c>
      <c r="B3316" s="24" t="s">
        <v>8128</v>
      </c>
      <c r="C3316" s="24" t="s">
        <v>331</v>
      </c>
      <c r="D3316" s="24" t="s">
        <v>17</v>
      </c>
      <c r="E3316" s="24" t="s">
        <v>48</v>
      </c>
      <c r="F3316" s="24" t="s">
        <v>49</v>
      </c>
      <c r="G3316" s="24" t="s">
        <v>28</v>
      </c>
      <c r="H3316" s="26">
        <v>120</v>
      </c>
      <c r="I3316" s="24" t="s">
        <v>29</v>
      </c>
      <c r="J3316" s="36">
        <v>45576</v>
      </c>
      <c r="K3316" s="24" t="s">
        <v>22</v>
      </c>
    </row>
    <row r="3317" spans="1:11" x14ac:dyDescent="0.2">
      <c r="A3317" s="27" t="s">
        <v>8129</v>
      </c>
      <c r="B3317" s="27" t="s">
        <v>8130</v>
      </c>
      <c r="C3317" s="27" t="s">
        <v>526</v>
      </c>
      <c r="D3317" s="27" t="s">
        <v>17</v>
      </c>
      <c r="E3317" s="27" t="s">
        <v>18</v>
      </c>
      <c r="F3317" s="27" t="s">
        <v>19</v>
      </c>
      <c r="G3317" s="27" t="s">
        <v>28</v>
      </c>
      <c r="H3317" s="29">
        <v>22</v>
      </c>
      <c r="I3317" s="27" t="s">
        <v>29</v>
      </c>
      <c r="J3317" s="37">
        <v>45575</v>
      </c>
      <c r="K3317" s="27" t="s">
        <v>22</v>
      </c>
    </row>
    <row r="3318" spans="1:11" x14ac:dyDescent="0.2">
      <c r="A3318" s="24" t="s">
        <v>8131</v>
      </c>
      <c r="B3318" s="24" t="s">
        <v>8132</v>
      </c>
      <c r="C3318" s="24" t="s">
        <v>1459</v>
      </c>
      <c r="D3318" s="24" t="s">
        <v>17</v>
      </c>
      <c r="E3318" s="24" t="s">
        <v>48</v>
      </c>
      <c r="F3318" s="24" t="s">
        <v>49</v>
      </c>
      <c r="G3318" s="24" t="s">
        <v>59</v>
      </c>
      <c r="H3318" s="26">
        <v>123</v>
      </c>
      <c r="I3318" s="24" t="s">
        <v>21</v>
      </c>
      <c r="J3318" s="36">
        <v>45581</v>
      </c>
      <c r="K3318" s="24" t="s">
        <v>22</v>
      </c>
    </row>
    <row r="3319" spans="1:11" x14ac:dyDescent="0.2">
      <c r="A3319" s="27" t="s">
        <v>8133</v>
      </c>
      <c r="B3319" s="27" t="s">
        <v>8134</v>
      </c>
      <c r="C3319" s="27" t="s">
        <v>8135</v>
      </c>
      <c r="D3319" s="27" t="s">
        <v>17</v>
      </c>
      <c r="E3319" s="27" t="s">
        <v>33</v>
      </c>
      <c r="F3319" s="27" t="s">
        <v>34</v>
      </c>
      <c r="G3319" s="27" t="s">
        <v>217</v>
      </c>
      <c r="H3319" s="29">
        <v>756</v>
      </c>
      <c r="I3319" s="27" t="s">
        <v>29</v>
      </c>
      <c r="J3319" s="37">
        <v>45580</v>
      </c>
      <c r="K3319" s="27" t="s">
        <v>22</v>
      </c>
    </row>
    <row r="3320" spans="1:11" x14ac:dyDescent="0.2">
      <c r="A3320" s="24" t="s">
        <v>8136</v>
      </c>
      <c r="B3320" s="24" t="s">
        <v>8137</v>
      </c>
      <c r="C3320" s="24" t="s">
        <v>8138</v>
      </c>
      <c r="D3320" s="24" t="s">
        <v>17</v>
      </c>
      <c r="E3320" s="24" t="s">
        <v>33</v>
      </c>
      <c r="F3320" s="24" t="s">
        <v>34</v>
      </c>
      <c r="G3320" s="24" t="s">
        <v>227</v>
      </c>
      <c r="H3320" s="26">
        <v>15</v>
      </c>
      <c r="I3320" s="24" t="s">
        <v>29</v>
      </c>
      <c r="J3320" s="36">
        <v>45566</v>
      </c>
      <c r="K3320" s="24" t="s">
        <v>22</v>
      </c>
    </row>
    <row r="3321" spans="1:11" x14ac:dyDescent="0.2">
      <c r="A3321" s="27" t="s">
        <v>8139</v>
      </c>
      <c r="B3321" s="27" t="s">
        <v>8140</v>
      </c>
      <c r="C3321" s="27" t="s">
        <v>134</v>
      </c>
      <c r="D3321" s="27" t="s">
        <v>17</v>
      </c>
      <c r="E3321" s="27" t="s">
        <v>18</v>
      </c>
      <c r="F3321" s="27" t="s">
        <v>19</v>
      </c>
      <c r="G3321" s="27" t="s">
        <v>28</v>
      </c>
      <c r="H3321" s="29">
        <v>213</v>
      </c>
      <c r="I3321" s="27" t="s">
        <v>29</v>
      </c>
      <c r="J3321" s="37">
        <v>45575</v>
      </c>
      <c r="K3321" s="27" t="s">
        <v>22</v>
      </c>
    </row>
    <row r="3322" spans="1:11" x14ac:dyDescent="0.2">
      <c r="A3322" s="24" t="s">
        <v>8141</v>
      </c>
      <c r="B3322" s="24" t="s">
        <v>8142</v>
      </c>
      <c r="C3322" s="24" t="s">
        <v>5488</v>
      </c>
      <c r="D3322" s="24" t="s">
        <v>17</v>
      </c>
      <c r="E3322" s="24" t="s">
        <v>48</v>
      </c>
      <c r="F3322" s="24" t="s">
        <v>49</v>
      </c>
      <c r="G3322" s="24" t="s">
        <v>44</v>
      </c>
      <c r="H3322" s="26">
        <v>69</v>
      </c>
      <c r="I3322" s="24" t="s">
        <v>29</v>
      </c>
      <c r="J3322" s="36">
        <v>45579</v>
      </c>
      <c r="K3322" s="24" t="s">
        <v>22</v>
      </c>
    </row>
    <row r="3323" spans="1:11" x14ac:dyDescent="0.2">
      <c r="A3323" s="27" t="s">
        <v>8143</v>
      </c>
      <c r="B3323" s="27" t="s">
        <v>8144</v>
      </c>
      <c r="C3323" s="27" t="s">
        <v>526</v>
      </c>
      <c r="D3323" s="27" t="s">
        <v>17</v>
      </c>
      <c r="E3323" s="27" t="s">
        <v>48</v>
      </c>
      <c r="F3323" s="27" t="s">
        <v>49</v>
      </c>
      <c r="G3323" s="27" t="s">
        <v>44</v>
      </c>
      <c r="H3323" s="29">
        <v>45</v>
      </c>
      <c r="I3323" s="27" t="s">
        <v>29</v>
      </c>
      <c r="J3323" s="37">
        <v>45590</v>
      </c>
      <c r="K3323" s="27" t="s">
        <v>22</v>
      </c>
    </row>
    <row r="3324" spans="1:11" x14ac:dyDescent="0.2">
      <c r="A3324" s="24" t="s">
        <v>8145</v>
      </c>
      <c r="B3324" s="24" t="s">
        <v>8146</v>
      </c>
      <c r="C3324" s="24" t="s">
        <v>1199</v>
      </c>
      <c r="D3324" s="24" t="s">
        <v>17</v>
      </c>
      <c r="E3324" s="24" t="s">
        <v>42</v>
      </c>
      <c r="F3324" s="24" t="s">
        <v>43</v>
      </c>
      <c r="G3324" s="24" t="s">
        <v>28</v>
      </c>
      <c r="H3324" s="26">
        <v>590</v>
      </c>
      <c r="I3324" s="24" t="s">
        <v>29</v>
      </c>
      <c r="J3324" s="36">
        <v>45593</v>
      </c>
      <c r="K3324" s="24" t="s">
        <v>22</v>
      </c>
    </row>
    <row r="3325" spans="1:11" x14ac:dyDescent="0.2">
      <c r="A3325" s="27" t="s">
        <v>8147</v>
      </c>
      <c r="B3325" s="27" t="s">
        <v>8148</v>
      </c>
      <c r="C3325" s="27" t="s">
        <v>331</v>
      </c>
      <c r="D3325" s="27" t="s">
        <v>17</v>
      </c>
      <c r="E3325" s="27" t="s">
        <v>42</v>
      </c>
      <c r="F3325" s="27" t="s">
        <v>43</v>
      </c>
      <c r="G3325" s="27" t="s">
        <v>28</v>
      </c>
      <c r="H3325" s="29">
        <v>330</v>
      </c>
      <c r="I3325" s="27" t="s">
        <v>29</v>
      </c>
      <c r="J3325" s="37">
        <v>45575</v>
      </c>
      <c r="K3325" s="27" t="s">
        <v>22</v>
      </c>
    </row>
    <row r="3326" spans="1:11" x14ac:dyDescent="0.2">
      <c r="A3326" s="24" t="s">
        <v>8149</v>
      </c>
      <c r="B3326" s="24" t="s">
        <v>8150</v>
      </c>
      <c r="C3326" s="24" t="s">
        <v>2129</v>
      </c>
      <c r="D3326" s="24" t="s">
        <v>17</v>
      </c>
      <c r="E3326" s="24" t="s">
        <v>48</v>
      </c>
      <c r="F3326" s="24" t="s">
        <v>49</v>
      </c>
      <c r="G3326" s="24" t="s">
        <v>20</v>
      </c>
      <c r="H3326" s="26">
        <v>647</v>
      </c>
      <c r="I3326" s="24" t="s">
        <v>21</v>
      </c>
      <c r="J3326" s="36">
        <v>45575</v>
      </c>
      <c r="K3326" s="24" t="s">
        <v>22</v>
      </c>
    </row>
    <row r="3327" spans="1:11" x14ac:dyDescent="0.2">
      <c r="A3327" s="27" t="s">
        <v>8151</v>
      </c>
      <c r="B3327" s="27" t="s">
        <v>8152</v>
      </c>
      <c r="C3327" s="27" t="s">
        <v>97</v>
      </c>
      <c r="D3327" s="27" t="s">
        <v>17</v>
      </c>
      <c r="E3327" s="27" t="s">
        <v>18</v>
      </c>
      <c r="F3327" s="27" t="s">
        <v>19</v>
      </c>
      <c r="G3327" s="27" t="s">
        <v>44</v>
      </c>
      <c r="H3327" s="29">
        <v>9</v>
      </c>
      <c r="I3327" s="27" t="s">
        <v>21</v>
      </c>
      <c r="J3327" s="37">
        <v>45581</v>
      </c>
      <c r="K3327" s="27" t="s">
        <v>22</v>
      </c>
    </row>
    <row r="3328" spans="1:11" x14ac:dyDescent="0.2">
      <c r="A3328" s="24" t="s">
        <v>8153</v>
      </c>
      <c r="B3328" s="24" t="s">
        <v>8154</v>
      </c>
      <c r="C3328" s="24" t="s">
        <v>8155</v>
      </c>
      <c r="D3328" s="24" t="s">
        <v>17</v>
      </c>
      <c r="E3328" s="24" t="s">
        <v>26</v>
      </c>
      <c r="F3328" s="24" t="s">
        <v>27</v>
      </c>
      <c r="G3328" s="24" t="s">
        <v>28</v>
      </c>
      <c r="H3328" s="26">
        <v>202</v>
      </c>
      <c r="I3328" s="24" t="s">
        <v>29</v>
      </c>
      <c r="J3328" s="36">
        <v>45589</v>
      </c>
      <c r="K3328" s="24" t="s">
        <v>22</v>
      </c>
    </row>
    <row r="3329" spans="1:11" x14ac:dyDescent="0.2">
      <c r="A3329" s="27" t="s">
        <v>8156</v>
      </c>
      <c r="B3329" s="27" t="s">
        <v>8157</v>
      </c>
      <c r="C3329" s="27" t="s">
        <v>1147</v>
      </c>
      <c r="D3329" s="27" t="s">
        <v>17</v>
      </c>
      <c r="E3329" s="27" t="s">
        <v>42</v>
      </c>
      <c r="F3329" s="27" t="s">
        <v>43</v>
      </c>
      <c r="G3329" s="27" t="s">
        <v>44</v>
      </c>
      <c r="H3329" s="29">
        <v>884</v>
      </c>
      <c r="I3329" s="27" t="s">
        <v>21</v>
      </c>
      <c r="J3329" s="37">
        <v>45596</v>
      </c>
      <c r="K3329" s="27" t="s">
        <v>22</v>
      </c>
    </row>
    <row r="3330" spans="1:11" x14ac:dyDescent="0.2">
      <c r="A3330" s="24" t="s">
        <v>8158</v>
      </c>
      <c r="B3330" s="24" t="s">
        <v>8159</v>
      </c>
      <c r="C3330" s="24" t="s">
        <v>213</v>
      </c>
      <c r="D3330" s="24" t="s">
        <v>17</v>
      </c>
      <c r="E3330" s="24" t="s">
        <v>42</v>
      </c>
      <c r="F3330" s="24" t="s">
        <v>43</v>
      </c>
      <c r="G3330" s="24" t="s">
        <v>28</v>
      </c>
      <c r="H3330" s="26">
        <v>600</v>
      </c>
      <c r="I3330" s="24" t="s">
        <v>29</v>
      </c>
      <c r="J3330" s="36">
        <v>45586</v>
      </c>
      <c r="K3330" s="24" t="s">
        <v>22</v>
      </c>
    </row>
    <row r="3331" spans="1:11" x14ac:dyDescent="0.2">
      <c r="A3331" s="27" t="s">
        <v>8160</v>
      </c>
      <c r="B3331" s="27" t="s">
        <v>8161</v>
      </c>
      <c r="C3331" s="27" t="s">
        <v>8162</v>
      </c>
      <c r="D3331" s="27" t="s">
        <v>17</v>
      </c>
      <c r="E3331" s="27" t="s">
        <v>81</v>
      </c>
      <c r="F3331" s="27" t="s">
        <v>82</v>
      </c>
      <c r="G3331" s="27" t="s">
        <v>44</v>
      </c>
      <c r="H3331" s="29">
        <v>118</v>
      </c>
      <c r="I3331" s="27" t="s">
        <v>21</v>
      </c>
      <c r="J3331" s="37">
        <v>45587</v>
      </c>
      <c r="K3331" s="27" t="s">
        <v>22</v>
      </c>
    </row>
    <row r="3332" spans="1:11" x14ac:dyDescent="0.2">
      <c r="A3332" s="24" t="s">
        <v>8163</v>
      </c>
      <c r="B3332" s="24" t="s">
        <v>8164</v>
      </c>
      <c r="C3332" s="24" t="s">
        <v>8165</v>
      </c>
      <c r="D3332" s="24" t="s">
        <v>17</v>
      </c>
      <c r="E3332" s="24" t="s">
        <v>18</v>
      </c>
      <c r="F3332" s="24" t="s">
        <v>19</v>
      </c>
      <c r="G3332" s="24" t="s">
        <v>28</v>
      </c>
      <c r="H3332" s="26">
        <v>39</v>
      </c>
      <c r="I3332" s="24" t="s">
        <v>29</v>
      </c>
      <c r="J3332" s="36">
        <v>45595</v>
      </c>
      <c r="K3332" s="24" t="s">
        <v>22</v>
      </c>
    </row>
    <row r="3333" spans="1:11" x14ac:dyDescent="0.2">
      <c r="A3333" s="27" t="s">
        <v>8166</v>
      </c>
      <c r="B3333" s="27" t="s">
        <v>8167</v>
      </c>
      <c r="C3333" s="27" t="s">
        <v>1502</v>
      </c>
      <c r="D3333" s="27" t="s">
        <v>17</v>
      </c>
      <c r="E3333" s="27" t="s">
        <v>42</v>
      </c>
      <c r="F3333" s="27" t="s">
        <v>43</v>
      </c>
      <c r="G3333" s="27" t="s">
        <v>28</v>
      </c>
      <c r="H3333" s="29">
        <v>250</v>
      </c>
      <c r="I3333" s="27" t="s">
        <v>29</v>
      </c>
      <c r="J3333" s="37">
        <v>45566</v>
      </c>
      <c r="K3333" s="27" t="s">
        <v>22</v>
      </c>
    </row>
    <row r="3334" spans="1:11" x14ac:dyDescent="0.2">
      <c r="A3334" s="24" t="s">
        <v>8168</v>
      </c>
      <c r="B3334" s="24" t="s">
        <v>8169</v>
      </c>
      <c r="C3334" s="24" t="s">
        <v>8170</v>
      </c>
      <c r="D3334" s="24" t="s">
        <v>17</v>
      </c>
      <c r="E3334" s="24" t="s">
        <v>18</v>
      </c>
      <c r="F3334" s="24" t="s">
        <v>19</v>
      </c>
      <c r="G3334" s="24" t="s">
        <v>28</v>
      </c>
      <c r="H3334" s="26">
        <v>124</v>
      </c>
      <c r="I3334" s="24" t="s">
        <v>29</v>
      </c>
      <c r="J3334" s="36">
        <v>45581</v>
      </c>
      <c r="K3334" s="24" t="s">
        <v>22</v>
      </c>
    </row>
    <row r="3335" spans="1:11" x14ac:dyDescent="0.2">
      <c r="A3335" s="27" t="s">
        <v>8171</v>
      </c>
      <c r="B3335" s="27" t="s">
        <v>8172</v>
      </c>
      <c r="C3335" s="27" t="s">
        <v>8173</v>
      </c>
      <c r="D3335" s="27" t="s">
        <v>17</v>
      </c>
      <c r="E3335" s="27" t="s">
        <v>18</v>
      </c>
      <c r="F3335" s="27" t="s">
        <v>19</v>
      </c>
      <c r="G3335" s="27" t="s">
        <v>28</v>
      </c>
      <c r="H3335" s="29">
        <v>136</v>
      </c>
      <c r="I3335" s="27" t="s">
        <v>29</v>
      </c>
      <c r="J3335" s="37">
        <v>45596</v>
      </c>
      <c r="K3335" s="27" t="s">
        <v>22</v>
      </c>
    </row>
    <row r="3336" spans="1:11" x14ac:dyDescent="0.2">
      <c r="A3336" s="24" t="s">
        <v>8174</v>
      </c>
      <c r="B3336" s="24" t="s">
        <v>8175</v>
      </c>
      <c r="C3336" s="24" t="s">
        <v>3836</v>
      </c>
      <c r="D3336" s="24" t="s">
        <v>17</v>
      </c>
      <c r="E3336" s="24" t="s">
        <v>42</v>
      </c>
      <c r="F3336" s="24" t="s">
        <v>43</v>
      </c>
      <c r="G3336" s="24" t="s">
        <v>44</v>
      </c>
      <c r="H3336" s="26">
        <v>960</v>
      </c>
      <c r="I3336" s="24" t="s">
        <v>29</v>
      </c>
      <c r="J3336" s="36">
        <v>45580</v>
      </c>
      <c r="K3336" s="24" t="s">
        <v>22</v>
      </c>
    </row>
    <row r="3337" spans="1:11" x14ac:dyDescent="0.2">
      <c r="A3337" s="27" t="s">
        <v>8176</v>
      </c>
      <c r="B3337" s="27" t="s">
        <v>8177</v>
      </c>
      <c r="C3337" s="27" t="s">
        <v>618</v>
      </c>
      <c r="D3337" s="27" t="s">
        <v>17</v>
      </c>
      <c r="E3337" s="27" t="s">
        <v>18</v>
      </c>
      <c r="F3337" s="27" t="s">
        <v>19</v>
      </c>
      <c r="G3337" s="27" t="s">
        <v>28</v>
      </c>
      <c r="H3337" s="29">
        <v>450</v>
      </c>
      <c r="I3337" s="27" t="s">
        <v>29</v>
      </c>
      <c r="J3337" s="37">
        <v>45595</v>
      </c>
      <c r="K3337" s="27" t="s">
        <v>22</v>
      </c>
    </row>
    <row r="3338" spans="1:11" x14ac:dyDescent="0.2">
      <c r="A3338" s="24" t="s">
        <v>8178</v>
      </c>
      <c r="B3338" s="24" t="s">
        <v>8179</v>
      </c>
      <c r="C3338" s="24" t="s">
        <v>233</v>
      </c>
      <c r="D3338" s="24" t="s">
        <v>17</v>
      </c>
      <c r="E3338" s="24" t="s">
        <v>18</v>
      </c>
      <c r="F3338" s="24" t="s">
        <v>19</v>
      </c>
      <c r="G3338" s="24" t="s">
        <v>20</v>
      </c>
      <c r="H3338" s="26">
        <v>28</v>
      </c>
      <c r="I3338" s="24" t="s">
        <v>21</v>
      </c>
      <c r="J3338" s="36">
        <v>45575</v>
      </c>
      <c r="K3338" s="24" t="s">
        <v>22</v>
      </c>
    </row>
    <row r="3339" spans="1:11" x14ac:dyDescent="0.2">
      <c r="A3339" s="27" t="s">
        <v>8180</v>
      </c>
      <c r="B3339" s="27" t="s">
        <v>8181</v>
      </c>
      <c r="C3339" s="27" t="s">
        <v>1307</v>
      </c>
      <c r="D3339" s="27" t="s">
        <v>17</v>
      </c>
      <c r="E3339" s="27" t="s">
        <v>26</v>
      </c>
      <c r="F3339" s="27" t="s">
        <v>27</v>
      </c>
      <c r="G3339" s="27" t="s">
        <v>44</v>
      </c>
      <c r="H3339" s="29">
        <v>74</v>
      </c>
      <c r="I3339" s="27" t="s">
        <v>21</v>
      </c>
      <c r="J3339" s="37">
        <v>45595</v>
      </c>
      <c r="K3339" s="27" t="s">
        <v>22</v>
      </c>
    </row>
    <row r="3340" spans="1:11" x14ac:dyDescent="0.2">
      <c r="A3340" s="24" t="s">
        <v>8182</v>
      </c>
      <c r="B3340" s="24" t="s">
        <v>8183</v>
      </c>
      <c r="C3340" s="24" t="s">
        <v>1690</v>
      </c>
      <c r="D3340" s="24" t="s">
        <v>17</v>
      </c>
      <c r="E3340" s="24" t="s">
        <v>48</v>
      </c>
      <c r="F3340" s="24" t="s">
        <v>49</v>
      </c>
      <c r="G3340" s="24" t="s">
        <v>28</v>
      </c>
      <c r="H3340" s="26">
        <v>60</v>
      </c>
      <c r="I3340" s="24" t="s">
        <v>29</v>
      </c>
      <c r="J3340" s="36">
        <v>45594</v>
      </c>
      <c r="K3340" s="24" t="s">
        <v>22</v>
      </c>
    </row>
    <row r="3341" spans="1:11" x14ac:dyDescent="0.2">
      <c r="A3341" s="27" t="s">
        <v>8184</v>
      </c>
      <c r="B3341" s="27" t="s">
        <v>8185</v>
      </c>
      <c r="C3341" s="27" t="s">
        <v>134</v>
      </c>
      <c r="D3341" s="27" t="s">
        <v>17</v>
      </c>
      <c r="E3341" s="27" t="s">
        <v>18</v>
      </c>
      <c r="F3341" s="27" t="s">
        <v>19</v>
      </c>
      <c r="G3341" s="27" t="s">
        <v>20</v>
      </c>
      <c r="H3341" s="29">
        <v>52</v>
      </c>
      <c r="I3341" s="27" t="s">
        <v>21</v>
      </c>
      <c r="J3341" s="37">
        <v>45572</v>
      </c>
      <c r="K3341" s="27" t="s">
        <v>22</v>
      </c>
    </row>
    <row r="3342" spans="1:11" x14ac:dyDescent="0.2">
      <c r="A3342" s="24" t="s">
        <v>8186</v>
      </c>
      <c r="B3342" s="24" t="s">
        <v>8187</v>
      </c>
      <c r="C3342" s="24" t="s">
        <v>423</v>
      </c>
      <c r="D3342" s="24" t="s">
        <v>17</v>
      </c>
      <c r="E3342" s="24" t="s">
        <v>42</v>
      </c>
      <c r="F3342" s="24" t="s">
        <v>43</v>
      </c>
      <c r="G3342" s="24" t="s">
        <v>28</v>
      </c>
      <c r="H3342" s="26">
        <v>324</v>
      </c>
      <c r="I3342" s="24" t="s">
        <v>29</v>
      </c>
      <c r="J3342" s="36">
        <v>45579</v>
      </c>
      <c r="K3342" s="24" t="s">
        <v>22</v>
      </c>
    </row>
    <row r="3343" spans="1:11" x14ac:dyDescent="0.2">
      <c r="A3343" s="27" t="s">
        <v>8188</v>
      </c>
      <c r="B3343" s="27" t="s">
        <v>8189</v>
      </c>
      <c r="C3343" s="27" t="s">
        <v>55</v>
      </c>
      <c r="D3343" s="27" t="s">
        <v>17</v>
      </c>
      <c r="E3343" s="27" t="s">
        <v>18</v>
      </c>
      <c r="F3343" s="27" t="s">
        <v>19</v>
      </c>
      <c r="G3343" s="27" t="s">
        <v>20</v>
      </c>
      <c r="H3343" s="29">
        <v>12</v>
      </c>
      <c r="I3343" s="27" t="s">
        <v>21</v>
      </c>
      <c r="J3343" s="37">
        <v>45568</v>
      </c>
      <c r="K3343" s="27" t="s">
        <v>22</v>
      </c>
    </row>
    <row r="3344" spans="1:11" x14ac:dyDescent="0.2">
      <c r="A3344" s="24" t="s">
        <v>8190</v>
      </c>
      <c r="B3344" s="24" t="s">
        <v>8191</v>
      </c>
      <c r="C3344" s="24" t="s">
        <v>97</v>
      </c>
      <c r="D3344" s="24" t="s">
        <v>17</v>
      </c>
      <c r="E3344" s="24" t="s">
        <v>18</v>
      </c>
      <c r="F3344" s="24" t="s">
        <v>19</v>
      </c>
      <c r="G3344" s="24" t="s">
        <v>20</v>
      </c>
      <c r="H3344" s="26">
        <v>10</v>
      </c>
      <c r="I3344" s="24" t="s">
        <v>21</v>
      </c>
      <c r="J3344" s="36">
        <v>45586</v>
      </c>
      <c r="K3344" s="24" t="s">
        <v>22</v>
      </c>
    </row>
    <row r="3345" spans="1:11" x14ac:dyDescent="0.2">
      <c r="A3345" s="27" t="s">
        <v>8192</v>
      </c>
      <c r="B3345" s="27" t="s">
        <v>8193</v>
      </c>
      <c r="C3345" s="27" t="s">
        <v>8194</v>
      </c>
      <c r="D3345" s="27" t="s">
        <v>17</v>
      </c>
      <c r="E3345" s="27" t="s">
        <v>33</v>
      </c>
      <c r="F3345" s="27" t="s">
        <v>34</v>
      </c>
      <c r="G3345" s="27" t="s">
        <v>44</v>
      </c>
      <c r="H3345" s="29">
        <v>92</v>
      </c>
      <c r="I3345" s="27" t="s">
        <v>29</v>
      </c>
      <c r="J3345" s="37">
        <v>45590</v>
      </c>
      <c r="K3345" s="27" t="s">
        <v>22</v>
      </c>
    </row>
    <row r="3346" spans="1:11" x14ac:dyDescent="0.2">
      <c r="A3346" s="24" t="s">
        <v>8195</v>
      </c>
      <c r="B3346" s="24" t="s">
        <v>8196</v>
      </c>
      <c r="C3346" s="24" t="s">
        <v>331</v>
      </c>
      <c r="D3346" s="24" t="s">
        <v>17</v>
      </c>
      <c r="E3346" s="24" t="s">
        <v>42</v>
      </c>
      <c r="F3346" s="24" t="s">
        <v>43</v>
      </c>
      <c r="G3346" s="24" t="s">
        <v>28</v>
      </c>
      <c r="H3346" s="26">
        <v>330</v>
      </c>
      <c r="I3346" s="24" t="s">
        <v>29</v>
      </c>
      <c r="J3346" s="36">
        <v>45575</v>
      </c>
      <c r="K3346" s="24" t="s">
        <v>22</v>
      </c>
    </row>
    <row r="3347" spans="1:11" x14ac:dyDescent="0.2">
      <c r="A3347" s="27" t="s">
        <v>8197</v>
      </c>
      <c r="B3347" s="27" t="s">
        <v>8198</v>
      </c>
      <c r="C3347" s="27" t="s">
        <v>97</v>
      </c>
      <c r="D3347" s="27" t="s">
        <v>17</v>
      </c>
      <c r="E3347" s="27" t="s">
        <v>81</v>
      </c>
      <c r="F3347" s="27" t="s">
        <v>82</v>
      </c>
      <c r="G3347" s="27" t="s">
        <v>20</v>
      </c>
      <c r="H3347" s="29">
        <v>1000</v>
      </c>
      <c r="I3347" s="27" t="s">
        <v>21</v>
      </c>
      <c r="J3347" s="37">
        <v>45583</v>
      </c>
      <c r="K3347" s="27" t="s">
        <v>22</v>
      </c>
    </row>
    <row r="3348" spans="1:11" x14ac:dyDescent="0.2">
      <c r="A3348" s="24" t="s">
        <v>8199</v>
      </c>
      <c r="B3348" s="24" t="s">
        <v>8200</v>
      </c>
      <c r="C3348" s="24" t="s">
        <v>899</v>
      </c>
      <c r="D3348" s="24" t="s">
        <v>17</v>
      </c>
      <c r="E3348" s="24" t="s">
        <v>26</v>
      </c>
      <c r="F3348" s="24" t="s">
        <v>27</v>
      </c>
      <c r="G3348" s="24" t="s">
        <v>28</v>
      </c>
      <c r="H3348" s="26">
        <v>48</v>
      </c>
      <c r="I3348" s="24" t="s">
        <v>29</v>
      </c>
      <c r="J3348" s="36">
        <v>45586</v>
      </c>
      <c r="K3348" s="24" t="s">
        <v>22</v>
      </c>
    </row>
    <row r="3349" spans="1:11" x14ac:dyDescent="0.2">
      <c r="A3349" s="27" t="s">
        <v>8201</v>
      </c>
      <c r="B3349" s="27" t="s">
        <v>8202</v>
      </c>
      <c r="C3349" s="27" t="s">
        <v>2004</v>
      </c>
      <c r="D3349" s="27" t="s">
        <v>17</v>
      </c>
      <c r="E3349" s="27" t="s">
        <v>48</v>
      </c>
      <c r="F3349" s="27" t="s">
        <v>49</v>
      </c>
      <c r="G3349" s="27" t="s">
        <v>44</v>
      </c>
      <c r="H3349" s="29">
        <v>16</v>
      </c>
      <c r="I3349" s="27" t="s">
        <v>21</v>
      </c>
      <c r="J3349" s="37">
        <v>45595</v>
      </c>
      <c r="K3349" s="27" t="s">
        <v>22</v>
      </c>
    </row>
    <row r="3350" spans="1:11" x14ac:dyDescent="0.2">
      <c r="A3350" s="24" t="s">
        <v>8203</v>
      </c>
      <c r="B3350" s="24" t="s">
        <v>8204</v>
      </c>
      <c r="C3350" s="24" t="s">
        <v>1444</v>
      </c>
      <c r="D3350" s="24" t="s">
        <v>17</v>
      </c>
      <c r="E3350" s="24" t="s">
        <v>42</v>
      </c>
      <c r="F3350" s="24" t="s">
        <v>43</v>
      </c>
      <c r="G3350" s="24" t="s">
        <v>28</v>
      </c>
      <c r="H3350" s="26">
        <v>432</v>
      </c>
      <c r="I3350" s="24" t="s">
        <v>29</v>
      </c>
      <c r="J3350" s="36">
        <v>45595</v>
      </c>
      <c r="K3350" s="24" t="s">
        <v>22</v>
      </c>
    </row>
    <row r="3351" spans="1:11" x14ac:dyDescent="0.2">
      <c r="A3351" s="27" t="s">
        <v>8205</v>
      </c>
      <c r="B3351" s="27" t="s">
        <v>8206</v>
      </c>
      <c r="C3351" s="27" t="s">
        <v>8207</v>
      </c>
      <c r="D3351" s="27" t="s">
        <v>17</v>
      </c>
      <c r="E3351" s="27" t="s">
        <v>26</v>
      </c>
      <c r="F3351" s="27" t="s">
        <v>27</v>
      </c>
      <c r="G3351" s="27" t="s">
        <v>217</v>
      </c>
      <c r="H3351" s="29">
        <v>66</v>
      </c>
      <c r="I3351" s="27" t="s">
        <v>29</v>
      </c>
      <c r="J3351" s="37">
        <v>45566</v>
      </c>
      <c r="K3351" s="27" t="s">
        <v>22</v>
      </c>
    </row>
    <row r="3352" spans="1:11" x14ac:dyDescent="0.2">
      <c r="A3352" s="24" t="s">
        <v>8208</v>
      </c>
      <c r="B3352" s="24" t="s">
        <v>8209</v>
      </c>
      <c r="C3352" s="24" t="s">
        <v>526</v>
      </c>
      <c r="D3352" s="24" t="s">
        <v>17</v>
      </c>
      <c r="E3352" s="24" t="s">
        <v>48</v>
      </c>
      <c r="F3352" s="24" t="s">
        <v>49</v>
      </c>
      <c r="G3352" s="24" t="s">
        <v>44</v>
      </c>
      <c r="H3352" s="26">
        <v>240</v>
      </c>
      <c r="I3352" s="24" t="s">
        <v>29</v>
      </c>
      <c r="J3352" s="36">
        <v>45586</v>
      </c>
      <c r="K3352" s="24" t="s">
        <v>22</v>
      </c>
    </row>
    <row r="3353" spans="1:11" x14ac:dyDescent="0.2">
      <c r="A3353" s="27" t="s">
        <v>8210</v>
      </c>
      <c r="B3353" s="27" t="s">
        <v>8211</v>
      </c>
      <c r="C3353" s="27" t="s">
        <v>5556</v>
      </c>
      <c r="D3353" s="27" t="s">
        <v>17</v>
      </c>
      <c r="E3353" s="27" t="s">
        <v>18</v>
      </c>
      <c r="F3353" s="27" t="s">
        <v>19</v>
      </c>
      <c r="G3353" s="27" t="s">
        <v>227</v>
      </c>
      <c r="H3353" s="29">
        <v>60</v>
      </c>
      <c r="I3353" s="27" t="s">
        <v>29</v>
      </c>
      <c r="J3353" s="37">
        <v>45586</v>
      </c>
      <c r="K3353" s="27" t="s">
        <v>22</v>
      </c>
    </row>
    <row r="3354" spans="1:11" x14ac:dyDescent="0.2">
      <c r="A3354" s="24" t="s">
        <v>8212</v>
      </c>
      <c r="B3354" s="24" t="s">
        <v>8213</v>
      </c>
      <c r="C3354" s="24" t="s">
        <v>8214</v>
      </c>
      <c r="D3354" s="24" t="s">
        <v>17</v>
      </c>
      <c r="E3354" s="24" t="s">
        <v>18</v>
      </c>
      <c r="F3354" s="24" t="s">
        <v>19</v>
      </c>
      <c r="G3354" s="24" t="s">
        <v>28</v>
      </c>
      <c r="H3354" s="26">
        <v>40</v>
      </c>
      <c r="I3354" s="24" t="s">
        <v>29</v>
      </c>
      <c r="J3354" s="36">
        <v>45581</v>
      </c>
      <c r="K3354" s="24" t="s">
        <v>22</v>
      </c>
    </row>
    <row r="3355" spans="1:11" x14ac:dyDescent="0.2">
      <c r="A3355" s="27" t="s">
        <v>8215</v>
      </c>
      <c r="B3355" s="27" t="s">
        <v>8216</v>
      </c>
      <c r="C3355" s="27" t="s">
        <v>8217</v>
      </c>
      <c r="D3355" s="27" t="s">
        <v>17</v>
      </c>
      <c r="E3355" s="27" t="s">
        <v>48</v>
      </c>
      <c r="F3355" s="27" t="s">
        <v>49</v>
      </c>
      <c r="G3355" s="27" t="s">
        <v>59</v>
      </c>
      <c r="H3355" s="29">
        <v>18</v>
      </c>
      <c r="I3355" s="27" t="s">
        <v>21</v>
      </c>
      <c r="J3355" s="37">
        <v>45580</v>
      </c>
      <c r="K3355" s="27" t="s">
        <v>22</v>
      </c>
    </row>
    <row r="3356" spans="1:11" x14ac:dyDescent="0.2">
      <c r="A3356" s="24" t="s">
        <v>8218</v>
      </c>
      <c r="B3356" s="24" t="s">
        <v>8219</v>
      </c>
      <c r="C3356" s="24" t="s">
        <v>8220</v>
      </c>
      <c r="D3356" s="24" t="s">
        <v>17</v>
      </c>
      <c r="E3356" s="24" t="s">
        <v>18</v>
      </c>
      <c r="F3356" s="24" t="s">
        <v>19</v>
      </c>
      <c r="G3356" s="24" t="s">
        <v>20</v>
      </c>
      <c r="H3356" s="26">
        <v>40</v>
      </c>
      <c r="I3356" s="24" t="s">
        <v>21</v>
      </c>
      <c r="J3356" s="36">
        <v>45590</v>
      </c>
      <c r="K3356" s="24" t="s">
        <v>22</v>
      </c>
    </row>
    <row r="3357" spans="1:11" x14ac:dyDescent="0.2">
      <c r="A3357" s="27" t="s">
        <v>8221</v>
      </c>
      <c r="B3357" s="27" t="s">
        <v>8222</v>
      </c>
      <c r="C3357" s="27" t="s">
        <v>526</v>
      </c>
      <c r="D3357" s="27" t="s">
        <v>17</v>
      </c>
      <c r="E3357" s="27" t="s">
        <v>42</v>
      </c>
      <c r="F3357" s="27" t="s">
        <v>43</v>
      </c>
      <c r="G3357" s="27" t="s">
        <v>44</v>
      </c>
      <c r="H3357" s="29">
        <v>1400</v>
      </c>
      <c r="I3357" s="27" t="s">
        <v>29</v>
      </c>
      <c r="J3357" s="37">
        <v>45589</v>
      </c>
      <c r="K3357" s="27" t="s">
        <v>22</v>
      </c>
    </row>
    <row r="3358" spans="1:11" x14ac:dyDescent="0.2">
      <c r="A3358" s="24" t="s">
        <v>8223</v>
      </c>
      <c r="B3358" s="24" t="s">
        <v>8224</v>
      </c>
      <c r="C3358" s="24" t="s">
        <v>6439</v>
      </c>
      <c r="D3358" s="24" t="s">
        <v>17</v>
      </c>
      <c r="E3358" s="24" t="s">
        <v>42</v>
      </c>
      <c r="F3358" s="24" t="s">
        <v>43</v>
      </c>
      <c r="G3358" s="24" t="s">
        <v>20</v>
      </c>
      <c r="H3358" s="26">
        <v>79</v>
      </c>
      <c r="I3358" s="24" t="s">
        <v>21</v>
      </c>
      <c r="J3358" s="36">
        <v>45573</v>
      </c>
      <c r="K3358" s="24" t="s">
        <v>22</v>
      </c>
    </row>
    <row r="3359" spans="1:11" x14ac:dyDescent="0.2">
      <c r="A3359" s="27" t="s">
        <v>8225</v>
      </c>
      <c r="B3359" s="27" t="s">
        <v>8226</v>
      </c>
      <c r="C3359" s="27" t="s">
        <v>8227</v>
      </c>
      <c r="D3359" s="27" t="s">
        <v>17</v>
      </c>
      <c r="E3359" s="27" t="s">
        <v>48</v>
      </c>
      <c r="F3359" s="27" t="s">
        <v>49</v>
      </c>
      <c r="G3359" s="27" t="s">
        <v>28</v>
      </c>
      <c r="H3359" s="29">
        <v>240</v>
      </c>
      <c r="I3359" s="27" t="s">
        <v>29</v>
      </c>
      <c r="J3359" s="37">
        <v>45566</v>
      </c>
      <c r="K3359" s="27" t="s">
        <v>22</v>
      </c>
    </row>
    <row r="3360" spans="1:11" x14ac:dyDescent="0.2">
      <c r="A3360" s="24" t="s">
        <v>8228</v>
      </c>
      <c r="B3360" s="24" t="s">
        <v>8229</v>
      </c>
      <c r="C3360" s="24" t="s">
        <v>8230</v>
      </c>
      <c r="D3360" s="24" t="s">
        <v>17</v>
      </c>
      <c r="E3360" s="24" t="s">
        <v>18</v>
      </c>
      <c r="F3360" s="24" t="s">
        <v>19</v>
      </c>
      <c r="G3360" s="24" t="s">
        <v>28</v>
      </c>
      <c r="H3360" s="26">
        <v>76</v>
      </c>
      <c r="I3360" s="24" t="s">
        <v>29</v>
      </c>
      <c r="J3360" s="36">
        <v>45588</v>
      </c>
      <c r="K3360" s="24" t="s">
        <v>22</v>
      </c>
    </row>
    <row r="3361" spans="1:11" x14ac:dyDescent="0.2">
      <c r="A3361" s="27" t="s">
        <v>8231</v>
      </c>
      <c r="B3361" s="27" t="s">
        <v>8232</v>
      </c>
      <c r="C3361" s="27" t="s">
        <v>213</v>
      </c>
      <c r="D3361" s="27" t="s">
        <v>17</v>
      </c>
      <c r="E3361" s="27" t="s">
        <v>18</v>
      </c>
      <c r="F3361" s="27" t="s">
        <v>19</v>
      </c>
      <c r="G3361" s="27" t="s">
        <v>20</v>
      </c>
      <c r="H3361" s="29">
        <v>12</v>
      </c>
      <c r="I3361" s="27" t="s">
        <v>21</v>
      </c>
      <c r="J3361" s="37">
        <v>45593</v>
      </c>
      <c r="K3361" s="27" t="s">
        <v>22</v>
      </c>
    </row>
    <row r="3362" spans="1:11" x14ac:dyDescent="0.2">
      <c r="A3362" s="24" t="s">
        <v>8233</v>
      </c>
      <c r="B3362" s="24" t="s">
        <v>8234</v>
      </c>
      <c r="C3362" s="24" t="s">
        <v>1212</v>
      </c>
      <c r="D3362" s="24" t="s">
        <v>17</v>
      </c>
      <c r="E3362" s="24" t="s">
        <v>18</v>
      </c>
      <c r="F3362" s="24" t="s">
        <v>19</v>
      </c>
      <c r="G3362" s="24" t="s">
        <v>20</v>
      </c>
      <c r="H3362" s="26">
        <v>52</v>
      </c>
      <c r="I3362" s="24" t="s">
        <v>21</v>
      </c>
      <c r="J3362" s="36">
        <v>45588</v>
      </c>
      <c r="K3362" s="24" t="s">
        <v>22</v>
      </c>
    </row>
    <row r="3363" spans="1:11" x14ac:dyDescent="0.2">
      <c r="A3363" s="27" t="s">
        <v>8235</v>
      </c>
      <c r="B3363" s="27" t="s">
        <v>8236</v>
      </c>
      <c r="C3363" s="27" t="s">
        <v>8237</v>
      </c>
      <c r="D3363" s="27" t="s">
        <v>17</v>
      </c>
      <c r="E3363" s="27" t="s">
        <v>48</v>
      </c>
      <c r="F3363" s="27" t="s">
        <v>49</v>
      </c>
      <c r="G3363" s="27" t="s">
        <v>28</v>
      </c>
      <c r="H3363" s="29">
        <v>90</v>
      </c>
      <c r="I3363" s="27" t="s">
        <v>29</v>
      </c>
      <c r="J3363" s="37">
        <v>45567</v>
      </c>
      <c r="K3363" s="27" t="s">
        <v>22</v>
      </c>
    </row>
    <row r="3364" spans="1:11" x14ac:dyDescent="0.2">
      <c r="A3364" s="24" t="s">
        <v>8238</v>
      </c>
      <c r="B3364" s="24" t="s">
        <v>8239</v>
      </c>
      <c r="C3364" s="24" t="s">
        <v>3017</v>
      </c>
      <c r="D3364" s="24" t="s">
        <v>17</v>
      </c>
      <c r="E3364" s="24" t="s">
        <v>18</v>
      </c>
      <c r="F3364" s="24" t="s">
        <v>19</v>
      </c>
      <c r="G3364" s="24" t="s">
        <v>28</v>
      </c>
      <c r="H3364" s="26">
        <v>36</v>
      </c>
      <c r="I3364" s="24" t="s">
        <v>29</v>
      </c>
      <c r="J3364" s="36">
        <v>45595</v>
      </c>
      <c r="K3364" s="24" t="s">
        <v>22</v>
      </c>
    </row>
    <row r="3365" spans="1:11" x14ac:dyDescent="0.2">
      <c r="A3365" s="27" t="s">
        <v>8240</v>
      </c>
      <c r="B3365" s="27" t="s">
        <v>8241</v>
      </c>
      <c r="C3365" s="27" t="s">
        <v>8242</v>
      </c>
      <c r="D3365" s="27" t="s">
        <v>17</v>
      </c>
      <c r="E3365" s="27" t="s">
        <v>18</v>
      </c>
      <c r="F3365" s="27" t="s">
        <v>19</v>
      </c>
      <c r="G3365" s="27" t="s">
        <v>28</v>
      </c>
      <c r="H3365" s="29">
        <v>240</v>
      </c>
      <c r="I3365" s="27" t="s">
        <v>29</v>
      </c>
      <c r="J3365" s="37">
        <v>45595</v>
      </c>
      <c r="K3365" s="27" t="s">
        <v>22</v>
      </c>
    </row>
    <row r="3366" spans="1:11" x14ac:dyDescent="0.2">
      <c r="A3366" s="24" t="s">
        <v>8243</v>
      </c>
      <c r="B3366" s="24" t="s">
        <v>8244</v>
      </c>
      <c r="C3366" s="24" t="s">
        <v>8245</v>
      </c>
      <c r="D3366" s="24" t="s">
        <v>17</v>
      </c>
      <c r="E3366" s="24" t="s">
        <v>18</v>
      </c>
      <c r="F3366" s="24" t="s">
        <v>19</v>
      </c>
      <c r="G3366" s="24" t="s">
        <v>59</v>
      </c>
      <c r="H3366" s="26">
        <v>49</v>
      </c>
      <c r="I3366" s="24" t="s">
        <v>21</v>
      </c>
      <c r="J3366" s="36">
        <v>45579</v>
      </c>
      <c r="K3366" s="24" t="s">
        <v>22</v>
      </c>
    </row>
    <row r="3367" spans="1:11" x14ac:dyDescent="0.2">
      <c r="A3367" s="27" t="s">
        <v>8246</v>
      </c>
      <c r="B3367" s="27" t="s">
        <v>8247</v>
      </c>
      <c r="C3367" s="27" t="s">
        <v>55</v>
      </c>
      <c r="D3367" s="27" t="s">
        <v>17</v>
      </c>
      <c r="E3367" s="27" t="s">
        <v>42</v>
      </c>
      <c r="F3367" s="27" t="s">
        <v>43</v>
      </c>
      <c r="G3367" s="27" t="s">
        <v>44</v>
      </c>
      <c r="H3367" s="29">
        <v>67</v>
      </c>
      <c r="I3367" s="27" t="s">
        <v>29</v>
      </c>
      <c r="J3367" s="37">
        <v>45617</v>
      </c>
      <c r="K3367" s="27" t="s">
        <v>22</v>
      </c>
    </row>
    <row r="3368" spans="1:11" x14ac:dyDescent="0.2">
      <c r="A3368" s="24" t="s">
        <v>8248</v>
      </c>
      <c r="B3368" s="24" t="s">
        <v>8249</v>
      </c>
      <c r="C3368" s="24" t="s">
        <v>4253</v>
      </c>
      <c r="D3368" s="24" t="s">
        <v>17</v>
      </c>
      <c r="E3368" s="24" t="s">
        <v>48</v>
      </c>
      <c r="F3368" s="24" t="s">
        <v>49</v>
      </c>
      <c r="G3368" s="24" t="s">
        <v>28</v>
      </c>
      <c r="H3368" s="26">
        <v>20</v>
      </c>
      <c r="I3368" s="24" t="s">
        <v>29</v>
      </c>
      <c r="J3368" s="36">
        <v>45602</v>
      </c>
      <c r="K3368" s="24" t="s">
        <v>22</v>
      </c>
    </row>
    <row r="3369" spans="1:11" x14ac:dyDescent="0.2">
      <c r="A3369" s="27" t="s">
        <v>8250</v>
      </c>
      <c r="B3369" s="27" t="s">
        <v>8251</v>
      </c>
      <c r="C3369" s="27" t="s">
        <v>673</v>
      </c>
      <c r="D3369" s="27" t="s">
        <v>17</v>
      </c>
      <c r="E3369" s="27" t="s">
        <v>18</v>
      </c>
      <c r="F3369" s="27" t="s">
        <v>19</v>
      </c>
      <c r="G3369" s="27" t="s">
        <v>28</v>
      </c>
      <c r="H3369" s="29">
        <v>140</v>
      </c>
      <c r="I3369" s="27" t="s">
        <v>29</v>
      </c>
      <c r="J3369" s="37">
        <v>45603</v>
      </c>
      <c r="K3369" s="27" t="s">
        <v>22</v>
      </c>
    </row>
    <row r="3370" spans="1:11" x14ac:dyDescent="0.2">
      <c r="A3370" s="24" t="s">
        <v>8252</v>
      </c>
      <c r="B3370" s="24" t="s">
        <v>8253</v>
      </c>
      <c r="C3370" s="24" t="s">
        <v>8254</v>
      </c>
      <c r="D3370" s="24" t="s">
        <v>17</v>
      </c>
      <c r="E3370" s="24" t="s">
        <v>48</v>
      </c>
      <c r="F3370" s="24" t="s">
        <v>49</v>
      </c>
      <c r="G3370" s="24" t="s">
        <v>217</v>
      </c>
      <c r="H3370" s="26">
        <v>50</v>
      </c>
      <c r="I3370" s="24" t="s">
        <v>29</v>
      </c>
      <c r="J3370" s="36">
        <v>45597</v>
      </c>
      <c r="K3370" s="24" t="s">
        <v>22</v>
      </c>
    </row>
    <row r="3371" spans="1:11" x14ac:dyDescent="0.2">
      <c r="A3371" s="27" t="s">
        <v>8255</v>
      </c>
      <c r="B3371" s="27" t="s">
        <v>8256</v>
      </c>
      <c r="C3371" s="27" t="s">
        <v>55</v>
      </c>
      <c r="D3371" s="27" t="s">
        <v>17</v>
      </c>
      <c r="E3371" s="27" t="s">
        <v>18</v>
      </c>
      <c r="F3371" s="27" t="s">
        <v>19</v>
      </c>
      <c r="G3371" s="27" t="s">
        <v>20</v>
      </c>
      <c r="H3371" s="29">
        <v>16</v>
      </c>
      <c r="I3371" s="27" t="s">
        <v>21</v>
      </c>
      <c r="J3371" s="37">
        <v>45600</v>
      </c>
      <c r="K3371" s="27" t="s">
        <v>22</v>
      </c>
    </row>
    <row r="3372" spans="1:11" x14ac:dyDescent="0.2">
      <c r="A3372" s="24" t="s">
        <v>8257</v>
      </c>
      <c r="B3372" s="24" t="s">
        <v>8258</v>
      </c>
      <c r="C3372" s="24" t="s">
        <v>8259</v>
      </c>
      <c r="D3372" s="24" t="s">
        <v>17</v>
      </c>
      <c r="E3372" s="24" t="s">
        <v>18</v>
      </c>
      <c r="F3372" s="24" t="s">
        <v>19</v>
      </c>
      <c r="G3372" s="24" t="s">
        <v>217</v>
      </c>
      <c r="H3372" s="26">
        <v>18</v>
      </c>
      <c r="I3372" s="24" t="s">
        <v>29</v>
      </c>
      <c r="J3372" s="36">
        <v>45621</v>
      </c>
      <c r="K3372" s="24" t="s">
        <v>22</v>
      </c>
    </row>
    <row r="3373" spans="1:11" x14ac:dyDescent="0.2">
      <c r="A3373" s="27" t="s">
        <v>8260</v>
      </c>
      <c r="B3373" s="27" t="s">
        <v>8261</v>
      </c>
      <c r="C3373" s="27" t="s">
        <v>915</v>
      </c>
      <c r="D3373" s="27" t="s">
        <v>17</v>
      </c>
      <c r="E3373" s="27" t="s">
        <v>163</v>
      </c>
      <c r="F3373" s="27" t="s">
        <v>164</v>
      </c>
      <c r="G3373" s="27" t="s">
        <v>227</v>
      </c>
      <c r="H3373" s="29">
        <v>150</v>
      </c>
      <c r="I3373" s="27" t="s">
        <v>29</v>
      </c>
      <c r="J3373" s="37">
        <v>45597</v>
      </c>
      <c r="K3373" s="27" t="s">
        <v>22</v>
      </c>
    </row>
    <row r="3374" spans="1:11" x14ac:dyDescent="0.2">
      <c r="A3374" s="24" t="s">
        <v>8262</v>
      </c>
      <c r="B3374" s="24" t="s">
        <v>8263</v>
      </c>
      <c r="C3374" s="24" t="s">
        <v>450</v>
      </c>
      <c r="D3374" s="24" t="s">
        <v>17</v>
      </c>
      <c r="E3374" s="24" t="s">
        <v>48</v>
      </c>
      <c r="F3374" s="24" t="s">
        <v>49</v>
      </c>
      <c r="G3374" s="24" t="s">
        <v>28</v>
      </c>
      <c r="H3374" s="26">
        <v>570</v>
      </c>
      <c r="I3374" s="24" t="s">
        <v>29</v>
      </c>
      <c r="J3374" s="36">
        <v>45617</v>
      </c>
      <c r="K3374" s="24" t="s">
        <v>22</v>
      </c>
    </row>
    <row r="3375" spans="1:11" x14ac:dyDescent="0.2">
      <c r="A3375" s="27" t="s">
        <v>8264</v>
      </c>
      <c r="B3375" s="27" t="s">
        <v>8265</v>
      </c>
      <c r="C3375" s="27" t="s">
        <v>1199</v>
      </c>
      <c r="D3375" s="27" t="s">
        <v>17</v>
      </c>
      <c r="E3375" s="27" t="s">
        <v>18</v>
      </c>
      <c r="F3375" s="27" t="s">
        <v>19</v>
      </c>
      <c r="G3375" s="27" t="s">
        <v>28</v>
      </c>
      <c r="H3375" s="29">
        <v>162</v>
      </c>
      <c r="I3375" s="27" t="s">
        <v>29</v>
      </c>
      <c r="J3375" s="37">
        <v>45609</v>
      </c>
      <c r="K3375" s="27" t="s">
        <v>22</v>
      </c>
    </row>
    <row r="3376" spans="1:11" x14ac:dyDescent="0.2">
      <c r="A3376" s="24" t="s">
        <v>8266</v>
      </c>
      <c r="B3376" s="24" t="s">
        <v>8267</v>
      </c>
      <c r="C3376" s="24" t="s">
        <v>115</v>
      </c>
      <c r="D3376" s="24" t="s">
        <v>17</v>
      </c>
      <c r="E3376" s="24" t="s">
        <v>42</v>
      </c>
      <c r="F3376" s="24" t="s">
        <v>43</v>
      </c>
      <c r="G3376" s="24" t="s">
        <v>28</v>
      </c>
      <c r="H3376" s="26">
        <v>30</v>
      </c>
      <c r="I3376" s="24" t="s">
        <v>29</v>
      </c>
      <c r="J3376" s="36">
        <v>45615</v>
      </c>
      <c r="K3376" s="24" t="s">
        <v>22</v>
      </c>
    </row>
    <row r="3377" spans="1:11" x14ac:dyDescent="0.2">
      <c r="A3377" s="27" t="s">
        <v>8268</v>
      </c>
      <c r="B3377" s="27" t="s">
        <v>8269</v>
      </c>
      <c r="C3377" s="27" t="s">
        <v>85</v>
      </c>
      <c r="D3377" s="27" t="s">
        <v>17</v>
      </c>
      <c r="E3377" s="27" t="s">
        <v>42</v>
      </c>
      <c r="F3377" s="27" t="s">
        <v>43</v>
      </c>
      <c r="G3377" s="27" t="s">
        <v>28</v>
      </c>
      <c r="H3377" s="29">
        <v>460</v>
      </c>
      <c r="I3377" s="27" t="s">
        <v>29</v>
      </c>
      <c r="J3377" s="37">
        <v>45604</v>
      </c>
      <c r="K3377" s="27" t="s">
        <v>22</v>
      </c>
    </row>
    <row r="3378" spans="1:11" x14ac:dyDescent="0.2">
      <c r="A3378" s="24" t="s">
        <v>8270</v>
      </c>
      <c r="B3378" s="24" t="s">
        <v>8271</v>
      </c>
      <c r="C3378" s="24" t="s">
        <v>801</v>
      </c>
      <c r="D3378" s="24" t="s">
        <v>17</v>
      </c>
      <c r="E3378" s="24" t="s">
        <v>18</v>
      </c>
      <c r="F3378" s="24" t="s">
        <v>19</v>
      </c>
      <c r="G3378" s="24" t="s">
        <v>20</v>
      </c>
      <c r="H3378" s="26">
        <v>18</v>
      </c>
      <c r="I3378" s="24" t="s">
        <v>21</v>
      </c>
      <c r="J3378" s="36">
        <v>45611</v>
      </c>
      <c r="K3378" s="24" t="s">
        <v>22</v>
      </c>
    </row>
    <row r="3379" spans="1:11" x14ac:dyDescent="0.2">
      <c r="A3379" s="27" t="s">
        <v>8272</v>
      </c>
      <c r="B3379" s="27" t="s">
        <v>8273</v>
      </c>
      <c r="C3379" s="27" t="s">
        <v>203</v>
      </c>
      <c r="D3379" s="27" t="s">
        <v>17</v>
      </c>
      <c r="E3379" s="27" t="s">
        <v>18</v>
      </c>
      <c r="F3379" s="27" t="s">
        <v>19</v>
      </c>
      <c r="G3379" s="27" t="s">
        <v>44</v>
      </c>
      <c r="H3379" s="29">
        <v>24</v>
      </c>
      <c r="I3379" s="27" t="s">
        <v>29</v>
      </c>
      <c r="J3379" s="37">
        <v>45623</v>
      </c>
      <c r="K3379" s="27" t="s">
        <v>22</v>
      </c>
    </row>
    <row r="3380" spans="1:11" x14ac:dyDescent="0.2">
      <c r="A3380" s="24" t="s">
        <v>8274</v>
      </c>
      <c r="B3380" s="24" t="s">
        <v>8275</v>
      </c>
      <c r="C3380" s="24" t="s">
        <v>146</v>
      </c>
      <c r="D3380" s="24" t="s">
        <v>17</v>
      </c>
      <c r="E3380" s="24" t="s">
        <v>26</v>
      </c>
      <c r="F3380" s="24" t="s">
        <v>27</v>
      </c>
      <c r="G3380" s="24" t="s">
        <v>28</v>
      </c>
      <c r="H3380" s="26">
        <v>448</v>
      </c>
      <c r="I3380" s="24" t="s">
        <v>29</v>
      </c>
      <c r="J3380" s="36">
        <v>45615</v>
      </c>
      <c r="K3380" s="24" t="s">
        <v>22</v>
      </c>
    </row>
    <row r="3381" spans="1:11" x14ac:dyDescent="0.2">
      <c r="A3381" s="27" t="s">
        <v>8276</v>
      </c>
      <c r="B3381" s="27" t="s">
        <v>8277</v>
      </c>
      <c r="C3381" s="27" t="s">
        <v>2779</v>
      </c>
      <c r="D3381" s="27" t="s">
        <v>17</v>
      </c>
      <c r="E3381" s="27" t="s">
        <v>26</v>
      </c>
      <c r="F3381" s="27" t="s">
        <v>27</v>
      </c>
      <c r="G3381" s="27" t="s">
        <v>28</v>
      </c>
      <c r="H3381" s="29">
        <v>80</v>
      </c>
      <c r="I3381" s="27" t="s">
        <v>29</v>
      </c>
      <c r="J3381" s="37">
        <v>45623</v>
      </c>
      <c r="K3381" s="27" t="s">
        <v>22</v>
      </c>
    </row>
    <row r="3382" spans="1:11" x14ac:dyDescent="0.2">
      <c r="A3382" s="24" t="s">
        <v>8278</v>
      </c>
      <c r="B3382" s="24" t="s">
        <v>8279</v>
      </c>
      <c r="C3382" s="24" t="s">
        <v>8280</v>
      </c>
      <c r="D3382" s="24" t="s">
        <v>17</v>
      </c>
      <c r="E3382" s="24" t="s">
        <v>48</v>
      </c>
      <c r="F3382" s="24" t="s">
        <v>49</v>
      </c>
      <c r="G3382" s="24" t="s">
        <v>28</v>
      </c>
      <c r="H3382" s="26">
        <v>200</v>
      </c>
      <c r="I3382" s="24" t="s">
        <v>29</v>
      </c>
      <c r="J3382" s="36">
        <v>45601</v>
      </c>
      <c r="K3382" s="24" t="s">
        <v>22</v>
      </c>
    </row>
    <row r="3383" spans="1:11" x14ac:dyDescent="0.2">
      <c r="A3383" s="27" t="s">
        <v>8281</v>
      </c>
      <c r="B3383" s="27" t="s">
        <v>8282</v>
      </c>
      <c r="C3383" s="27" t="s">
        <v>6425</v>
      </c>
      <c r="D3383" s="27" t="s">
        <v>17</v>
      </c>
      <c r="E3383" s="27" t="s">
        <v>18</v>
      </c>
      <c r="F3383" s="27" t="s">
        <v>19</v>
      </c>
      <c r="G3383" s="27" t="s">
        <v>28</v>
      </c>
      <c r="H3383" s="29">
        <v>18</v>
      </c>
      <c r="I3383" s="27" t="s">
        <v>29</v>
      </c>
      <c r="J3383" s="37">
        <v>45626</v>
      </c>
      <c r="K3383" s="27" t="s">
        <v>22</v>
      </c>
    </row>
    <row r="3384" spans="1:11" x14ac:dyDescent="0.2">
      <c r="A3384" s="24" t="s">
        <v>8283</v>
      </c>
      <c r="B3384" s="24" t="s">
        <v>8284</v>
      </c>
      <c r="C3384" s="24" t="s">
        <v>8285</v>
      </c>
      <c r="D3384" s="24" t="s">
        <v>17</v>
      </c>
      <c r="E3384" s="24" t="s">
        <v>18</v>
      </c>
      <c r="F3384" s="24" t="s">
        <v>19</v>
      </c>
      <c r="G3384" s="24" t="s">
        <v>28</v>
      </c>
      <c r="H3384" s="26">
        <v>9</v>
      </c>
      <c r="I3384" s="24" t="s">
        <v>29</v>
      </c>
      <c r="J3384" s="36">
        <v>45617</v>
      </c>
      <c r="K3384" s="24" t="s">
        <v>22</v>
      </c>
    </row>
    <row r="3385" spans="1:11" x14ac:dyDescent="0.2">
      <c r="A3385" s="27" t="s">
        <v>8286</v>
      </c>
      <c r="B3385" s="27" t="s">
        <v>8287</v>
      </c>
      <c r="C3385" s="27" t="s">
        <v>208</v>
      </c>
      <c r="D3385" s="27" t="s">
        <v>17</v>
      </c>
      <c r="E3385" s="27" t="s">
        <v>42</v>
      </c>
      <c r="F3385" s="27" t="s">
        <v>43</v>
      </c>
      <c r="G3385" s="27" t="s">
        <v>44</v>
      </c>
      <c r="H3385" s="29">
        <v>138</v>
      </c>
      <c r="I3385" s="27" t="s">
        <v>21</v>
      </c>
      <c r="J3385" s="37">
        <v>45621</v>
      </c>
      <c r="K3385" s="27" t="s">
        <v>22</v>
      </c>
    </row>
    <row r="3386" spans="1:11" x14ac:dyDescent="0.2">
      <c r="A3386" s="24" t="s">
        <v>8288</v>
      </c>
      <c r="B3386" s="24" t="s">
        <v>8289</v>
      </c>
      <c r="C3386" s="24" t="s">
        <v>7864</v>
      </c>
      <c r="D3386" s="24" t="s">
        <v>17</v>
      </c>
      <c r="E3386" s="24" t="s">
        <v>42</v>
      </c>
      <c r="F3386" s="24" t="s">
        <v>43</v>
      </c>
      <c r="G3386" s="24" t="s">
        <v>28</v>
      </c>
      <c r="H3386" s="26">
        <v>537</v>
      </c>
      <c r="I3386" s="24" t="s">
        <v>29</v>
      </c>
      <c r="J3386" s="36">
        <v>45625</v>
      </c>
      <c r="K3386" s="24" t="s">
        <v>22</v>
      </c>
    </row>
    <row r="3387" spans="1:11" x14ac:dyDescent="0.2">
      <c r="A3387" s="27" t="s">
        <v>8290</v>
      </c>
      <c r="B3387" s="27" t="s">
        <v>8291</v>
      </c>
      <c r="C3387" s="27" t="s">
        <v>213</v>
      </c>
      <c r="D3387" s="27" t="s">
        <v>17</v>
      </c>
      <c r="E3387" s="27" t="s">
        <v>18</v>
      </c>
      <c r="F3387" s="27" t="s">
        <v>19</v>
      </c>
      <c r="G3387" s="27" t="s">
        <v>20</v>
      </c>
      <c r="H3387" s="29">
        <v>20</v>
      </c>
      <c r="I3387" s="27" t="s">
        <v>21</v>
      </c>
      <c r="J3387" s="37">
        <v>45618</v>
      </c>
      <c r="K3387" s="27" t="s">
        <v>22</v>
      </c>
    </row>
    <row r="3388" spans="1:11" x14ac:dyDescent="0.2">
      <c r="A3388" s="24" t="s">
        <v>8292</v>
      </c>
      <c r="B3388" s="24" t="s">
        <v>8293</v>
      </c>
      <c r="C3388" s="24" t="s">
        <v>8294</v>
      </c>
      <c r="D3388" s="24" t="s">
        <v>17</v>
      </c>
      <c r="E3388" s="24" t="s">
        <v>18</v>
      </c>
      <c r="F3388" s="24" t="s">
        <v>19</v>
      </c>
      <c r="G3388" s="24" t="s">
        <v>116</v>
      </c>
      <c r="H3388" s="26">
        <v>0</v>
      </c>
      <c r="I3388" s="24" t="s">
        <v>21</v>
      </c>
      <c r="J3388" s="36">
        <v>45611</v>
      </c>
      <c r="K3388" s="24" t="s">
        <v>22</v>
      </c>
    </row>
    <row r="3389" spans="1:11" x14ac:dyDescent="0.2">
      <c r="A3389" s="27" t="s">
        <v>8295</v>
      </c>
      <c r="B3389" s="27" t="s">
        <v>8296</v>
      </c>
      <c r="C3389" s="27" t="s">
        <v>7824</v>
      </c>
      <c r="D3389" s="27" t="s">
        <v>17</v>
      </c>
      <c r="E3389" s="27" t="s">
        <v>26</v>
      </c>
      <c r="F3389" s="27" t="s">
        <v>27</v>
      </c>
      <c r="G3389" s="27" t="s">
        <v>28</v>
      </c>
      <c r="H3389" s="29">
        <v>12</v>
      </c>
      <c r="I3389" s="27" t="s">
        <v>29</v>
      </c>
      <c r="J3389" s="37">
        <v>45616</v>
      </c>
      <c r="K3389" s="27" t="s">
        <v>22</v>
      </c>
    </row>
    <row r="3390" spans="1:11" x14ac:dyDescent="0.2">
      <c r="A3390" s="24" t="s">
        <v>8297</v>
      </c>
      <c r="B3390" s="24" t="s">
        <v>8298</v>
      </c>
      <c r="C3390" s="24" t="s">
        <v>154</v>
      </c>
      <c r="D3390" s="24" t="s">
        <v>17</v>
      </c>
      <c r="E3390" s="24" t="s">
        <v>48</v>
      </c>
      <c r="F3390" s="24" t="s">
        <v>49</v>
      </c>
      <c r="G3390" s="24" t="s">
        <v>28</v>
      </c>
      <c r="H3390" s="26">
        <v>54</v>
      </c>
      <c r="I3390" s="24" t="s">
        <v>29</v>
      </c>
      <c r="J3390" s="36">
        <v>45618</v>
      </c>
      <c r="K3390" s="24" t="s">
        <v>22</v>
      </c>
    </row>
    <row r="3391" spans="1:11" x14ac:dyDescent="0.2">
      <c r="A3391" s="27" t="s">
        <v>8299</v>
      </c>
      <c r="B3391" s="27" t="s">
        <v>8300</v>
      </c>
      <c r="C3391" s="27" t="s">
        <v>1967</v>
      </c>
      <c r="D3391" s="27" t="s">
        <v>17</v>
      </c>
      <c r="E3391" s="27" t="s">
        <v>18</v>
      </c>
      <c r="F3391" s="27" t="s">
        <v>19</v>
      </c>
      <c r="G3391" s="27" t="s">
        <v>20</v>
      </c>
      <c r="H3391" s="29">
        <v>16</v>
      </c>
      <c r="I3391" s="27" t="s">
        <v>21</v>
      </c>
      <c r="J3391" s="37">
        <v>45604</v>
      </c>
      <c r="K3391" s="27" t="s">
        <v>22</v>
      </c>
    </row>
    <row r="3392" spans="1:11" x14ac:dyDescent="0.2">
      <c r="A3392" s="24" t="s">
        <v>8301</v>
      </c>
      <c r="B3392" s="24" t="s">
        <v>8302</v>
      </c>
      <c r="C3392" s="24" t="s">
        <v>2779</v>
      </c>
      <c r="D3392" s="24" t="s">
        <v>17</v>
      </c>
      <c r="E3392" s="24" t="s">
        <v>48</v>
      </c>
      <c r="F3392" s="24" t="s">
        <v>49</v>
      </c>
      <c r="G3392" s="24" t="s">
        <v>44</v>
      </c>
      <c r="H3392" s="26">
        <v>94</v>
      </c>
      <c r="I3392" s="24" t="s">
        <v>29</v>
      </c>
      <c r="J3392" s="36">
        <v>45610</v>
      </c>
      <c r="K3392" s="24" t="s">
        <v>22</v>
      </c>
    </row>
    <row r="3393" spans="1:11" x14ac:dyDescent="0.2">
      <c r="A3393" s="27" t="s">
        <v>8303</v>
      </c>
      <c r="B3393" s="27" t="s">
        <v>8304</v>
      </c>
      <c r="C3393" s="27" t="s">
        <v>85</v>
      </c>
      <c r="D3393" s="27" t="s">
        <v>17</v>
      </c>
      <c r="E3393" s="27" t="s">
        <v>18</v>
      </c>
      <c r="F3393" s="27" t="s">
        <v>19</v>
      </c>
      <c r="G3393" s="27" t="s">
        <v>20</v>
      </c>
      <c r="H3393" s="29">
        <v>12</v>
      </c>
      <c r="I3393" s="27" t="s">
        <v>21</v>
      </c>
      <c r="J3393" s="37">
        <v>45609</v>
      </c>
      <c r="K3393" s="27" t="s">
        <v>22</v>
      </c>
    </row>
    <row r="3394" spans="1:11" x14ac:dyDescent="0.2">
      <c r="A3394" s="24" t="s">
        <v>8305</v>
      </c>
      <c r="B3394" s="24" t="s">
        <v>8306</v>
      </c>
      <c r="C3394" s="24" t="s">
        <v>687</v>
      </c>
      <c r="D3394" s="24" t="s">
        <v>17</v>
      </c>
      <c r="E3394" s="24" t="s">
        <v>42</v>
      </c>
      <c r="F3394" s="24" t="s">
        <v>43</v>
      </c>
      <c r="G3394" s="24" t="s">
        <v>44</v>
      </c>
      <c r="H3394" s="26">
        <v>1023</v>
      </c>
      <c r="I3394" s="24" t="s">
        <v>21</v>
      </c>
      <c r="J3394" s="36">
        <v>45601</v>
      </c>
      <c r="K3394" s="24" t="s">
        <v>22</v>
      </c>
    </row>
    <row r="3395" spans="1:11" x14ac:dyDescent="0.2">
      <c r="A3395" s="27" t="s">
        <v>8307</v>
      </c>
      <c r="B3395" s="27" t="s">
        <v>8308</v>
      </c>
      <c r="C3395" s="27" t="s">
        <v>213</v>
      </c>
      <c r="D3395" s="27" t="s">
        <v>17</v>
      </c>
      <c r="E3395" s="27" t="s">
        <v>18</v>
      </c>
      <c r="F3395" s="27" t="s">
        <v>19</v>
      </c>
      <c r="G3395" s="27" t="s">
        <v>20</v>
      </c>
      <c r="H3395" s="29">
        <v>52</v>
      </c>
      <c r="I3395" s="27" t="s">
        <v>21</v>
      </c>
      <c r="J3395" s="37">
        <v>45618</v>
      </c>
      <c r="K3395" s="27" t="s">
        <v>22</v>
      </c>
    </row>
    <row r="3396" spans="1:11" x14ac:dyDescent="0.2">
      <c r="A3396" s="24" t="s">
        <v>8309</v>
      </c>
      <c r="B3396" s="24" t="s">
        <v>8310</v>
      </c>
      <c r="C3396" s="24" t="s">
        <v>301</v>
      </c>
      <c r="D3396" s="24" t="s">
        <v>17</v>
      </c>
      <c r="E3396" s="24" t="s">
        <v>42</v>
      </c>
      <c r="F3396" s="24" t="s">
        <v>43</v>
      </c>
      <c r="G3396" s="24" t="s">
        <v>28</v>
      </c>
      <c r="H3396" s="26">
        <v>39</v>
      </c>
      <c r="I3396" s="24" t="s">
        <v>29</v>
      </c>
      <c r="J3396" s="36">
        <v>45607</v>
      </c>
      <c r="K3396" s="24" t="s">
        <v>22</v>
      </c>
    </row>
    <row r="3397" spans="1:11" x14ac:dyDescent="0.2">
      <c r="A3397" s="27" t="s">
        <v>8311</v>
      </c>
      <c r="B3397" s="27" t="s">
        <v>8312</v>
      </c>
      <c r="C3397" s="27" t="s">
        <v>8313</v>
      </c>
      <c r="D3397" s="27" t="s">
        <v>17</v>
      </c>
      <c r="E3397" s="27" t="s">
        <v>48</v>
      </c>
      <c r="F3397" s="27" t="s">
        <v>49</v>
      </c>
      <c r="G3397" s="27" t="s">
        <v>28</v>
      </c>
      <c r="H3397" s="29">
        <v>90</v>
      </c>
      <c r="I3397" s="27" t="s">
        <v>29</v>
      </c>
      <c r="J3397" s="37">
        <v>45605</v>
      </c>
      <c r="K3397" s="27" t="s">
        <v>22</v>
      </c>
    </row>
    <row r="3398" spans="1:11" x14ac:dyDescent="0.2">
      <c r="A3398" s="24" t="s">
        <v>8314</v>
      </c>
      <c r="B3398" s="24" t="s">
        <v>8315</v>
      </c>
      <c r="C3398" s="24" t="s">
        <v>1110</v>
      </c>
      <c r="D3398" s="24" t="s">
        <v>17</v>
      </c>
      <c r="E3398" s="24" t="s">
        <v>48</v>
      </c>
      <c r="F3398" s="24" t="s">
        <v>49</v>
      </c>
      <c r="G3398" s="24" t="s">
        <v>116</v>
      </c>
      <c r="H3398" s="26">
        <v>0</v>
      </c>
      <c r="I3398" s="24" t="s">
        <v>21</v>
      </c>
      <c r="J3398" s="36">
        <v>45626</v>
      </c>
      <c r="K3398" s="24" t="s">
        <v>22</v>
      </c>
    </row>
    <row r="3399" spans="1:11" x14ac:dyDescent="0.2">
      <c r="A3399" s="27" t="s">
        <v>8316</v>
      </c>
      <c r="B3399" s="27" t="s">
        <v>8317</v>
      </c>
      <c r="C3399" s="27" t="s">
        <v>8318</v>
      </c>
      <c r="D3399" s="27" t="s">
        <v>17</v>
      </c>
      <c r="E3399" s="27" t="s">
        <v>48</v>
      </c>
      <c r="F3399" s="27" t="s">
        <v>49</v>
      </c>
      <c r="G3399" s="27" t="s">
        <v>28</v>
      </c>
      <c r="H3399" s="29">
        <v>42</v>
      </c>
      <c r="I3399" s="27" t="s">
        <v>29</v>
      </c>
      <c r="J3399" s="37">
        <v>45614</v>
      </c>
      <c r="K3399" s="27" t="s">
        <v>22</v>
      </c>
    </row>
    <row r="3400" spans="1:11" x14ac:dyDescent="0.2">
      <c r="A3400" s="24" t="s">
        <v>8319</v>
      </c>
      <c r="B3400" s="24" t="s">
        <v>8320</v>
      </c>
      <c r="C3400" s="24" t="s">
        <v>618</v>
      </c>
      <c r="D3400" s="24" t="s">
        <v>17</v>
      </c>
      <c r="E3400" s="24" t="s">
        <v>42</v>
      </c>
      <c r="F3400" s="24" t="s">
        <v>43</v>
      </c>
      <c r="G3400" s="24" t="s">
        <v>217</v>
      </c>
      <c r="H3400" s="26">
        <v>375</v>
      </c>
      <c r="I3400" s="24" t="s">
        <v>29</v>
      </c>
      <c r="J3400" s="36">
        <v>45600</v>
      </c>
      <c r="K3400" s="24" t="s">
        <v>22</v>
      </c>
    </row>
    <row r="3401" spans="1:11" x14ac:dyDescent="0.2">
      <c r="A3401" s="27" t="s">
        <v>8321</v>
      </c>
      <c r="B3401" s="27" t="s">
        <v>8322</v>
      </c>
      <c r="C3401" s="27" t="s">
        <v>8323</v>
      </c>
      <c r="D3401" s="27" t="s">
        <v>17</v>
      </c>
      <c r="E3401" s="27" t="s">
        <v>18</v>
      </c>
      <c r="F3401" s="27" t="s">
        <v>19</v>
      </c>
      <c r="G3401" s="27" t="s">
        <v>28</v>
      </c>
      <c r="H3401" s="29">
        <v>180</v>
      </c>
      <c r="I3401" s="27" t="s">
        <v>29</v>
      </c>
      <c r="J3401" s="37">
        <v>45606</v>
      </c>
      <c r="K3401" s="27" t="s">
        <v>22</v>
      </c>
    </row>
    <row r="3402" spans="1:11" x14ac:dyDescent="0.2">
      <c r="A3402" s="24" t="s">
        <v>8324</v>
      </c>
      <c r="B3402" s="24" t="s">
        <v>8325</v>
      </c>
      <c r="C3402" s="24" t="s">
        <v>810</v>
      </c>
      <c r="D3402" s="24" t="s">
        <v>17</v>
      </c>
      <c r="E3402" s="24" t="s">
        <v>48</v>
      </c>
      <c r="F3402" s="24" t="s">
        <v>49</v>
      </c>
      <c r="G3402" s="24" t="s">
        <v>20</v>
      </c>
      <c r="H3402" s="26">
        <v>72</v>
      </c>
      <c r="I3402" s="24" t="s">
        <v>21</v>
      </c>
      <c r="J3402" s="36">
        <v>45626</v>
      </c>
      <c r="K3402" s="24" t="s">
        <v>22</v>
      </c>
    </row>
    <row r="3403" spans="1:11" x14ac:dyDescent="0.2">
      <c r="A3403" s="27" t="s">
        <v>8326</v>
      </c>
      <c r="B3403" s="27" t="s">
        <v>8327</v>
      </c>
      <c r="C3403" s="27" t="s">
        <v>1017</v>
      </c>
      <c r="D3403" s="27" t="s">
        <v>17</v>
      </c>
      <c r="E3403" s="27" t="s">
        <v>26</v>
      </c>
      <c r="F3403" s="27" t="s">
        <v>27</v>
      </c>
      <c r="G3403" s="27" t="s">
        <v>28</v>
      </c>
      <c r="H3403" s="29">
        <v>115</v>
      </c>
      <c r="I3403" s="27" t="s">
        <v>29</v>
      </c>
      <c r="J3403" s="37">
        <v>45623</v>
      </c>
      <c r="K3403" s="27" t="s">
        <v>22</v>
      </c>
    </row>
    <row r="3404" spans="1:11" x14ac:dyDescent="0.2">
      <c r="A3404" s="24" t="s">
        <v>8328</v>
      </c>
      <c r="B3404" s="24" t="s">
        <v>8329</v>
      </c>
      <c r="C3404" s="24" t="s">
        <v>1523</v>
      </c>
      <c r="D3404" s="24" t="s">
        <v>17</v>
      </c>
      <c r="E3404" s="24" t="s">
        <v>18</v>
      </c>
      <c r="F3404" s="24" t="s">
        <v>19</v>
      </c>
      <c r="G3404" s="24" t="s">
        <v>28</v>
      </c>
      <c r="H3404" s="26">
        <v>48</v>
      </c>
      <c r="I3404" s="24" t="s">
        <v>29</v>
      </c>
      <c r="J3404" s="36">
        <v>45604</v>
      </c>
      <c r="K3404" s="24" t="s">
        <v>22</v>
      </c>
    </row>
    <row r="3405" spans="1:11" x14ac:dyDescent="0.2">
      <c r="A3405" s="27" t="s">
        <v>8330</v>
      </c>
      <c r="B3405" s="27" t="s">
        <v>8331</v>
      </c>
      <c r="C3405" s="27" t="s">
        <v>1687</v>
      </c>
      <c r="D3405" s="27" t="s">
        <v>17</v>
      </c>
      <c r="E3405" s="27" t="s">
        <v>42</v>
      </c>
      <c r="F3405" s="27" t="s">
        <v>43</v>
      </c>
      <c r="G3405" s="27" t="s">
        <v>59</v>
      </c>
      <c r="H3405" s="29">
        <v>139</v>
      </c>
      <c r="I3405" s="27" t="s">
        <v>21</v>
      </c>
      <c r="J3405" s="37">
        <v>45617</v>
      </c>
      <c r="K3405" s="27" t="s">
        <v>22</v>
      </c>
    </row>
    <row r="3406" spans="1:11" x14ac:dyDescent="0.2">
      <c r="A3406" s="24" t="s">
        <v>8332</v>
      </c>
      <c r="B3406" s="24" t="s">
        <v>8333</v>
      </c>
      <c r="C3406" s="24" t="s">
        <v>55</v>
      </c>
      <c r="D3406" s="24" t="s">
        <v>17</v>
      </c>
      <c r="E3406" s="24" t="s">
        <v>48</v>
      </c>
      <c r="F3406" s="24" t="s">
        <v>49</v>
      </c>
      <c r="G3406" s="24" t="s">
        <v>28</v>
      </c>
      <c r="H3406" s="26">
        <v>120</v>
      </c>
      <c r="I3406" s="24" t="s">
        <v>29</v>
      </c>
      <c r="J3406" s="36">
        <v>45623</v>
      </c>
      <c r="K3406" s="24" t="s">
        <v>22</v>
      </c>
    </row>
    <row r="3407" spans="1:11" x14ac:dyDescent="0.2">
      <c r="A3407" s="27" t="s">
        <v>8334</v>
      </c>
      <c r="B3407" s="27" t="s">
        <v>8335</v>
      </c>
      <c r="C3407" s="27" t="s">
        <v>8336</v>
      </c>
      <c r="D3407" s="27" t="s">
        <v>17</v>
      </c>
      <c r="E3407" s="27" t="s">
        <v>26</v>
      </c>
      <c r="F3407" s="27" t="s">
        <v>27</v>
      </c>
      <c r="G3407" s="27" t="s">
        <v>28</v>
      </c>
      <c r="H3407" s="29">
        <v>10</v>
      </c>
      <c r="I3407" s="27" t="s">
        <v>29</v>
      </c>
      <c r="J3407" s="37">
        <v>45601</v>
      </c>
      <c r="K3407" s="27" t="s">
        <v>22</v>
      </c>
    </row>
    <row r="3408" spans="1:11" x14ac:dyDescent="0.2">
      <c r="A3408" s="24" t="s">
        <v>8337</v>
      </c>
      <c r="B3408" s="24" t="s">
        <v>8338</v>
      </c>
      <c r="C3408" s="24" t="s">
        <v>512</v>
      </c>
      <c r="D3408" s="24" t="s">
        <v>17</v>
      </c>
      <c r="E3408" s="24" t="s">
        <v>18</v>
      </c>
      <c r="F3408" s="24" t="s">
        <v>19</v>
      </c>
      <c r="G3408" s="24" t="s">
        <v>28</v>
      </c>
      <c r="H3408" s="26">
        <v>18</v>
      </c>
      <c r="I3408" s="24" t="s">
        <v>29</v>
      </c>
      <c r="J3408" s="36">
        <v>45607</v>
      </c>
      <c r="K3408" s="24" t="s">
        <v>22</v>
      </c>
    </row>
    <row r="3409" spans="1:11" x14ac:dyDescent="0.2">
      <c r="A3409" s="27" t="s">
        <v>8339</v>
      </c>
      <c r="B3409" s="27" t="s">
        <v>8340</v>
      </c>
      <c r="C3409" s="27" t="s">
        <v>1523</v>
      </c>
      <c r="D3409" s="27" t="s">
        <v>17</v>
      </c>
      <c r="E3409" s="27" t="s">
        <v>48</v>
      </c>
      <c r="F3409" s="27" t="s">
        <v>49</v>
      </c>
      <c r="G3409" s="27" t="s">
        <v>44</v>
      </c>
      <c r="H3409" s="29">
        <v>62</v>
      </c>
      <c r="I3409" s="27" t="s">
        <v>21</v>
      </c>
      <c r="J3409" s="37">
        <v>45607</v>
      </c>
      <c r="K3409" s="27" t="s">
        <v>22</v>
      </c>
    </row>
    <row r="3410" spans="1:11" x14ac:dyDescent="0.2">
      <c r="A3410" s="24" t="s">
        <v>8341</v>
      </c>
      <c r="B3410" s="24" t="s">
        <v>8342</v>
      </c>
      <c r="C3410" s="24" t="s">
        <v>423</v>
      </c>
      <c r="D3410" s="24" t="s">
        <v>17</v>
      </c>
      <c r="E3410" s="24" t="s">
        <v>18</v>
      </c>
      <c r="F3410" s="24" t="s">
        <v>19</v>
      </c>
      <c r="G3410" s="24" t="s">
        <v>20</v>
      </c>
      <c r="H3410" s="26">
        <v>40</v>
      </c>
      <c r="I3410" s="24" t="s">
        <v>21</v>
      </c>
      <c r="J3410" s="36">
        <v>45623</v>
      </c>
      <c r="K3410" s="24" t="s">
        <v>22</v>
      </c>
    </row>
    <row r="3411" spans="1:11" x14ac:dyDescent="0.2">
      <c r="A3411" s="27" t="s">
        <v>8343</v>
      </c>
      <c r="B3411" s="27" t="s">
        <v>8344</v>
      </c>
      <c r="C3411" s="27" t="s">
        <v>3048</v>
      </c>
      <c r="D3411" s="27" t="s">
        <v>17</v>
      </c>
      <c r="E3411" s="27" t="s">
        <v>18</v>
      </c>
      <c r="F3411" s="27" t="s">
        <v>19</v>
      </c>
      <c r="G3411" s="27" t="s">
        <v>20</v>
      </c>
      <c r="H3411" s="29">
        <v>6</v>
      </c>
      <c r="I3411" s="27" t="s">
        <v>21</v>
      </c>
      <c r="J3411" s="37">
        <v>45622</v>
      </c>
      <c r="K3411" s="27" t="s">
        <v>22</v>
      </c>
    </row>
    <row r="3412" spans="1:11" x14ac:dyDescent="0.2">
      <c r="A3412" s="24" t="s">
        <v>8345</v>
      </c>
      <c r="B3412" s="24" t="s">
        <v>8346</v>
      </c>
      <c r="C3412" s="24" t="s">
        <v>8347</v>
      </c>
      <c r="D3412" s="24" t="s">
        <v>17</v>
      </c>
      <c r="E3412" s="24" t="s">
        <v>18</v>
      </c>
      <c r="F3412" s="24" t="s">
        <v>19</v>
      </c>
      <c r="G3412" s="24" t="s">
        <v>217</v>
      </c>
      <c r="H3412" s="26">
        <v>100</v>
      </c>
      <c r="I3412" s="24" t="s">
        <v>29</v>
      </c>
      <c r="J3412" s="36">
        <v>45597</v>
      </c>
      <c r="K3412" s="24" t="s">
        <v>22</v>
      </c>
    </row>
    <row r="3413" spans="1:11" x14ac:dyDescent="0.2">
      <c r="A3413" s="27" t="s">
        <v>8348</v>
      </c>
      <c r="B3413" s="27" t="s">
        <v>8349</v>
      </c>
      <c r="C3413" s="27" t="s">
        <v>853</v>
      </c>
      <c r="D3413" s="27" t="s">
        <v>17</v>
      </c>
      <c r="E3413" s="27" t="s">
        <v>18</v>
      </c>
      <c r="F3413" s="27" t="s">
        <v>19</v>
      </c>
      <c r="G3413" s="27" t="s">
        <v>20</v>
      </c>
      <c r="H3413" s="29">
        <v>25</v>
      </c>
      <c r="I3413" s="27" t="s">
        <v>21</v>
      </c>
      <c r="J3413" s="37">
        <v>45601</v>
      </c>
      <c r="K3413" s="27" t="s">
        <v>22</v>
      </c>
    </row>
    <row r="3414" spans="1:11" x14ac:dyDescent="0.2">
      <c r="A3414" s="24" t="s">
        <v>8350</v>
      </c>
      <c r="B3414" s="24" t="s">
        <v>8351</v>
      </c>
      <c r="C3414" s="24" t="s">
        <v>1535</v>
      </c>
      <c r="D3414" s="24" t="s">
        <v>17</v>
      </c>
      <c r="E3414" s="24" t="s">
        <v>42</v>
      </c>
      <c r="F3414" s="24" t="s">
        <v>43</v>
      </c>
      <c r="G3414" s="24" t="s">
        <v>28</v>
      </c>
      <c r="H3414" s="26">
        <v>40</v>
      </c>
      <c r="I3414" s="24" t="s">
        <v>29</v>
      </c>
      <c r="J3414" s="36">
        <v>45607</v>
      </c>
      <c r="K3414" s="24" t="s">
        <v>22</v>
      </c>
    </row>
    <row r="3415" spans="1:11" x14ac:dyDescent="0.2">
      <c r="A3415" s="27" t="s">
        <v>8352</v>
      </c>
      <c r="B3415" s="27" t="s">
        <v>8353</v>
      </c>
      <c r="C3415" s="27" t="s">
        <v>8354</v>
      </c>
      <c r="D3415" s="27" t="s">
        <v>17</v>
      </c>
      <c r="E3415" s="27" t="s">
        <v>26</v>
      </c>
      <c r="F3415" s="27" t="s">
        <v>27</v>
      </c>
      <c r="G3415" s="27" t="s">
        <v>28</v>
      </c>
      <c r="H3415" s="29">
        <v>10</v>
      </c>
      <c r="I3415" s="27" t="s">
        <v>29</v>
      </c>
      <c r="J3415" s="37">
        <v>45610</v>
      </c>
      <c r="K3415" s="27" t="s">
        <v>22</v>
      </c>
    </row>
    <row r="3416" spans="1:11" x14ac:dyDescent="0.2">
      <c r="A3416" s="24" t="s">
        <v>8355</v>
      </c>
      <c r="B3416" s="24" t="s">
        <v>8356</v>
      </c>
      <c r="C3416" s="24" t="s">
        <v>8357</v>
      </c>
      <c r="D3416" s="24" t="s">
        <v>17</v>
      </c>
      <c r="E3416" s="24" t="s">
        <v>26</v>
      </c>
      <c r="F3416" s="24" t="s">
        <v>27</v>
      </c>
      <c r="G3416" s="24" t="s">
        <v>116</v>
      </c>
      <c r="H3416" s="26">
        <v>0</v>
      </c>
      <c r="I3416" s="24" t="s">
        <v>21</v>
      </c>
      <c r="J3416" s="36">
        <v>45597</v>
      </c>
      <c r="K3416" s="24" t="s">
        <v>22</v>
      </c>
    </row>
    <row r="3417" spans="1:11" x14ac:dyDescent="0.2">
      <c r="A3417" s="27" t="s">
        <v>8358</v>
      </c>
      <c r="B3417" s="27" t="s">
        <v>8359</v>
      </c>
      <c r="C3417" s="27" t="s">
        <v>1346</v>
      </c>
      <c r="D3417" s="27" t="s">
        <v>17</v>
      </c>
      <c r="E3417" s="27" t="s">
        <v>48</v>
      </c>
      <c r="F3417" s="27" t="s">
        <v>49</v>
      </c>
      <c r="G3417" s="27" t="s">
        <v>28</v>
      </c>
      <c r="H3417" s="29">
        <v>54</v>
      </c>
      <c r="I3417" s="27" t="s">
        <v>29</v>
      </c>
      <c r="J3417" s="37">
        <v>45621</v>
      </c>
      <c r="K3417" s="27" t="s">
        <v>22</v>
      </c>
    </row>
    <row r="3418" spans="1:11" x14ac:dyDescent="0.2">
      <c r="A3418" s="24" t="s">
        <v>8360</v>
      </c>
      <c r="B3418" s="24" t="s">
        <v>8361</v>
      </c>
      <c r="C3418" s="24" t="s">
        <v>1804</v>
      </c>
      <c r="D3418" s="24" t="s">
        <v>17</v>
      </c>
      <c r="E3418" s="24" t="s">
        <v>18</v>
      </c>
      <c r="F3418" s="24" t="s">
        <v>19</v>
      </c>
      <c r="G3418" s="24" t="s">
        <v>44</v>
      </c>
      <c r="H3418" s="26">
        <v>36</v>
      </c>
      <c r="I3418" s="24" t="s">
        <v>29</v>
      </c>
      <c r="J3418" s="36">
        <v>45600</v>
      </c>
      <c r="K3418" s="24" t="s">
        <v>22</v>
      </c>
    </row>
    <row r="3419" spans="1:11" x14ac:dyDescent="0.2">
      <c r="A3419" s="27" t="s">
        <v>8362</v>
      </c>
      <c r="B3419" s="27" t="s">
        <v>8363</v>
      </c>
      <c r="C3419" s="27" t="s">
        <v>4694</v>
      </c>
      <c r="D3419" s="27" t="s">
        <v>17</v>
      </c>
      <c r="E3419" s="27" t="s">
        <v>26</v>
      </c>
      <c r="F3419" s="27" t="s">
        <v>27</v>
      </c>
      <c r="G3419" s="27" t="s">
        <v>28</v>
      </c>
      <c r="H3419" s="29">
        <v>144</v>
      </c>
      <c r="I3419" s="27" t="s">
        <v>29</v>
      </c>
      <c r="J3419" s="37">
        <v>45600</v>
      </c>
      <c r="K3419" s="27" t="s">
        <v>22</v>
      </c>
    </row>
    <row r="3420" spans="1:11" x14ac:dyDescent="0.2">
      <c r="A3420" s="24" t="s">
        <v>8364</v>
      </c>
      <c r="B3420" s="24" t="s">
        <v>8365</v>
      </c>
      <c r="C3420" s="24" t="s">
        <v>5647</v>
      </c>
      <c r="D3420" s="24" t="s">
        <v>17</v>
      </c>
      <c r="E3420" s="24" t="s">
        <v>26</v>
      </c>
      <c r="F3420" s="24" t="s">
        <v>27</v>
      </c>
      <c r="G3420" s="24" t="s">
        <v>28</v>
      </c>
      <c r="H3420" s="26">
        <v>334</v>
      </c>
      <c r="I3420" s="24" t="s">
        <v>29</v>
      </c>
      <c r="J3420" s="36">
        <v>45618</v>
      </c>
      <c r="K3420" s="24" t="s">
        <v>22</v>
      </c>
    </row>
    <row r="3421" spans="1:11" x14ac:dyDescent="0.2">
      <c r="A3421" s="27" t="s">
        <v>8366</v>
      </c>
      <c r="B3421" s="27" t="s">
        <v>8367</v>
      </c>
      <c r="C3421" s="27" t="s">
        <v>8368</v>
      </c>
      <c r="D3421" s="27" t="s">
        <v>17</v>
      </c>
      <c r="E3421" s="27" t="s">
        <v>42</v>
      </c>
      <c r="F3421" s="27" t="s">
        <v>43</v>
      </c>
      <c r="G3421" s="27" t="s">
        <v>28</v>
      </c>
      <c r="H3421" s="29">
        <v>500</v>
      </c>
      <c r="I3421" s="27" t="s">
        <v>29</v>
      </c>
      <c r="J3421" s="37">
        <v>45597</v>
      </c>
      <c r="K3421" s="27" t="s">
        <v>22</v>
      </c>
    </row>
    <row r="3422" spans="1:11" x14ac:dyDescent="0.2">
      <c r="A3422" s="24" t="s">
        <v>8369</v>
      </c>
      <c r="B3422" s="24" t="s">
        <v>8370</v>
      </c>
      <c r="C3422" s="24" t="s">
        <v>8371</v>
      </c>
      <c r="D3422" s="24" t="s">
        <v>17</v>
      </c>
      <c r="E3422" s="24" t="s">
        <v>18</v>
      </c>
      <c r="F3422" s="24" t="s">
        <v>19</v>
      </c>
      <c r="G3422" s="24" t="s">
        <v>217</v>
      </c>
      <c r="H3422" s="26">
        <v>56</v>
      </c>
      <c r="I3422" s="24" t="s">
        <v>29</v>
      </c>
      <c r="J3422" s="36">
        <v>45610</v>
      </c>
      <c r="K3422" s="24" t="s">
        <v>22</v>
      </c>
    </row>
    <row r="3423" spans="1:11" x14ac:dyDescent="0.2">
      <c r="A3423" s="27" t="s">
        <v>8372</v>
      </c>
      <c r="B3423" s="27" t="s">
        <v>8373</v>
      </c>
      <c r="C3423" s="27" t="s">
        <v>8374</v>
      </c>
      <c r="D3423" s="27" t="s">
        <v>17</v>
      </c>
      <c r="E3423" s="27" t="s">
        <v>18</v>
      </c>
      <c r="F3423" s="27" t="s">
        <v>19</v>
      </c>
      <c r="G3423" s="27" t="s">
        <v>28</v>
      </c>
      <c r="H3423" s="29">
        <v>210</v>
      </c>
      <c r="I3423" s="27" t="s">
        <v>29</v>
      </c>
      <c r="J3423" s="37">
        <v>45621</v>
      </c>
      <c r="K3423" s="27" t="s">
        <v>22</v>
      </c>
    </row>
    <row r="3424" spans="1:11" x14ac:dyDescent="0.2">
      <c r="A3424" s="24" t="s">
        <v>8375</v>
      </c>
      <c r="B3424" s="24" t="s">
        <v>8376</v>
      </c>
      <c r="C3424" s="24" t="s">
        <v>97</v>
      </c>
      <c r="D3424" s="24" t="s">
        <v>17</v>
      </c>
      <c r="E3424" s="24" t="s">
        <v>18</v>
      </c>
      <c r="F3424" s="24" t="s">
        <v>19</v>
      </c>
      <c r="G3424" s="24" t="s">
        <v>20</v>
      </c>
      <c r="H3424" s="26">
        <v>16</v>
      </c>
      <c r="I3424" s="24" t="s">
        <v>21</v>
      </c>
      <c r="J3424" s="36">
        <v>45614</v>
      </c>
      <c r="K3424" s="24" t="s">
        <v>22</v>
      </c>
    </row>
    <row r="3425" spans="1:11" x14ac:dyDescent="0.2">
      <c r="A3425" s="27" t="s">
        <v>8377</v>
      </c>
      <c r="B3425" s="27" t="s">
        <v>8378</v>
      </c>
      <c r="C3425" s="27" t="s">
        <v>8379</v>
      </c>
      <c r="D3425" s="27" t="s">
        <v>17</v>
      </c>
      <c r="E3425" s="27" t="s">
        <v>18</v>
      </c>
      <c r="F3425" s="27" t="s">
        <v>19</v>
      </c>
      <c r="G3425" s="27" t="s">
        <v>20</v>
      </c>
      <c r="H3425" s="29">
        <v>34</v>
      </c>
      <c r="I3425" s="27" t="s">
        <v>21</v>
      </c>
      <c r="J3425" s="37">
        <v>45600</v>
      </c>
      <c r="K3425" s="27" t="s">
        <v>22</v>
      </c>
    </row>
    <row r="3426" spans="1:11" x14ac:dyDescent="0.2">
      <c r="A3426" s="24" t="s">
        <v>8380</v>
      </c>
      <c r="B3426" s="24" t="s">
        <v>8381</v>
      </c>
      <c r="C3426" s="24" t="s">
        <v>8382</v>
      </c>
      <c r="D3426" s="24" t="s">
        <v>17</v>
      </c>
      <c r="E3426" s="24" t="s">
        <v>26</v>
      </c>
      <c r="F3426" s="24" t="s">
        <v>27</v>
      </c>
      <c r="G3426" s="24" t="s">
        <v>28</v>
      </c>
      <c r="H3426" s="26">
        <v>152</v>
      </c>
      <c r="I3426" s="24" t="s">
        <v>29</v>
      </c>
      <c r="J3426" s="36">
        <v>45604</v>
      </c>
      <c r="K3426" s="24" t="s">
        <v>22</v>
      </c>
    </row>
    <row r="3427" spans="1:11" x14ac:dyDescent="0.2">
      <c r="A3427" s="27" t="s">
        <v>8383</v>
      </c>
      <c r="B3427" s="27" t="s">
        <v>8384</v>
      </c>
      <c r="C3427" s="27" t="s">
        <v>6436</v>
      </c>
      <c r="D3427" s="27" t="s">
        <v>17</v>
      </c>
      <c r="E3427" s="27" t="s">
        <v>48</v>
      </c>
      <c r="F3427" s="27" t="s">
        <v>49</v>
      </c>
      <c r="G3427" s="27" t="s">
        <v>28</v>
      </c>
      <c r="H3427" s="29">
        <v>25</v>
      </c>
      <c r="I3427" s="27" t="s">
        <v>29</v>
      </c>
      <c r="J3427" s="37">
        <v>45615</v>
      </c>
      <c r="K3427" s="27" t="s">
        <v>22</v>
      </c>
    </row>
    <row r="3428" spans="1:11" x14ac:dyDescent="0.2">
      <c r="A3428" s="24" t="s">
        <v>8385</v>
      </c>
      <c r="B3428" s="24" t="s">
        <v>8386</v>
      </c>
      <c r="C3428" s="24" t="s">
        <v>68</v>
      </c>
      <c r="D3428" s="24" t="s">
        <v>17</v>
      </c>
      <c r="E3428" s="24" t="s">
        <v>42</v>
      </c>
      <c r="F3428" s="24" t="s">
        <v>43</v>
      </c>
      <c r="G3428" s="24" t="s">
        <v>28</v>
      </c>
      <c r="H3428" s="26">
        <v>450</v>
      </c>
      <c r="I3428" s="24" t="s">
        <v>29</v>
      </c>
      <c r="J3428" s="36">
        <v>45602</v>
      </c>
      <c r="K3428" s="24" t="s">
        <v>22</v>
      </c>
    </row>
    <row r="3429" spans="1:11" x14ac:dyDescent="0.2">
      <c r="A3429" s="27" t="s">
        <v>8387</v>
      </c>
      <c r="B3429" s="27" t="s">
        <v>8388</v>
      </c>
      <c r="C3429" s="27" t="s">
        <v>8389</v>
      </c>
      <c r="D3429" s="27" t="s">
        <v>17</v>
      </c>
      <c r="E3429" s="27" t="s">
        <v>18</v>
      </c>
      <c r="F3429" s="27" t="s">
        <v>19</v>
      </c>
      <c r="G3429" s="27" t="s">
        <v>28</v>
      </c>
      <c r="H3429" s="29">
        <v>45</v>
      </c>
      <c r="I3429" s="27" t="s">
        <v>29</v>
      </c>
      <c r="J3429" s="37">
        <v>45610</v>
      </c>
      <c r="K3429" s="27" t="s">
        <v>22</v>
      </c>
    </row>
    <row r="3430" spans="1:11" x14ac:dyDescent="0.2">
      <c r="A3430" s="24" t="s">
        <v>8390</v>
      </c>
      <c r="B3430" s="24" t="s">
        <v>8391</v>
      </c>
      <c r="C3430" s="24" t="s">
        <v>97</v>
      </c>
      <c r="D3430" s="24" t="s">
        <v>17</v>
      </c>
      <c r="E3430" s="24" t="s">
        <v>42</v>
      </c>
      <c r="F3430" s="24" t="s">
        <v>43</v>
      </c>
      <c r="G3430" s="24" t="s">
        <v>28</v>
      </c>
      <c r="H3430" s="26">
        <v>878</v>
      </c>
      <c r="I3430" s="24" t="s">
        <v>29</v>
      </c>
      <c r="J3430" s="36">
        <v>45623</v>
      </c>
      <c r="K3430" s="24" t="s">
        <v>22</v>
      </c>
    </row>
    <row r="3431" spans="1:11" x14ac:dyDescent="0.2">
      <c r="A3431" s="27" t="s">
        <v>8392</v>
      </c>
      <c r="B3431" s="27" t="s">
        <v>8393</v>
      </c>
      <c r="C3431" s="27" t="s">
        <v>8394</v>
      </c>
      <c r="D3431" s="27" t="s">
        <v>17</v>
      </c>
      <c r="E3431" s="27" t="s">
        <v>18</v>
      </c>
      <c r="F3431" s="27" t="s">
        <v>19</v>
      </c>
      <c r="G3431" s="27" t="s">
        <v>28</v>
      </c>
      <c r="H3431" s="29">
        <v>36</v>
      </c>
      <c r="I3431" s="27" t="s">
        <v>29</v>
      </c>
      <c r="J3431" s="37">
        <v>45609</v>
      </c>
      <c r="K3431" s="27" t="s">
        <v>22</v>
      </c>
    </row>
    <row r="3432" spans="1:11" x14ac:dyDescent="0.2">
      <c r="A3432" s="24" t="s">
        <v>8395</v>
      </c>
      <c r="B3432" s="24" t="s">
        <v>8396</v>
      </c>
      <c r="C3432" s="24" t="s">
        <v>3205</v>
      </c>
      <c r="D3432" s="24" t="s">
        <v>17</v>
      </c>
      <c r="E3432" s="24" t="s">
        <v>42</v>
      </c>
      <c r="F3432" s="24" t="s">
        <v>43</v>
      </c>
      <c r="G3432" s="24" t="s">
        <v>28</v>
      </c>
      <c r="H3432" s="26">
        <v>70</v>
      </c>
      <c r="I3432" s="24" t="s">
        <v>29</v>
      </c>
      <c r="J3432" s="36">
        <v>45607</v>
      </c>
      <c r="K3432" s="24" t="s">
        <v>22</v>
      </c>
    </row>
    <row r="3433" spans="1:11" x14ac:dyDescent="0.2">
      <c r="A3433" s="27" t="s">
        <v>8397</v>
      </c>
      <c r="B3433" s="27" t="s">
        <v>8398</v>
      </c>
      <c r="C3433" s="27" t="s">
        <v>8399</v>
      </c>
      <c r="D3433" s="27" t="s">
        <v>17</v>
      </c>
      <c r="E3433" s="27" t="s">
        <v>48</v>
      </c>
      <c r="F3433" s="27" t="s">
        <v>49</v>
      </c>
      <c r="G3433" s="27" t="s">
        <v>28</v>
      </c>
      <c r="H3433" s="29">
        <v>70</v>
      </c>
      <c r="I3433" s="27" t="s">
        <v>29</v>
      </c>
      <c r="J3433" s="37">
        <v>45616</v>
      </c>
      <c r="K3433" s="27" t="s">
        <v>22</v>
      </c>
    </row>
    <row r="3434" spans="1:11" x14ac:dyDescent="0.2">
      <c r="A3434" s="24" t="s">
        <v>8400</v>
      </c>
      <c r="B3434" s="24" t="s">
        <v>8401</v>
      </c>
      <c r="C3434" s="24" t="s">
        <v>8402</v>
      </c>
      <c r="D3434" s="24" t="s">
        <v>17</v>
      </c>
      <c r="E3434" s="24" t="s">
        <v>48</v>
      </c>
      <c r="F3434" s="24" t="s">
        <v>49</v>
      </c>
      <c r="G3434" s="24" t="s">
        <v>44</v>
      </c>
      <c r="H3434" s="26">
        <v>110</v>
      </c>
      <c r="I3434" s="24" t="s">
        <v>21</v>
      </c>
      <c r="J3434" s="36">
        <v>45610</v>
      </c>
      <c r="K3434" s="24" t="s">
        <v>22</v>
      </c>
    </row>
    <row r="3435" spans="1:11" x14ac:dyDescent="0.2">
      <c r="A3435" s="27" t="s">
        <v>8403</v>
      </c>
      <c r="B3435" s="27" t="s">
        <v>8404</v>
      </c>
      <c r="C3435" s="27" t="s">
        <v>6743</v>
      </c>
      <c r="D3435" s="27" t="s">
        <v>17</v>
      </c>
      <c r="E3435" s="27" t="s">
        <v>42</v>
      </c>
      <c r="F3435" s="27" t="s">
        <v>43</v>
      </c>
      <c r="G3435" s="27" t="s">
        <v>28</v>
      </c>
      <c r="H3435" s="29">
        <v>328</v>
      </c>
      <c r="I3435" s="27" t="s">
        <v>29</v>
      </c>
      <c r="J3435" s="37">
        <v>45607</v>
      </c>
      <c r="K3435" s="27" t="s">
        <v>22</v>
      </c>
    </row>
    <row r="3436" spans="1:11" x14ac:dyDescent="0.2">
      <c r="A3436" s="24" t="s">
        <v>8405</v>
      </c>
      <c r="B3436" s="24" t="s">
        <v>8406</v>
      </c>
      <c r="C3436" s="24" t="s">
        <v>1174</v>
      </c>
      <c r="D3436" s="24" t="s">
        <v>17</v>
      </c>
      <c r="E3436" s="24" t="s">
        <v>26</v>
      </c>
      <c r="F3436" s="24" t="s">
        <v>27</v>
      </c>
      <c r="G3436" s="24" t="s">
        <v>44</v>
      </c>
      <c r="H3436" s="26">
        <v>19</v>
      </c>
      <c r="I3436" s="24" t="s">
        <v>21</v>
      </c>
      <c r="J3436" s="36">
        <v>45616</v>
      </c>
      <c r="K3436" s="24" t="s">
        <v>22</v>
      </c>
    </row>
    <row r="3437" spans="1:11" x14ac:dyDescent="0.2">
      <c r="A3437" s="27" t="s">
        <v>8407</v>
      </c>
      <c r="B3437" s="27" t="s">
        <v>8408</v>
      </c>
      <c r="C3437" s="27" t="s">
        <v>260</v>
      </c>
      <c r="D3437" s="27" t="s">
        <v>17</v>
      </c>
      <c r="E3437" s="27" t="s">
        <v>42</v>
      </c>
      <c r="F3437" s="27" t="s">
        <v>43</v>
      </c>
      <c r="G3437" s="27" t="s">
        <v>59</v>
      </c>
      <c r="H3437" s="29">
        <v>947</v>
      </c>
      <c r="I3437" s="27" t="s">
        <v>21</v>
      </c>
      <c r="J3437" s="37">
        <v>45621</v>
      </c>
      <c r="K3437" s="27" t="s">
        <v>22</v>
      </c>
    </row>
    <row r="3438" spans="1:11" x14ac:dyDescent="0.2">
      <c r="A3438" s="24" t="s">
        <v>8409</v>
      </c>
      <c r="B3438" s="24" t="s">
        <v>8410</v>
      </c>
      <c r="C3438" s="24" t="s">
        <v>494</v>
      </c>
      <c r="D3438" s="24" t="s">
        <v>17</v>
      </c>
      <c r="E3438" s="24" t="s">
        <v>18</v>
      </c>
      <c r="F3438" s="24" t="s">
        <v>19</v>
      </c>
      <c r="G3438" s="24" t="s">
        <v>217</v>
      </c>
      <c r="H3438" s="26">
        <v>40</v>
      </c>
      <c r="I3438" s="24" t="s">
        <v>29</v>
      </c>
      <c r="J3438" s="36">
        <v>45597</v>
      </c>
      <c r="K3438" s="24" t="s">
        <v>22</v>
      </c>
    </row>
    <row r="3439" spans="1:11" x14ac:dyDescent="0.2">
      <c r="A3439" s="27" t="s">
        <v>8411</v>
      </c>
      <c r="B3439" s="27" t="s">
        <v>8412</v>
      </c>
      <c r="C3439" s="27" t="s">
        <v>5367</v>
      </c>
      <c r="D3439" s="27" t="s">
        <v>17</v>
      </c>
      <c r="E3439" s="27" t="s">
        <v>18</v>
      </c>
      <c r="F3439" s="27" t="s">
        <v>19</v>
      </c>
      <c r="G3439" s="27" t="s">
        <v>28</v>
      </c>
      <c r="H3439" s="29">
        <v>70</v>
      </c>
      <c r="I3439" s="27" t="s">
        <v>29</v>
      </c>
      <c r="J3439" s="37">
        <v>45611</v>
      </c>
      <c r="K3439" s="27" t="s">
        <v>22</v>
      </c>
    </row>
    <row r="3440" spans="1:11" x14ac:dyDescent="0.2">
      <c r="A3440" s="24" t="s">
        <v>8413</v>
      </c>
      <c r="B3440" s="24" t="s">
        <v>8414</v>
      </c>
      <c r="C3440" s="24" t="s">
        <v>687</v>
      </c>
      <c r="D3440" s="24" t="s">
        <v>17</v>
      </c>
      <c r="E3440" s="24" t="s">
        <v>18</v>
      </c>
      <c r="F3440" s="24" t="s">
        <v>19</v>
      </c>
      <c r="G3440" s="24" t="s">
        <v>28</v>
      </c>
      <c r="H3440" s="26">
        <v>60</v>
      </c>
      <c r="I3440" s="24" t="s">
        <v>29</v>
      </c>
      <c r="J3440" s="36">
        <v>45609</v>
      </c>
      <c r="K3440" s="24" t="s">
        <v>22</v>
      </c>
    </row>
    <row r="3441" spans="1:11" x14ac:dyDescent="0.2">
      <c r="A3441" s="27" t="s">
        <v>8415</v>
      </c>
      <c r="B3441" s="27" t="s">
        <v>8416</v>
      </c>
      <c r="C3441" s="27" t="s">
        <v>1438</v>
      </c>
      <c r="D3441" s="27" t="s">
        <v>17</v>
      </c>
      <c r="E3441" s="27" t="s">
        <v>18</v>
      </c>
      <c r="F3441" s="27" t="s">
        <v>19</v>
      </c>
      <c r="G3441" s="27" t="s">
        <v>20</v>
      </c>
      <c r="H3441" s="29">
        <v>32</v>
      </c>
      <c r="I3441" s="27" t="s">
        <v>21</v>
      </c>
      <c r="J3441" s="37">
        <v>45605</v>
      </c>
      <c r="K3441" s="27" t="s">
        <v>22</v>
      </c>
    </row>
    <row r="3442" spans="1:11" x14ac:dyDescent="0.2">
      <c r="A3442" s="24" t="s">
        <v>8417</v>
      </c>
      <c r="B3442" s="24" t="s">
        <v>8418</v>
      </c>
      <c r="C3442" s="24" t="s">
        <v>1022</v>
      </c>
      <c r="D3442" s="24" t="s">
        <v>17</v>
      </c>
      <c r="E3442" s="24" t="s">
        <v>18</v>
      </c>
      <c r="F3442" s="24" t="s">
        <v>19</v>
      </c>
      <c r="G3442" s="24" t="s">
        <v>217</v>
      </c>
      <c r="H3442" s="26">
        <v>100</v>
      </c>
      <c r="I3442" s="24" t="s">
        <v>29</v>
      </c>
      <c r="J3442" s="36">
        <v>45597</v>
      </c>
      <c r="K3442" s="24" t="s">
        <v>22</v>
      </c>
    </row>
    <row r="3443" spans="1:11" x14ac:dyDescent="0.2">
      <c r="A3443" s="27" t="s">
        <v>8419</v>
      </c>
      <c r="B3443" s="27" t="s">
        <v>8420</v>
      </c>
      <c r="C3443" s="27" t="s">
        <v>55</v>
      </c>
      <c r="D3443" s="27" t="s">
        <v>17</v>
      </c>
      <c r="E3443" s="27" t="s">
        <v>48</v>
      </c>
      <c r="F3443" s="27" t="s">
        <v>49</v>
      </c>
      <c r="G3443" s="27" t="s">
        <v>20</v>
      </c>
      <c r="H3443" s="29">
        <v>164</v>
      </c>
      <c r="I3443" s="27" t="s">
        <v>21</v>
      </c>
      <c r="J3443" s="37">
        <v>45610</v>
      </c>
      <c r="K3443" s="27" t="s">
        <v>22</v>
      </c>
    </row>
    <row r="3444" spans="1:11" x14ac:dyDescent="0.2">
      <c r="A3444" s="24" t="s">
        <v>8421</v>
      </c>
      <c r="B3444" s="24" t="s">
        <v>8422</v>
      </c>
      <c r="C3444" s="24" t="s">
        <v>8423</v>
      </c>
      <c r="D3444" s="24" t="s">
        <v>17</v>
      </c>
      <c r="E3444" s="24" t="s">
        <v>48</v>
      </c>
      <c r="F3444" s="24" t="s">
        <v>49</v>
      </c>
      <c r="G3444" s="24" t="s">
        <v>28</v>
      </c>
      <c r="H3444" s="26">
        <v>400</v>
      </c>
      <c r="I3444" s="24" t="s">
        <v>29</v>
      </c>
      <c r="J3444" s="36">
        <v>45597</v>
      </c>
      <c r="K3444" s="24" t="s">
        <v>22</v>
      </c>
    </row>
    <row r="3445" spans="1:11" x14ac:dyDescent="0.2">
      <c r="A3445" s="27" t="s">
        <v>8424</v>
      </c>
      <c r="B3445" s="27" t="s">
        <v>8425</v>
      </c>
      <c r="C3445" s="27" t="s">
        <v>2569</v>
      </c>
      <c r="D3445" s="27" t="s">
        <v>17</v>
      </c>
      <c r="E3445" s="27" t="s">
        <v>48</v>
      </c>
      <c r="F3445" s="27" t="s">
        <v>49</v>
      </c>
      <c r="G3445" s="27" t="s">
        <v>20</v>
      </c>
      <c r="H3445" s="29">
        <v>4</v>
      </c>
      <c r="I3445" s="27" t="s">
        <v>21</v>
      </c>
      <c r="J3445" s="37">
        <v>45600</v>
      </c>
      <c r="K3445" s="27" t="s">
        <v>22</v>
      </c>
    </row>
    <row r="3446" spans="1:11" x14ac:dyDescent="0.2">
      <c r="A3446" s="24" t="s">
        <v>8426</v>
      </c>
      <c r="B3446" s="24" t="s">
        <v>8427</v>
      </c>
      <c r="C3446" s="24" t="s">
        <v>8428</v>
      </c>
      <c r="D3446" s="24" t="s">
        <v>17</v>
      </c>
      <c r="E3446" s="24" t="s">
        <v>18</v>
      </c>
      <c r="F3446" s="24" t="s">
        <v>19</v>
      </c>
      <c r="G3446" s="24" t="s">
        <v>28</v>
      </c>
      <c r="H3446" s="26">
        <v>12</v>
      </c>
      <c r="I3446" s="24" t="s">
        <v>29</v>
      </c>
      <c r="J3446" s="36">
        <v>45615</v>
      </c>
      <c r="K3446" s="24" t="s">
        <v>22</v>
      </c>
    </row>
    <row r="3447" spans="1:11" x14ac:dyDescent="0.2">
      <c r="A3447" s="27" t="s">
        <v>8429</v>
      </c>
      <c r="B3447" s="27" t="s">
        <v>8430</v>
      </c>
      <c r="C3447" s="27" t="s">
        <v>85</v>
      </c>
      <c r="D3447" s="27" t="s">
        <v>17</v>
      </c>
      <c r="E3447" s="27" t="s">
        <v>18</v>
      </c>
      <c r="F3447" s="27" t="s">
        <v>19</v>
      </c>
      <c r="G3447" s="27" t="s">
        <v>20</v>
      </c>
      <c r="H3447" s="29">
        <v>110</v>
      </c>
      <c r="I3447" s="27" t="s">
        <v>21</v>
      </c>
      <c r="J3447" s="37">
        <v>45607</v>
      </c>
      <c r="K3447" s="27" t="s">
        <v>22</v>
      </c>
    </row>
    <row r="3448" spans="1:11" x14ac:dyDescent="0.2">
      <c r="A3448" s="24" t="s">
        <v>8431</v>
      </c>
      <c r="B3448" s="24" t="s">
        <v>8432</v>
      </c>
      <c r="C3448" s="24" t="s">
        <v>8433</v>
      </c>
      <c r="D3448" s="24" t="s">
        <v>17</v>
      </c>
      <c r="E3448" s="24" t="s">
        <v>81</v>
      </c>
      <c r="F3448" s="24" t="s">
        <v>82</v>
      </c>
      <c r="G3448" s="24" t="s">
        <v>28</v>
      </c>
      <c r="H3448" s="26">
        <v>150</v>
      </c>
      <c r="I3448" s="24" t="s">
        <v>29</v>
      </c>
      <c r="J3448" s="36">
        <v>45621</v>
      </c>
      <c r="K3448" s="24" t="s">
        <v>22</v>
      </c>
    </row>
    <row r="3449" spans="1:11" x14ac:dyDescent="0.2">
      <c r="A3449" s="27" t="s">
        <v>8434</v>
      </c>
      <c r="B3449" s="27" t="s">
        <v>8435</v>
      </c>
      <c r="C3449" s="27" t="s">
        <v>708</v>
      </c>
      <c r="D3449" s="27" t="s">
        <v>17</v>
      </c>
      <c r="E3449" s="27" t="s">
        <v>48</v>
      </c>
      <c r="F3449" s="27" t="s">
        <v>49</v>
      </c>
      <c r="G3449" s="27" t="s">
        <v>28</v>
      </c>
      <c r="H3449" s="29">
        <v>81</v>
      </c>
      <c r="I3449" s="27" t="s">
        <v>29</v>
      </c>
      <c r="J3449" s="37">
        <v>45609</v>
      </c>
      <c r="K3449" s="27" t="s">
        <v>22</v>
      </c>
    </row>
    <row r="3450" spans="1:11" x14ac:dyDescent="0.2">
      <c r="A3450" s="24" t="s">
        <v>8436</v>
      </c>
      <c r="B3450" s="24" t="s">
        <v>8437</v>
      </c>
      <c r="C3450" s="24" t="s">
        <v>450</v>
      </c>
      <c r="D3450" s="24" t="s">
        <v>17</v>
      </c>
      <c r="E3450" s="24" t="s">
        <v>42</v>
      </c>
      <c r="F3450" s="24" t="s">
        <v>43</v>
      </c>
      <c r="G3450" s="24" t="s">
        <v>28</v>
      </c>
      <c r="H3450" s="26">
        <v>174</v>
      </c>
      <c r="I3450" s="24" t="s">
        <v>29</v>
      </c>
      <c r="J3450" s="36">
        <v>45618</v>
      </c>
      <c r="K3450" s="24" t="s">
        <v>22</v>
      </c>
    </row>
    <row r="3451" spans="1:11" x14ac:dyDescent="0.2">
      <c r="A3451" s="27" t="s">
        <v>8438</v>
      </c>
      <c r="B3451" s="27" t="s">
        <v>8439</v>
      </c>
      <c r="C3451" s="27" t="s">
        <v>5409</v>
      </c>
      <c r="D3451" s="27" t="s">
        <v>17</v>
      </c>
      <c r="E3451" s="27" t="s">
        <v>18</v>
      </c>
      <c r="F3451" s="27" t="s">
        <v>19</v>
      </c>
      <c r="G3451" s="27" t="s">
        <v>20</v>
      </c>
      <c r="H3451" s="29">
        <v>12</v>
      </c>
      <c r="I3451" s="27" t="s">
        <v>21</v>
      </c>
      <c r="J3451" s="37">
        <v>45607</v>
      </c>
      <c r="K3451" s="27" t="s">
        <v>22</v>
      </c>
    </row>
    <row r="3452" spans="1:11" x14ac:dyDescent="0.2">
      <c r="A3452" s="24" t="s">
        <v>8440</v>
      </c>
      <c r="B3452" s="24" t="s">
        <v>8441</v>
      </c>
      <c r="C3452" s="24" t="s">
        <v>8442</v>
      </c>
      <c r="D3452" s="24" t="s">
        <v>17</v>
      </c>
      <c r="E3452" s="24" t="s">
        <v>163</v>
      </c>
      <c r="F3452" s="24" t="s">
        <v>164</v>
      </c>
      <c r="G3452" s="24" t="s">
        <v>217</v>
      </c>
      <c r="H3452" s="26">
        <v>10</v>
      </c>
      <c r="I3452" s="24" t="s">
        <v>29</v>
      </c>
      <c r="J3452" s="36">
        <v>45621</v>
      </c>
      <c r="K3452" s="24" t="s">
        <v>22</v>
      </c>
    </row>
    <row r="3453" spans="1:11" x14ac:dyDescent="0.2">
      <c r="A3453" s="27" t="s">
        <v>8443</v>
      </c>
      <c r="B3453" s="27" t="s">
        <v>8444</v>
      </c>
      <c r="C3453" s="27" t="s">
        <v>4510</v>
      </c>
      <c r="D3453" s="27" t="s">
        <v>17</v>
      </c>
      <c r="E3453" s="27" t="s">
        <v>18</v>
      </c>
      <c r="F3453" s="27" t="s">
        <v>19</v>
      </c>
      <c r="G3453" s="27" t="s">
        <v>28</v>
      </c>
      <c r="H3453" s="29">
        <v>56</v>
      </c>
      <c r="I3453" s="27" t="s">
        <v>29</v>
      </c>
      <c r="J3453" s="37">
        <v>45614</v>
      </c>
      <c r="K3453" s="27" t="s">
        <v>22</v>
      </c>
    </row>
    <row r="3454" spans="1:11" x14ac:dyDescent="0.2">
      <c r="A3454" s="24" t="s">
        <v>8445</v>
      </c>
      <c r="B3454" s="24" t="s">
        <v>8446</v>
      </c>
      <c r="C3454" s="24" t="s">
        <v>2837</v>
      </c>
      <c r="D3454" s="24" t="s">
        <v>17</v>
      </c>
      <c r="E3454" s="24" t="s">
        <v>26</v>
      </c>
      <c r="F3454" s="24" t="s">
        <v>27</v>
      </c>
      <c r="G3454" s="24" t="s">
        <v>217</v>
      </c>
      <c r="H3454" s="26">
        <v>120</v>
      </c>
      <c r="I3454" s="24" t="s">
        <v>29</v>
      </c>
      <c r="J3454" s="36">
        <v>45626</v>
      </c>
      <c r="K3454" s="24" t="s">
        <v>22</v>
      </c>
    </row>
    <row r="3455" spans="1:11" x14ac:dyDescent="0.2">
      <c r="A3455" s="27" t="s">
        <v>8447</v>
      </c>
      <c r="B3455" s="27" t="s">
        <v>8448</v>
      </c>
      <c r="C3455" s="27" t="s">
        <v>8449</v>
      </c>
      <c r="D3455" s="27" t="s">
        <v>17</v>
      </c>
      <c r="E3455" s="27" t="s">
        <v>18</v>
      </c>
      <c r="F3455" s="27" t="s">
        <v>19</v>
      </c>
      <c r="G3455" s="27" t="s">
        <v>28</v>
      </c>
      <c r="H3455" s="29">
        <v>30</v>
      </c>
      <c r="I3455" s="27" t="s">
        <v>29</v>
      </c>
      <c r="J3455" s="37">
        <v>45620</v>
      </c>
      <c r="K3455" s="27" t="s">
        <v>22</v>
      </c>
    </row>
    <row r="3456" spans="1:11" x14ac:dyDescent="0.2">
      <c r="A3456" s="24" t="s">
        <v>8450</v>
      </c>
      <c r="B3456" s="24" t="s">
        <v>8451</v>
      </c>
      <c r="C3456" s="24" t="s">
        <v>792</v>
      </c>
      <c r="D3456" s="24" t="s">
        <v>17</v>
      </c>
      <c r="E3456" s="24" t="s">
        <v>42</v>
      </c>
      <c r="F3456" s="24" t="s">
        <v>43</v>
      </c>
      <c r="G3456" s="24" t="s">
        <v>28</v>
      </c>
      <c r="H3456" s="26">
        <v>700</v>
      </c>
      <c r="I3456" s="24" t="s">
        <v>29</v>
      </c>
      <c r="J3456" s="36">
        <v>45615</v>
      </c>
      <c r="K3456" s="24" t="s">
        <v>22</v>
      </c>
    </row>
    <row r="3457" spans="1:11" x14ac:dyDescent="0.2">
      <c r="A3457" s="27" t="s">
        <v>8452</v>
      </c>
      <c r="B3457" s="27" t="s">
        <v>8453</v>
      </c>
      <c r="C3457" s="27" t="s">
        <v>921</v>
      </c>
      <c r="D3457" s="27" t="s">
        <v>17</v>
      </c>
      <c r="E3457" s="27" t="s">
        <v>48</v>
      </c>
      <c r="F3457" s="27" t="s">
        <v>49</v>
      </c>
      <c r="G3457" s="27" t="s">
        <v>28</v>
      </c>
      <c r="H3457" s="29">
        <v>204</v>
      </c>
      <c r="I3457" s="27" t="s">
        <v>29</v>
      </c>
      <c r="J3457" s="37">
        <v>45617</v>
      </c>
      <c r="K3457" s="27" t="s">
        <v>22</v>
      </c>
    </row>
    <row r="3458" spans="1:11" x14ac:dyDescent="0.2">
      <c r="A3458" s="24" t="s">
        <v>8454</v>
      </c>
      <c r="B3458" s="24" t="s">
        <v>8455</v>
      </c>
      <c r="C3458" s="24" t="s">
        <v>213</v>
      </c>
      <c r="D3458" s="24" t="s">
        <v>17</v>
      </c>
      <c r="E3458" s="24" t="s">
        <v>18</v>
      </c>
      <c r="F3458" s="24" t="s">
        <v>19</v>
      </c>
      <c r="G3458" s="24" t="s">
        <v>28</v>
      </c>
      <c r="H3458" s="26">
        <v>119</v>
      </c>
      <c r="I3458" s="24" t="s">
        <v>29</v>
      </c>
      <c r="J3458" s="36">
        <v>45601</v>
      </c>
      <c r="K3458" s="24" t="s">
        <v>22</v>
      </c>
    </row>
    <row r="3459" spans="1:11" x14ac:dyDescent="0.2">
      <c r="A3459" s="27" t="s">
        <v>8456</v>
      </c>
      <c r="B3459" s="27" t="s">
        <v>8457</v>
      </c>
      <c r="C3459" s="27" t="s">
        <v>8458</v>
      </c>
      <c r="D3459" s="27" t="s">
        <v>17</v>
      </c>
      <c r="E3459" s="27" t="s">
        <v>33</v>
      </c>
      <c r="F3459" s="27" t="s">
        <v>34</v>
      </c>
      <c r="G3459" s="27" t="s">
        <v>20</v>
      </c>
      <c r="H3459" s="29">
        <v>139</v>
      </c>
      <c r="I3459" s="27" t="s">
        <v>21</v>
      </c>
      <c r="J3459" s="37">
        <v>45621</v>
      </c>
      <c r="K3459" s="27" t="s">
        <v>22</v>
      </c>
    </row>
    <row r="3460" spans="1:11" x14ac:dyDescent="0.2">
      <c r="A3460" s="24" t="s">
        <v>8459</v>
      </c>
      <c r="B3460" s="24" t="s">
        <v>8460</v>
      </c>
      <c r="C3460" s="24" t="s">
        <v>109</v>
      </c>
      <c r="D3460" s="24" t="s">
        <v>17</v>
      </c>
      <c r="E3460" s="24" t="s">
        <v>26</v>
      </c>
      <c r="F3460" s="24" t="s">
        <v>27</v>
      </c>
      <c r="G3460" s="24" t="s">
        <v>44</v>
      </c>
      <c r="H3460" s="26">
        <v>23</v>
      </c>
      <c r="I3460" s="24" t="s">
        <v>21</v>
      </c>
      <c r="J3460" s="36">
        <v>45609</v>
      </c>
      <c r="K3460" s="24" t="s">
        <v>22</v>
      </c>
    </row>
    <row r="3461" spans="1:11" x14ac:dyDescent="0.2">
      <c r="A3461" s="27" t="s">
        <v>8461</v>
      </c>
      <c r="B3461" s="27" t="s">
        <v>8462</v>
      </c>
      <c r="C3461" s="27" t="s">
        <v>752</v>
      </c>
      <c r="D3461" s="27" t="s">
        <v>17</v>
      </c>
      <c r="E3461" s="27" t="s">
        <v>18</v>
      </c>
      <c r="F3461" s="27" t="s">
        <v>19</v>
      </c>
      <c r="G3461" s="27" t="s">
        <v>20</v>
      </c>
      <c r="H3461" s="29">
        <v>32</v>
      </c>
      <c r="I3461" s="27" t="s">
        <v>21</v>
      </c>
      <c r="J3461" s="37">
        <v>45606</v>
      </c>
      <c r="K3461" s="27" t="s">
        <v>22</v>
      </c>
    </row>
    <row r="3462" spans="1:11" x14ac:dyDescent="0.2">
      <c r="A3462" s="24" t="s">
        <v>8463</v>
      </c>
      <c r="B3462" s="24" t="s">
        <v>8464</v>
      </c>
      <c r="C3462" s="24" t="s">
        <v>2484</v>
      </c>
      <c r="D3462" s="24" t="s">
        <v>17</v>
      </c>
      <c r="E3462" s="24" t="s">
        <v>42</v>
      </c>
      <c r="F3462" s="24" t="s">
        <v>43</v>
      </c>
      <c r="G3462" s="24" t="s">
        <v>28</v>
      </c>
      <c r="H3462" s="26">
        <v>450</v>
      </c>
      <c r="I3462" s="24" t="s">
        <v>29</v>
      </c>
      <c r="J3462" s="36">
        <v>45617</v>
      </c>
      <c r="K3462" s="24" t="s">
        <v>22</v>
      </c>
    </row>
    <row r="3463" spans="1:11" x14ac:dyDescent="0.2">
      <c r="A3463" s="27" t="s">
        <v>8465</v>
      </c>
      <c r="B3463" s="27" t="s">
        <v>8466</v>
      </c>
      <c r="C3463" s="27" t="s">
        <v>8467</v>
      </c>
      <c r="D3463" s="27" t="s">
        <v>17</v>
      </c>
      <c r="E3463" s="27" t="s">
        <v>26</v>
      </c>
      <c r="F3463" s="27" t="s">
        <v>27</v>
      </c>
      <c r="G3463" s="27" t="s">
        <v>116</v>
      </c>
      <c r="H3463" s="29">
        <v>0</v>
      </c>
      <c r="I3463" s="27" t="s">
        <v>21</v>
      </c>
      <c r="J3463" s="37">
        <v>45616</v>
      </c>
      <c r="K3463" s="27" t="s">
        <v>22</v>
      </c>
    </row>
    <row r="3464" spans="1:11" x14ac:dyDescent="0.2">
      <c r="A3464" s="24" t="s">
        <v>8468</v>
      </c>
      <c r="B3464" s="24" t="s">
        <v>8469</v>
      </c>
      <c r="C3464" s="24" t="s">
        <v>8470</v>
      </c>
      <c r="D3464" s="24" t="s">
        <v>17</v>
      </c>
      <c r="E3464" s="24" t="s">
        <v>26</v>
      </c>
      <c r="F3464" s="24" t="s">
        <v>27</v>
      </c>
      <c r="G3464" s="24" t="s">
        <v>28</v>
      </c>
      <c r="H3464" s="26">
        <v>100</v>
      </c>
      <c r="I3464" s="24" t="s">
        <v>29</v>
      </c>
      <c r="J3464" s="36">
        <v>45608</v>
      </c>
      <c r="K3464" s="24" t="s">
        <v>22</v>
      </c>
    </row>
    <row r="3465" spans="1:11" x14ac:dyDescent="0.2">
      <c r="A3465" s="27" t="s">
        <v>8471</v>
      </c>
      <c r="B3465" s="27" t="s">
        <v>8472</v>
      </c>
      <c r="C3465" s="27" t="s">
        <v>185</v>
      </c>
      <c r="D3465" s="27" t="s">
        <v>17</v>
      </c>
      <c r="E3465" s="27" t="s">
        <v>42</v>
      </c>
      <c r="F3465" s="27" t="s">
        <v>43</v>
      </c>
      <c r="G3465" s="27" t="s">
        <v>28</v>
      </c>
      <c r="H3465" s="29">
        <v>610</v>
      </c>
      <c r="I3465" s="27" t="s">
        <v>29</v>
      </c>
      <c r="J3465" s="37">
        <v>45607</v>
      </c>
      <c r="K3465" s="27" t="s">
        <v>22</v>
      </c>
    </row>
    <row r="3466" spans="1:11" x14ac:dyDescent="0.2">
      <c r="A3466" s="24" t="s">
        <v>8473</v>
      </c>
      <c r="B3466" s="24" t="s">
        <v>8474</v>
      </c>
      <c r="C3466" s="24" t="s">
        <v>512</v>
      </c>
      <c r="D3466" s="24" t="s">
        <v>17</v>
      </c>
      <c r="E3466" s="24" t="s">
        <v>18</v>
      </c>
      <c r="F3466" s="24" t="s">
        <v>19</v>
      </c>
      <c r="G3466" s="24" t="s">
        <v>28</v>
      </c>
      <c r="H3466" s="26">
        <v>30</v>
      </c>
      <c r="I3466" s="24" t="s">
        <v>29</v>
      </c>
      <c r="J3466" s="36">
        <v>45609</v>
      </c>
      <c r="K3466" s="24" t="s">
        <v>22</v>
      </c>
    </row>
    <row r="3467" spans="1:11" x14ac:dyDescent="0.2">
      <c r="A3467" s="27" t="s">
        <v>8475</v>
      </c>
      <c r="B3467" s="27" t="s">
        <v>8476</v>
      </c>
      <c r="C3467" s="27" t="s">
        <v>8477</v>
      </c>
      <c r="D3467" s="27" t="s">
        <v>17</v>
      </c>
      <c r="E3467" s="27" t="s">
        <v>163</v>
      </c>
      <c r="F3467" s="27" t="s">
        <v>164</v>
      </c>
      <c r="G3467" s="27" t="s">
        <v>20</v>
      </c>
      <c r="H3467" s="29">
        <v>4</v>
      </c>
      <c r="I3467" s="27" t="s">
        <v>21</v>
      </c>
      <c r="J3467" s="37">
        <v>45602</v>
      </c>
      <c r="K3467" s="27" t="s">
        <v>22</v>
      </c>
    </row>
    <row r="3468" spans="1:11" x14ac:dyDescent="0.2">
      <c r="A3468" s="24" t="s">
        <v>8478</v>
      </c>
      <c r="B3468" s="24" t="s">
        <v>8479</v>
      </c>
      <c r="C3468" s="24" t="s">
        <v>112</v>
      </c>
      <c r="D3468" s="24" t="s">
        <v>17</v>
      </c>
      <c r="E3468" s="24" t="s">
        <v>18</v>
      </c>
      <c r="F3468" s="24" t="s">
        <v>19</v>
      </c>
      <c r="G3468" s="24" t="s">
        <v>38</v>
      </c>
      <c r="H3468" s="26">
        <v>50</v>
      </c>
      <c r="I3468" s="24" t="s">
        <v>29</v>
      </c>
      <c r="J3468" s="36">
        <v>45626</v>
      </c>
      <c r="K3468" s="24" t="s">
        <v>22</v>
      </c>
    </row>
    <row r="3469" spans="1:11" x14ac:dyDescent="0.2">
      <c r="A3469" s="27" t="s">
        <v>8480</v>
      </c>
      <c r="B3469" s="27" t="s">
        <v>8481</v>
      </c>
      <c r="C3469" s="27" t="s">
        <v>260</v>
      </c>
      <c r="D3469" s="27" t="s">
        <v>17</v>
      </c>
      <c r="E3469" s="27" t="s">
        <v>26</v>
      </c>
      <c r="F3469" s="27" t="s">
        <v>27</v>
      </c>
      <c r="G3469" s="27" t="s">
        <v>44</v>
      </c>
      <c r="H3469" s="29">
        <v>750</v>
      </c>
      <c r="I3469" s="27" t="s">
        <v>29</v>
      </c>
      <c r="J3469" s="37">
        <v>45601</v>
      </c>
      <c r="K3469" s="27" t="s">
        <v>22</v>
      </c>
    </row>
    <row r="3470" spans="1:11" x14ac:dyDescent="0.2">
      <c r="A3470" s="24" t="s">
        <v>8482</v>
      </c>
      <c r="B3470" s="24" t="s">
        <v>8483</v>
      </c>
      <c r="C3470" s="24" t="s">
        <v>801</v>
      </c>
      <c r="D3470" s="24" t="s">
        <v>17</v>
      </c>
      <c r="E3470" s="24" t="s">
        <v>18</v>
      </c>
      <c r="F3470" s="24" t="s">
        <v>19</v>
      </c>
      <c r="G3470" s="24" t="s">
        <v>20</v>
      </c>
      <c r="H3470" s="26">
        <v>19</v>
      </c>
      <c r="I3470" s="24" t="s">
        <v>21</v>
      </c>
      <c r="J3470" s="36">
        <v>45602</v>
      </c>
      <c r="K3470" s="24" t="s">
        <v>22</v>
      </c>
    </row>
    <row r="3471" spans="1:11" x14ac:dyDescent="0.2">
      <c r="A3471" s="27" t="s">
        <v>8484</v>
      </c>
      <c r="B3471" s="27" t="s">
        <v>8485</v>
      </c>
      <c r="C3471" s="27" t="s">
        <v>687</v>
      </c>
      <c r="D3471" s="27" t="s">
        <v>17</v>
      </c>
      <c r="E3471" s="27" t="s">
        <v>18</v>
      </c>
      <c r="F3471" s="27" t="s">
        <v>19</v>
      </c>
      <c r="G3471" s="27" t="s">
        <v>28</v>
      </c>
      <c r="H3471" s="29">
        <v>114</v>
      </c>
      <c r="I3471" s="27" t="s">
        <v>29</v>
      </c>
      <c r="J3471" s="37">
        <v>45616</v>
      </c>
      <c r="K3471" s="27" t="s">
        <v>22</v>
      </c>
    </row>
    <row r="3472" spans="1:11" x14ac:dyDescent="0.2">
      <c r="A3472" s="24" t="s">
        <v>8486</v>
      </c>
      <c r="B3472" s="24" t="s">
        <v>8487</v>
      </c>
      <c r="C3472" s="24" t="s">
        <v>8488</v>
      </c>
      <c r="D3472" s="24" t="s">
        <v>17</v>
      </c>
      <c r="E3472" s="24" t="s">
        <v>18</v>
      </c>
      <c r="F3472" s="24" t="s">
        <v>19</v>
      </c>
      <c r="G3472" s="24" t="s">
        <v>20</v>
      </c>
      <c r="H3472" s="26">
        <v>108</v>
      </c>
      <c r="I3472" s="24" t="s">
        <v>21</v>
      </c>
      <c r="J3472" s="36">
        <v>45626</v>
      </c>
      <c r="K3472" s="24" t="s">
        <v>22</v>
      </c>
    </row>
    <row r="3473" spans="1:11" x14ac:dyDescent="0.2">
      <c r="A3473" s="27" t="s">
        <v>8489</v>
      </c>
      <c r="B3473" s="27" t="s">
        <v>8490</v>
      </c>
      <c r="C3473" s="27" t="s">
        <v>437</v>
      </c>
      <c r="D3473" s="27" t="s">
        <v>17</v>
      </c>
      <c r="E3473" s="27" t="s">
        <v>18</v>
      </c>
      <c r="F3473" s="27" t="s">
        <v>19</v>
      </c>
      <c r="G3473" s="27" t="s">
        <v>28</v>
      </c>
      <c r="H3473" s="29">
        <v>40</v>
      </c>
      <c r="I3473" s="27" t="s">
        <v>29</v>
      </c>
      <c r="J3473" s="37">
        <v>45621</v>
      </c>
      <c r="K3473" s="27" t="s">
        <v>22</v>
      </c>
    </row>
    <row r="3474" spans="1:11" x14ac:dyDescent="0.2">
      <c r="A3474" s="24" t="s">
        <v>8491</v>
      </c>
      <c r="B3474" s="24" t="s">
        <v>8492</v>
      </c>
      <c r="C3474" s="24" t="s">
        <v>8493</v>
      </c>
      <c r="D3474" s="24" t="s">
        <v>17</v>
      </c>
      <c r="E3474" s="24" t="s">
        <v>163</v>
      </c>
      <c r="F3474" s="24" t="s">
        <v>164</v>
      </c>
      <c r="G3474" s="24" t="s">
        <v>20</v>
      </c>
      <c r="H3474" s="26">
        <v>14</v>
      </c>
      <c r="I3474" s="24" t="s">
        <v>21</v>
      </c>
      <c r="J3474" s="36">
        <v>45623</v>
      </c>
      <c r="K3474" s="24" t="s">
        <v>22</v>
      </c>
    </row>
    <row r="3475" spans="1:11" x14ac:dyDescent="0.2">
      <c r="A3475" s="27" t="s">
        <v>8494</v>
      </c>
      <c r="B3475" s="27" t="s">
        <v>8495</v>
      </c>
      <c r="C3475" s="27" t="s">
        <v>8496</v>
      </c>
      <c r="D3475" s="27" t="s">
        <v>17</v>
      </c>
      <c r="E3475" s="27" t="s">
        <v>163</v>
      </c>
      <c r="F3475" s="27" t="s">
        <v>164</v>
      </c>
      <c r="G3475" s="27" t="s">
        <v>28</v>
      </c>
      <c r="H3475" s="29">
        <v>18</v>
      </c>
      <c r="I3475" s="27" t="s">
        <v>29</v>
      </c>
      <c r="J3475" s="37">
        <v>45604</v>
      </c>
      <c r="K3475" s="27" t="s">
        <v>22</v>
      </c>
    </row>
    <row r="3476" spans="1:11" x14ac:dyDescent="0.2">
      <c r="A3476" s="24" t="s">
        <v>8497</v>
      </c>
      <c r="B3476" s="24" t="s">
        <v>8498</v>
      </c>
      <c r="C3476" s="24" t="s">
        <v>1017</v>
      </c>
      <c r="D3476" s="24" t="s">
        <v>17</v>
      </c>
      <c r="E3476" s="24" t="s">
        <v>18</v>
      </c>
      <c r="F3476" s="24" t="s">
        <v>19</v>
      </c>
      <c r="G3476" s="24" t="s">
        <v>20</v>
      </c>
      <c r="H3476" s="26">
        <v>48</v>
      </c>
      <c r="I3476" s="24" t="s">
        <v>21</v>
      </c>
      <c r="J3476" s="36">
        <v>45618</v>
      </c>
      <c r="K3476" s="24" t="s">
        <v>22</v>
      </c>
    </row>
    <row r="3477" spans="1:11" x14ac:dyDescent="0.2">
      <c r="A3477" s="27" t="s">
        <v>8499</v>
      </c>
      <c r="B3477" s="27" t="s">
        <v>8500</v>
      </c>
      <c r="C3477" s="27" t="s">
        <v>8501</v>
      </c>
      <c r="D3477" s="27" t="s">
        <v>17</v>
      </c>
      <c r="E3477" s="27" t="s">
        <v>18</v>
      </c>
      <c r="F3477" s="27" t="s">
        <v>19</v>
      </c>
      <c r="G3477" s="27" t="s">
        <v>28</v>
      </c>
      <c r="H3477" s="29">
        <v>36</v>
      </c>
      <c r="I3477" s="27" t="s">
        <v>29</v>
      </c>
      <c r="J3477" s="37">
        <v>45617</v>
      </c>
      <c r="K3477" s="27" t="s">
        <v>22</v>
      </c>
    </row>
    <row r="3478" spans="1:11" x14ac:dyDescent="0.2">
      <c r="A3478" s="24" t="s">
        <v>8502</v>
      </c>
      <c r="B3478" s="24" t="s">
        <v>8503</v>
      </c>
      <c r="C3478" s="24" t="s">
        <v>667</v>
      </c>
      <c r="D3478" s="24" t="s">
        <v>17</v>
      </c>
      <c r="E3478" s="24" t="s">
        <v>48</v>
      </c>
      <c r="F3478" s="24" t="s">
        <v>49</v>
      </c>
      <c r="G3478" s="24" t="s">
        <v>44</v>
      </c>
      <c r="H3478" s="26">
        <v>30</v>
      </c>
      <c r="I3478" s="24" t="s">
        <v>21</v>
      </c>
      <c r="J3478" s="36">
        <v>45610</v>
      </c>
      <c r="K3478" s="24" t="s">
        <v>22</v>
      </c>
    </row>
    <row r="3479" spans="1:11" x14ac:dyDescent="0.2">
      <c r="A3479" s="27" t="s">
        <v>8504</v>
      </c>
      <c r="B3479" s="27" t="s">
        <v>8505</v>
      </c>
      <c r="C3479" s="27" t="s">
        <v>708</v>
      </c>
      <c r="D3479" s="27" t="s">
        <v>17</v>
      </c>
      <c r="E3479" s="27" t="s">
        <v>48</v>
      </c>
      <c r="F3479" s="27" t="s">
        <v>49</v>
      </c>
      <c r="G3479" s="27" t="s">
        <v>116</v>
      </c>
      <c r="H3479" s="29">
        <v>0</v>
      </c>
      <c r="I3479" s="27" t="s">
        <v>21</v>
      </c>
      <c r="J3479" s="37">
        <v>45610</v>
      </c>
      <c r="K3479" s="27" t="s">
        <v>22</v>
      </c>
    </row>
    <row r="3480" spans="1:11" x14ac:dyDescent="0.2">
      <c r="A3480" s="24" t="s">
        <v>8506</v>
      </c>
      <c r="B3480" s="24" t="s">
        <v>8507</v>
      </c>
      <c r="C3480" s="24" t="s">
        <v>1008</v>
      </c>
      <c r="D3480" s="24" t="s">
        <v>17</v>
      </c>
      <c r="E3480" s="24" t="s">
        <v>48</v>
      </c>
      <c r="F3480" s="24" t="s">
        <v>49</v>
      </c>
      <c r="G3480" s="24" t="s">
        <v>20</v>
      </c>
      <c r="H3480" s="26">
        <v>115</v>
      </c>
      <c r="I3480" s="24" t="s">
        <v>21</v>
      </c>
      <c r="J3480" s="36">
        <v>45600</v>
      </c>
      <c r="K3480" s="24" t="s">
        <v>22</v>
      </c>
    </row>
    <row r="3481" spans="1:11" x14ac:dyDescent="0.2">
      <c r="A3481" s="27" t="s">
        <v>8508</v>
      </c>
      <c r="B3481" s="27" t="s">
        <v>8509</v>
      </c>
      <c r="C3481" s="27" t="s">
        <v>4875</v>
      </c>
      <c r="D3481" s="27" t="s">
        <v>17</v>
      </c>
      <c r="E3481" s="27" t="s">
        <v>81</v>
      </c>
      <c r="F3481" s="27" t="s">
        <v>82</v>
      </c>
      <c r="G3481" s="27" t="s">
        <v>44</v>
      </c>
      <c r="H3481" s="29">
        <v>80</v>
      </c>
      <c r="I3481" s="27" t="s">
        <v>29</v>
      </c>
      <c r="J3481" s="37">
        <v>45606</v>
      </c>
      <c r="K3481" s="27" t="s">
        <v>22</v>
      </c>
    </row>
    <row r="3482" spans="1:11" x14ac:dyDescent="0.2">
      <c r="A3482" s="24" t="s">
        <v>8510</v>
      </c>
      <c r="B3482" s="24" t="s">
        <v>8511</v>
      </c>
      <c r="C3482" s="24" t="s">
        <v>705</v>
      </c>
      <c r="D3482" s="24" t="s">
        <v>17</v>
      </c>
      <c r="E3482" s="24" t="s">
        <v>42</v>
      </c>
      <c r="F3482" s="24" t="s">
        <v>43</v>
      </c>
      <c r="G3482" s="24" t="s">
        <v>28</v>
      </c>
      <c r="H3482" s="26">
        <v>552</v>
      </c>
      <c r="I3482" s="24" t="s">
        <v>29</v>
      </c>
      <c r="J3482" s="36">
        <v>45610</v>
      </c>
      <c r="K3482" s="24" t="s">
        <v>22</v>
      </c>
    </row>
    <row r="3483" spans="1:11" x14ac:dyDescent="0.2">
      <c r="A3483" s="27" t="s">
        <v>8512</v>
      </c>
      <c r="B3483" s="27" t="s">
        <v>8513</v>
      </c>
      <c r="C3483" s="27" t="s">
        <v>1283</v>
      </c>
      <c r="D3483" s="27" t="s">
        <v>17</v>
      </c>
      <c r="E3483" s="27" t="s">
        <v>26</v>
      </c>
      <c r="F3483" s="27" t="s">
        <v>27</v>
      </c>
      <c r="G3483" s="27" t="s">
        <v>28</v>
      </c>
      <c r="H3483" s="29">
        <v>82</v>
      </c>
      <c r="I3483" s="27" t="s">
        <v>29</v>
      </c>
      <c r="J3483" s="37">
        <v>45622</v>
      </c>
      <c r="K3483" s="27" t="s">
        <v>22</v>
      </c>
    </row>
    <row r="3484" spans="1:11" x14ac:dyDescent="0.2">
      <c r="A3484" s="24" t="s">
        <v>8514</v>
      </c>
      <c r="B3484" s="24" t="s">
        <v>8515</v>
      </c>
      <c r="C3484" s="24" t="s">
        <v>8516</v>
      </c>
      <c r="D3484" s="24" t="s">
        <v>17</v>
      </c>
      <c r="E3484" s="24" t="s">
        <v>48</v>
      </c>
      <c r="F3484" s="24" t="s">
        <v>49</v>
      </c>
      <c r="G3484" s="24" t="s">
        <v>28</v>
      </c>
      <c r="H3484" s="26">
        <v>60</v>
      </c>
      <c r="I3484" s="24" t="s">
        <v>29</v>
      </c>
      <c r="J3484" s="36">
        <v>45611</v>
      </c>
      <c r="K3484" s="24" t="s">
        <v>22</v>
      </c>
    </row>
    <row r="3485" spans="1:11" x14ac:dyDescent="0.2">
      <c r="A3485" s="27" t="s">
        <v>8517</v>
      </c>
      <c r="B3485" s="27" t="s">
        <v>8518</v>
      </c>
      <c r="C3485" s="27" t="s">
        <v>1088</v>
      </c>
      <c r="D3485" s="27" t="s">
        <v>17</v>
      </c>
      <c r="E3485" s="27" t="s">
        <v>18</v>
      </c>
      <c r="F3485" s="27" t="s">
        <v>19</v>
      </c>
      <c r="G3485" s="27" t="s">
        <v>20</v>
      </c>
      <c r="H3485" s="29">
        <v>42</v>
      </c>
      <c r="I3485" s="27" t="s">
        <v>21</v>
      </c>
      <c r="J3485" s="37">
        <v>45601</v>
      </c>
      <c r="K3485" s="27" t="s">
        <v>22</v>
      </c>
    </row>
    <row r="3486" spans="1:11" x14ac:dyDescent="0.2">
      <c r="A3486" s="24" t="s">
        <v>8519</v>
      </c>
      <c r="B3486" s="24" t="s">
        <v>8520</v>
      </c>
      <c r="C3486" s="24" t="s">
        <v>1307</v>
      </c>
      <c r="D3486" s="24" t="s">
        <v>17</v>
      </c>
      <c r="E3486" s="24" t="s">
        <v>48</v>
      </c>
      <c r="F3486" s="24" t="s">
        <v>49</v>
      </c>
      <c r="G3486" s="24" t="s">
        <v>20</v>
      </c>
      <c r="H3486" s="26">
        <v>81</v>
      </c>
      <c r="I3486" s="24" t="s">
        <v>21</v>
      </c>
      <c r="J3486" s="36">
        <v>45616</v>
      </c>
      <c r="K3486" s="24" t="s">
        <v>22</v>
      </c>
    </row>
    <row r="3487" spans="1:11" x14ac:dyDescent="0.2">
      <c r="A3487" s="27" t="s">
        <v>8521</v>
      </c>
      <c r="B3487" s="27" t="s">
        <v>8522</v>
      </c>
      <c r="C3487" s="27" t="s">
        <v>1470</v>
      </c>
      <c r="D3487" s="27" t="s">
        <v>17</v>
      </c>
      <c r="E3487" s="27" t="s">
        <v>18</v>
      </c>
      <c r="F3487" s="27" t="s">
        <v>19</v>
      </c>
      <c r="G3487" s="27" t="s">
        <v>217</v>
      </c>
      <c r="H3487" s="29">
        <v>88</v>
      </c>
      <c r="I3487" s="27" t="s">
        <v>29</v>
      </c>
      <c r="J3487" s="37">
        <v>45597</v>
      </c>
      <c r="K3487" s="27" t="s">
        <v>22</v>
      </c>
    </row>
    <row r="3488" spans="1:11" x14ac:dyDescent="0.2">
      <c r="A3488" s="24" t="s">
        <v>8523</v>
      </c>
      <c r="B3488" s="24" t="s">
        <v>8524</v>
      </c>
      <c r="C3488" s="24" t="s">
        <v>494</v>
      </c>
      <c r="D3488" s="24" t="s">
        <v>17</v>
      </c>
      <c r="E3488" s="24" t="s">
        <v>42</v>
      </c>
      <c r="F3488" s="24" t="s">
        <v>43</v>
      </c>
      <c r="G3488" s="24" t="s">
        <v>28</v>
      </c>
      <c r="H3488" s="26">
        <v>182</v>
      </c>
      <c r="I3488" s="24" t="s">
        <v>29</v>
      </c>
      <c r="J3488" s="36">
        <v>45616</v>
      </c>
      <c r="K3488" s="24" t="s">
        <v>22</v>
      </c>
    </row>
    <row r="3489" spans="1:11" x14ac:dyDescent="0.2">
      <c r="A3489" s="27" t="s">
        <v>8525</v>
      </c>
      <c r="B3489" s="27" t="s">
        <v>8526</v>
      </c>
      <c r="C3489" s="27" t="s">
        <v>1883</v>
      </c>
      <c r="D3489" s="27" t="s">
        <v>17</v>
      </c>
      <c r="E3489" s="27" t="s">
        <v>42</v>
      </c>
      <c r="F3489" s="27" t="s">
        <v>43</v>
      </c>
      <c r="G3489" s="27" t="s">
        <v>20</v>
      </c>
      <c r="H3489" s="29">
        <v>354</v>
      </c>
      <c r="I3489" s="27" t="s">
        <v>21</v>
      </c>
      <c r="J3489" s="37">
        <v>45617</v>
      </c>
      <c r="K3489" s="27" t="s">
        <v>22</v>
      </c>
    </row>
    <row r="3490" spans="1:11" x14ac:dyDescent="0.2">
      <c r="A3490" s="24" t="s">
        <v>8527</v>
      </c>
      <c r="B3490" s="24" t="s">
        <v>8528</v>
      </c>
      <c r="C3490" s="24" t="s">
        <v>8529</v>
      </c>
      <c r="D3490" s="24" t="s">
        <v>17</v>
      </c>
      <c r="E3490" s="24" t="s">
        <v>26</v>
      </c>
      <c r="F3490" s="24" t="s">
        <v>27</v>
      </c>
      <c r="G3490" s="24" t="s">
        <v>28</v>
      </c>
      <c r="H3490" s="26">
        <v>60</v>
      </c>
      <c r="I3490" s="24" t="s">
        <v>29</v>
      </c>
      <c r="J3490" s="36">
        <v>45608</v>
      </c>
      <c r="K3490" s="24" t="s">
        <v>22</v>
      </c>
    </row>
    <row r="3491" spans="1:11" x14ac:dyDescent="0.2">
      <c r="A3491" s="27" t="s">
        <v>8530</v>
      </c>
      <c r="B3491" s="27" t="s">
        <v>8531</v>
      </c>
      <c r="C3491" s="27" t="s">
        <v>85</v>
      </c>
      <c r="D3491" s="27" t="s">
        <v>17</v>
      </c>
      <c r="E3491" s="27" t="s">
        <v>42</v>
      </c>
      <c r="F3491" s="27" t="s">
        <v>43</v>
      </c>
      <c r="G3491" s="27" t="s">
        <v>28</v>
      </c>
      <c r="H3491" s="29">
        <v>783</v>
      </c>
      <c r="I3491" s="27" t="s">
        <v>29</v>
      </c>
      <c r="J3491" s="37">
        <v>45601</v>
      </c>
      <c r="K3491" s="27" t="s">
        <v>22</v>
      </c>
    </row>
    <row r="3492" spans="1:11" x14ac:dyDescent="0.2">
      <c r="A3492" s="24" t="s">
        <v>8532</v>
      </c>
      <c r="B3492" s="24" t="s">
        <v>8533</v>
      </c>
      <c r="C3492" s="24" t="s">
        <v>55</v>
      </c>
      <c r="D3492" s="24" t="s">
        <v>17</v>
      </c>
      <c r="E3492" s="24" t="s">
        <v>42</v>
      </c>
      <c r="F3492" s="24" t="s">
        <v>43</v>
      </c>
      <c r="G3492" s="24" t="s">
        <v>28</v>
      </c>
      <c r="H3492" s="26">
        <v>1380</v>
      </c>
      <c r="I3492" s="24" t="s">
        <v>29</v>
      </c>
      <c r="J3492" s="36">
        <v>45621</v>
      </c>
      <c r="K3492" s="24" t="s">
        <v>22</v>
      </c>
    </row>
    <row r="3493" spans="1:11" x14ac:dyDescent="0.2">
      <c r="A3493" s="27" t="s">
        <v>8534</v>
      </c>
      <c r="B3493" s="27" t="s">
        <v>8535</v>
      </c>
      <c r="C3493" s="27" t="s">
        <v>2045</v>
      </c>
      <c r="D3493" s="27" t="s">
        <v>17</v>
      </c>
      <c r="E3493" s="27" t="s">
        <v>18</v>
      </c>
      <c r="F3493" s="27" t="s">
        <v>19</v>
      </c>
      <c r="G3493" s="27" t="s">
        <v>44</v>
      </c>
      <c r="H3493" s="29">
        <v>38</v>
      </c>
      <c r="I3493" s="27" t="s">
        <v>21</v>
      </c>
      <c r="J3493" s="37">
        <v>45607</v>
      </c>
      <c r="K3493" s="27" t="s">
        <v>22</v>
      </c>
    </row>
    <row r="3494" spans="1:11" x14ac:dyDescent="0.2">
      <c r="A3494" s="24" t="s">
        <v>8536</v>
      </c>
      <c r="B3494" s="24" t="s">
        <v>8537</v>
      </c>
      <c r="C3494" s="24" t="s">
        <v>7850</v>
      </c>
      <c r="D3494" s="24" t="s">
        <v>17</v>
      </c>
      <c r="E3494" s="24" t="s">
        <v>18</v>
      </c>
      <c r="F3494" s="24" t="s">
        <v>19</v>
      </c>
      <c r="G3494" s="24" t="s">
        <v>20</v>
      </c>
      <c r="H3494" s="26">
        <v>128</v>
      </c>
      <c r="I3494" s="24" t="s">
        <v>21</v>
      </c>
      <c r="J3494" s="36">
        <v>45611</v>
      </c>
      <c r="K3494" s="24" t="s">
        <v>22</v>
      </c>
    </row>
    <row r="3495" spans="1:11" x14ac:dyDescent="0.2">
      <c r="A3495" s="27" t="s">
        <v>8538</v>
      </c>
      <c r="B3495" s="27" t="s">
        <v>8539</v>
      </c>
      <c r="C3495" s="27" t="s">
        <v>4448</v>
      </c>
      <c r="D3495" s="27" t="s">
        <v>17</v>
      </c>
      <c r="E3495" s="27" t="s">
        <v>48</v>
      </c>
      <c r="F3495" s="27" t="s">
        <v>49</v>
      </c>
      <c r="G3495" s="27" t="s">
        <v>59</v>
      </c>
      <c r="H3495" s="29">
        <v>1</v>
      </c>
      <c r="I3495" s="27" t="s">
        <v>21</v>
      </c>
      <c r="J3495" s="37">
        <v>45611</v>
      </c>
      <c r="K3495" s="27" t="s">
        <v>22</v>
      </c>
    </row>
    <row r="3496" spans="1:11" x14ac:dyDescent="0.2">
      <c r="A3496" s="24" t="s">
        <v>8540</v>
      </c>
      <c r="B3496" s="24" t="s">
        <v>8541</v>
      </c>
      <c r="C3496" s="24" t="s">
        <v>325</v>
      </c>
      <c r="D3496" s="24" t="s">
        <v>17</v>
      </c>
      <c r="E3496" s="24" t="s">
        <v>18</v>
      </c>
      <c r="F3496" s="24" t="s">
        <v>19</v>
      </c>
      <c r="G3496" s="24" t="s">
        <v>28</v>
      </c>
      <c r="H3496" s="26">
        <v>104</v>
      </c>
      <c r="I3496" s="24" t="s">
        <v>29</v>
      </c>
      <c r="J3496" s="36">
        <v>45604</v>
      </c>
      <c r="K3496" s="24" t="s">
        <v>22</v>
      </c>
    </row>
    <row r="3497" spans="1:11" x14ac:dyDescent="0.2">
      <c r="A3497" s="27" t="s">
        <v>8542</v>
      </c>
      <c r="B3497" s="27" t="s">
        <v>8543</v>
      </c>
      <c r="C3497" s="27" t="s">
        <v>8544</v>
      </c>
      <c r="D3497" s="27" t="s">
        <v>17</v>
      </c>
      <c r="E3497" s="27" t="s">
        <v>81</v>
      </c>
      <c r="F3497" s="27" t="s">
        <v>82</v>
      </c>
      <c r="G3497" s="27" t="s">
        <v>28</v>
      </c>
      <c r="H3497" s="29">
        <v>100</v>
      </c>
      <c r="I3497" s="27" t="s">
        <v>29</v>
      </c>
      <c r="J3497" s="37">
        <v>45597</v>
      </c>
      <c r="K3497" s="27" t="s">
        <v>22</v>
      </c>
    </row>
    <row r="3498" spans="1:11" x14ac:dyDescent="0.2">
      <c r="A3498" s="24" t="s">
        <v>8545</v>
      </c>
      <c r="B3498" s="24" t="s">
        <v>8546</v>
      </c>
      <c r="C3498" s="24" t="s">
        <v>526</v>
      </c>
      <c r="D3498" s="24" t="s">
        <v>17</v>
      </c>
      <c r="E3498" s="24" t="s">
        <v>18</v>
      </c>
      <c r="F3498" s="24" t="s">
        <v>19</v>
      </c>
      <c r="G3498" s="24" t="s">
        <v>44</v>
      </c>
      <c r="H3498" s="26">
        <v>118</v>
      </c>
      <c r="I3498" s="24" t="s">
        <v>29</v>
      </c>
      <c r="J3498" s="36">
        <v>45604</v>
      </c>
      <c r="K3498" s="24" t="s">
        <v>22</v>
      </c>
    </row>
    <row r="3499" spans="1:11" x14ac:dyDescent="0.2">
      <c r="A3499" s="27" t="s">
        <v>8547</v>
      </c>
      <c r="B3499" s="27" t="s">
        <v>8548</v>
      </c>
      <c r="C3499" s="27" t="s">
        <v>1199</v>
      </c>
      <c r="D3499" s="27" t="s">
        <v>17</v>
      </c>
      <c r="E3499" s="27" t="s">
        <v>42</v>
      </c>
      <c r="F3499" s="27" t="s">
        <v>43</v>
      </c>
      <c r="G3499" s="27" t="s">
        <v>28</v>
      </c>
      <c r="H3499" s="29">
        <v>200</v>
      </c>
      <c r="I3499" s="27" t="s">
        <v>29</v>
      </c>
      <c r="J3499" s="37">
        <v>45600</v>
      </c>
      <c r="K3499" s="27" t="s">
        <v>22</v>
      </c>
    </row>
    <row r="3500" spans="1:11" x14ac:dyDescent="0.2">
      <c r="A3500" s="24" t="s">
        <v>8549</v>
      </c>
      <c r="B3500" s="24" t="s">
        <v>8550</v>
      </c>
      <c r="C3500" s="24" t="s">
        <v>8551</v>
      </c>
      <c r="D3500" s="24" t="s">
        <v>17</v>
      </c>
      <c r="E3500" s="24" t="s">
        <v>18</v>
      </c>
      <c r="F3500" s="24" t="s">
        <v>19</v>
      </c>
      <c r="G3500" s="24" t="s">
        <v>59</v>
      </c>
      <c r="H3500" s="26">
        <v>42</v>
      </c>
      <c r="I3500" s="24" t="s">
        <v>21</v>
      </c>
      <c r="J3500" s="36">
        <v>45600</v>
      </c>
      <c r="K3500" s="24" t="s">
        <v>22</v>
      </c>
    </row>
    <row r="3501" spans="1:11" x14ac:dyDescent="0.2">
      <c r="A3501" s="27" t="s">
        <v>8552</v>
      </c>
      <c r="B3501" s="27" t="s">
        <v>8553</v>
      </c>
      <c r="C3501" s="27" t="s">
        <v>8554</v>
      </c>
      <c r="D3501" s="27" t="s">
        <v>17</v>
      </c>
      <c r="E3501" s="27" t="s">
        <v>48</v>
      </c>
      <c r="F3501" s="27" t="s">
        <v>49</v>
      </c>
      <c r="G3501" s="27" t="s">
        <v>28</v>
      </c>
      <c r="H3501" s="29">
        <v>20</v>
      </c>
      <c r="I3501" s="27" t="s">
        <v>29</v>
      </c>
      <c r="J3501" s="37">
        <v>45623</v>
      </c>
      <c r="K3501" s="27" t="s">
        <v>22</v>
      </c>
    </row>
    <row r="3502" spans="1:11" x14ac:dyDescent="0.2">
      <c r="A3502" s="24" t="s">
        <v>8555</v>
      </c>
      <c r="B3502" s="24" t="s">
        <v>8556</v>
      </c>
      <c r="C3502" s="24" t="s">
        <v>1931</v>
      </c>
      <c r="D3502" s="24" t="s">
        <v>17</v>
      </c>
      <c r="E3502" s="24" t="s">
        <v>18</v>
      </c>
      <c r="F3502" s="24" t="s">
        <v>19</v>
      </c>
      <c r="G3502" s="24" t="s">
        <v>28</v>
      </c>
      <c r="H3502" s="26">
        <v>514</v>
      </c>
      <c r="I3502" s="24" t="s">
        <v>29</v>
      </c>
      <c r="J3502" s="36">
        <v>45622</v>
      </c>
      <c r="K3502" s="24" t="s">
        <v>22</v>
      </c>
    </row>
    <row r="3503" spans="1:11" x14ac:dyDescent="0.2">
      <c r="A3503" s="27" t="s">
        <v>8557</v>
      </c>
      <c r="B3503" s="27" t="s">
        <v>8558</v>
      </c>
      <c r="C3503" s="27" t="s">
        <v>1444</v>
      </c>
      <c r="D3503" s="27" t="s">
        <v>17</v>
      </c>
      <c r="E3503" s="27" t="s">
        <v>42</v>
      </c>
      <c r="F3503" s="27" t="s">
        <v>43</v>
      </c>
      <c r="G3503" s="27" t="s">
        <v>28</v>
      </c>
      <c r="H3503" s="29">
        <v>420</v>
      </c>
      <c r="I3503" s="27" t="s">
        <v>29</v>
      </c>
      <c r="J3503" s="37">
        <v>45623</v>
      </c>
      <c r="K3503" s="27" t="s">
        <v>22</v>
      </c>
    </row>
    <row r="3504" spans="1:11" x14ac:dyDescent="0.2">
      <c r="A3504" s="24" t="s">
        <v>8559</v>
      </c>
      <c r="B3504" s="24" t="s">
        <v>8560</v>
      </c>
      <c r="C3504" s="24" t="s">
        <v>8561</v>
      </c>
      <c r="D3504" s="24" t="s">
        <v>17</v>
      </c>
      <c r="E3504" s="24" t="s">
        <v>18</v>
      </c>
      <c r="F3504" s="24" t="s">
        <v>19</v>
      </c>
      <c r="G3504" s="24" t="s">
        <v>20</v>
      </c>
      <c r="H3504" s="26">
        <v>15</v>
      </c>
      <c r="I3504" s="24" t="s">
        <v>21</v>
      </c>
      <c r="J3504" s="36">
        <v>45617</v>
      </c>
      <c r="K3504" s="24" t="s">
        <v>22</v>
      </c>
    </row>
    <row r="3505" spans="1:11" x14ac:dyDescent="0.2">
      <c r="A3505" s="27" t="s">
        <v>8562</v>
      </c>
      <c r="B3505" s="27" t="s">
        <v>8563</v>
      </c>
      <c r="C3505" s="27" t="s">
        <v>8564</v>
      </c>
      <c r="D3505" s="27" t="s">
        <v>17</v>
      </c>
      <c r="E3505" s="27" t="s">
        <v>26</v>
      </c>
      <c r="F3505" s="27" t="s">
        <v>27</v>
      </c>
      <c r="G3505" s="27" t="s">
        <v>28</v>
      </c>
      <c r="H3505" s="29">
        <v>30</v>
      </c>
      <c r="I3505" s="27" t="s">
        <v>29</v>
      </c>
      <c r="J3505" s="37">
        <v>45600</v>
      </c>
      <c r="K3505" s="27" t="s">
        <v>22</v>
      </c>
    </row>
    <row r="3506" spans="1:11" x14ac:dyDescent="0.2">
      <c r="A3506" s="24" t="s">
        <v>8565</v>
      </c>
      <c r="B3506" s="24" t="s">
        <v>8566</v>
      </c>
      <c r="C3506" s="24" t="s">
        <v>8567</v>
      </c>
      <c r="D3506" s="24" t="s">
        <v>17</v>
      </c>
      <c r="E3506" s="24" t="s">
        <v>48</v>
      </c>
      <c r="F3506" s="24" t="s">
        <v>49</v>
      </c>
      <c r="G3506" s="24" t="s">
        <v>44</v>
      </c>
      <c r="H3506" s="26">
        <v>905</v>
      </c>
      <c r="I3506" s="24" t="s">
        <v>21</v>
      </c>
      <c r="J3506" s="36">
        <v>45621</v>
      </c>
      <c r="K3506" s="24" t="s">
        <v>22</v>
      </c>
    </row>
    <row r="3507" spans="1:11" x14ac:dyDescent="0.2">
      <c r="A3507" s="27" t="s">
        <v>8568</v>
      </c>
      <c r="B3507" s="27" t="s">
        <v>8569</v>
      </c>
      <c r="C3507" s="27" t="s">
        <v>486</v>
      </c>
      <c r="D3507" s="27" t="s">
        <v>17</v>
      </c>
      <c r="E3507" s="27" t="s">
        <v>163</v>
      </c>
      <c r="F3507" s="27" t="s">
        <v>164</v>
      </c>
      <c r="G3507" s="27" t="s">
        <v>217</v>
      </c>
      <c r="H3507" s="29">
        <v>6</v>
      </c>
      <c r="I3507" s="27" t="s">
        <v>29</v>
      </c>
      <c r="J3507" s="37">
        <v>45608</v>
      </c>
      <c r="K3507" s="27" t="s">
        <v>22</v>
      </c>
    </row>
    <row r="3508" spans="1:11" x14ac:dyDescent="0.2">
      <c r="A3508" s="24" t="s">
        <v>8570</v>
      </c>
      <c r="B3508" s="24" t="s">
        <v>8571</v>
      </c>
      <c r="C3508" s="24" t="s">
        <v>146</v>
      </c>
      <c r="D3508" s="24" t="s">
        <v>17</v>
      </c>
      <c r="E3508" s="24" t="s">
        <v>42</v>
      </c>
      <c r="F3508" s="24" t="s">
        <v>43</v>
      </c>
      <c r="G3508" s="24" t="s">
        <v>28</v>
      </c>
      <c r="H3508" s="26">
        <v>300</v>
      </c>
      <c r="I3508" s="24" t="s">
        <v>29</v>
      </c>
      <c r="J3508" s="36">
        <v>45609</v>
      </c>
      <c r="K3508" s="24" t="s">
        <v>22</v>
      </c>
    </row>
    <row r="3509" spans="1:11" x14ac:dyDescent="0.2">
      <c r="A3509" s="27" t="s">
        <v>8572</v>
      </c>
      <c r="B3509" s="27" t="s">
        <v>8573</v>
      </c>
      <c r="C3509" s="27" t="s">
        <v>8574</v>
      </c>
      <c r="D3509" s="27" t="s">
        <v>17</v>
      </c>
      <c r="E3509" s="27" t="s">
        <v>42</v>
      </c>
      <c r="F3509" s="27" t="s">
        <v>43</v>
      </c>
      <c r="G3509" s="27" t="s">
        <v>20</v>
      </c>
      <c r="H3509" s="29">
        <v>315</v>
      </c>
      <c r="I3509" s="27" t="s">
        <v>21</v>
      </c>
      <c r="J3509" s="37">
        <v>45624</v>
      </c>
      <c r="K3509" s="27" t="s">
        <v>22</v>
      </c>
    </row>
    <row r="3510" spans="1:11" x14ac:dyDescent="0.2">
      <c r="A3510" s="24" t="s">
        <v>8575</v>
      </c>
      <c r="B3510" s="24" t="s">
        <v>8576</v>
      </c>
      <c r="C3510" s="24" t="s">
        <v>260</v>
      </c>
      <c r="D3510" s="24" t="s">
        <v>17</v>
      </c>
      <c r="E3510" s="24" t="s">
        <v>26</v>
      </c>
      <c r="F3510" s="24" t="s">
        <v>27</v>
      </c>
      <c r="G3510" s="24" t="s">
        <v>44</v>
      </c>
      <c r="H3510" s="26">
        <v>1530</v>
      </c>
      <c r="I3510" s="24" t="s">
        <v>21</v>
      </c>
      <c r="J3510" s="36">
        <v>45607</v>
      </c>
      <c r="K3510" s="24" t="s">
        <v>22</v>
      </c>
    </row>
    <row r="3511" spans="1:11" x14ac:dyDescent="0.2">
      <c r="A3511" s="27" t="s">
        <v>8577</v>
      </c>
      <c r="B3511" s="27" t="s">
        <v>8578</v>
      </c>
      <c r="C3511" s="27" t="s">
        <v>827</v>
      </c>
      <c r="D3511" s="27" t="s">
        <v>17</v>
      </c>
      <c r="E3511" s="27" t="s">
        <v>42</v>
      </c>
      <c r="F3511" s="27" t="s">
        <v>43</v>
      </c>
      <c r="G3511" s="27" t="s">
        <v>28</v>
      </c>
      <c r="H3511" s="29">
        <v>560</v>
      </c>
      <c r="I3511" s="27" t="s">
        <v>29</v>
      </c>
      <c r="J3511" s="37">
        <v>45608</v>
      </c>
      <c r="K3511" s="27" t="s">
        <v>22</v>
      </c>
    </row>
    <row r="3512" spans="1:11" x14ac:dyDescent="0.2">
      <c r="A3512" s="24" t="s">
        <v>8579</v>
      </c>
      <c r="B3512" s="24" t="s">
        <v>8580</v>
      </c>
      <c r="C3512" s="24" t="s">
        <v>423</v>
      </c>
      <c r="D3512" s="24" t="s">
        <v>17</v>
      </c>
      <c r="E3512" s="24" t="s">
        <v>18</v>
      </c>
      <c r="F3512" s="24" t="s">
        <v>19</v>
      </c>
      <c r="G3512" s="24" t="s">
        <v>20</v>
      </c>
      <c r="H3512" s="26">
        <v>44</v>
      </c>
      <c r="I3512" s="24" t="s">
        <v>21</v>
      </c>
      <c r="J3512" s="36">
        <v>45610</v>
      </c>
      <c r="K3512" s="24" t="s">
        <v>22</v>
      </c>
    </row>
    <row r="3513" spans="1:11" x14ac:dyDescent="0.2">
      <c r="A3513" s="27" t="s">
        <v>8581</v>
      </c>
      <c r="B3513" s="27" t="s">
        <v>8582</v>
      </c>
      <c r="C3513" s="27" t="s">
        <v>423</v>
      </c>
      <c r="D3513" s="27" t="s">
        <v>17</v>
      </c>
      <c r="E3513" s="27" t="s">
        <v>18</v>
      </c>
      <c r="F3513" s="27" t="s">
        <v>19</v>
      </c>
      <c r="G3513" s="27" t="s">
        <v>20</v>
      </c>
      <c r="H3513" s="29">
        <v>30</v>
      </c>
      <c r="I3513" s="27" t="s">
        <v>21</v>
      </c>
      <c r="J3513" s="37">
        <v>45601</v>
      </c>
      <c r="K3513" s="27" t="s">
        <v>22</v>
      </c>
    </row>
    <row r="3514" spans="1:11" x14ac:dyDescent="0.2">
      <c r="A3514" s="24" t="s">
        <v>8583</v>
      </c>
      <c r="B3514" s="24" t="s">
        <v>8584</v>
      </c>
      <c r="C3514" s="24" t="s">
        <v>106</v>
      </c>
      <c r="D3514" s="24" t="s">
        <v>17</v>
      </c>
      <c r="E3514" s="24" t="s">
        <v>42</v>
      </c>
      <c r="F3514" s="24" t="s">
        <v>43</v>
      </c>
      <c r="G3514" s="24" t="s">
        <v>28</v>
      </c>
      <c r="H3514" s="26">
        <v>1590</v>
      </c>
      <c r="I3514" s="24" t="s">
        <v>29</v>
      </c>
      <c r="J3514" s="36">
        <v>45603</v>
      </c>
      <c r="K3514" s="24" t="s">
        <v>22</v>
      </c>
    </row>
    <row r="3515" spans="1:11" x14ac:dyDescent="0.2">
      <c r="A3515" s="27" t="s">
        <v>8585</v>
      </c>
      <c r="B3515" s="27" t="s">
        <v>8586</v>
      </c>
      <c r="C3515" s="27" t="s">
        <v>5106</v>
      </c>
      <c r="D3515" s="27" t="s">
        <v>17</v>
      </c>
      <c r="E3515" s="27" t="s">
        <v>33</v>
      </c>
      <c r="F3515" s="27" t="s">
        <v>34</v>
      </c>
      <c r="G3515" s="27" t="s">
        <v>44</v>
      </c>
      <c r="H3515" s="29">
        <v>480</v>
      </c>
      <c r="I3515" s="27" t="s">
        <v>29</v>
      </c>
      <c r="J3515" s="37">
        <v>45602</v>
      </c>
      <c r="K3515" s="27" t="s">
        <v>22</v>
      </c>
    </row>
    <row r="3516" spans="1:11" x14ac:dyDescent="0.2">
      <c r="A3516" s="24" t="s">
        <v>8587</v>
      </c>
      <c r="B3516" s="24" t="s">
        <v>8588</v>
      </c>
      <c r="C3516" s="24" t="s">
        <v>708</v>
      </c>
      <c r="D3516" s="24" t="s">
        <v>17</v>
      </c>
      <c r="E3516" s="24" t="s">
        <v>42</v>
      </c>
      <c r="F3516" s="24" t="s">
        <v>43</v>
      </c>
      <c r="G3516" s="24" t="s">
        <v>20</v>
      </c>
      <c r="H3516" s="26">
        <v>64</v>
      </c>
      <c r="I3516" s="24" t="s">
        <v>21</v>
      </c>
      <c r="J3516" s="36">
        <v>45602</v>
      </c>
      <c r="K3516" s="24" t="s">
        <v>22</v>
      </c>
    </row>
    <row r="3517" spans="1:11" x14ac:dyDescent="0.2">
      <c r="A3517" s="27" t="s">
        <v>8589</v>
      </c>
      <c r="B3517" s="27" t="s">
        <v>8590</v>
      </c>
      <c r="C3517" s="27" t="s">
        <v>8591</v>
      </c>
      <c r="D3517" s="27" t="s">
        <v>17</v>
      </c>
      <c r="E3517" s="27" t="s">
        <v>18</v>
      </c>
      <c r="F3517" s="27" t="s">
        <v>19</v>
      </c>
      <c r="G3517" s="27" t="s">
        <v>20</v>
      </c>
      <c r="H3517" s="29">
        <v>42</v>
      </c>
      <c r="I3517" s="27" t="s">
        <v>21</v>
      </c>
      <c r="J3517" s="37">
        <v>45621</v>
      </c>
      <c r="K3517" s="27" t="s">
        <v>22</v>
      </c>
    </row>
    <row r="3518" spans="1:11" x14ac:dyDescent="0.2">
      <c r="A3518" s="24" t="s">
        <v>8592</v>
      </c>
      <c r="B3518" s="24" t="s">
        <v>8593</v>
      </c>
      <c r="C3518" s="24" t="s">
        <v>97</v>
      </c>
      <c r="D3518" s="24" t="s">
        <v>17</v>
      </c>
      <c r="E3518" s="24" t="s">
        <v>18</v>
      </c>
      <c r="F3518" s="24" t="s">
        <v>19</v>
      </c>
      <c r="G3518" s="24" t="s">
        <v>20</v>
      </c>
      <c r="H3518" s="26">
        <v>35</v>
      </c>
      <c r="I3518" s="24" t="s">
        <v>21</v>
      </c>
      <c r="J3518" s="36">
        <v>45598</v>
      </c>
      <c r="K3518" s="24" t="s">
        <v>22</v>
      </c>
    </row>
    <row r="3519" spans="1:11" x14ac:dyDescent="0.2">
      <c r="A3519" s="27" t="s">
        <v>8594</v>
      </c>
      <c r="B3519" s="27" t="s">
        <v>8595</v>
      </c>
      <c r="C3519" s="27" t="s">
        <v>8596</v>
      </c>
      <c r="D3519" s="27" t="s">
        <v>17</v>
      </c>
      <c r="E3519" s="27" t="s">
        <v>48</v>
      </c>
      <c r="F3519" s="27" t="s">
        <v>49</v>
      </c>
      <c r="G3519" s="27" t="s">
        <v>28</v>
      </c>
      <c r="H3519" s="29">
        <v>33</v>
      </c>
      <c r="I3519" s="27" t="s">
        <v>29</v>
      </c>
      <c r="J3519" s="37">
        <v>45621</v>
      </c>
      <c r="K3519" s="27" t="s">
        <v>22</v>
      </c>
    </row>
    <row r="3520" spans="1:11" x14ac:dyDescent="0.2">
      <c r="A3520" s="24" t="s">
        <v>8597</v>
      </c>
      <c r="B3520" s="24" t="s">
        <v>8598</v>
      </c>
      <c r="C3520" s="24" t="s">
        <v>1346</v>
      </c>
      <c r="D3520" s="24" t="s">
        <v>17</v>
      </c>
      <c r="E3520" s="24" t="s">
        <v>48</v>
      </c>
      <c r="F3520" s="24" t="s">
        <v>49</v>
      </c>
      <c r="G3520" s="24" t="s">
        <v>28</v>
      </c>
      <c r="H3520" s="26">
        <v>202</v>
      </c>
      <c r="I3520" s="24" t="s">
        <v>29</v>
      </c>
      <c r="J3520" s="36">
        <v>45609</v>
      </c>
      <c r="K3520" s="24" t="s">
        <v>22</v>
      </c>
    </row>
    <row r="3521" spans="1:11" x14ac:dyDescent="0.2">
      <c r="A3521" s="27" t="s">
        <v>8599</v>
      </c>
      <c r="B3521" s="27" t="s">
        <v>8600</v>
      </c>
      <c r="C3521" s="27" t="s">
        <v>8601</v>
      </c>
      <c r="D3521" s="27" t="s">
        <v>17</v>
      </c>
      <c r="E3521" s="27" t="s">
        <v>48</v>
      </c>
      <c r="F3521" s="27" t="s">
        <v>49</v>
      </c>
      <c r="G3521" s="27" t="s">
        <v>28</v>
      </c>
      <c r="H3521" s="29">
        <v>192</v>
      </c>
      <c r="I3521" s="27" t="s">
        <v>29</v>
      </c>
      <c r="J3521" s="37">
        <v>45610</v>
      </c>
      <c r="K3521" s="27" t="s">
        <v>22</v>
      </c>
    </row>
    <row r="3522" spans="1:11" x14ac:dyDescent="0.2">
      <c r="A3522" s="24" t="s">
        <v>8602</v>
      </c>
      <c r="B3522" s="24" t="s">
        <v>8603</v>
      </c>
      <c r="C3522" s="24" t="s">
        <v>1199</v>
      </c>
      <c r="D3522" s="24" t="s">
        <v>17</v>
      </c>
      <c r="E3522" s="24" t="s">
        <v>42</v>
      </c>
      <c r="F3522" s="24" t="s">
        <v>43</v>
      </c>
      <c r="G3522" s="24" t="s">
        <v>28</v>
      </c>
      <c r="H3522" s="26">
        <v>500</v>
      </c>
      <c r="I3522" s="24" t="s">
        <v>29</v>
      </c>
      <c r="J3522" s="36">
        <v>45625</v>
      </c>
      <c r="K3522" s="24" t="s">
        <v>22</v>
      </c>
    </row>
    <row r="3523" spans="1:11" x14ac:dyDescent="0.2">
      <c r="A3523" s="27" t="s">
        <v>8604</v>
      </c>
      <c r="B3523" s="27" t="s">
        <v>8605</v>
      </c>
      <c r="C3523" s="27" t="s">
        <v>260</v>
      </c>
      <c r="D3523" s="27" t="s">
        <v>17</v>
      </c>
      <c r="E3523" s="27" t="s">
        <v>42</v>
      </c>
      <c r="F3523" s="27" t="s">
        <v>43</v>
      </c>
      <c r="G3523" s="27" t="s">
        <v>20</v>
      </c>
      <c r="H3523" s="29">
        <v>1180</v>
      </c>
      <c r="I3523" s="27" t="s">
        <v>21</v>
      </c>
      <c r="J3523" s="37">
        <v>45600</v>
      </c>
      <c r="K3523" s="27" t="s">
        <v>22</v>
      </c>
    </row>
    <row r="3524" spans="1:11" x14ac:dyDescent="0.2">
      <c r="A3524" s="24" t="s">
        <v>8606</v>
      </c>
      <c r="B3524" s="24" t="s">
        <v>8607</v>
      </c>
      <c r="C3524" s="24" t="s">
        <v>8608</v>
      </c>
      <c r="D3524" s="24" t="s">
        <v>17</v>
      </c>
      <c r="E3524" s="24" t="s">
        <v>48</v>
      </c>
      <c r="F3524" s="24" t="s">
        <v>49</v>
      </c>
      <c r="G3524" s="24" t="s">
        <v>28</v>
      </c>
      <c r="H3524" s="26">
        <v>120</v>
      </c>
      <c r="I3524" s="24" t="s">
        <v>29</v>
      </c>
      <c r="J3524" s="36">
        <v>45608</v>
      </c>
      <c r="K3524" s="24" t="s">
        <v>22</v>
      </c>
    </row>
    <row r="3525" spans="1:11" x14ac:dyDescent="0.2">
      <c r="A3525" s="27" t="s">
        <v>8609</v>
      </c>
      <c r="B3525" s="27" t="s">
        <v>8610</v>
      </c>
      <c r="C3525" s="27" t="s">
        <v>708</v>
      </c>
      <c r="D3525" s="27" t="s">
        <v>17</v>
      </c>
      <c r="E3525" s="27" t="s">
        <v>48</v>
      </c>
      <c r="F3525" s="27" t="s">
        <v>49</v>
      </c>
      <c r="G3525" s="27" t="s">
        <v>28</v>
      </c>
      <c r="H3525" s="29">
        <v>120</v>
      </c>
      <c r="I3525" s="27" t="s">
        <v>29</v>
      </c>
      <c r="J3525" s="37">
        <v>45614</v>
      </c>
      <c r="K3525" s="27" t="s">
        <v>22</v>
      </c>
    </row>
    <row r="3526" spans="1:11" x14ac:dyDescent="0.2">
      <c r="A3526" s="24" t="s">
        <v>8611</v>
      </c>
      <c r="B3526" s="24" t="s">
        <v>8612</v>
      </c>
      <c r="C3526" s="24" t="s">
        <v>146</v>
      </c>
      <c r="D3526" s="24" t="s">
        <v>17</v>
      </c>
      <c r="E3526" s="24" t="s">
        <v>42</v>
      </c>
      <c r="F3526" s="24" t="s">
        <v>43</v>
      </c>
      <c r="G3526" s="24" t="s">
        <v>28</v>
      </c>
      <c r="H3526" s="26">
        <v>750</v>
      </c>
      <c r="I3526" s="24" t="s">
        <v>29</v>
      </c>
      <c r="J3526" s="36">
        <v>45622</v>
      </c>
      <c r="K3526" s="24" t="s">
        <v>22</v>
      </c>
    </row>
    <row r="3527" spans="1:11" x14ac:dyDescent="0.2">
      <c r="A3527" s="27" t="s">
        <v>8613</v>
      </c>
      <c r="B3527" s="27" t="s">
        <v>8614</v>
      </c>
      <c r="C3527" s="27" t="s">
        <v>106</v>
      </c>
      <c r="D3527" s="27" t="s">
        <v>17</v>
      </c>
      <c r="E3527" s="27" t="s">
        <v>26</v>
      </c>
      <c r="F3527" s="27" t="s">
        <v>27</v>
      </c>
      <c r="G3527" s="27" t="s">
        <v>59</v>
      </c>
      <c r="H3527" s="29">
        <v>5</v>
      </c>
      <c r="I3527" s="27" t="s">
        <v>21</v>
      </c>
      <c r="J3527" s="37">
        <v>45600</v>
      </c>
      <c r="K3527" s="27" t="s">
        <v>22</v>
      </c>
    </row>
    <row r="3528" spans="1:11" x14ac:dyDescent="0.2">
      <c r="A3528" s="24" t="s">
        <v>8615</v>
      </c>
      <c r="B3528" s="24" t="s">
        <v>8616</v>
      </c>
      <c r="C3528" s="24" t="s">
        <v>8617</v>
      </c>
      <c r="D3528" s="24" t="s">
        <v>17</v>
      </c>
      <c r="E3528" s="24" t="s">
        <v>18</v>
      </c>
      <c r="F3528" s="24" t="s">
        <v>19</v>
      </c>
      <c r="G3528" s="24" t="s">
        <v>28</v>
      </c>
      <c r="H3528" s="26">
        <v>18</v>
      </c>
      <c r="I3528" s="24" t="s">
        <v>29</v>
      </c>
      <c r="J3528" s="36">
        <v>45597</v>
      </c>
      <c r="K3528" s="24" t="s">
        <v>22</v>
      </c>
    </row>
    <row r="3529" spans="1:11" x14ac:dyDescent="0.2">
      <c r="A3529" s="27" t="s">
        <v>8618</v>
      </c>
      <c r="B3529" s="27" t="s">
        <v>8619</v>
      </c>
      <c r="C3529" s="27" t="s">
        <v>1158</v>
      </c>
      <c r="D3529" s="27" t="s">
        <v>17</v>
      </c>
      <c r="E3529" s="27" t="s">
        <v>48</v>
      </c>
      <c r="F3529" s="27" t="s">
        <v>49</v>
      </c>
      <c r="G3529" s="27" t="s">
        <v>28</v>
      </c>
      <c r="H3529" s="29">
        <v>81</v>
      </c>
      <c r="I3529" s="27" t="s">
        <v>29</v>
      </c>
      <c r="J3529" s="37">
        <v>45607</v>
      </c>
      <c r="K3529" s="27" t="s">
        <v>22</v>
      </c>
    </row>
    <row r="3530" spans="1:11" x14ac:dyDescent="0.2">
      <c r="A3530" s="24" t="s">
        <v>8620</v>
      </c>
      <c r="B3530" s="24" t="s">
        <v>8621</v>
      </c>
      <c r="C3530" s="24" t="s">
        <v>1212</v>
      </c>
      <c r="D3530" s="24" t="s">
        <v>17</v>
      </c>
      <c r="E3530" s="24" t="s">
        <v>18</v>
      </c>
      <c r="F3530" s="24" t="s">
        <v>19</v>
      </c>
      <c r="G3530" s="24" t="s">
        <v>20</v>
      </c>
      <c r="H3530" s="26">
        <v>40</v>
      </c>
      <c r="I3530" s="24" t="s">
        <v>21</v>
      </c>
      <c r="J3530" s="36">
        <v>45601</v>
      </c>
      <c r="K3530" s="24" t="s">
        <v>22</v>
      </c>
    </row>
    <row r="3531" spans="1:11" x14ac:dyDescent="0.2">
      <c r="A3531" s="27" t="s">
        <v>8622</v>
      </c>
      <c r="B3531" s="27" t="s">
        <v>8623</v>
      </c>
      <c r="C3531" s="27" t="s">
        <v>115</v>
      </c>
      <c r="D3531" s="27" t="s">
        <v>17</v>
      </c>
      <c r="E3531" s="27" t="s">
        <v>42</v>
      </c>
      <c r="F3531" s="27" t="s">
        <v>43</v>
      </c>
      <c r="G3531" s="27" t="s">
        <v>28</v>
      </c>
      <c r="H3531" s="29">
        <v>24</v>
      </c>
      <c r="I3531" s="27" t="s">
        <v>29</v>
      </c>
      <c r="J3531" s="37">
        <v>45602</v>
      </c>
      <c r="K3531" s="27" t="s">
        <v>22</v>
      </c>
    </row>
    <row r="3532" spans="1:11" x14ac:dyDescent="0.2">
      <c r="A3532" s="24" t="s">
        <v>8624</v>
      </c>
      <c r="B3532" s="24" t="s">
        <v>8625</v>
      </c>
      <c r="C3532" s="24" t="s">
        <v>208</v>
      </c>
      <c r="D3532" s="24" t="s">
        <v>17</v>
      </c>
      <c r="E3532" s="24" t="s">
        <v>26</v>
      </c>
      <c r="F3532" s="24" t="s">
        <v>27</v>
      </c>
      <c r="G3532" s="24" t="s">
        <v>44</v>
      </c>
      <c r="H3532" s="26">
        <v>980</v>
      </c>
      <c r="I3532" s="24" t="s">
        <v>21</v>
      </c>
      <c r="J3532" s="36">
        <v>45614</v>
      </c>
      <c r="K3532" s="24" t="s">
        <v>22</v>
      </c>
    </row>
    <row r="3533" spans="1:11" x14ac:dyDescent="0.2">
      <c r="A3533" s="27" t="s">
        <v>8626</v>
      </c>
      <c r="B3533" s="27" t="s">
        <v>8627</v>
      </c>
      <c r="C3533" s="27" t="s">
        <v>8628</v>
      </c>
      <c r="D3533" s="27" t="s">
        <v>17</v>
      </c>
      <c r="E3533" s="27" t="s">
        <v>18</v>
      </c>
      <c r="F3533" s="27" t="s">
        <v>19</v>
      </c>
      <c r="G3533" s="27" t="s">
        <v>20</v>
      </c>
      <c r="H3533" s="29">
        <v>56</v>
      </c>
      <c r="I3533" s="27" t="s">
        <v>21</v>
      </c>
      <c r="J3533" s="37">
        <v>45614</v>
      </c>
      <c r="K3533" s="27" t="s">
        <v>22</v>
      </c>
    </row>
    <row r="3534" spans="1:11" x14ac:dyDescent="0.2">
      <c r="A3534" s="24" t="s">
        <v>8629</v>
      </c>
      <c r="B3534" s="24" t="s">
        <v>8630</v>
      </c>
      <c r="C3534" s="24" t="s">
        <v>97</v>
      </c>
      <c r="D3534" s="24" t="s">
        <v>17</v>
      </c>
      <c r="E3534" s="24" t="s">
        <v>18</v>
      </c>
      <c r="F3534" s="24" t="s">
        <v>19</v>
      </c>
      <c r="G3534" s="24" t="s">
        <v>20</v>
      </c>
      <c r="H3534" s="26">
        <v>41</v>
      </c>
      <c r="I3534" s="24" t="s">
        <v>21</v>
      </c>
      <c r="J3534" s="36">
        <v>45614</v>
      </c>
      <c r="K3534" s="24" t="s">
        <v>22</v>
      </c>
    </row>
    <row r="3535" spans="1:11" x14ac:dyDescent="0.2">
      <c r="A3535" s="27" t="s">
        <v>8631</v>
      </c>
      <c r="B3535" s="27" t="s">
        <v>8632</v>
      </c>
      <c r="C3535" s="27" t="s">
        <v>8633</v>
      </c>
      <c r="D3535" s="27" t="s">
        <v>17</v>
      </c>
      <c r="E3535" s="27" t="s">
        <v>18</v>
      </c>
      <c r="F3535" s="27" t="s">
        <v>19</v>
      </c>
      <c r="G3535" s="27" t="s">
        <v>28</v>
      </c>
      <c r="H3535" s="29">
        <v>36</v>
      </c>
      <c r="I3535" s="27" t="s">
        <v>29</v>
      </c>
      <c r="J3535" s="37">
        <v>45625</v>
      </c>
      <c r="K3535" s="27" t="s">
        <v>22</v>
      </c>
    </row>
    <row r="3536" spans="1:11" x14ac:dyDescent="0.2">
      <c r="A3536" s="24" t="s">
        <v>8634</v>
      </c>
      <c r="B3536" s="24" t="s">
        <v>8635</v>
      </c>
      <c r="C3536" s="24" t="s">
        <v>437</v>
      </c>
      <c r="D3536" s="24" t="s">
        <v>17</v>
      </c>
      <c r="E3536" s="24" t="s">
        <v>48</v>
      </c>
      <c r="F3536" s="24" t="s">
        <v>49</v>
      </c>
      <c r="G3536" s="24" t="s">
        <v>44</v>
      </c>
      <c r="H3536" s="26">
        <v>409</v>
      </c>
      <c r="I3536" s="24" t="s">
        <v>21</v>
      </c>
      <c r="J3536" s="36">
        <v>45603</v>
      </c>
      <c r="K3536" s="24" t="s">
        <v>22</v>
      </c>
    </row>
    <row r="3537" spans="1:11" x14ac:dyDescent="0.2">
      <c r="A3537" s="27" t="s">
        <v>8636</v>
      </c>
      <c r="B3537" s="27" t="s">
        <v>8637</v>
      </c>
      <c r="C3537" s="27" t="s">
        <v>8638</v>
      </c>
      <c r="D3537" s="27" t="s">
        <v>17</v>
      </c>
      <c r="E3537" s="27" t="s">
        <v>18</v>
      </c>
      <c r="F3537" s="27" t="s">
        <v>19</v>
      </c>
      <c r="G3537" s="27" t="s">
        <v>28</v>
      </c>
      <c r="H3537" s="29">
        <v>57</v>
      </c>
      <c r="I3537" s="27" t="s">
        <v>29</v>
      </c>
      <c r="J3537" s="37">
        <v>45623</v>
      </c>
      <c r="K3537" s="27" t="s">
        <v>22</v>
      </c>
    </row>
    <row r="3538" spans="1:11" x14ac:dyDescent="0.2">
      <c r="A3538" s="24" t="s">
        <v>8639</v>
      </c>
      <c r="B3538" s="24" t="s">
        <v>8640</v>
      </c>
      <c r="C3538" s="24" t="s">
        <v>6184</v>
      </c>
      <c r="D3538" s="24" t="s">
        <v>17</v>
      </c>
      <c r="E3538" s="24" t="s">
        <v>26</v>
      </c>
      <c r="F3538" s="24" t="s">
        <v>27</v>
      </c>
      <c r="G3538" s="24" t="s">
        <v>44</v>
      </c>
      <c r="H3538" s="26">
        <v>38</v>
      </c>
      <c r="I3538" s="24" t="s">
        <v>21</v>
      </c>
      <c r="J3538" s="36">
        <v>45608</v>
      </c>
      <c r="K3538" s="24" t="s">
        <v>22</v>
      </c>
    </row>
    <row r="3539" spans="1:11" x14ac:dyDescent="0.2">
      <c r="A3539" s="27" t="s">
        <v>8641</v>
      </c>
      <c r="B3539" s="27" t="s">
        <v>8642</v>
      </c>
      <c r="C3539" s="27" t="s">
        <v>8643</v>
      </c>
      <c r="D3539" s="27" t="s">
        <v>17</v>
      </c>
      <c r="E3539" s="27" t="s">
        <v>18</v>
      </c>
      <c r="F3539" s="27" t="s">
        <v>19</v>
      </c>
      <c r="G3539" s="27" t="s">
        <v>28</v>
      </c>
      <c r="H3539" s="29">
        <v>90</v>
      </c>
      <c r="I3539" s="27" t="s">
        <v>29</v>
      </c>
      <c r="J3539" s="37">
        <v>45617</v>
      </c>
      <c r="K3539" s="27" t="s">
        <v>22</v>
      </c>
    </row>
    <row r="3540" spans="1:11" x14ac:dyDescent="0.2">
      <c r="A3540" s="24" t="s">
        <v>8644</v>
      </c>
      <c r="B3540" s="24" t="s">
        <v>8645</v>
      </c>
      <c r="C3540" s="24" t="s">
        <v>8646</v>
      </c>
      <c r="D3540" s="24" t="s">
        <v>17</v>
      </c>
      <c r="E3540" s="24" t="s">
        <v>26</v>
      </c>
      <c r="F3540" s="24" t="s">
        <v>27</v>
      </c>
      <c r="G3540" s="24" t="s">
        <v>59</v>
      </c>
      <c r="H3540" s="26">
        <v>8</v>
      </c>
      <c r="I3540" s="24" t="s">
        <v>21</v>
      </c>
      <c r="J3540" s="36">
        <v>45601</v>
      </c>
      <c r="K3540" s="24" t="s">
        <v>22</v>
      </c>
    </row>
    <row r="3541" spans="1:11" x14ac:dyDescent="0.2">
      <c r="A3541" s="27" t="s">
        <v>8647</v>
      </c>
      <c r="B3541" s="27" t="s">
        <v>8648</v>
      </c>
      <c r="C3541" s="27" t="s">
        <v>3531</v>
      </c>
      <c r="D3541" s="27" t="s">
        <v>17</v>
      </c>
      <c r="E3541" s="27" t="s">
        <v>48</v>
      </c>
      <c r="F3541" s="27" t="s">
        <v>49</v>
      </c>
      <c r="G3541" s="27" t="s">
        <v>28</v>
      </c>
      <c r="H3541" s="29">
        <v>48</v>
      </c>
      <c r="I3541" s="27" t="s">
        <v>29</v>
      </c>
      <c r="J3541" s="37">
        <v>45617</v>
      </c>
      <c r="K3541" s="27" t="s">
        <v>22</v>
      </c>
    </row>
    <row r="3542" spans="1:11" x14ac:dyDescent="0.2">
      <c r="A3542" s="24" t="s">
        <v>8649</v>
      </c>
      <c r="B3542" s="24" t="s">
        <v>8650</v>
      </c>
      <c r="C3542" s="24" t="s">
        <v>8651</v>
      </c>
      <c r="D3542" s="24" t="s">
        <v>17</v>
      </c>
      <c r="E3542" s="24" t="s">
        <v>48</v>
      </c>
      <c r="F3542" s="24" t="s">
        <v>49</v>
      </c>
      <c r="G3542" s="24" t="s">
        <v>28</v>
      </c>
      <c r="H3542" s="26">
        <v>20</v>
      </c>
      <c r="I3542" s="24" t="s">
        <v>29</v>
      </c>
      <c r="J3542" s="36">
        <v>45606</v>
      </c>
      <c r="K3542" s="24" t="s">
        <v>22</v>
      </c>
    </row>
    <row r="3543" spans="1:11" x14ac:dyDescent="0.2">
      <c r="A3543" s="27" t="s">
        <v>8652</v>
      </c>
      <c r="B3543" s="27" t="s">
        <v>8653</v>
      </c>
      <c r="C3543" s="27" t="s">
        <v>8654</v>
      </c>
      <c r="D3543" s="27" t="s">
        <v>17</v>
      </c>
      <c r="E3543" s="27" t="s">
        <v>18</v>
      </c>
      <c r="F3543" s="27" t="s">
        <v>19</v>
      </c>
      <c r="G3543" s="27" t="s">
        <v>217</v>
      </c>
      <c r="H3543" s="29">
        <v>112</v>
      </c>
      <c r="I3543" s="27" t="s">
        <v>29</v>
      </c>
      <c r="J3543" s="37">
        <v>45597</v>
      </c>
      <c r="K3543" s="27" t="s">
        <v>22</v>
      </c>
    </row>
    <row r="3544" spans="1:11" x14ac:dyDescent="0.2">
      <c r="A3544" s="24" t="s">
        <v>8655</v>
      </c>
      <c r="B3544" s="24" t="s">
        <v>8656</v>
      </c>
      <c r="C3544" s="24" t="s">
        <v>55</v>
      </c>
      <c r="D3544" s="24" t="s">
        <v>17</v>
      </c>
      <c r="E3544" s="24" t="s">
        <v>26</v>
      </c>
      <c r="F3544" s="24" t="s">
        <v>27</v>
      </c>
      <c r="G3544" s="24" t="s">
        <v>28</v>
      </c>
      <c r="H3544" s="26">
        <v>180</v>
      </c>
      <c r="I3544" s="24" t="s">
        <v>29</v>
      </c>
      <c r="J3544" s="36">
        <v>45599</v>
      </c>
      <c r="K3544" s="24" t="s">
        <v>22</v>
      </c>
    </row>
    <row r="3545" spans="1:11" x14ac:dyDescent="0.2">
      <c r="A3545" s="27" t="s">
        <v>8657</v>
      </c>
      <c r="B3545" s="27" t="s">
        <v>8658</v>
      </c>
      <c r="C3545" s="27" t="s">
        <v>8659</v>
      </c>
      <c r="D3545" s="27" t="s">
        <v>17</v>
      </c>
      <c r="E3545" s="27" t="s">
        <v>26</v>
      </c>
      <c r="F3545" s="27" t="s">
        <v>27</v>
      </c>
      <c r="G3545" s="27" t="s">
        <v>28</v>
      </c>
      <c r="H3545" s="29">
        <v>40</v>
      </c>
      <c r="I3545" s="27" t="s">
        <v>29</v>
      </c>
      <c r="J3545" s="37">
        <v>45608</v>
      </c>
      <c r="K3545" s="27" t="s">
        <v>22</v>
      </c>
    </row>
    <row r="3546" spans="1:11" x14ac:dyDescent="0.2">
      <c r="A3546" s="24" t="s">
        <v>8660</v>
      </c>
      <c r="B3546" s="24" t="s">
        <v>8661</v>
      </c>
      <c r="C3546" s="24" t="s">
        <v>4269</v>
      </c>
      <c r="D3546" s="24" t="s">
        <v>17</v>
      </c>
      <c r="E3546" s="24" t="s">
        <v>42</v>
      </c>
      <c r="F3546" s="24" t="s">
        <v>43</v>
      </c>
      <c r="G3546" s="24" t="s">
        <v>20</v>
      </c>
      <c r="H3546" s="26">
        <v>60</v>
      </c>
      <c r="I3546" s="24" t="s">
        <v>21</v>
      </c>
      <c r="J3546" s="36">
        <v>45610</v>
      </c>
      <c r="K3546" s="24" t="s">
        <v>22</v>
      </c>
    </row>
    <row r="3547" spans="1:11" x14ac:dyDescent="0.2">
      <c r="A3547" s="27" t="s">
        <v>8662</v>
      </c>
      <c r="B3547" s="27" t="s">
        <v>8663</v>
      </c>
      <c r="C3547" s="27" t="s">
        <v>194</v>
      </c>
      <c r="D3547" s="27" t="s">
        <v>17</v>
      </c>
      <c r="E3547" s="27" t="s">
        <v>48</v>
      </c>
      <c r="F3547" s="27" t="s">
        <v>49</v>
      </c>
      <c r="G3547" s="27" t="s">
        <v>28</v>
      </c>
      <c r="H3547" s="29">
        <v>60</v>
      </c>
      <c r="I3547" s="27" t="s">
        <v>29</v>
      </c>
      <c r="J3547" s="37">
        <v>45603</v>
      </c>
      <c r="K3547" s="27" t="s">
        <v>22</v>
      </c>
    </row>
    <row r="3548" spans="1:11" x14ac:dyDescent="0.2">
      <c r="A3548" s="24" t="s">
        <v>8664</v>
      </c>
      <c r="B3548" s="24" t="s">
        <v>8665</v>
      </c>
      <c r="C3548" s="24" t="s">
        <v>8666</v>
      </c>
      <c r="D3548" s="24" t="s">
        <v>17</v>
      </c>
      <c r="E3548" s="24" t="s">
        <v>18</v>
      </c>
      <c r="F3548" s="24" t="s">
        <v>19</v>
      </c>
      <c r="G3548" s="24" t="s">
        <v>28</v>
      </c>
      <c r="H3548" s="26">
        <v>24</v>
      </c>
      <c r="I3548" s="24" t="s">
        <v>29</v>
      </c>
      <c r="J3548" s="36">
        <v>45621</v>
      </c>
      <c r="K3548" s="24" t="s">
        <v>22</v>
      </c>
    </row>
    <row r="3549" spans="1:11" x14ac:dyDescent="0.2">
      <c r="A3549" s="27" t="s">
        <v>8667</v>
      </c>
      <c r="B3549" s="27" t="s">
        <v>8668</v>
      </c>
      <c r="C3549" s="27" t="s">
        <v>1425</v>
      </c>
      <c r="D3549" s="27" t="s">
        <v>17</v>
      </c>
      <c r="E3549" s="27" t="s">
        <v>18</v>
      </c>
      <c r="F3549" s="27" t="s">
        <v>19</v>
      </c>
      <c r="G3549" s="27" t="s">
        <v>28</v>
      </c>
      <c r="H3549" s="29">
        <v>38</v>
      </c>
      <c r="I3549" s="27" t="s">
        <v>29</v>
      </c>
      <c r="J3549" s="37">
        <v>45621</v>
      </c>
      <c r="K3549" s="27" t="s">
        <v>22</v>
      </c>
    </row>
    <row r="3550" spans="1:11" x14ac:dyDescent="0.2">
      <c r="A3550" s="24" t="s">
        <v>8669</v>
      </c>
      <c r="B3550" s="24" t="s">
        <v>8670</v>
      </c>
      <c r="C3550" s="24" t="s">
        <v>8671</v>
      </c>
      <c r="D3550" s="24" t="s">
        <v>17</v>
      </c>
      <c r="E3550" s="24" t="s">
        <v>48</v>
      </c>
      <c r="F3550" s="24" t="s">
        <v>49</v>
      </c>
      <c r="G3550" s="24" t="s">
        <v>20</v>
      </c>
      <c r="H3550" s="26">
        <v>60</v>
      </c>
      <c r="I3550" s="24" t="s">
        <v>21</v>
      </c>
      <c r="J3550" s="36">
        <v>45612</v>
      </c>
      <c r="K3550" s="24" t="s">
        <v>22</v>
      </c>
    </row>
    <row r="3551" spans="1:11" x14ac:dyDescent="0.2">
      <c r="A3551" s="27" t="s">
        <v>8672</v>
      </c>
      <c r="B3551" s="27" t="s">
        <v>8673</v>
      </c>
      <c r="C3551" s="27" t="s">
        <v>8674</v>
      </c>
      <c r="D3551" s="27" t="s">
        <v>17</v>
      </c>
      <c r="E3551" s="27" t="s">
        <v>48</v>
      </c>
      <c r="F3551" s="27" t="s">
        <v>49</v>
      </c>
      <c r="G3551" s="27" t="s">
        <v>20</v>
      </c>
      <c r="H3551" s="29">
        <v>8</v>
      </c>
      <c r="I3551" s="27" t="s">
        <v>21</v>
      </c>
      <c r="J3551" s="37">
        <v>45614</v>
      </c>
      <c r="K3551" s="27" t="s">
        <v>22</v>
      </c>
    </row>
    <row r="3552" spans="1:11" x14ac:dyDescent="0.2">
      <c r="A3552" s="24" t="s">
        <v>8675</v>
      </c>
      <c r="B3552" s="24" t="s">
        <v>8676</v>
      </c>
      <c r="C3552" s="24" t="s">
        <v>8677</v>
      </c>
      <c r="D3552" s="24" t="s">
        <v>17</v>
      </c>
      <c r="E3552" s="24" t="s">
        <v>18</v>
      </c>
      <c r="F3552" s="24" t="s">
        <v>19</v>
      </c>
      <c r="G3552" s="24" t="s">
        <v>20</v>
      </c>
      <c r="H3552" s="26">
        <v>12</v>
      </c>
      <c r="I3552" s="24" t="s">
        <v>21</v>
      </c>
      <c r="J3552" s="36">
        <v>45609</v>
      </c>
      <c r="K3552" s="24" t="s">
        <v>22</v>
      </c>
    </row>
    <row r="3553" spans="1:11" x14ac:dyDescent="0.2">
      <c r="A3553" s="27" t="s">
        <v>8678</v>
      </c>
      <c r="B3553" s="27" t="s">
        <v>8679</v>
      </c>
      <c r="C3553" s="27" t="s">
        <v>526</v>
      </c>
      <c r="D3553" s="27" t="s">
        <v>17</v>
      </c>
      <c r="E3553" s="27" t="s">
        <v>42</v>
      </c>
      <c r="F3553" s="27" t="s">
        <v>43</v>
      </c>
      <c r="G3553" s="27" t="s">
        <v>28</v>
      </c>
      <c r="H3553" s="29">
        <v>125</v>
      </c>
      <c r="I3553" s="27" t="s">
        <v>29</v>
      </c>
      <c r="J3553" s="37">
        <v>45614</v>
      </c>
      <c r="K3553" s="27" t="s">
        <v>22</v>
      </c>
    </row>
    <row r="3554" spans="1:11" x14ac:dyDescent="0.2">
      <c r="A3554" s="24" t="s">
        <v>8680</v>
      </c>
      <c r="B3554" s="24" t="s">
        <v>8681</v>
      </c>
      <c r="C3554" s="24" t="s">
        <v>97</v>
      </c>
      <c r="D3554" s="24" t="s">
        <v>17</v>
      </c>
      <c r="E3554" s="24" t="s">
        <v>42</v>
      </c>
      <c r="F3554" s="24" t="s">
        <v>43</v>
      </c>
      <c r="G3554" s="24" t="s">
        <v>28</v>
      </c>
      <c r="H3554" s="26">
        <v>880</v>
      </c>
      <c r="I3554" s="24" t="s">
        <v>29</v>
      </c>
      <c r="J3554" s="36">
        <v>45614</v>
      </c>
      <c r="K3554" s="24" t="s">
        <v>22</v>
      </c>
    </row>
    <row r="3555" spans="1:11" x14ac:dyDescent="0.2">
      <c r="A3555" s="27" t="s">
        <v>8682</v>
      </c>
      <c r="B3555" s="27" t="s">
        <v>8683</v>
      </c>
      <c r="C3555" s="27" t="s">
        <v>1110</v>
      </c>
      <c r="D3555" s="27" t="s">
        <v>17</v>
      </c>
      <c r="E3555" s="27" t="s">
        <v>42</v>
      </c>
      <c r="F3555" s="27" t="s">
        <v>43</v>
      </c>
      <c r="G3555" s="27" t="s">
        <v>44</v>
      </c>
      <c r="H3555" s="29">
        <v>11</v>
      </c>
      <c r="I3555" s="27" t="s">
        <v>21</v>
      </c>
      <c r="J3555" s="37">
        <v>45614</v>
      </c>
      <c r="K3555" s="27" t="s">
        <v>22</v>
      </c>
    </row>
    <row r="3556" spans="1:11" x14ac:dyDescent="0.2">
      <c r="A3556" s="24" t="s">
        <v>8684</v>
      </c>
      <c r="B3556" s="24" t="s">
        <v>8685</v>
      </c>
      <c r="C3556" s="24" t="s">
        <v>354</v>
      </c>
      <c r="D3556" s="24" t="s">
        <v>17</v>
      </c>
      <c r="E3556" s="24" t="s">
        <v>42</v>
      </c>
      <c r="F3556" s="24" t="s">
        <v>43</v>
      </c>
      <c r="G3556" s="24" t="s">
        <v>44</v>
      </c>
      <c r="H3556" s="26">
        <v>50</v>
      </c>
      <c r="I3556" s="24" t="s">
        <v>21</v>
      </c>
      <c r="J3556" s="36">
        <v>45617</v>
      </c>
      <c r="K3556" s="24" t="s">
        <v>22</v>
      </c>
    </row>
    <row r="3557" spans="1:11" x14ac:dyDescent="0.2">
      <c r="A3557" s="27" t="s">
        <v>8686</v>
      </c>
      <c r="B3557" s="27" t="s">
        <v>8687</v>
      </c>
      <c r="C3557" s="27" t="s">
        <v>1766</v>
      </c>
      <c r="D3557" s="27" t="s">
        <v>17</v>
      </c>
      <c r="E3557" s="27" t="s">
        <v>18</v>
      </c>
      <c r="F3557" s="27" t="s">
        <v>19</v>
      </c>
      <c r="G3557" s="27" t="s">
        <v>20</v>
      </c>
      <c r="H3557" s="29">
        <v>99</v>
      </c>
      <c r="I3557" s="27" t="s">
        <v>21</v>
      </c>
      <c r="J3557" s="37">
        <v>45617</v>
      </c>
      <c r="K3557" s="27" t="s">
        <v>22</v>
      </c>
    </row>
    <row r="3558" spans="1:11" x14ac:dyDescent="0.2">
      <c r="A3558" s="24" t="s">
        <v>8688</v>
      </c>
      <c r="B3558" s="24" t="s">
        <v>8689</v>
      </c>
      <c r="C3558" s="24" t="s">
        <v>494</v>
      </c>
      <c r="D3558" s="24" t="s">
        <v>17</v>
      </c>
      <c r="E3558" s="24" t="s">
        <v>48</v>
      </c>
      <c r="F3558" s="24" t="s">
        <v>49</v>
      </c>
      <c r="G3558" s="24" t="s">
        <v>20</v>
      </c>
      <c r="H3558" s="26">
        <v>122</v>
      </c>
      <c r="I3558" s="24" t="s">
        <v>21</v>
      </c>
      <c r="J3558" s="36">
        <v>45610</v>
      </c>
      <c r="K3558" s="24" t="s">
        <v>22</v>
      </c>
    </row>
    <row r="3559" spans="1:11" x14ac:dyDescent="0.2">
      <c r="A3559" s="27" t="s">
        <v>8690</v>
      </c>
      <c r="B3559" s="27" t="s">
        <v>8691</v>
      </c>
      <c r="C3559" s="27" t="s">
        <v>8692</v>
      </c>
      <c r="D3559" s="27" t="s">
        <v>17</v>
      </c>
      <c r="E3559" s="27" t="s">
        <v>18</v>
      </c>
      <c r="F3559" s="27" t="s">
        <v>19</v>
      </c>
      <c r="G3559" s="27" t="s">
        <v>28</v>
      </c>
      <c r="H3559" s="29">
        <v>190</v>
      </c>
      <c r="I3559" s="27" t="s">
        <v>29</v>
      </c>
      <c r="J3559" s="37">
        <v>45621</v>
      </c>
      <c r="K3559" s="27" t="s">
        <v>22</v>
      </c>
    </row>
    <row r="3560" spans="1:11" x14ac:dyDescent="0.2">
      <c r="A3560" s="24" t="s">
        <v>8693</v>
      </c>
      <c r="B3560" s="24" t="s">
        <v>8694</v>
      </c>
      <c r="C3560" s="24" t="s">
        <v>526</v>
      </c>
      <c r="D3560" s="24" t="s">
        <v>17</v>
      </c>
      <c r="E3560" s="24" t="s">
        <v>42</v>
      </c>
      <c r="F3560" s="24" t="s">
        <v>43</v>
      </c>
      <c r="G3560" s="24" t="s">
        <v>28</v>
      </c>
      <c r="H3560" s="26">
        <v>125</v>
      </c>
      <c r="I3560" s="24" t="s">
        <v>29</v>
      </c>
      <c r="J3560" s="36">
        <v>45614</v>
      </c>
      <c r="K3560" s="24" t="s">
        <v>22</v>
      </c>
    </row>
    <row r="3561" spans="1:11" x14ac:dyDescent="0.2">
      <c r="A3561" s="27" t="s">
        <v>8695</v>
      </c>
      <c r="B3561" s="27" t="s">
        <v>8696</v>
      </c>
      <c r="C3561" s="27" t="s">
        <v>6264</v>
      </c>
      <c r="D3561" s="27" t="s">
        <v>17</v>
      </c>
      <c r="E3561" s="27" t="s">
        <v>81</v>
      </c>
      <c r="F3561" s="27" t="s">
        <v>82</v>
      </c>
      <c r="G3561" s="27" t="s">
        <v>28</v>
      </c>
      <c r="H3561" s="29">
        <v>60</v>
      </c>
      <c r="I3561" s="27" t="s">
        <v>29</v>
      </c>
      <c r="J3561" s="37">
        <v>45624</v>
      </c>
      <c r="K3561" s="27" t="s">
        <v>22</v>
      </c>
    </row>
    <row r="3562" spans="1:11" x14ac:dyDescent="0.2">
      <c r="A3562" s="24" t="s">
        <v>8697</v>
      </c>
      <c r="B3562" s="24" t="s">
        <v>8698</v>
      </c>
      <c r="C3562" s="24" t="s">
        <v>208</v>
      </c>
      <c r="D3562" s="24" t="s">
        <v>17</v>
      </c>
      <c r="E3562" s="24" t="s">
        <v>42</v>
      </c>
      <c r="F3562" s="24" t="s">
        <v>43</v>
      </c>
      <c r="G3562" s="24" t="s">
        <v>44</v>
      </c>
      <c r="H3562" s="26">
        <v>142</v>
      </c>
      <c r="I3562" s="24" t="s">
        <v>21</v>
      </c>
      <c r="J3562" s="36">
        <v>45624</v>
      </c>
      <c r="K3562" s="24" t="s">
        <v>22</v>
      </c>
    </row>
    <row r="3563" spans="1:11" x14ac:dyDescent="0.2">
      <c r="A3563" s="27" t="s">
        <v>8699</v>
      </c>
      <c r="B3563" s="27" t="s">
        <v>8700</v>
      </c>
      <c r="C3563" s="27" t="s">
        <v>8701</v>
      </c>
      <c r="D3563" s="27" t="s">
        <v>17</v>
      </c>
      <c r="E3563" s="27" t="s">
        <v>48</v>
      </c>
      <c r="F3563" s="27" t="s">
        <v>49</v>
      </c>
      <c r="G3563" s="27" t="s">
        <v>28</v>
      </c>
      <c r="H3563" s="29">
        <v>120</v>
      </c>
      <c r="I3563" s="27" t="s">
        <v>29</v>
      </c>
      <c r="J3563" s="37">
        <v>45613</v>
      </c>
      <c r="K3563" s="27" t="s">
        <v>22</v>
      </c>
    </row>
    <row r="3564" spans="1:11" x14ac:dyDescent="0.2">
      <c r="A3564" s="24" t="s">
        <v>8702</v>
      </c>
      <c r="B3564" s="24" t="s">
        <v>8703</v>
      </c>
      <c r="C3564" s="24" t="s">
        <v>146</v>
      </c>
      <c r="D3564" s="24" t="s">
        <v>17</v>
      </c>
      <c r="E3564" s="24" t="s">
        <v>18</v>
      </c>
      <c r="F3564" s="24" t="s">
        <v>19</v>
      </c>
      <c r="G3564" s="24" t="s">
        <v>20</v>
      </c>
      <c r="H3564" s="26">
        <v>106</v>
      </c>
      <c r="I3564" s="24" t="s">
        <v>21</v>
      </c>
      <c r="J3564" s="36">
        <v>45607</v>
      </c>
      <c r="K3564" s="24" t="s">
        <v>22</v>
      </c>
    </row>
    <row r="3565" spans="1:11" x14ac:dyDescent="0.2">
      <c r="A3565" s="27" t="s">
        <v>8704</v>
      </c>
      <c r="B3565" s="27" t="s">
        <v>8705</v>
      </c>
      <c r="C3565" s="27" t="s">
        <v>7989</v>
      </c>
      <c r="D3565" s="27" t="s">
        <v>17</v>
      </c>
      <c r="E3565" s="27" t="s">
        <v>18</v>
      </c>
      <c r="F3565" s="27" t="s">
        <v>19</v>
      </c>
      <c r="G3565" s="27" t="s">
        <v>20</v>
      </c>
      <c r="H3565" s="29">
        <v>39</v>
      </c>
      <c r="I3565" s="27" t="s">
        <v>21</v>
      </c>
      <c r="J3565" s="37">
        <v>45624</v>
      </c>
      <c r="K3565" s="27" t="s">
        <v>22</v>
      </c>
    </row>
    <row r="3566" spans="1:11" x14ac:dyDescent="0.2">
      <c r="A3566" s="24" t="s">
        <v>8706</v>
      </c>
      <c r="B3566" s="24" t="s">
        <v>8707</v>
      </c>
      <c r="C3566" s="24" t="s">
        <v>8708</v>
      </c>
      <c r="D3566" s="24" t="s">
        <v>17</v>
      </c>
      <c r="E3566" s="24" t="s">
        <v>81</v>
      </c>
      <c r="F3566" s="24" t="s">
        <v>82</v>
      </c>
      <c r="G3566" s="24" t="s">
        <v>28</v>
      </c>
      <c r="H3566" s="26">
        <v>100</v>
      </c>
      <c r="I3566" s="24" t="s">
        <v>29</v>
      </c>
      <c r="J3566" s="36">
        <v>45602</v>
      </c>
      <c r="K3566" s="24" t="s">
        <v>22</v>
      </c>
    </row>
    <row r="3567" spans="1:11" x14ac:dyDescent="0.2">
      <c r="A3567" s="27" t="s">
        <v>8709</v>
      </c>
      <c r="B3567" s="27" t="s">
        <v>8710</v>
      </c>
      <c r="C3567" s="27" t="s">
        <v>3048</v>
      </c>
      <c r="D3567" s="27" t="s">
        <v>17</v>
      </c>
      <c r="E3567" s="27" t="s">
        <v>48</v>
      </c>
      <c r="F3567" s="27" t="s">
        <v>49</v>
      </c>
      <c r="G3567" s="27" t="s">
        <v>44</v>
      </c>
      <c r="H3567" s="29">
        <v>61</v>
      </c>
      <c r="I3567" s="27" t="s">
        <v>21</v>
      </c>
      <c r="J3567" s="37">
        <v>45601</v>
      </c>
      <c r="K3567" s="27" t="s">
        <v>22</v>
      </c>
    </row>
    <row r="3568" spans="1:11" x14ac:dyDescent="0.2">
      <c r="A3568" s="24" t="s">
        <v>8711</v>
      </c>
      <c r="B3568" s="24" t="s">
        <v>8712</v>
      </c>
      <c r="C3568" s="24" t="s">
        <v>8713</v>
      </c>
      <c r="D3568" s="24" t="s">
        <v>17</v>
      </c>
      <c r="E3568" s="24" t="s">
        <v>81</v>
      </c>
      <c r="F3568" s="24" t="s">
        <v>82</v>
      </c>
      <c r="G3568" s="24" t="s">
        <v>217</v>
      </c>
      <c r="H3568" s="26">
        <v>60</v>
      </c>
      <c r="I3568" s="24" t="s">
        <v>29</v>
      </c>
      <c r="J3568" s="36">
        <v>45611</v>
      </c>
      <c r="K3568" s="24" t="s">
        <v>22</v>
      </c>
    </row>
    <row r="3569" spans="1:11" x14ac:dyDescent="0.2">
      <c r="A3569" s="27" t="s">
        <v>8714</v>
      </c>
      <c r="B3569" s="27" t="s">
        <v>8715</v>
      </c>
      <c r="C3569" s="27" t="s">
        <v>8716</v>
      </c>
      <c r="D3569" s="27" t="s">
        <v>17</v>
      </c>
      <c r="E3569" s="27" t="s">
        <v>18</v>
      </c>
      <c r="F3569" s="27" t="s">
        <v>19</v>
      </c>
      <c r="G3569" s="27" t="s">
        <v>20</v>
      </c>
      <c r="H3569" s="29">
        <v>56</v>
      </c>
      <c r="I3569" s="27" t="s">
        <v>21</v>
      </c>
      <c r="J3569" s="37">
        <v>45617</v>
      </c>
      <c r="K3569" s="27" t="s">
        <v>22</v>
      </c>
    </row>
    <row r="3570" spans="1:11" x14ac:dyDescent="0.2">
      <c r="A3570" s="24" t="s">
        <v>8717</v>
      </c>
      <c r="B3570" s="24" t="s">
        <v>8718</v>
      </c>
      <c r="C3570" s="24" t="s">
        <v>8719</v>
      </c>
      <c r="D3570" s="24" t="s">
        <v>17</v>
      </c>
      <c r="E3570" s="24" t="s">
        <v>26</v>
      </c>
      <c r="F3570" s="24" t="s">
        <v>27</v>
      </c>
      <c r="G3570" s="24" t="s">
        <v>217</v>
      </c>
      <c r="H3570" s="26">
        <v>66</v>
      </c>
      <c r="I3570" s="24" t="s">
        <v>29</v>
      </c>
      <c r="J3570" s="36">
        <v>45611</v>
      </c>
      <c r="K3570" s="24" t="s">
        <v>22</v>
      </c>
    </row>
    <row r="3571" spans="1:11" x14ac:dyDescent="0.2">
      <c r="A3571" s="27" t="s">
        <v>8720</v>
      </c>
      <c r="B3571" s="27" t="s">
        <v>8721</v>
      </c>
      <c r="C3571" s="27" t="s">
        <v>251</v>
      </c>
      <c r="D3571" s="27" t="s">
        <v>17</v>
      </c>
      <c r="E3571" s="27" t="s">
        <v>81</v>
      </c>
      <c r="F3571" s="27" t="s">
        <v>82</v>
      </c>
      <c r="G3571" s="27" t="s">
        <v>44</v>
      </c>
      <c r="H3571" s="29">
        <v>85</v>
      </c>
      <c r="I3571" s="27" t="s">
        <v>21</v>
      </c>
      <c r="J3571" s="37">
        <v>45624</v>
      </c>
      <c r="K3571" s="27" t="s">
        <v>22</v>
      </c>
    </row>
    <row r="3572" spans="1:11" x14ac:dyDescent="0.2">
      <c r="A3572" s="24" t="s">
        <v>8722</v>
      </c>
      <c r="B3572" s="24" t="s">
        <v>8723</v>
      </c>
      <c r="C3572" s="24" t="s">
        <v>5388</v>
      </c>
      <c r="D3572" s="24" t="s">
        <v>17</v>
      </c>
      <c r="E3572" s="24" t="s">
        <v>26</v>
      </c>
      <c r="F3572" s="24" t="s">
        <v>27</v>
      </c>
      <c r="G3572" s="24" t="s">
        <v>44</v>
      </c>
      <c r="H3572" s="26">
        <v>522</v>
      </c>
      <c r="I3572" s="24" t="s">
        <v>29</v>
      </c>
      <c r="J3572" s="36">
        <v>45609</v>
      </c>
      <c r="K3572" s="24" t="s">
        <v>22</v>
      </c>
    </row>
    <row r="3573" spans="1:11" x14ac:dyDescent="0.2">
      <c r="A3573" s="27" t="s">
        <v>8724</v>
      </c>
      <c r="B3573" s="27" t="s">
        <v>8725</v>
      </c>
      <c r="C3573" s="27" t="s">
        <v>1068</v>
      </c>
      <c r="D3573" s="27" t="s">
        <v>17</v>
      </c>
      <c r="E3573" s="27" t="s">
        <v>48</v>
      </c>
      <c r="F3573" s="27" t="s">
        <v>49</v>
      </c>
      <c r="G3573" s="27" t="s">
        <v>44</v>
      </c>
      <c r="H3573" s="29">
        <v>135</v>
      </c>
      <c r="I3573" s="27" t="s">
        <v>29</v>
      </c>
      <c r="J3573" s="37">
        <v>45609</v>
      </c>
      <c r="K3573" s="27" t="s">
        <v>22</v>
      </c>
    </row>
    <row r="3574" spans="1:11" x14ac:dyDescent="0.2">
      <c r="A3574" s="24" t="s">
        <v>8726</v>
      </c>
      <c r="B3574" s="24" t="s">
        <v>8727</v>
      </c>
      <c r="C3574" s="24" t="s">
        <v>8728</v>
      </c>
      <c r="D3574" s="24" t="s">
        <v>17</v>
      </c>
      <c r="E3574" s="24" t="s">
        <v>18</v>
      </c>
      <c r="F3574" s="24" t="s">
        <v>19</v>
      </c>
      <c r="G3574" s="24" t="s">
        <v>28</v>
      </c>
      <c r="H3574" s="26">
        <v>18</v>
      </c>
      <c r="I3574" s="24" t="s">
        <v>29</v>
      </c>
      <c r="J3574" s="36">
        <v>45599</v>
      </c>
      <c r="K3574" s="24" t="s">
        <v>22</v>
      </c>
    </row>
    <row r="3575" spans="1:11" x14ac:dyDescent="0.2">
      <c r="A3575" s="27" t="s">
        <v>8729</v>
      </c>
      <c r="B3575" s="27" t="s">
        <v>8730</v>
      </c>
      <c r="C3575" s="27" t="s">
        <v>2015</v>
      </c>
      <c r="D3575" s="27" t="s">
        <v>17</v>
      </c>
      <c r="E3575" s="27" t="s">
        <v>18</v>
      </c>
      <c r="F3575" s="27" t="s">
        <v>19</v>
      </c>
      <c r="G3575" s="27" t="s">
        <v>20</v>
      </c>
      <c r="H3575" s="29">
        <v>24</v>
      </c>
      <c r="I3575" s="27" t="s">
        <v>21</v>
      </c>
      <c r="J3575" s="37">
        <v>45617</v>
      </c>
      <c r="K3575" s="27" t="s">
        <v>22</v>
      </c>
    </row>
    <row r="3576" spans="1:11" x14ac:dyDescent="0.2">
      <c r="A3576" s="24" t="s">
        <v>8731</v>
      </c>
      <c r="B3576" s="24" t="s">
        <v>8732</v>
      </c>
      <c r="C3576" s="24" t="s">
        <v>8733</v>
      </c>
      <c r="D3576" s="24" t="s">
        <v>17</v>
      </c>
      <c r="E3576" s="24" t="s">
        <v>18</v>
      </c>
      <c r="F3576" s="24" t="s">
        <v>19</v>
      </c>
      <c r="G3576" s="24" t="s">
        <v>20</v>
      </c>
      <c r="H3576" s="26">
        <v>89</v>
      </c>
      <c r="I3576" s="24" t="s">
        <v>21</v>
      </c>
      <c r="J3576" s="36">
        <v>45601</v>
      </c>
      <c r="K3576" s="24" t="s">
        <v>22</v>
      </c>
    </row>
    <row r="3577" spans="1:11" x14ac:dyDescent="0.2">
      <c r="A3577" s="27" t="s">
        <v>8734</v>
      </c>
      <c r="B3577" s="27" t="s">
        <v>8735</v>
      </c>
      <c r="C3577" s="27" t="s">
        <v>213</v>
      </c>
      <c r="D3577" s="27" t="s">
        <v>17</v>
      </c>
      <c r="E3577" s="27" t="s">
        <v>42</v>
      </c>
      <c r="F3577" s="27" t="s">
        <v>43</v>
      </c>
      <c r="G3577" s="27" t="s">
        <v>28</v>
      </c>
      <c r="H3577" s="29">
        <v>200</v>
      </c>
      <c r="I3577" s="27" t="s">
        <v>29</v>
      </c>
      <c r="J3577" s="37">
        <v>45611</v>
      </c>
      <c r="K3577" s="27" t="s">
        <v>22</v>
      </c>
    </row>
    <row r="3578" spans="1:11" x14ac:dyDescent="0.2">
      <c r="A3578" s="24" t="s">
        <v>8736</v>
      </c>
      <c r="B3578" s="24" t="s">
        <v>8737</v>
      </c>
      <c r="C3578" s="24" t="s">
        <v>2669</v>
      </c>
      <c r="D3578" s="24" t="s">
        <v>17</v>
      </c>
      <c r="E3578" s="24" t="s">
        <v>18</v>
      </c>
      <c r="F3578" s="24" t="s">
        <v>19</v>
      </c>
      <c r="G3578" s="24" t="s">
        <v>20</v>
      </c>
      <c r="H3578" s="26">
        <v>30</v>
      </c>
      <c r="I3578" s="24" t="s">
        <v>21</v>
      </c>
      <c r="J3578" s="36">
        <v>45620</v>
      </c>
      <c r="K3578" s="24" t="s">
        <v>22</v>
      </c>
    </row>
    <row r="3579" spans="1:11" x14ac:dyDescent="0.2">
      <c r="A3579" s="27" t="s">
        <v>8738</v>
      </c>
      <c r="B3579" s="27" t="s">
        <v>8739</v>
      </c>
      <c r="C3579" s="27" t="s">
        <v>8740</v>
      </c>
      <c r="D3579" s="27" t="s">
        <v>17</v>
      </c>
      <c r="E3579" s="27" t="s">
        <v>18</v>
      </c>
      <c r="F3579" s="27" t="s">
        <v>19</v>
      </c>
      <c r="G3579" s="27" t="s">
        <v>20</v>
      </c>
      <c r="H3579" s="29">
        <v>6</v>
      </c>
      <c r="I3579" s="27" t="s">
        <v>21</v>
      </c>
      <c r="J3579" s="37">
        <v>45602</v>
      </c>
      <c r="K3579" s="27" t="s">
        <v>22</v>
      </c>
    </row>
    <row r="3580" spans="1:11" x14ac:dyDescent="0.2">
      <c r="A3580" s="24" t="s">
        <v>8741</v>
      </c>
      <c r="B3580" s="24" t="s">
        <v>8742</v>
      </c>
      <c r="C3580" s="24" t="s">
        <v>8743</v>
      </c>
      <c r="D3580" s="24" t="s">
        <v>17</v>
      </c>
      <c r="E3580" s="24" t="s">
        <v>18</v>
      </c>
      <c r="F3580" s="24" t="s">
        <v>19</v>
      </c>
      <c r="G3580" s="24" t="s">
        <v>28</v>
      </c>
      <c r="H3580" s="26">
        <v>48</v>
      </c>
      <c r="I3580" s="24" t="s">
        <v>29</v>
      </c>
      <c r="J3580" s="36">
        <v>45604</v>
      </c>
      <c r="K3580" s="24" t="s">
        <v>22</v>
      </c>
    </row>
    <row r="3581" spans="1:11" x14ac:dyDescent="0.2">
      <c r="A3581" s="27" t="s">
        <v>8744</v>
      </c>
      <c r="B3581" s="27" t="s">
        <v>8745</v>
      </c>
      <c r="C3581" s="27" t="s">
        <v>4227</v>
      </c>
      <c r="D3581" s="27" t="s">
        <v>17</v>
      </c>
      <c r="E3581" s="27" t="s">
        <v>18</v>
      </c>
      <c r="F3581" s="27" t="s">
        <v>19</v>
      </c>
      <c r="G3581" s="27" t="s">
        <v>20</v>
      </c>
      <c r="H3581" s="29">
        <v>14</v>
      </c>
      <c r="I3581" s="27" t="s">
        <v>21</v>
      </c>
      <c r="J3581" s="37">
        <v>45609</v>
      </c>
      <c r="K3581" s="27" t="s">
        <v>22</v>
      </c>
    </row>
    <row r="3582" spans="1:11" x14ac:dyDescent="0.2">
      <c r="A3582" s="24" t="s">
        <v>8746</v>
      </c>
      <c r="B3582" s="24" t="s">
        <v>8747</v>
      </c>
      <c r="C3582" s="24" t="s">
        <v>2669</v>
      </c>
      <c r="D3582" s="24" t="s">
        <v>17</v>
      </c>
      <c r="E3582" s="24" t="s">
        <v>42</v>
      </c>
      <c r="F3582" s="24" t="s">
        <v>43</v>
      </c>
      <c r="G3582" s="24" t="s">
        <v>28</v>
      </c>
      <c r="H3582" s="26">
        <v>400</v>
      </c>
      <c r="I3582" s="24" t="s">
        <v>29</v>
      </c>
      <c r="J3582" s="36">
        <v>45617</v>
      </c>
      <c r="K3582" s="24" t="s">
        <v>22</v>
      </c>
    </row>
    <row r="3583" spans="1:11" x14ac:dyDescent="0.2">
      <c r="A3583" s="27" t="s">
        <v>8748</v>
      </c>
      <c r="B3583" s="27" t="s">
        <v>8749</v>
      </c>
      <c r="C3583" s="27" t="s">
        <v>8750</v>
      </c>
      <c r="D3583" s="27" t="s">
        <v>17</v>
      </c>
      <c r="E3583" s="27" t="s">
        <v>18</v>
      </c>
      <c r="F3583" s="27" t="s">
        <v>19</v>
      </c>
      <c r="G3583" s="27" t="s">
        <v>116</v>
      </c>
      <c r="H3583" s="29">
        <v>0</v>
      </c>
      <c r="I3583" s="27" t="s">
        <v>21</v>
      </c>
      <c r="J3583" s="37">
        <v>45604</v>
      </c>
      <c r="K3583" s="27" t="s">
        <v>22</v>
      </c>
    </row>
    <row r="3584" spans="1:11" x14ac:dyDescent="0.2">
      <c r="A3584" s="24" t="s">
        <v>8751</v>
      </c>
      <c r="B3584" s="24" t="s">
        <v>8752</v>
      </c>
      <c r="C3584" s="24" t="s">
        <v>251</v>
      </c>
      <c r="D3584" s="24" t="s">
        <v>17</v>
      </c>
      <c r="E3584" s="24" t="s">
        <v>81</v>
      </c>
      <c r="F3584" s="24" t="s">
        <v>82</v>
      </c>
      <c r="G3584" s="24" t="s">
        <v>44</v>
      </c>
      <c r="H3584" s="26">
        <v>32</v>
      </c>
      <c r="I3584" s="24" t="s">
        <v>21</v>
      </c>
      <c r="J3584" s="36">
        <v>45608</v>
      </c>
      <c r="K3584" s="24" t="s">
        <v>22</v>
      </c>
    </row>
    <row r="3585" spans="1:11" x14ac:dyDescent="0.2">
      <c r="A3585" s="27" t="s">
        <v>8753</v>
      </c>
      <c r="B3585" s="27" t="s">
        <v>8754</v>
      </c>
      <c r="C3585" s="27" t="s">
        <v>55</v>
      </c>
      <c r="D3585" s="27" t="s">
        <v>17</v>
      </c>
      <c r="E3585" s="27" t="s">
        <v>18</v>
      </c>
      <c r="F3585" s="27" t="s">
        <v>19</v>
      </c>
      <c r="G3585" s="27" t="s">
        <v>20</v>
      </c>
      <c r="H3585" s="29">
        <v>27</v>
      </c>
      <c r="I3585" s="27" t="s">
        <v>21</v>
      </c>
      <c r="J3585" s="37">
        <v>45618</v>
      </c>
      <c r="K3585" s="27" t="s">
        <v>22</v>
      </c>
    </row>
    <row r="3586" spans="1:11" x14ac:dyDescent="0.2">
      <c r="A3586" s="24" t="s">
        <v>8755</v>
      </c>
      <c r="B3586" s="24" t="s">
        <v>8756</v>
      </c>
      <c r="C3586" s="24" t="s">
        <v>8757</v>
      </c>
      <c r="D3586" s="24" t="s">
        <v>17</v>
      </c>
      <c r="E3586" s="24" t="s">
        <v>18</v>
      </c>
      <c r="F3586" s="24" t="s">
        <v>19</v>
      </c>
      <c r="G3586" s="24" t="s">
        <v>44</v>
      </c>
      <c r="H3586" s="26">
        <v>48</v>
      </c>
      <c r="I3586" s="24" t="s">
        <v>29</v>
      </c>
      <c r="J3586" s="36">
        <v>45600</v>
      </c>
      <c r="K3586" s="24" t="s">
        <v>22</v>
      </c>
    </row>
    <row r="3587" spans="1:11" x14ac:dyDescent="0.2">
      <c r="A3587" s="27" t="s">
        <v>8758</v>
      </c>
      <c r="B3587" s="27" t="s">
        <v>8759</v>
      </c>
      <c r="C3587" s="27" t="s">
        <v>251</v>
      </c>
      <c r="D3587" s="27" t="s">
        <v>17</v>
      </c>
      <c r="E3587" s="27" t="s">
        <v>81</v>
      </c>
      <c r="F3587" s="27" t="s">
        <v>82</v>
      </c>
      <c r="G3587" s="27" t="s">
        <v>28</v>
      </c>
      <c r="H3587" s="29">
        <v>20</v>
      </c>
      <c r="I3587" s="27" t="s">
        <v>29</v>
      </c>
      <c r="J3587" s="37">
        <v>45621</v>
      </c>
      <c r="K3587" s="27" t="s">
        <v>22</v>
      </c>
    </row>
    <row r="3588" spans="1:11" x14ac:dyDescent="0.2">
      <c r="A3588" s="24" t="s">
        <v>8760</v>
      </c>
      <c r="B3588" s="24" t="s">
        <v>8761</v>
      </c>
      <c r="C3588" s="24" t="s">
        <v>4510</v>
      </c>
      <c r="D3588" s="24" t="s">
        <v>17</v>
      </c>
      <c r="E3588" s="24" t="s">
        <v>18</v>
      </c>
      <c r="F3588" s="24" t="s">
        <v>19</v>
      </c>
      <c r="G3588" s="24" t="s">
        <v>28</v>
      </c>
      <c r="H3588" s="26">
        <v>56</v>
      </c>
      <c r="I3588" s="24" t="s">
        <v>29</v>
      </c>
      <c r="J3588" s="36">
        <v>45622</v>
      </c>
      <c r="K3588" s="24" t="s">
        <v>22</v>
      </c>
    </row>
    <row r="3589" spans="1:11" x14ac:dyDescent="0.2">
      <c r="A3589" s="27" t="s">
        <v>8762</v>
      </c>
      <c r="B3589" s="27" t="s">
        <v>8763</v>
      </c>
      <c r="C3589" s="27" t="s">
        <v>494</v>
      </c>
      <c r="D3589" s="27" t="s">
        <v>17</v>
      </c>
      <c r="E3589" s="27" t="s">
        <v>18</v>
      </c>
      <c r="F3589" s="27" t="s">
        <v>19</v>
      </c>
      <c r="G3589" s="27" t="s">
        <v>20</v>
      </c>
      <c r="H3589" s="29">
        <v>32</v>
      </c>
      <c r="I3589" s="27" t="s">
        <v>21</v>
      </c>
      <c r="J3589" s="37">
        <v>45616</v>
      </c>
      <c r="K3589" s="27" t="s">
        <v>22</v>
      </c>
    </row>
    <row r="3590" spans="1:11" x14ac:dyDescent="0.2">
      <c r="A3590" s="24" t="s">
        <v>8764</v>
      </c>
      <c r="B3590" s="24" t="s">
        <v>8765</v>
      </c>
      <c r="C3590" s="24" t="s">
        <v>97</v>
      </c>
      <c r="D3590" s="24" t="s">
        <v>17</v>
      </c>
      <c r="E3590" s="24" t="s">
        <v>48</v>
      </c>
      <c r="F3590" s="24" t="s">
        <v>49</v>
      </c>
      <c r="G3590" s="24" t="s">
        <v>28</v>
      </c>
      <c r="H3590" s="26">
        <v>240</v>
      </c>
      <c r="I3590" s="24" t="s">
        <v>29</v>
      </c>
      <c r="J3590" s="36">
        <v>45623</v>
      </c>
      <c r="K3590" s="24" t="s">
        <v>22</v>
      </c>
    </row>
    <row r="3591" spans="1:11" x14ac:dyDescent="0.2">
      <c r="A3591" s="27" t="s">
        <v>8766</v>
      </c>
      <c r="B3591" s="27" t="s">
        <v>8767</v>
      </c>
      <c r="C3591" s="27" t="s">
        <v>8768</v>
      </c>
      <c r="D3591" s="27" t="s">
        <v>17</v>
      </c>
      <c r="E3591" s="27" t="s">
        <v>18</v>
      </c>
      <c r="F3591" s="27" t="s">
        <v>19</v>
      </c>
      <c r="G3591" s="27" t="s">
        <v>28</v>
      </c>
      <c r="H3591" s="29">
        <v>124</v>
      </c>
      <c r="I3591" s="27" t="s">
        <v>29</v>
      </c>
      <c r="J3591" s="37">
        <v>45608</v>
      </c>
      <c r="K3591" s="27" t="s">
        <v>22</v>
      </c>
    </row>
    <row r="3592" spans="1:11" x14ac:dyDescent="0.2">
      <c r="A3592" s="24" t="s">
        <v>8769</v>
      </c>
      <c r="B3592" s="24" t="s">
        <v>8770</v>
      </c>
      <c r="C3592" s="24" t="s">
        <v>223</v>
      </c>
      <c r="D3592" s="24" t="s">
        <v>17</v>
      </c>
      <c r="E3592" s="24" t="s">
        <v>26</v>
      </c>
      <c r="F3592" s="24" t="s">
        <v>27</v>
      </c>
      <c r="G3592" s="24" t="s">
        <v>217</v>
      </c>
      <c r="H3592" s="26">
        <v>380</v>
      </c>
      <c r="I3592" s="24" t="s">
        <v>29</v>
      </c>
      <c r="J3592" s="36">
        <v>45609</v>
      </c>
      <c r="K3592" s="24" t="s">
        <v>22</v>
      </c>
    </row>
    <row r="3593" spans="1:11" x14ac:dyDescent="0.2">
      <c r="A3593" s="27" t="s">
        <v>8771</v>
      </c>
      <c r="B3593" s="27" t="s">
        <v>8772</v>
      </c>
      <c r="C3593" s="27" t="s">
        <v>1593</v>
      </c>
      <c r="D3593" s="27" t="s">
        <v>17</v>
      </c>
      <c r="E3593" s="27" t="s">
        <v>18</v>
      </c>
      <c r="F3593" s="27" t="s">
        <v>19</v>
      </c>
      <c r="G3593" s="27" t="s">
        <v>217</v>
      </c>
      <c r="H3593" s="29">
        <v>24</v>
      </c>
      <c r="I3593" s="27" t="s">
        <v>29</v>
      </c>
      <c r="J3593" s="37">
        <v>45597</v>
      </c>
      <c r="K3593" s="27" t="s">
        <v>22</v>
      </c>
    </row>
    <row r="3594" spans="1:11" x14ac:dyDescent="0.2">
      <c r="A3594" s="24" t="s">
        <v>8773</v>
      </c>
      <c r="B3594" s="24" t="s">
        <v>8774</v>
      </c>
      <c r="C3594" s="24" t="s">
        <v>708</v>
      </c>
      <c r="D3594" s="24" t="s">
        <v>17</v>
      </c>
      <c r="E3594" s="24" t="s">
        <v>42</v>
      </c>
      <c r="F3594" s="24" t="s">
        <v>43</v>
      </c>
      <c r="G3594" s="24" t="s">
        <v>20</v>
      </c>
      <c r="H3594" s="26">
        <v>54</v>
      </c>
      <c r="I3594" s="24" t="s">
        <v>21</v>
      </c>
      <c r="J3594" s="36">
        <v>45615</v>
      </c>
      <c r="K3594" s="24" t="s">
        <v>22</v>
      </c>
    </row>
    <row r="3595" spans="1:11" x14ac:dyDescent="0.2">
      <c r="A3595" s="27" t="s">
        <v>8775</v>
      </c>
      <c r="B3595" s="27" t="s">
        <v>8776</v>
      </c>
      <c r="C3595" s="27" t="s">
        <v>1454</v>
      </c>
      <c r="D3595" s="27" t="s">
        <v>17</v>
      </c>
      <c r="E3595" s="27" t="s">
        <v>48</v>
      </c>
      <c r="F3595" s="27" t="s">
        <v>49</v>
      </c>
      <c r="G3595" s="27" t="s">
        <v>28</v>
      </c>
      <c r="H3595" s="29">
        <v>150</v>
      </c>
      <c r="I3595" s="27" t="s">
        <v>29</v>
      </c>
      <c r="J3595" s="37">
        <v>45615</v>
      </c>
      <c r="K3595" s="27" t="s">
        <v>22</v>
      </c>
    </row>
    <row r="3596" spans="1:11" x14ac:dyDescent="0.2">
      <c r="A3596" s="24" t="s">
        <v>8777</v>
      </c>
      <c r="B3596" s="24" t="s">
        <v>8778</v>
      </c>
      <c r="C3596" s="24" t="s">
        <v>8779</v>
      </c>
      <c r="D3596" s="24" t="s">
        <v>17</v>
      </c>
      <c r="E3596" s="24" t="s">
        <v>81</v>
      </c>
      <c r="F3596" s="24" t="s">
        <v>82</v>
      </c>
      <c r="G3596" s="24" t="s">
        <v>28</v>
      </c>
      <c r="H3596" s="26">
        <v>48</v>
      </c>
      <c r="I3596" s="24" t="s">
        <v>29</v>
      </c>
      <c r="J3596" s="36">
        <v>45602</v>
      </c>
      <c r="K3596" s="24" t="s">
        <v>22</v>
      </c>
    </row>
    <row r="3597" spans="1:11" x14ac:dyDescent="0.2">
      <c r="A3597" s="27" t="s">
        <v>8780</v>
      </c>
      <c r="B3597" s="27" t="s">
        <v>8781</v>
      </c>
      <c r="C3597" s="27" t="s">
        <v>1850</v>
      </c>
      <c r="D3597" s="27" t="s">
        <v>17</v>
      </c>
      <c r="E3597" s="27" t="s">
        <v>42</v>
      </c>
      <c r="F3597" s="27" t="s">
        <v>43</v>
      </c>
      <c r="G3597" s="27" t="s">
        <v>28</v>
      </c>
      <c r="H3597" s="29">
        <v>24</v>
      </c>
      <c r="I3597" s="27" t="s">
        <v>29</v>
      </c>
      <c r="J3597" s="37">
        <v>45603</v>
      </c>
      <c r="K3597" s="27" t="s">
        <v>22</v>
      </c>
    </row>
    <row r="3598" spans="1:11" x14ac:dyDescent="0.2">
      <c r="A3598" s="24" t="s">
        <v>8782</v>
      </c>
      <c r="B3598" s="24" t="s">
        <v>8783</v>
      </c>
      <c r="C3598" s="24" t="s">
        <v>827</v>
      </c>
      <c r="D3598" s="24" t="s">
        <v>17</v>
      </c>
      <c r="E3598" s="24" t="s">
        <v>18</v>
      </c>
      <c r="F3598" s="24" t="s">
        <v>19</v>
      </c>
      <c r="G3598" s="24" t="s">
        <v>217</v>
      </c>
      <c r="H3598" s="26">
        <v>180</v>
      </c>
      <c r="I3598" s="24" t="s">
        <v>29</v>
      </c>
      <c r="J3598" s="36">
        <v>45600</v>
      </c>
      <c r="K3598" s="24" t="s">
        <v>22</v>
      </c>
    </row>
    <row r="3599" spans="1:11" x14ac:dyDescent="0.2">
      <c r="A3599" s="27" t="s">
        <v>8784</v>
      </c>
      <c r="B3599" s="27" t="s">
        <v>8785</v>
      </c>
      <c r="C3599" s="27" t="s">
        <v>8786</v>
      </c>
      <c r="D3599" s="27" t="s">
        <v>17</v>
      </c>
      <c r="E3599" s="27" t="s">
        <v>26</v>
      </c>
      <c r="F3599" s="27" t="s">
        <v>27</v>
      </c>
      <c r="G3599" s="27" t="s">
        <v>217</v>
      </c>
      <c r="H3599" s="29">
        <v>44</v>
      </c>
      <c r="I3599" s="27" t="s">
        <v>29</v>
      </c>
      <c r="J3599" s="37">
        <v>45618</v>
      </c>
      <c r="K3599" s="27" t="s">
        <v>22</v>
      </c>
    </row>
    <row r="3600" spans="1:11" x14ac:dyDescent="0.2">
      <c r="A3600" s="24" t="s">
        <v>8787</v>
      </c>
      <c r="B3600" s="24" t="s">
        <v>8788</v>
      </c>
      <c r="C3600" s="24" t="s">
        <v>8789</v>
      </c>
      <c r="D3600" s="24" t="s">
        <v>17</v>
      </c>
      <c r="E3600" s="24" t="s">
        <v>48</v>
      </c>
      <c r="F3600" s="24" t="s">
        <v>49</v>
      </c>
      <c r="G3600" s="24" t="s">
        <v>28</v>
      </c>
      <c r="H3600" s="26">
        <v>20</v>
      </c>
      <c r="I3600" s="24" t="s">
        <v>29</v>
      </c>
      <c r="J3600" s="36">
        <v>45611</v>
      </c>
      <c r="K3600" s="24" t="s">
        <v>22</v>
      </c>
    </row>
    <row r="3601" spans="1:11" x14ac:dyDescent="0.2">
      <c r="A3601" s="27" t="s">
        <v>8790</v>
      </c>
      <c r="B3601" s="27" t="s">
        <v>8791</v>
      </c>
      <c r="C3601" s="27" t="s">
        <v>423</v>
      </c>
      <c r="D3601" s="27" t="s">
        <v>17</v>
      </c>
      <c r="E3601" s="27" t="s">
        <v>18</v>
      </c>
      <c r="F3601" s="27" t="s">
        <v>19</v>
      </c>
      <c r="G3601" s="27" t="s">
        <v>20</v>
      </c>
      <c r="H3601" s="29">
        <v>30</v>
      </c>
      <c r="I3601" s="27" t="s">
        <v>21</v>
      </c>
      <c r="J3601" s="37">
        <v>45602</v>
      </c>
      <c r="K3601" s="27" t="s">
        <v>22</v>
      </c>
    </row>
    <row r="3602" spans="1:11" x14ac:dyDescent="0.2">
      <c r="A3602" s="24" t="s">
        <v>8792</v>
      </c>
      <c r="B3602" s="24" t="s">
        <v>8793</v>
      </c>
      <c r="C3602" s="24" t="s">
        <v>494</v>
      </c>
      <c r="D3602" s="24" t="s">
        <v>17</v>
      </c>
      <c r="E3602" s="24" t="s">
        <v>48</v>
      </c>
      <c r="F3602" s="24" t="s">
        <v>49</v>
      </c>
      <c r="G3602" s="24" t="s">
        <v>28</v>
      </c>
      <c r="H3602" s="26">
        <v>80</v>
      </c>
      <c r="I3602" s="24" t="s">
        <v>29</v>
      </c>
      <c r="J3602" s="36">
        <v>45602</v>
      </c>
      <c r="K3602" s="24" t="s">
        <v>22</v>
      </c>
    </row>
    <row r="3603" spans="1:11" x14ac:dyDescent="0.2">
      <c r="A3603" s="27" t="s">
        <v>8794</v>
      </c>
      <c r="B3603" s="27" t="s">
        <v>8795</v>
      </c>
      <c r="C3603" s="27" t="s">
        <v>8796</v>
      </c>
      <c r="D3603" s="27" t="s">
        <v>17</v>
      </c>
      <c r="E3603" s="27" t="s">
        <v>18</v>
      </c>
      <c r="F3603" s="27" t="s">
        <v>19</v>
      </c>
      <c r="G3603" s="27" t="s">
        <v>20</v>
      </c>
      <c r="H3603" s="29">
        <v>12</v>
      </c>
      <c r="I3603" s="27" t="s">
        <v>21</v>
      </c>
      <c r="J3603" s="37">
        <v>45602</v>
      </c>
      <c r="K3603" s="27" t="s">
        <v>22</v>
      </c>
    </row>
    <row r="3604" spans="1:11" x14ac:dyDescent="0.2">
      <c r="A3604" s="24" t="s">
        <v>8797</v>
      </c>
      <c r="B3604" s="24" t="s">
        <v>8798</v>
      </c>
      <c r="C3604" s="24" t="s">
        <v>6580</v>
      </c>
      <c r="D3604" s="24" t="s">
        <v>17</v>
      </c>
      <c r="E3604" s="24" t="s">
        <v>42</v>
      </c>
      <c r="F3604" s="24" t="s">
        <v>43</v>
      </c>
      <c r="G3604" s="24" t="s">
        <v>28</v>
      </c>
      <c r="H3604" s="26">
        <v>320</v>
      </c>
      <c r="I3604" s="24" t="s">
        <v>29</v>
      </c>
      <c r="J3604" s="36">
        <v>45607</v>
      </c>
      <c r="K3604" s="24" t="s">
        <v>22</v>
      </c>
    </row>
    <row r="3605" spans="1:11" x14ac:dyDescent="0.2">
      <c r="A3605" s="27" t="s">
        <v>8799</v>
      </c>
      <c r="B3605" s="27" t="s">
        <v>8800</v>
      </c>
      <c r="C3605" s="27" t="s">
        <v>2638</v>
      </c>
      <c r="D3605" s="27" t="s">
        <v>17</v>
      </c>
      <c r="E3605" s="27" t="s">
        <v>18</v>
      </c>
      <c r="F3605" s="27" t="s">
        <v>19</v>
      </c>
      <c r="G3605" s="27" t="s">
        <v>28</v>
      </c>
      <c r="H3605" s="29">
        <v>20</v>
      </c>
      <c r="I3605" s="27" t="s">
        <v>29</v>
      </c>
      <c r="J3605" s="37">
        <v>45603</v>
      </c>
      <c r="K3605" s="27" t="s">
        <v>22</v>
      </c>
    </row>
    <row r="3606" spans="1:11" x14ac:dyDescent="0.2">
      <c r="A3606" s="24" t="s">
        <v>8801</v>
      </c>
      <c r="B3606" s="24" t="s">
        <v>8802</v>
      </c>
      <c r="C3606" s="24" t="s">
        <v>801</v>
      </c>
      <c r="D3606" s="24" t="s">
        <v>17</v>
      </c>
      <c r="E3606" s="24" t="s">
        <v>18</v>
      </c>
      <c r="F3606" s="24" t="s">
        <v>19</v>
      </c>
      <c r="G3606" s="24" t="s">
        <v>28</v>
      </c>
      <c r="H3606" s="26">
        <v>410</v>
      </c>
      <c r="I3606" s="24" t="s">
        <v>29</v>
      </c>
      <c r="J3606" s="36">
        <v>45610</v>
      </c>
      <c r="K3606" s="24" t="s">
        <v>22</v>
      </c>
    </row>
    <row r="3607" spans="1:11" x14ac:dyDescent="0.2">
      <c r="A3607" s="27" t="s">
        <v>8803</v>
      </c>
      <c r="B3607" s="27" t="s">
        <v>8804</v>
      </c>
      <c r="C3607" s="27" t="s">
        <v>8805</v>
      </c>
      <c r="D3607" s="27" t="s">
        <v>17</v>
      </c>
      <c r="E3607" s="27" t="s">
        <v>18</v>
      </c>
      <c r="F3607" s="27" t="s">
        <v>19</v>
      </c>
      <c r="G3607" s="27" t="s">
        <v>44</v>
      </c>
      <c r="H3607" s="29">
        <v>24</v>
      </c>
      <c r="I3607" s="27" t="s">
        <v>29</v>
      </c>
      <c r="J3607" s="37">
        <v>45603</v>
      </c>
      <c r="K3607" s="27" t="s">
        <v>22</v>
      </c>
    </row>
    <row r="3608" spans="1:11" x14ac:dyDescent="0.2">
      <c r="A3608" s="24" t="s">
        <v>8806</v>
      </c>
      <c r="B3608" s="24" t="s">
        <v>8807</v>
      </c>
      <c r="C3608" s="24" t="s">
        <v>5060</v>
      </c>
      <c r="D3608" s="24" t="s">
        <v>17</v>
      </c>
      <c r="E3608" s="24" t="s">
        <v>163</v>
      </c>
      <c r="F3608" s="24" t="s">
        <v>164</v>
      </c>
      <c r="G3608" s="24" t="s">
        <v>217</v>
      </c>
      <c r="H3608" s="26">
        <v>16</v>
      </c>
      <c r="I3608" s="24" t="s">
        <v>29</v>
      </c>
      <c r="J3608" s="36">
        <v>45626</v>
      </c>
      <c r="K3608" s="24" t="s">
        <v>22</v>
      </c>
    </row>
    <row r="3609" spans="1:11" x14ac:dyDescent="0.2">
      <c r="A3609" s="27" t="s">
        <v>8808</v>
      </c>
      <c r="B3609" s="27" t="s">
        <v>8809</v>
      </c>
      <c r="C3609" s="27" t="s">
        <v>8810</v>
      </c>
      <c r="D3609" s="27" t="s">
        <v>17</v>
      </c>
      <c r="E3609" s="27" t="s">
        <v>48</v>
      </c>
      <c r="F3609" s="27" t="s">
        <v>49</v>
      </c>
      <c r="G3609" s="27" t="s">
        <v>44</v>
      </c>
      <c r="H3609" s="29">
        <v>213</v>
      </c>
      <c r="I3609" s="27" t="s">
        <v>21</v>
      </c>
      <c r="J3609" s="37">
        <v>45611</v>
      </c>
      <c r="K3609" s="27" t="s">
        <v>22</v>
      </c>
    </row>
    <row r="3610" spans="1:11" x14ac:dyDescent="0.2">
      <c r="A3610" s="24" t="s">
        <v>8811</v>
      </c>
      <c r="B3610" s="24" t="s">
        <v>8812</v>
      </c>
      <c r="C3610" s="24" t="s">
        <v>1796</v>
      </c>
      <c r="D3610" s="24" t="s">
        <v>17</v>
      </c>
      <c r="E3610" s="24" t="s">
        <v>18</v>
      </c>
      <c r="F3610" s="24" t="s">
        <v>19</v>
      </c>
      <c r="G3610" s="24" t="s">
        <v>217</v>
      </c>
      <c r="H3610" s="26">
        <v>120</v>
      </c>
      <c r="I3610" s="24" t="s">
        <v>29</v>
      </c>
      <c r="J3610" s="36">
        <v>45616</v>
      </c>
      <c r="K3610" s="24" t="s">
        <v>22</v>
      </c>
    </row>
    <row r="3611" spans="1:11" x14ac:dyDescent="0.2">
      <c r="A3611" s="27" t="s">
        <v>8813</v>
      </c>
      <c r="B3611" s="27" t="s">
        <v>8814</v>
      </c>
      <c r="C3611" s="27" t="s">
        <v>8815</v>
      </c>
      <c r="D3611" s="27" t="s">
        <v>17</v>
      </c>
      <c r="E3611" s="27" t="s">
        <v>48</v>
      </c>
      <c r="F3611" s="27" t="s">
        <v>49</v>
      </c>
      <c r="G3611" s="27" t="s">
        <v>28</v>
      </c>
      <c r="H3611" s="29">
        <v>88</v>
      </c>
      <c r="I3611" s="27" t="s">
        <v>29</v>
      </c>
      <c r="J3611" s="37">
        <v>45624</v>
      </c>
      <c r="K3611" s="27" t="s">
        <v>22</v>
      </c>
    </row>
    <row r="3612" spans="1:11" x14ac:dyDescent="0.2">
      <c r="A3612" s="24" t="s">
        <v>8816</v>
      </c>
      <c r="B3612" s="24" t="s">
        <v>8817</v>
      </c>
      <c r="C3612" s="24" t="s">
        <v>7418</v>
      </c>
      <c r="D3612" s="24" t="s">
        <v>17</v>
      </c>
      <c r="E3612" s="24" t="s">
        <v>42</v>
      </c>
      <c r="F3612" s="24" t="s">
        <v>43</v>
      </c>
      <c r="G3612" s="24" t="s">
        <v>28</v>
      </c>
      <c r="H3612" s="26">
        <v>338</v>
      </c>
      <c r="I3612" s="24" t="s">
        <v>29</v>
      </c>
      <c r="J3612" s="36">
        <v>45624</v>
      </c>
      <c r="K3612" s="24" t="s">
        <v>22</v>
      </c>
    </row>
    <row r="3613" spans="1:11" x14ac:dyDescent="0.2">
      <c r="A3613" s="27" t="s">
        <v>8818</v>
      </c>
      <c r="B3613" s="27" t="s">
        <v>8819</v>
      </c>
      <c r="C3613" s="27" t="s">
        <v>921</v>
      </c>
      <c r="D3613" s="27" t="s">
        <v>17</v>
      </c>
      <c r="E3613" s="27" t="s">
        <v>18</v>
      </c>
      <c r="F3613" s="27" t="s">
        <v>19</v>
      </c>
      <c r="G3613" s="27" t="s">
        <v>28</v>
      </c>
      <c r="H3613" s="29">
        <v>136</v>
      </c>
      <c r="I3613" s="27" t="s">
        <v>29</v>
      </c>
      <c r="J3613" s="37">
        <v>45624</v>
      </c>
      <c r="K3613" s="27" t="s">
        <v>22</v>
      </c>
    </row>
    <row r="3614" spans="1:11" x14ac:dyDescent="0.2">
      <c r="A3614" s="24" t="s">
        <v>8820</v>
      </c>
      <c r="B3614" s="24" t="s">
        <v>8821</v>
      </c>
      <c r="C3614" s="24" t="s">
        <v>8822</v>
      </c>
      <c r="D3614" s="24" t="s">
        <v>17</v>
      </c>
      <c r="E3614" s="24" t="s">
        <v>18</v>
      </c>
      <c r="F3614" s="24" t="s">
        <v>19</v>
      </c>
      <c r="G3614" s="24" t="s">
        <v>20</v>
      </c>
      <c r="H3614" s="26">
        <v>47</v>
      </c>
      <c r="I3614" s="24" t="s">
        <v>21</v>
      </c>
      <c r="J3614" s="36">
        <v>45607</v>
      </c>
      <c r="K3614" s="24" t="s">
        <v>22</v>
      </c>
    </row>
    <row r="3615" spans="1:11" x14ac:dyDescent="0.2">
      <c r="A3615" s="27" t="s">
        <v>8823</v>
      </c>
      <c r="B3615" s="27" t="s">
        <v>8824</v>
      </c>
      <c r="C3615" s="27" t="s">
        <v>7117</v>
      </c>
      <c r="D3615" s="27" t="s">
        <v>17</v>
      </c>
      <c r="E3615" s="27" t="s">
        <v>42</v>
      </c>
      <c r="F3615" s="27" t="s">
        <v>43</v>
      </c>
      <c r="G3615" s="27" t="s">
        <v>28</v>
      </c>
      <c r="H3615" s="29">
        <v>210</v>
      </c>
      <c r="I3615" s="27" t="s">
        <v>29</v>
      </c>
      <c r="J3615" s="37">
        <v>45612</v>
      </c>
      <c r="K3615" s="27" t="s">
        <v>22</v>
      </c>
    </row>
    <row r="3616" spans="1:11" x14ac:dyDescent="0.2">
      <c r="A3616" s="24" t="s">
        <v>8825</v>
      </c>
      <c r="B3616" s="24" t="s">
        <v>8826</v>
      </c>
      <c r="C3616" s="24" t="s">
        <v>208</v>
      </c>
      <c r="D3616" s="24" t="s">
        <v>17</v>
      </c>
      <c r="E3616" s="24" t="s">
        <v>48</v>
      </c>
      <c r="F3616" s="24" t="s">
        <v>49</v>
      </c>
      <c r="G3616" s="24" t="s">
        <v>28</v>
      </c>
      <c r="H3616" s="26">
        <v>1147</v>
      </c>
      <c r="I3616" s="24" t="s">
        <v>29</v>
      </c>
      <c r="J3616" s="36">
        <v>45603</v>
      </c>
      <c r="K3616" s="24" t="s">
        <v>22</v>
      </c>
    </row>
    <row r="3617" spans="1:11" x14ac:dyDescent="0.2">
      <c r="A3617" s="27" t="s">
        <v>8827</v>
      </c>
      <c r="B3617" s="27" t="s">
        <v>8828</v>
      </c>
      <c r="C3617" s="27" t="s">
        <v>2663</v>
      </c>
      <c r="D3617" s="27" t="s">
        <v>17</v>
      </c>
      <c r="E3617" s="27" t="s">
        <v>18</v>
      </c>
      <c r="F3617" s="27" t="s">
        <v>19</v>
      </c>
      <c r="G3617" s="27" t="s">
        <v>44</v>
      </c>
      <c r="H3617" s="29">
        <v>85</v>
      </c>
      <c r="I3617" s="27" t="s">
        <v>21</v>
      </c>
      <c r="J3617" s="37">
        <v>45597</v>
      </c>
      <c r="K3617" s="27" t="s">
        <v>22</v>
      </c>
    </row>
    <row r="3618" spans="1:11" x14ac:dyDescent="0.2">
      <c r="A3618" s="24" t="s">
        <v>8829</v>
      </c>
      <c r="B3618" s="24" t="s">
        <v>8830</v>
      </c>
      <c r="C3618" s="24" t="s">
        <v>251</v>
      </c>
      <c r="D3618" s="24" t="s">
        <v>17</v>
      </c>
      <c r="E3618" s="24" t="s">
        <v>18</v>
      </c>
      <c r="F3618" s="24" t="s">
        <v>19</v>
      </c>
      <c r="G3618" s="24" t="s">
        <v>116</v>
      </c>
      <c r="H3618" s="26">
        <v>0</v>
      </c>
      <c r="I3618" s="24" t="s">
        <v>21</v>
      </c>
      <c r="J3618" s="36">
        <v>45621</v>
      </c>
      <c r="K3618" s="24" t="s">
        <v>22</v>
      </c>
    </row>
    <row r="3619" spans="1:11" x14ac:dyDescent="0.2">
      <c r="A3619" s="27" t="s">
        <v>8831</v>
      </c>
      <c r="B3619" s="27" t="s">
        <v>8832</v>
      </c>
      <c r="C3619" s="27" t="s">
        <v>1088</v>
      </c>
      <c r="D3619" s="27" t="s">
        <v>17</v>
      </c>
      <c r="E3619" s="27" t="s">
        <v>26</v>
      </c>
      <c r="F3619" s="27" t="s">
        <v>27</v>
      </c>
      <c r="G3619" s="27" t="s">
        <v>28</v>
      </c>
      <c r="H3619" s="29">
        <v>120</v>
      </c>
      <c r="I3619" s="27" t="s">
        <v>29</v>
      </c>
      <c r="J3619" s="37">
        <v>45603</v>
      </c>
      <c r="K3619" s="27" t="s">
        <v>22</v>
      </c>
    </row>
    <row r="3620" spans="1:11" x14ac:dyDescent="0.2">
      <c r="A3620" s="24" t="s">
        <v>8833</v>
      </c>
      <c r="B3620" s="24" t="s">
        <v>8834</v>
      </c>
      <c r="C3620" s="24" t="s">
        <v>801</v>
      </c>
      <c r="D3620" s="24" t="s">
        <v>17</v>
      </c>
      <c r="E3620" s="24" t="s">
        <v>26</v>
      </c>
      <c r="F3620" s="24" t="s">
        <v>27</v>
      </c>
      <c r="G3620" s="24" t="s">
        <v>28</v>
      </c>
      <c r="H3620" s="26">
        <v>128</v>
      </c>
      <c r="I3620" s="24" t="s">
        <v>29</v>
      </c>
      <c r="J3620" s="36">
        <v>45614</v>
      </c>
      <c r="K3620" s="24" t="s">
        <v>22</v>
      </c>
    </row>
    <row r="3621" spans="1:11" x14ac:dyDescent="0.2">
      <c r="A3621" s="27" t="s">
        <v>8835</v>
      </c>
      <c r="B3621" s="27" t="s">
        <v>8836</v>
      </c>
      <c r="C3621" s="27" t="s">
        <v>1931</v>
      </c>
      <c r="D3621" s="27" t="s">
        <v>17</v>
      </c>
      <c r="E3621" s="27" t="s">
        <v>18</v>
      </c>
      <c r="F3621" s="27" t="s">
        <v>19</v>
      </c>
      <c r="G3621" s="27" t="s">
        <v>28</v>
      </c>
      <c r="H3621" s="29">
        <v>93</v>
      </c>
      <c r="I3621" s="27" t="s">
        <v>29</v>
      </c>
      <c r="J3621" s="37">
        <v>45622</v>
      </c>
      <c r="K3621" s="27" t="s">
        <v>22</v>
      </c>
    </row>
    <row r="3622" spans="1:11" x14ac:dyDescent="0.2">
      <c r="A3622" s="24" t="s">
        <v>8837</v>
      </c>
      <c r="B3622" s="24" t="s">
        <v>8838</v>
      </c>
      <c r="C3622" s="24" t="s">
        <v>1473</v>
      </c>
      <c r="D3622" s="24" t="s">
        <v>17</v>
      </c>
      <c r="E3622" s="24" t="s">
        <v>18</v>
      </c>
      <c r="F3622" s="24" t="s">
        <v>19</v>
      </c>
      <c r="G3622" s="24" t="s">
        <v>28</v>
      </c>
      <c r="H3622" s="26">
        <v>46</v>
      </c>
      <c r="I3622" s="24" t="s">
        <v>29</v>
      </c>
      <c r="J3622" s="36">
        <v>45614</v>
      </c>
      <c r="K3622" s="24" t="s">
        <v>22</v>
      </c>
    </row>
    <row r="3623" spans="1:11" x14ac:dyDescent="0.2">
      <c r="A3623" s="27" t="s">
        <v>8839</v>
      </c>
      <c r="B3623" s="27" t="s">
        <v>8840</v>
      </c>
      <c r="C3623" s="27" t="s">
        <v>213</v>
      </c>
      <c r="D3623" s="27" t="s">
        <v>17</v>
      </c>
      <c r="E3623" s="27" t="s">
        <v>18</v>
      </c>
      <c r="F3623" s="27" t="s">
        <v>19</v>
      </c>
      <c r="G3623" s="27" t="s">
        <v>20</v>
      </c>
      <c r="H3623" s="29">
        <v>12</v>
      </c>
      <c r="I3623" s="27" t="s">
        <v>21</v>
      </c>
      <c r="J3623" s="37">
        <v>45601</v>
      </c>
      <c r="K3623" s="27" t="s">
        <v>22</v>
      </c>
    </row>
    <row r="3624" spans="1:11" x14ac:dyDescent="0.2">
      <c r="A3624" s="24" t="s">
        <v>8841</v>
      </c>
      <c r="B3624" s="24" t="s">
        <v>8842</v>
      </c>
      <c r="C3624" s="24" t="s">
        <v>242</v>
      </c>
      <c r="D3624" s="24" t="s">
        <v>17</v>
      </c>
      <c r="E3624" s="24" t="s">
        <v>42</v>
      </c>
      <c r="F3624" s="24" t="s">
        <v>43</v>
      </c>
      <c r="G3624" s="24" t="s">
        <v>44</v>
      </c>
      <c r="H3624" s="26">
        <v>243</v>
      </c>
      <c r="I3624" s="24" t="s">
        <v>21</v>
      </c>
      <c r="J3624" s="36">
        <v>45618</v>
      </c>
      <c r="K3624" s="24" t="s">
        <v>22</v>
      </c>
    </row>
    <row r="3625" spans="1:11" x14ac:dyDescent="0.2">
      <c r="A3625" s="27" t="s">
        <v>8843</v>
      </c>
      <c r="B3625" s="27" t="s">
        <v>8844</v>
      </c>
      <c r="C3625" s="27" t="s">
        <v>1212</v>
      </c>
      <c r="D3625" s="27" t="s">
        <v>17</v>
      </c>
      <c r="E3625" s="27" t="s">
        <v>18</v>
      </c>
      <c r="F3625" s="27" t="s">
        <v>19</v>
      </c>
      <c r="G3625" s="27" t="s">
        <v>20</v>
      </c>
      <c r="H3625" s="29">
        <v>50</v>
      </c>
      <c r="I3625" s="27" t="s">
        <v>21</v>
      </c>
      <c r="J3625" s="37">
        <v>45606</v>
      </c>
      <c r="K3625" s="27" t="s">
        <v>22</v>
      </c>
    </row>
    <row r="3626" spans="1:11" x14ac:dyDescent="0.2">
      <c r="A3626" s="24" t="s">
        <v>8845</v>
      </c>
      <c r="B3626" s="24" t="s">
        <v>8846</v>
      </c>
      <c r="C3626" s="24" t="s">
        <v>2290</v>
      </c>
      <c r="D3626" s="24" t="s">
        <v>17</v>
      </c>
      <c r="E3626" s="24" t="s">
        <v>42</v>
      </c>
      <c r="F3626" s="24" t="s">
        <v>43</v>
      </c>
      <c r="G3626" s="24" t="s">
        <v>28</v>
      </c>
      <c r="H3626" s="26">
        <v>138</v>
      </c>
      <c r="I3626" s="24" t="s">
        <v>29</v>
      </c>
      <c r="J3626" s="36">
        <v>45623</v>
      </c>
      <c r="K3626" s="24" t="s">
        <v>22</v>
      </c>
    </row>
    <row r="3627" spans="1:11" x14ac:dyDescent="0.2">
      <c r="A3627" s="27" t="s">
        <v>8847</v>
      </c>
      <c r="B3627" s="27" t="s">
        <v>8848</v>
      </c>
      <c r="C3627" s="27" t="s">
        <v>8467</v>
      </c>
      <c r="D3627" s="27" t="s">
        <v>17</v>
      </c>
      <c r="E3627" s="27" t="s">
        <v>42</v>
      </c>
      <c r="F3627" s="27" t="s">
        <v>43</v>
      </c>
      <c r="G3627" s="27" t="s">
        <v>44</v>
      </c>
      <c r="H3627" s="29">
        <v>50</v>
      </c>
      <c r="I3627" s="27" t="s">
        <v>29</v>
      </c>
      <c r="J3627" s="37">
        <v>45618</v>
      </c>
      <c r="K3627" s="27" t="s">
        <v>22</v>
      </c>
    </row>
    <row r="3628" spans="1:11" x14ac:dyDescent="0.2">
      <c r="A3628" s="24" t="s">
        <v>8849</v>
      </c>
      <c r="B3628" s="24" t="s">
        <v>8850</v>
      </c>
      <c r="C3628" s="24" t="s">
        <v>8851</v>
      </c>
      <c r="D3628" s="24" t="s">
        <v>17</v>
      </c>
      <c r="E3628" s="24" t="s">
        <v>48</v>
      </c>
      <c r="F3628" s="24" t="s">
        <v>49</v>
      </c>
      <c r="G3628" s="24" t="s">
        <v>28</v>
      </c>
      <c r="H3628" s="26">
        <v>230</v>
      </c>
      <c r="I3628" s="24" t="s">
        <v>29</v>
      </c>
      <c r="J3628" s="36">
        <v>45616</v>
      </c>
      <c r="K3628" s="24" t="s">
        <v>22</v>
      </c>
    </row>
    <row r="3629" spans="1:11" x14ac:dyDescent="0.2">
      <c r="A3629" s="27" t="s">
        <v>8852</v>
      </c>
      <c r="B3629" s="27" t="s">
        <v>8853</v>
      </c>
      <c r="C3629" s="27" t="s">
        <v>423</v>
      </c>
      <c r="D3629" s="27" t="s">
        <v>17</v>
      </c>
      <c r="E3629" s="27" t="s">
        <v>18</v>
      </c>
      <c r="F3629" s="27" t="s">
        <v>19</v>
      </c>
      <c r="G3629" s="27" t="s">
        <v>20</v>
      </c>
      <c r="H3629" s="29">
        <v>30</v>
      </c>
      <c r="I3629" s="27" t="s">
        <v>21</v>
      </c>
      <c r="J3629" s="37">
        <v>45602</v>
      </c>
      <c r="K3629" s="27" t="s">
        <v>22</v>
      </c>
    </row>
    <row r="3630" spans="1:11" x14ac:dyDescent="0.2">
      <c r="A3630" s="24" t="s">
        <v>8854</v>
      </c>
      <c r="B3630" s="24" t="s">
        <v>8855</v>
      </c>
      <c r="C3630" s="24" t="s">
        <v>8856</v>
      </c>
      <c r="D3630" s="24" t="s">
        <v>17</v>
      </c>
      <c r="E3630" s="24" t="s">
        <v>18</v>
      </c>
      <c r="F3630" s="24" t="s">
        <v>19</v>
      </c>
      <c r="G3630" s="24" t="s">
        <v>28</v>
      </c>
      <c r="H3630" s="26">
        <v>30</v>
      </c>
      <c r="I3630" s="24" t="s">
        <v>29</v>
      </c>
      <c r="J3630" s="36">
        <v>45617</v>
      </c>
      <c r="K3630" s="24" t="s">
        <v>22</v>
      </c>
    </row>
    <row r="3631" spans="1:11" x14ac:dyDescent="0.2">
      <c r="A3631" s="27" t="s">
        <v>8857</v>
      </c>
      <c r="B3631" s="27" t="s">
        <v>8858</v>
      </c>
      <c r="C3631" s="27" t="s">
        <v>1441</v>
      </c>
      <c r="D3631" s="27" t="s">
        <v>17</v>
      </c>
      <c r="E3631" s="27" t="s">
        <v>18</v>
      </c>
      <c r="F3631" s="27" t="s">
        <v>19</v>
      </c>
      <c r="G3631" s="27" t="s">
        <v>20</v>
      </c>
      <c r="H3631" s="29">
        <v>94</v>
      </c>
      <c r="I3631" s="27" t="s">
        <v>21</v>
      </c>
      <c r="J3631" s="37">
        <v>45624</v>
      </c>
      <c r="K3631" s="27" t="s">
        <v>22</v>
      </c>
    </row>
    <row r="3632" spans="1:11" x14ac:dyDescent="0.2">
      <c r="A3632" s="24" t="s">
        <v>8859</v>
      </c>
      <c r="B3632" s="24" t="s">
        <v>8860</v>
      </c>
      <c r="C3632" s="24" t="s">
        <v>4714</v>
      </c>
      <c r="D3632" s="24" t="s">
        <v>17</v>
      </c>
      <c r="E3632" s="24" t="s">
        <v>42</v>
      </c>
      <c r="F3632" s="24" t="s">
        <v>43</v>
      </c>
      <c r="G3632" s="24" t="s">
        <v>28</v>
      </c>
      <c r="H3632" s="26">
        <v>354</v>
      </c>
      <c r="I3632" s="24" t="s">
        <v>29</v>
      </c>
      <c r="J3632" s="36">
        <v>45616</v>
      </c>
      <c r="K3632" s="24" t="s">
        <v>22</v>
      </c>
    </row>
    <row r="3633" spans="1:11" x14ac:dyDescent="0.2">
      <c r="A3633" s="27" t="s">
        <v>8861</v>
      </c>
      <c r="B3633" s="27" t="s">
        <v>8862</v>
      </c>
      <c r="C3633" s="27" t="s">
        <v>251</v>
      </c>
      <c r="D3633" s="27" t="s">
        <v>17</v>
      </c>
      <c r="E3633" s="27" t="s">
        <v>81</v>
      </c>
      <c r="F3633" s="27" t="s">
        <v>82</v>
      </c>
      <c r="G3633" s="27" t="s">
        <v>28</v>
      </c>
      <c r="H3633" s="29">
        <v>224</v>
      </c>
      <c r="I3633" s="27" t="s">
        <v>29</v>
      </c>
      <c r="J3633" s="37">
        <v>45623</v>
      </c>
      <c r="K3633" s="27" t="s">
        <v>22</v>
      </c>
    </row>
    <row r="3634" spans="1:11" x14ac:dyDescent="0.2">
      <c r="A3634" s="24" t="s">
        <v>8863</v>
      </c>
      <c r="B3634" s="24" t="s">
        <v>8864</v>
      </c>
      <c r="C3634" s="24" t="s">
        <v>792</v>
      </c>
      <c r="D3634" s="24" t="s">
        <v>17</v>
      </c>
      <c r="E3634" s="24" t="s">
        <v>18</v>
      </c>
      <c r="F3634" s="24" t="s">
        <v>19</v>
      </c>
      <c r="G3634" s="24" t="s">
        <v>28</v>
      </c>
      <c r="H3634" s="26">
        <v>150</v>
      </c>
      <c r="I3634" s="24" t="s">
        <v>29</v>
      </c>
      <c r="J3634" s="36">
        <v>45610</v>
      </c>
      <c r="K3634" s="24" t="s">
        <v>22</v>
      </c>
    </row>
    <row r="3635" spans="1:11" x14ac:dyDescent="0.2">
      <c r="A3635" s="27" t="s">
        <v>8865</v>
      </c>
      <c r="B3635" s="27" t="s">
        <v>8866</v>
      </c>
      <c r="C3635" s="27" t="s">
        <v>8259</v>
      </c>
      <c r="D3635" s="27" t="s">
        <v>17</v>
      </c>
      <c r="E3635" s="27" t="s">
        <v>163</v>
      </c>
      <c r="F3635" s="27" t="s">
        <v>164</v>
      </c>
      <c r="G3635" s="27" t="s">
        <v>217</v>
      </c>
      <c r="H3635" s="29">
        <v>10</v>
      </c>
      <c r="I3635" s="27" t="s">
        <v>29</v>
      </c>
      <c r="J3635" s="37">
        <v>45621</v>
      </c>
      <c r="K3635" s="27" t="s">
        <v>22</v>
      </c>
    </row>
    <row r="3636" spans="1:11" x14ac:dyDescent="0.2">
      <c r="A3636" s="24" t="s">
        <v>8867</v>
      </c>
      <c r="B3636" s="24" t="s">
        <v>8868</v>
      </c>
      <c r="C3636" s="24" t="s">
        <v>6366</v>
      </c>
      <c r="D3636" s="24" t="s">
        <v>17</v>
      </c>
      <c r="E3636" s="24" t="s">
        <v>42</v>
      </c>
      <c r="F3636" s="24" t="s">
        <v>43</v>
      </c>
      <c r="G3636" s="24" t="s">
        <v>28</v>
      </c>
      <c r="H3636" s="26">
        <v>300</v>
      </c>
      <c r="I3636" s="24" t="s">
        <v>29</v>
      </c>
      <c r="J3636" s="36">
        <v>45615</v>
      </c>
      <c r="K3636" s="24" t="s">
        <v>22</v>
      </c>
    </row>
    <row r="3637" spans="1:11" x14ac:dyDescent="0.2">
      <c r="A3637" s="27" t="s">
        <v>8869</v>
      </c>
      <c r="B3637" s="27" t="s">
        <v>8870</v>
      </c>
      <c r="C3637" s="27" t="s">
        <v>109</v>
      </c>
      <c r="D3637" s="27" t="s">
        <v>17</v>
      </c>
      <c r="E3637" s="27" t="s">
        <v>42</v>
      </c>
      <c r="F3637" s="27" t="s">
        <v>43</v>
      </c>
      <c r="G3637" s="27" t="s">
        <v>44</v>
      </c>
      <c r="H3637" s="29">
        <v>191</v>
      </c>
      <c r="I3637" s="27" t="s">
        <v>21</v>
      </c>
      <c r="J3637" s="37">
        <v>45621</v>
      </c>
      <c r="K3637" s="27" t="s">
        <v>22</v>
      </c>
    </row>
    <row r="3638" spans="1:11" x14ac:dyDescent="0.2">
      <c r="A3638" s="24" t="s">
        <v>8871</v>
      </c>
      <c r="B3638" s="24" t="s">
        <v>8872</v>
      </c>
      <c r="C3638" s="24" t="s">
        <v>8873</v>
      </c>
      <c r="D3638" s="24" t="s">
        <v>17</v>
      </c>
      <c r="E3638" s="24" t="s">
        <v>48</v>
      </c>
      <c r="F3638" s="24" t="s">
        <v>49</v>
      </c>
      <c r="G3638" s="24" t="s">
        <v>217</v>
      </c>
      <c r="H3638" s="26">
        <v>30</v>
      </c>
      <c r="I3638" s="24" t="s">
        <v>29</v>
      </c>
      <c r="J3638" s="36">
        <v>45597</v>
      </c>
      <c r="K3638" s="24" t="s">
        <v>22</v>
      </c>
    </row>
    <row r="3639" spans="1:11" x14ac:dyDescent="0.2">
      <c r="A3639" s="27" t="s">
        <v>8874</v>
      </c>
      <c r="B3639" s="27" t="s">
        <v>8875</v>
      </c>
      <c r="C3639" s="27" t="s">
        <v>5829</v>
      </c>
      <c r="D3639" s="27" t="s">
        <v>17</v>
      </c>
      <c r="E3639" s="27" t="s">
        <v>33</v>
      </c>
      <c r="F3639" s="27" t="s">
        <v>34</v>
      </c>
      <c r="G3639" s="27" t="s">
        <v>28</v>
      </c>
      <c r="H3639" s="29">
        <v>120</v>
      </c>
      <c r="I3639" s="27" t="s">
        <v>29</v>
      </c>
      <c r="J3639" s="37">
        <v>45626</v>
      </c>
      <c r="K3639" s="27" t="s">
        <v>22</v>
      </c>
    </row>
    <row r="3640" spans="1:11" x14ac:dyDescent="0.2">
      <c r="A3640" s="24" t="s">
        <v>8876</v>
      </c>
      <c r="B3640" s="24" t="s">
        <v>8877</v>
      </c>
      <c r="C3640" s="24" t="s">
        <v>115</v>
      </c>
      <c r="D3640" s="24" t="s">
        <v>17</v>
      </c>
      <c r="E3640" s="24" t="s">
        <v>18</v>
      </c>
      <c r="F3640" s="24" t="s">
        <v>19</v>
      </c>
      <c r="G3640" s="24" t="s">
        <v>20</v>
      </c>
      <c r="H3640" s="26">
        <v>121</v>
      </c>
      <c r="I3640" s="24" t="s">
        <v>21</v>
      </c>
      <c r="J3640" s="36">
        <v>45597</v>
      </c>
      <c r="K3640" s="24" t="s">
        <v>22</v>
      </c>
    </row>
    <row r="3641" spans="1:11" x14ac:dyDescent="0.2">
      <c r="A3641" s="27" t="s">
        <v>8878</v>
      </c>
      <c r="B3641" s="27" t="s">
        <v>8879</v>
      </c>
      <c r="C3641" s="27" t="s">
        <v>1663</v>
      </c>
      <c r="D3641" s="27" t="s">
        <v>17</v>
      </c>
      <c r="E3641" s="27" t="s">
        <v>42</v>
      </c>
      <c r="F3641" s="27" t="s">
        <v>43</v>
      </c>
      <c r="G3641" s="27" t="s">
        <v>28</v>
      </c>
      <c r="H3641" s="29">
        <v>550</v>
      </c>
      <c r="I3641" s="27" t="s">
        <v>29</v>
      </c>
      <c r="J3641" s="37">
        <v>45618</v>
      </c>
      <c r="K3641" s="27" t="s">
        <v>22</v>
      </c>
    </row>
    <row r="3642" spans="1:11" x14ac:dyDescent="0.2">
      <c r="A3642" s="24" t="s">
        <v>8880</v>
      </c>
      <c r="B3642" s="24" t="s">
        <v>8881</v>
      </c>
      <c r="C3642" s="24" t="s">
        <v>526</v>
      </c>
      <c r="D3642" s="24" t="s">
        <v>17</v>
      </c>
      <c r="E3642" s="24" t="s">
        <v>48</v>
      </c>
      <c r="F3642" s="24" t="s">
        <v>49</v>
      </c>
      <c r="G3642" s="24" t="s">
        <v>44</v>
      </c>
      <c r="H3642" s="26">
        <v>275</v>
      </c>
      <c r="I3642" s="24" t="s">
        <v>29</v>
      </c>
      <c r="J3642" s="36">
        <v>45609</v>
      </c>
      <c r="K3642" s="24" t="s">
        <v>22</v>
      </c>
    </row>
    <row r="3643" spans="1:11" x14ac:dyDescent="0.2">
      <c r="A3643" s="27" t="s">
        <v>8882</v>
      </c>
      <c r="B3643" s="27" t="s">
        <v>8883</v>
      </c>
      <c r="C3643" s="27" t="s">
        <v>340</v>
      </c>
      <c r="D3643" s="27" t="s">
        <v>17</v>
      </c>
      <c r="E3643" s="27" t="s">
        <v>18</v>
      </c>
      <c r="F3643" s="27" t="s">
        <v>19</v>
      </c>
      <c r="G3643" s="27" t="s">
        <v>28</v>
      </c>
      <c r="H3643" s="29">
        <v>52</v>
      </c>
      <c r="I3643" s="27" t="s">
        <v>29</v>
      </c>
      <c r="J3643" s="37">
        <v>45604</v>
      </c>
      <c r="K3643" s="27" t="s">
        <v>22</v>
      </c>
    </row>
    <row r="3644" spans="1:11" x14ac:dyDescent="0.2">
      <c r="A3644" s="24" t="s">
        <v>8884</v>
      </c>
      <c r="B3644" s="24" t="s">
        <v>8885</v>
      </c>
      <c r="C3644" s="24" t="s">
        <v>8886</v>
      </c>
      <c r="D3644" s="24" t="s">
        <v>17</v>
      </c>
      <c r="E3644" s="24" t="s">
        <v>48</v>
      </c>
      <c r="F3644" s="24" t="s">
        <v>49</v>
      </c>
      <c r="G3644" s="24" t="s">
        <v>59</v>
      </c>
      <c r="H3644" s="26">
        <v>1</v>
      </c>
      <c r="I3644" s="24" t="s">
        <v>21</v>
      </c>
      <c r="J3644" s="36">
        <v>45617</v>
      </c>
      <c r="K3644" s="24" t="s">
        <v>22</v>
      </c>
    </row>
    <row r="3645" spans="1:11" x14ac:dyDescent="0.2">
      <c r="A3645" s="27" t="s">
        <v>8887</v>
      </c>
      <c r="B3645" s="27" t="s">
        <v>8888</v>
      </c>
      <c r="C3645" s="27" t="s">
        <v>937</v>
      </c>
      <c r="D3645" s="27" t="s">
        <v>17</v>
      </c>
      <c r="E3645" s="27" t="s">
        <v>42</v>
      </c>
      <c r="F3645" s="27" t="s">
        <v>43</v>
      </c>
      <c r="G3645" s="27" t="s">
        <v>28</v>
      </c>
      <c r="H3645" s="29">
        <v>116</v>
      </c>
      <c r="I3645" s="27" t="s">
        <v>29</v>
      </c>
      <c r="J3645" s="37">
        <v>45621</v>
      </c>
      <c r="K3645" s="27" t="s">
        <v>22</v>
      </c>
    </row>
    <row r="3646" spans="1:11" x14ac:dyDescent="0.2">
      <c r="A3646" s="24" t="s">
        <v>8889</v>
      </c>
      <c r="B3646" s="24" t="s">
        <v>8890</v>
      </c>
      <c r="C3646" s="24" t="s">
        <v>1972</v>
      </c>
      <c r="D3646" s="24" t="s">
        <v>17</v>
      </c>
      <c r="E3646" s="24" t="s">
        <v>18</v>
      </c>
      <c r="F3646" s="24" t="s">
        <v>19</v>
      </c>
      <c r="G3646" s="24" t="s">
        <v>59</v>
      </c>
      <c r="H3646" s="26">
        <v>17</v>
      </c>
      <c r="I3646" s="24" t="s">
        <v>21</v>
      </c>
      <c r="J3646" s="36">
        <v>45622</v>
      </c>
      <c r="K3646" s="24" t="s">
        <v>22</v>
      </c>
    </row>
    <row r="3647" spans="1:11" x14ac:dyDescent="0.2">
      <c r="A3647" s="27" t="s">
        <v>8891</v>
      </c>
      <c r="B3647" s="27" t="s">
        <v>8892</v>
      </c>
      <c r="C3647" s="27" t="s">
        <v>2269</v>
      </c>
      <c r="D3647" s="27" t="s">
        <v>17</v>
      </c>
      <c r="E3647" s="27" t="s">
        <v>81</v>
      </c>
      <c r="F3647" s="27" t="s">
        <v>82</v>
      </c>
      <c r="G3647" s="27" t="s">
        <v>44</v>
      </c>
      <c r="H3647" s="29">
        <v>250</v>
      </c>
      <c r="I3647" s="27" t="s">
        <v>29</v>
      </c>
      <c r="J3647" s="37">
        <v>45610</v>
      </c>
      <c r="K3647" s="27" t="s">
        <v>22</v>
      </c>
    </row>
    <row r="3648" spans="1:11" x14ac:dyDescent="0.2">
      <c r="A3648" s="24" t="s">
        <v>8893</v>
      </c>
      <c r="B3648" s="24" t="s">
        <v>8894</v>
      </c>
      <c r="C3648" s="24" t="s">
        <v>687</v>
      </c>
      <c r="D3648" s="24" t="s">
        <v>17</v>
      </c>
      <c r="E3648" s="24" t="s">
        <v>18</v>
      </c>
      <c r="F3648" s="24" t="s">
        <v>19</v>
      </c>
      <c r="G3648" s="24" t="s">
        <v>28</v>
      </c>
      <c r="H3648" s="26">
        <v>154</v>
      </c>
      <c r="I3648" s="24" t="s">
        <v>29</v>
      </c>
      <c r="J3648" s="36">
        <v>45608</v>
      </c>
      <c r="K3648" s="24" t="s">
        <v>22</v>
      </c>
    </row>
    <row r="3649" spans="1:11" x14ac:dyDescent="0.2">
      <c r="A3649" s="27" t="s">
        <v>8895</v>
      </c>
      <c r="B3649" s="27" t="s">
        <v>8896</v>
      </c>
      <c r="C3649" s="27" t="s">
        <v>343</v>
      </c>
      <c r="D3649" s="27" t="s">
        <v>17</v>
      </c>
      <c r="E3649" s="27" t="s">
        <v>26</v>
      </c>
      <c r="F3649" s="27" t="s">
        <v>27</v>
      </c>
      <c r="G3649" s="27" t="s">
        <v>28</v>
      </c>
      <c r="H3649" s="29">
        <v>85</v>
      </c>
      <c r="I3649" s="27" t="s">
        <v>29</v>
      </c>
      <c r="J3649" s="37">
        <v>45617</v>
      </c>
      <c r="K3649" s="27" t="s">
        <v>22</v>
      </c>
    </row>
    <row r="3650" spans="1:11" x14ac:dyDescent="0.2">
      <c r="A3650" s="24" t="s">
        <v>8897</v>
      </c>
      <c r="B3650" s="24" t="s">
        <v>8898</v>
      </c>
      <c r="C3650" s="24" t="s">
        <v>621</v>
      </c>
      <c r="D3650" s="24" t="s">
        <v>17</v>
      </c>
      <c r="E3650" s="24" t="s">
        <v>48</v>
      </c>
      <c r="F3650" s="24" t="s">
        <v>49</v>
      </c>
      <c r="G3650" s="24" t="s">
        <v>28</v>
      </c>
      <c r="H3650" s="26">
        <v>300</v>
      </c>
      <c r="I3650" s="24" t="s">
        <v>29</v>
      </c>
      <c r="J3650" s="36">
        <v>45610</v>
      </c>
      <c r="K3650" s="24" t="s">
        <v>22</v>
      </c>
    </row>
    <row r="3651" spans="1:11" x14ac:dyDescent="0.2">
      <c r="A3651" s="27" t="s">
        <v>8899</v>
      </c>
      <c r="B3651" s="27" t="s">
        <v>8900</v>
      </c>
      <c r="C3651" s="27" t="s">
        <v>1938</v>
      </c>
      <c r="D3651" s="27" t="s">
        <v>17</v>
      </c>
      <c r="E3651" s="27" t="s">
        <v>42</v>
      </c>
      <c r="F3651" s="27" t="s">
        <v>43</v>
      </c>
      <c r="G3651" s="27" t="s">
        <v>28</v>
      </c>
      <c r="H3651" s="29">
        <v>278</v>
      </c>
      <c r="I3651" s="27" t="s">
        <v>29</v>
      </c>
      <c r="J3651" s="37">
        <v>45612</v>
      </c>
      <c r="K3651" s="27" t="s">
        <v>22</v>
      </c>
    </row>
    <row r="3652" spans="1:11" x14ac:dyDescent="0.2">
      <c r="A3652" s="24" t="s">
        <v>8901</v>
      </c>
      <c r="B3652" s="24" t="s">
        <v>8902</v>
      </c>
      <c r="C3652" s="24" t="s">
        <v>8903</v>
      </c>
      <c r="D3652" s="24" t="s">
        <v>17</v>
      </c>
      <c r="E3652" s="24" t="s">
        <v>48</v>
      </c>
      <c r="F3652" s="24" t="s">
        <v>49</v>
      </c>
      <c r="G3652" s="24" t="s">
        <v>28</v>
      </c>
      <c r="H3652" s="26">
        <v>53</v>
      </c>
      <c r="I3652" s="24" t="s">
        <v>29</v>
      </c>
      <c r="J3652" s="36">
        <v>45614</v>
      </c>
      <c r="K3652" s="24" t="s">
        <v>22</v>
      </c>
    </row>
    <row r="3653" spans="1:11" x14ac:dyDescent="0.2">
      <c r="A3653" s="27" t="s">
        <v>8904</v>
      </c>
      <c r="B3653" s="27" t="s">
        <v>8905</v>
      </c>
      <c r="C3653" s="27" t="s">
        <v>6425</v>
      </c>
      <c r="D3653" s="27" t="s">
        <v>17</v>
      </c>
      <c r="E3653" s="27" t="s">
        <v>18</v>
      </c>
      <c r="F3653" s="27" t="s">
        <v>19</v>
      </c>
      <c r="G3653" s="27" t="s">
        <v>20</v>
      </c>
      <c r="H3653" s="29">
        <v>8</v>
      </c>
      <c r="I3653" s="27" t="s">
        <v>21</v>
      </c>
      <c r="J3653" s="37">
        <v>45597</v>
      </c>
      <c r="K3653" s="27" t="s">
        <v>22</v>
      </c>
    </row>
    <row r="3654" spans="1:11" x14ac:dyDescent="0.2">
      <c r="A3654" s="24" t="s">
        <v>8906</v>
      </c>
      <c r="B3654" s="24" t="s">
        <v>8907</v>
      </c>
      <c r="C3654" s="24" t="s">
        <v>5060</v>
      </c>
      <c r="D3654" s="24" t="s">
        <v>17</v>
      </c>
      <c r="E3654" s="24" t="s">
        <v>163</v>
      </c>
      <c r="F3654" s="24" t="s">
        <v>164</v>
      </c>
      <c r="G3654" s="24" t="s">
        <v>217</v>
      </c>
      <c r="H3654" s="26">
        <v>15</v>
      </c>
      <c r="I3654" s="24" t="s">
        <v>29</v>
      </c>
      <c r="J3654" s="36">
        <v>45626</v>
      </c>
      <c r="K3654" s="24" t="s">
        <v>22</v>
      </c>
    </row>
    <row r="3655" spans="1:11" x14ac:dyDescent="0.2">
      <c r="A3655" s="27" t="s">
        <v>8908</v>
      </c>
      <c r="B3655" s="27" t="s">
        <v>8909</v>
      </c>
      <c r="C3655" s="27" t="s">
        <v>71</v>
      </c>
      <c r="D3655" s="27" t="s">
        <v>17</v>
      </c>
      <c r="E3655" s="27" t="s">
        <v>42</v>
      </c>
      <c r="F3655" s="27" t="s">
        <v>43</v>
      </c>
      <c r="G3655" s="27" t="s">
        <v>217</v>
      </c>
      <c r="H3655" s="29">
        <v>654</v>
      </c>
      <c r="I3655" s="27" t="s">
        <v>29</v>
      </c>
      <c r="J3655" s="37">
        <v>45597</v>
      </c>
      <c r="K3655" s="27" t="s">
        <v>22</v>
      </c>
    </row>
    <row r="3656" spans="1:11" x14ac:dyDescent="0.2">
      <c r="A3656" s="24" t="s">
        <v>8910</v>
      </c>
      <c r="B3656" s="24" t="s">
        <v>8911</v>
      </c>
      <c r="C3656" s="24" t="s">
        <v>220</v>
      </c>
      <c r="D3656" s="24" t="s">
        <v>17</v>
      </c>
      <c r="E3656" s="24" t="s">
        <v>18</v>
      </c>
      <c r="F3656" s="24" t="s">
        <v>19</v>
      </c>
      <c r="G3656" s="24" t="s">
        <v>20</v>
      </c>
      <c r="H3656" s="26">
        <v>22</v>
      </c>
      <c r="I3656" s="24" t="s">
        <v>21</v>
      </c>
      <c r="J3656" s="36">
        <v>45618</v>
      </c>
      <c r="K3656" s="24" t="s">
        <v>22</v>
      </c>
    </row>
    <row r="3657" spans="1:11" x14ac:dyDescent="0.2">
      <c r="A3657" s="27" t="s">
        <v>8912</v>
      </c>
      <c r="B3657" s="27" t="s">
        <v>8913</v>
      </c>
      <c r="C3657" s="27" t="s">
        <v>1147</v>
      </c>
      <c r="D3657" s="27" t="s">
        <v>17</v>
      </c>
      <c r="E3657" s="27" t="s">
        <v>42</v>
      </c>
      <c r="F3657" s="27" t="s">
        <v>43</v>
      </c>
      <c r="G3657" s="27" t="s">
        <v>44</v>
      </c>
      <c r="H3657" s="29">
        <v>218</v>
      </c>
      <c r="I3657" s="27" t="s">
        <v>21</v>
      </c>
      <c r="J3657" s="37">
        <v>45604</v>
      </c>
      <c r="K3657" s="27" t="s">
        <v>22</v>
      </c>
    </row>
    <row r="3658" spans="1:11" x14ac:dyDescent="0.2">
      <c r="A3658" s="24" t="s">
        <v>8914</v>
      </c>
      <c r="B3658" s="24" t="s">
        <v>8915</v>
      </c>
      <c r="C3658" s="24" t="s">
        <v>5322</v>
      </c>
      <c r="D3658" s="24" t="s">
        <v>17</v>
      </c>
      <c r="E3658" s="24" t="s">
        <v>18</v>
      </c>
      <c r="F3658" s="24" t="s">
        <v>19</v>
      </c>
      <c r="G3658" s="24" t="s">
        <v>28</v>
      </c>
      <c r="H3658" s="26">
        <v>240</v>
      </c>
      <c r="I3658" s="24" t="s">
        <v>29</v>
      </c>
      <c r="J3658" s="36">
        <v>45607</v>
      </c>
      <c r="K3658" s="24" t="s">
        <v>22</v>
      </c>
    </row>
    <row r="3659" spans="1:11" x14ac:dyDescent="0.2">
      <c r="A3659" s="27" t="s">
        <v>8916</v>
      </c>
      <c r="B3659" s="27" t="s">
        <v>8917</v>
      </c>
      <c r="C3659" s="27" t="s">
        <v>208</v>
      </c>
      <c r="D3659" s="27" t="s">
        <v>17</v>
      </c>
      <c r="E3659" s="27" t="s">
        <v>18</v>
      </c>
      <c r="F3659" s="27" t="s">
        <v>19</v>
      </c>
      <c r="G3659" s="27" t="s">
        <v>44</v>
      </c>
      <c r="H3659" s="29">
        <v>23</v>
      </c>
      <c r="I3659" s="27" t="s">
        <v>21</v>
      </c>
      <c r="J3659" s="37">
        <v>45616</v>
      </c>
      <c r="K3659" s="27" t="s">
        <v>22</v>
      </c>
    </row>
    <row r="3660" spans="1:11" x14ac:dyDescent="0.2">
      <c r="A3660" s="24" t="s">
        <v>8918</v>
      </c>
      <c r="B3660" s="24" t="s">
        <v>8919</v>
      </c>
      <c r="C3660" s="24" t="s">
        <v>526</v>
      </c>
      <c r="D3660" s="24" t="s">
        <v>17</v>
      </c>
      <c r="E3660" s="24" t="s">
        <v>42</v>
      </c>
      <c r="F3660" s="24" t="s">
        <v>43</v>
      </c>
      <c r="G3660" s="24" t="s">
        <v>44</v>
      </c>
      <c r="H3660" s="26">
        <v>800</v>
      </c>
      <c r="I3660" s="24" t="s">
        <v>29</v>
      </c>
      <c r="J3660" s="36">
        <v>45597</v>
      </c>
      <c r="K3660" s="24" t="s">
        <v>22</v>
      </c>
    </row>
    <row r="3661" spans="1:11" x14ac:dyDescent="0.2">
      <c r="A3661" s="27" t="s">
        <v>8920</v>
      </c>
      <c r="B3661" s="27" t="s">
        <v>8921</v>
      </c>
      <c r="C3661" s="27" t="s">
        <v>1147</v>
      </c>
      <c r="D3661" s="27" t="s">
        <v>17</v>
      </c>
      <c r="E3661" s="27" t="s">
        <v>18</v>
      </c>
      <c r="F3661" s="27" t="s">
        <v>19</v>
      </c>
      <c r="G3661" s="27" t="s">
        <v>20</v>
      </c>
      <c r="H3661" s="29">
        <v>20</v>
      </c>
      <c r="I3661" s="27" t="s">
        <v>21</v>
      </c>
      <c r="J3661" s="37">
        <v>45601</v>
      </c>
      <c r="K3661" s="27" t="s">
        <v>22</v>
      </c>
    </row>
    <row r="3662" spans="1:11" x14ac:dyDescent="0.2">
      <c r="A3662" s="24" t="s">
        <v>8922</v>
      </c>
      <c r="B3662" s="24" t="s">
        <v>8923</v>
      </c>
      <c r="C3662" s="24" t="s">
        <v>41</v>
      </c>
      <c r="D3662" s="24" t="s">
        <v>17</v>
      </c>
      <c r="E3662" s="24" t="s">
        <v>42</v>
      </c>
      <c r="F3662" s="24" t="s">
        <v>43</v>
      </c>
      <c r="G3662" s="24" t="s">
        <v>28</v>
      </c>
      <c r="H3662" s="26">
        <v>12</v>
      </c>
      <c r="I3662" s="24" t="s">
        <v>29</v>
      </c>
      <c r="J3662" s="36">
        <v>45609</v>
      </c>
      <c r="K3662" s="24" t="s">
        <v>22</v>
      </c>
    </row>
    <row r="3663" spans="1:11" x14ac:dyDescent="0.2">
      <c r="A3663" s="27" t="s">
        <v>8924</v>
      </c>
      <c r="B3663" s="27" t="s">
        <v>8925</v>
      </c>
      <c r="C3663" s="27" t="s">
        <v>8926</v>
      </c>
      <c r="D3663" s="27" t="s">
        <v>17</v>
      </c>
      <c r="E3663" s="27" t="s">
        <v>163</v>
      </c>
      <c r="F3663" s="27" t="s">
        <v>164</v>
      </c>
      <c r="G3663" s="27" t="s">
        <v>116</v>
      </c>
      <c r="H3663" s="29">
        <v>0</v>
      </c>
      <c r="I3663" s="27" t="s">
        <v>21</v>
      </c>
      <c r="J3663" s="37">
        <v>45626</v>
      </c>
      <c r="K3663" s="27" t="s">
        <v>22</v>
      </c>
    </row>
    <row r="3664" spans="1:11" x14ac:dyDescent="0.2">
      <c r="A3664" s="24" t="s">
        <v>8927</v>
      </c>
      <c r="B3664" s="24" t="s">
        <v>8928</v>
      </c>
      <c r="C3664" s="24" t="s">
        <v>1161</v>
      </c>
      <c r="D3664" s="24" t="s">
        <v>17</v>
      </c>
      <c r="E3664" s="24" t="s">
        <v>48</v>
      </c>
      <c r="F3664" s="24" t="s">
        <v>49</v>
      </c>
      <c r="G3664" s="24" t="s">
        <v>28</v>
      </c>
      <c r="H3664" s="26">
        <v>100</v>
      </c>
      <c r="I3664" s="24" t="s">
        <v>29</v>
      </c>
      <c r="J3664" s="36">
        <v>45611</v>
      </c>
      <c r="K3664" s="24" t="s">
        <v>22</v>
      </c>
    </row>
    <row r="3665" spans="1:11" x14ac:dyDescent="0.2">
      <c r="A3665" s="27" t="s">
        <v>8929</v>
      </c>
      <c r="B3665" s="27" t="s">
        <v>8930</v>
      </c>
      <c r="C3665" s="27" t="s">
        <v>8931</v>
      </c>
      <c r="D3665" s="27" t="s">
        <v>17</v>
      </c>
      <c r="E3665" s="27" t="s">
        <v>26</v>
      </c>
      <c r="F3665" s="27" t="s">
        <v>27</v>
      </c>
      <c r="G3665" s="27" t="s">
        <v>28</v>
      </c>
      <c r="H3665" s="29">
        <v>33</v>
      </c>
      <c r="I3665" s="27" t="s">
        <v>29</v>
      </c>
      <c r="J3665" s="37">
        <v>45609</v>
      </c>
      <c r="K3665" s="27" t="s">
        <v>22</v>
      </c>
    </row>
    <row r="3666" spans="1:11" x14ac:dyDescent="0.2">
      <c r="A3666" s="24" t="s">
        <v>8932</v>
      </c>
      <c r="B3666" s="24" t="s">
        <v>8933</v>
      </c>
      <c r="C3666" s="24" t="s">
        <v>6363</v>
      </c>
      <c r="D3666" s="24" t="s">
        <v>17</v>
      </c>
      <c r="E3666" s="24" t="s">
        <v>48</v>
      </c>
      <c r="F3666" s="24" t="s">
        <v>49</v>
      </c>
      <c r="G3666" s="24" t="s">
        <v>44</v>
      </c>
      <c r="H3666" s="26">
        <v>360</v>
      </c>
      <c r="I3666" s="24" t="s">
        <v>29</v>
      </c>
      <c r="J3666" s="36">
        <v>45617</v>
      </c>
      <c r="K3666" s="24" t="s">
        <v>22</v>
      </c>
    </row>
    <row r="3667" spans="1:11" x14ac:dyDescent="0.2">
      <c r="A3667" s="27" t="s">
        <v>8934</v>
      </c>
      <c r="B3667" s="27" t="s">
        <v>8935</v>
      </c>
      <c r="C3667" s="27" t="s">
        <v>8936</v>
      </c>
      <c r="D3667" s="27" t="s">
        <v>17</v>
      </c>
      <c r="E3667" s="27" t="s">
        <v>163</v>
      </c>
      <c r="F3667" s="27" t="s">
        <v>164</v>
      </c>
      <c r="G3667" s="27" t="s">
        <v>28</v>
      </c>
      <c r="H3667" s="29">
        <v>50</v>
      </c>
      <c r="I3667" s="27" t="s">
        <v>29</v>
      </c>
      <c r="J3667" s="37">
        <v>45617</v>
      </c>
      <c r="K3667" s="27" t="s">
        <v>22</v>
      </c>
    </row>
    <row r="3668" spans="1:11" x14ac:dyDescent="0.2">
      <c r="A3668" s="24" t="s">
        <v>8937</v>
      </c>
      <c r="B3668" s="24" t="s">
        <v>8938</v>
      </c>
      <c r="C3668" s="24" t="s">
        <v>8939</v>
      </c>
      <c r="D3668" s="24" t="s">
        <v>17</v>
      </c>
      <c r="E3668" s="24" t="s">
        <v>18</v>
      </c>
      <c r="F3668" s="24" t="s">
        <v>19</v>
      </c>
      <c r="G3668" s="24" t="s">
        <v>20</v>
      </c>
      <c r="H3668" s="26">
        <v>34</v>
      </c>
      <c r="I3668" s="24" t="s">
        <v>21</v>
      </c>
      <c r="J3668" s="36">
        <v>45625</v>
      </c>
      <c r="K3668" s="24" t="s">
        <v>22</v>
      </c>
    </row>
    <row r="3669" spans="1:11" x14ac:dyDescent="0.2">
      <c r="A3669" s="27" t="s">
        <v>8940</v>
      </c>
      <c r="B3669" s="27" t="s">
        <v>8941</v>
      </c>
      <c r="C3669" s="27" t="s">
        <v>8942</v>
      </c>
      <c r="D3669" s="27" t="s">
        <v>17</v>
      </c>
      <c r="E3669" s="27" t="s">
        <v>42</v>
      </c>
      <c r="F3669" s="27" t="s">
        <v>43</v>
      </c>
      <c r="G3669" s="27" t="s">
        <v>217</v>
      </c>
      <c r="H3669" s="29">
        <v>310</v>
      </c>
      <c r="I3669" s="27" t="s">
        <v>29</v>
      </c>
      <c r="J3669" s="37">
        <v>45597</v>
      </c>
      <c r="K3669" s="27" t="s">
        <v>22</v>
      </c>
    </row>
    <row r="3670" spans="1:11" x14ac:dyDescent="0.2">
      <c r="A3670" s="24" t="s">
        <v>8943</v>
      </c>
      <c r="B3670" s="24" t="s">
        <v>8944</v>
      </c>
      <c r="C3670" s="24" t="s">
        <v>618</v>
      </c>
      <c r="D3670" s="24" t="s">
        <v>17</v>
      </c>
      <c r="E3670" s="24" t="s">
        <v>48</v>
      </c>
      <c r="F3670" s="24" t="s">
        <v>49</v>
      </c>
      <c r="G3670" s="24" t="s">
        <v>217</v>
      </c>
      <c r="H3670" s="26">
        <v>90</v>
      </c>
      <c r="I3670" s="24" t="s">
        <v>29</v>
      </c>
      <c r="J3670" s="36">
        <v>45597</v>
      </c>
      <c r="K3670" s="24" t="s">
        <v>22</v>
      </c>
    </row>
    <row r="3671" spans="1:11" x14ac:dyDescent="0.2">
      <c r="A3671" s="27" t="s">
        <v>8945</v>
      </c>
      <c r="B3671" s="27" t="s">
        <v>8946</v>
      </c>
      <c r="C3671" s="27" t="s">
        <v>1438</v>
      </c>
      <c r="D3671" s="27" t="s">
        <v>17</v>
      </c>
      <c r="E3671" s="27" t="s">
        <v>18</v>
      </c>
      <c r="F3671" s="27" t="s">
        <v>19</v>
      </c>
      <c r="G3671" s="27" t="s">
        <v>20</v>
      </c>
      <c r="H3671" s="29">
        <v>24</v>
      </c>
      <c r="I3671" s="27" t="s">
        <v>21</v>
      </c>
      <c r="J3671" s="37">
        <v>45622</v>
      </c>
      <c r="K3671" s="27" t="s">
        <v>22</v>
      </c>
    </row>
    <row r="3672" spans="1:11" x14ac:dyDescent="0.2">
      <c r="A3672" s="24" t="s">
        <v>8947</v>
      </c>
      <c r="B3672" s="24" t="s">
        <v>8948</v>
      </c>
      <c r="C3672" s="24" t="s">
        <v>1719</v>
      </c>
      <c r="D3672" s="24" t="s">
        <v>17</v>
      </c>
      <c r="E3672" s="24" t="s">
        <v>18</v>
      </c>
      <c r="F3672" s="24" t="s">
        <v>19</v>
      </c>
      <c r="G3672" s="24" t="s">
        <v>20</v>
      </c>
      <c r="H3672" s="26">
        <v>76</v>
      </c>
      <c r="I3672" s="24" t="s">
        <v>21</v>
      </c>
      <c r="J3672" s="36">
        <v>45620</v>
      </c>
      <c r="K3672" s="24" t="s">
        <v>22</v>
      </c>
    </row>
    <row r="3673" spans="1:11" x14ac:dyDescent="0.2">
      <c r="A3673" s="27" t="s">
        <v>8949</v>
      </c>
      <c r="B3673" s="27" t="s">
        <v>8950</v>
      </c>
      <c r="C3673" s="27" t="s">
        <v>5182</v>
      </c>
      <c r="D3673" s="27" t="s">
        <v>17</v>
      </c>
      <c r="E3673" s="27" t="s">
        <v>42</v>
      </c>
      <c r="F3673" s="27" t="s">
        <v>43</v>
      </c>
      <c r="G3673" s="27" t="s">
        <v>28</v>
      </c>
      <c r="H3673" s="29">
        <v>32</v>
      </c>
      <c r="I3673" s="27" t="s">
        <v>29</v>
      </c>
      <c r="J3673" s="37">
        <v>45604</v>
      </c>
      <c r="K3673" s="27" t="s">
        <v>22</v>
      </c>
    </row>
    <row r="3674" spans="1:11" x14ac:dyDescent="0.2">
      <c r="A3674" s="24" t="s">
        <v>8951</v>
      </c>
      <c r="B3674" s="24" t="s">
        <v>8952</v>
      </c>
      <c r="C3674" s="24" t="s">
        <v>146</v>
      </c>
      <c r="D3674" s="24" t="s">
        <v>17</v>
      </c>
      <c r="E3674" s="24" t="s">
        <v>48</v>
      </c>
      <c r="F3674" s="24" t="s">
        <v>49</v>
      </c>
      <c r="G3674" s="24" t="s">
        <v>20</v>
      </c>
      <c r="H3674" s="26">
        <v>200</v>
      </c>
      <c r="I3674" s="24" t="s">
        <v>21</v>
      </c>
      <c r="J3674" s="36">
        <v>45609</v>
      </c>
      <c r="K3674" s="24" t="s">
        <v>22</v>
      </c>
    </row>
    <row r="3675" spans="1:11" x14ac:dyDescent="0.2">
      <c r="A3675" s="27" t="s">
        <v>8953</v>
      </c>
      <c r="B3675" s="27" t="s">
        <v>8954</v>
      </c>
      <c r="C3675" s="27" t="s">
        <v>4134</v>
      </c>
      <c r="D3675" s="27" t="s">
        <v>17</v>
      </c>
      <c r="E3675" s="27" t="s">
        <v>18</v>
      </c>
      <c r="F3675" s="27" t="s">
        <v>19</v>
      </c>
      <c r="G3675" s="27" t="s">
        <v>28</v>
      </c>
      <c r="H3675" s="29">
        <v>48</v>
      </c>
      <c r="I3675" s="27" t="s">
        <v>29</v>
      </c>
      <c r="J3675" s="37">
        <v>45609</v>
      </c>
      <c r="K3675" s="27" t="s">
        <v>22</v>
      </c>
    </row>
    <row r="3676" spans="1:11" x14ac:dyDescent="0.2">
      <c r="A3676" s="24" t="s">
        <v>8955</v>
      </c>
      <c r="B3676" s="24" t="s">
        <v>8956</v>
      </c>
      <c r="C3676" s="24" t="s">
        <v>512</v>
      </c>
      <c r="D3676" s="24" t="s">
        <v>17</v>
      </c>
      <c r="E3676" s="24" t="s">
        <v>18</v>
      </c>
      <c r="F3676" s="24" t="s">
        <v>19</v>
      </c>
      <c r="G3676" s="24" t="s">
        <v>217</v>
      </c>
      <c r="H3676" s="26">
        <v>24</v>
      </c>
      <c r="I3676" s="24" t="s">
        <v>29</v>
      </c>
      <c r="J3676" s="36">
        <v>45597</v>
      </c>
      <c r="K3676" s="24" t="s">
        <v>22</v>
      </c>
    </row>
    <row r="3677" spans="1:11" x14ac:dyDescent="0.2">
      <c r="A3677" s="27" t="s">
        <v>8957</v>
      </c>
      <c r="B3677" s="27" t="s">
        <v>8958</v>
      </c>
      <c r="C3677" s="27" t="s">
        <v>7327</v>
      </c>
      <c r="D3677" s="27" t="s">
        <v>17</v>
      </c>
      <c r="E3677" s="27" t="s">
        <v>33</v>
      </c>
      <c r="F3677" s="27" t="s">
        <v>34</v>
      </c>
      <c r="G3677" s="27" t="s">
        <v>116</v>
      </c>
      <c r="H3677" s="29">
        <v>0</v>
      </c>
      <c r="I3677" s="27" t="s">
        <v>21</v>
      </c>
      <c r="J3677" s="37">
        <v>45597</v>
      </c>
      <c r="K3677" s="27" t="s">
        <v>22</v>
      </c>
    </row>
    <row r="3678" spans="1:11" x14ac:dyDescent="0.2">
      <c r="A3678" s="24" t="s">
        <v>8959</v>
      </c>
      <c r="B3678" s="24" t="s">
        <v>8960</v>
      </c>
      <c r="C3678" s="24" t="s">
        <v>251</v>
      </c>
      <c r="D3678" s="24" t="s">
        <v>17</v>
      </c>
      <c r="E3678" s="24" t="s">
        <v>18</v>
      </c>
      <c r="F3678" s="24" t="s">
        <v>19</v>
      </c>
      <c r="G3678" s="24" t="s">
        <v>28</v>
      </c>
      <c r="H3678" s="26">
        <v>106</v>
      </c>
      <c r="I3678" s="24" t="s">
        <v>29</v>
      </c>
      <c r="J3678" s="36">
        <v>45607</v>
      </c>
      <c r="K3678" s="24" t="s">
        <v>22</v>
      </c>
    </row>
    <row r="3679" spans="1:11" x14ac:dyDescent="0.2">
      <c r="A3679" s="27" t="s">
        <v>8961</v>
      </c>
      <c r="B3679" s="27" t="s">
        <v>8962</v>
      </c>
      <c r="C3679" s="27" t="s">
        <v>8963</v>
      </c>
      <c r="D3679" s="27" t="s">
        <v>17</v>
      </c>
      <c r="E3679" s="27" t="s">
        <v>18</v>
      </c>
      <c r="F3679" s="27" t="s">
        <v>19</v>
      </c>
      <c r="G3679" s="27" t="s">
        <v>28</v>
      </c>
      <c r="H3679" s="29">
        <v>12</v>
      </c>
      <c r="I3679" s="27" t="s">
        <v>29</v>
      </c>
      <c r="J3679" s="37">
        <v>45617</v>
      </c>
      <c r="K3679" s="27" t="s">
        <v>22</v>
      </c>
    </row>
    <row r="3680" spans="1:11" x14ac:dyDescent="0.2">
      <c r="A3680" s="24" t="s">
        <v>8964</v>
      </c>
      <c r="B3680" s="24" t="s">
        <v>8965</v>
      </c>
      <c r="C3680" s="24" t="s">
        <v>52</v>
      </c>
      <c r="D3680" s="24" t="s">
        <v>17</v>
      </c>
      <c r="E3680" s="24" t="s">
        <v>18</v>
      </c>
      <c r="F3680" s="24" t="s">
        <v>19</v>
      </c>
      <c r="G3680" s="24" t="s">
        <v>44</v>
      </c>
      <c r="H3680" s="26">
        <v>160</v>
      </c>
      <c r="I3680" s="24" t="s">
        <v>21</v>
      </c>
      <c r="J3680" s="36">
        <v>45611</v>
      </c>
      <c r="K3680" s="24" t="s">
        <v>22</v>
      </c>
    </row>
    <row r="3681" spans="1:11" x14ac:dyDescent="0.2">
      <c r="A3681" s="27" t="s">
        <v>8966</v>
      </c>
      <c r="B3681" s="27" t="s">
        <v>8967</v>
      </c>
      <c r="C3681" s="27" t="s">
        <v>1972</v>
      </c>
      <c r="D3681" s="27" t="s">
        <v>17</v>
      </c>
      <c r="E3681" s="27" t="s">
        <v>48</v>
      </c>
      <c r="F3681" s="27" t="s">
        <v>49</v>
      </c>
      <c r="G3681" s="27" t="s">
        <v>44</v>
      </c>
      <c r="H3681" s="29">
        <v>67</v>
      </c>
      <c r="I3681" s="27" t="s">
        <v>21</v>
      </c>
      <c r="J3681" s="37">
        <v>45622</v>
      </c>
      <c r="K3681" s="27" t="s">
        <v>22</v>
      </c>
    </row>
    <row r="3682" spans="1:11" x14ac:dyDescent="0.2">
      <c r="A3682" s="24" t="s">
        <v>8968</v>
      </c>
      <c r="B3682" s="24" t="s">
        <v>8969</v>
      </c>
      <c r="C3682" s="24" t="s">
        <v>515</v>
      </c>
      <c r="D3682" s="24" t="s">
        <v>17</v>
      </c>
      <c r="E3682" s="24" t="s">
        <v>42</v>
      </c>
      <c r="F3682" s="24" t="s">
        <v>43</v>
      </c>
      <c r="G3682" s="24" t="s">
        <v>44</v>
      </c>
      <c r="H3682" s="26">
        <v>825</v>
      </c>
      <c r="I3682" s="24" t="s">
        <v>29</v>
      </c>
      <c r="J3682" s="36">
        <v>45623</v>
      </c>
      <c r="K3682" s="24" t="s">
        <v>22</v>
      </c>
    </row>
    <row r="3683" spans="1:11" x14ac:dyDescent="0.2">
      <c r="A3683" s="27" t="s">
        <v>8970</v>
      </c>
      <c r="B3683" s="27" t="s">
        <v>8971</v>
      </c>
      <c r="C3683" s="27" t="s">
        <v>146</v>
      </c>
      <c r="D3683" s="27" t="s">
        <v>17</v>
      </c>
      <c r="E3683" s="27" t="s">
        <v>48</v>
      </c>
      <c r="F3683" s="27" t="s">
        <v>49</v>
      </c>
      <c r="G3683" s="27" t="s">
        <v>44</v>
      </c>
      <c r="H3683" s="29">
        <v>283</v>
      </c>
      <c r="I3683" s="27" t="s">
        <v>21</v>
      </c>
      <c r="J3683" s="37">
        <v>45607</v>
      </c>
      <c r="K3683" s="27" t="s">
        <v>22</v>
      </c>
    </row>
    <row r="3684" spans="1:11" x14ac:dyDescent="0.2">
      <c r="A3684" s="24" t="s">
        <v>8972</v>
      </c>
      <c r="B3684" s="24" t="s">
        <v>8973</v>
      </c>
      <c r="C3684" s="24" t="s">
        <v>8974</v>
      </c>
      <c r="D3684" s="24" t="s">
        <v>17</v>
      </c>
      <c r="E3684" s="24" t="s">
        <v>18</v>
      </c>
      <c r="F3684" s="24" t="s">
        <v>19</v>
      </c>
      <c r="G3684" s="24" t="s">
        <v>20</v>
      </c>
      <c r="H3684" s="26">
        <v>39</v>
      </c>
      <c r="I3684" s="24" t="s">
        <v>21</v>
      </c>
      <c r="J3684" s="36">
        <v>45616</v>
      </c>
      <c r="K3684" s="24" t="s">
        <v>22</v>
      </c>
    </row>
    <row r="3685" spans="1:11" x14ac:dyDescent="0.2">
      <c r="A3685" s="27" t="s">
        <v>8975</v>
      </c>
      <c r="B3685" s="27" t="s">
        <v>8976</v>
      </c>
      <c r="C3685" s="27" t="s">
        <v>3208</v>
      </c>
      <c r="D3685" s="27" t="s">
        <v>17</v>
      </c>
      <c r="E3685" s="27" t="s">
        <v>26</v>
      </c>
      <c r="F3685" s="27" t="s">
        <v>27</v>
      </c>
      <c r="G3685" s="27" t="s">
        <v>44</v>
      </c>
      <c r="H3685" s="29">
        <v>120</v>
      </c>
      <c r="I3685" s="27" t="s">
        <v>29</v>
      </c>
      <c r="J3685" s="37">
        <v>45616</v>
      </c>
      <c r="K3685" s="27" t="s">
        <v>22</v>
      </c>
    </row>
    <row r="3686" spans="1:11" x14ac:dyDescent="0.2">
      <c r="A3686" s="24" t="s">
        <v>8977</v>
      </c>
      <c r="B3686" s="24" t="s">
        <v>8978</v>
      </c>
      <c r="C3686" s="24" t="s">
        <v>423</v>
      </c>
      <c r="D3686" s="24" t="s">
        <v>17</v>
      </c>
      <c r="E3686" s="24" t="s">
        <v>18</v>
      </c>
      <c r="F3686" s="24" t="s">
        <v>19</v>
      </c>
      <c r="G3686" s="24" t="s">
        <v>20</v>
      </c>
      <c r="H3686" s="26">
        <v>31</v>
      </c>
      <c r="I3686" s="24" t="s">
        <v>21</v>
      </c>
      <c r="J3686" s="36">
        <v>45604</v>
      </c>
      <c r="K3686" s="24" t="s">
        <v>22</v>
      </c>
    </row>
    <row r="3687" spans="1:11" x14ac:dyDescent="0.2">
      <c r="A3687" s="27" t="s">
        <v>8979</v>
      </c>
      <c r="B3687" s="27" t="s">
        <v>8980</v>
      </c>
      <c r="C3687" s="27" t="s">
        <v>1161</v>
      </c>
      <c r="D3687" s="27" t="s">
        <v>17</v>
      </c>
      <c r="E3687" s="27" t="s">
        <v>42</v>
      </c>
      <c r="F3687" s="27" t="s">
        <v>43</v>
      </c>
      <c r="G3687" s="27" t="s">
        <v>28</v>
      </c>
      <c r="H3687" s="29">
        <v>524</v>
      </c>
      <c r="I3687" s="27" t="s">
        <v>29</v>
      </c>
      <c r="J3687" s="37">
        <v>45618</v>
      </c>
      <c r="K3687" s="27" t="s">
        <v>22</v>
      </c>
    </row>
    <row r="3688" spans="1:11" x14ac:dyDescent="0.2">
      <c r="A3688" s="24" t="s">
        <v>8981</v>
      </c>
      <c r="B3688" s="24" t="s">
        <v>8982</v>
      </c>
      <c r="C3688" s="24" t="s">
        <v>613</v>
      </c>
      <c r="D3688" s="24" t="s">
        <v>17</v>
      </c>
      <c r="E3688" s="24" t="s">
        <v>42</v>
      </c>
      <c r="F3688" s="24" t="s">
        <v>43</v>
      </c>
      <c r="G3688" s="24" t="s">
        <v>28</v>
      </c>
      <c r="H3688" s="26">
        <v>460</v>
      </c>
      <c r="I3688" s="24" t="s">
        <v>29</v>
      </c>
      <c r="J3688" s="36">
        <v>45610</v>
      </c>
      <c r="K3688" s="24" t="s">
        <v>22</v>
      </c>
    </row>
    <row r="3689" spans="1:11" x14ac:dyDescent="0.2">
      <c r="A3689" s="27" t="s">
        <v>8983</v>
      </c>
      <c r="B3689" s="27" t="s">
        <v>8984</v>
      </c>
      <c r="C3689" s="27" t="s">
        <v>106</v>
      </c>
      <c r="D3689" s="27" t="s">
        <v>17</v>
      </c>
      <c r="E3689" s="27" t="s">
        <v>18</v>
      </c>
      <c r="F3689" s="27" t="s">
        <v>19</v>
      </c>
      <c r="G3689" s="27" t="s">
        <v>20</v>
      </c>
      <c r="H3689" s="29">
        <v>15</v>
      </c>
      <c r="I3689" s="27" t="s">
        <v>21</v>
      </c>
      <c r="J3689" s="37">
        <v>45609</v>
      </c>
      <c r="K3689" s="27" t="s">
        <v>22</v>
      </c>
    </row>
    <row r="3690" spans="1:11" x14ac:dyDescent="0.2">
      <c r="A3690" s="24" t="s">
        <v>8985</v>
      </c>
      <c r="B3690" s="24" t="s">
        <v>8986</v>
      </c>
      <c r="C3690" s="24" t="s">
        <v>8987</v>
      </c>
      <c r="D3690" s="24" t="s">
        <v>17</v>
      </c>
      <c r="E3690" s="24" t="s">
        <v>18</v>
      </c>
      <c r="F3690" s="24" t="s">
        <v>19</v>
      </c>
      <c r="G3690" s="24" t="s">
        <v>28</v>
      </c>
      <c r="H3690" s="26">
        <v>254</v>
      </c>
      <c r="I3690" s="24" t="s">
        <v>29</v>
      </c>
      <c r="J3690" s="36">
        <v>45614</v>
      </c>
      <c r="K3690" s="24" t="s">
        <v>22</v>
      </c>
    </row>
    <row r="3691" spans="1:11" x14ac:dyDescent="0.2">
      <c r="A3691" s="27" t="s">
        <v>8988</v>
      </c>
      <c r="B3691" s="27" t="s">
        <v>8989</v>
      </c>
      <c r="C3691" s="27" t="s">
        <v>8990</v>
      </c>
      <c r="D3691" s="27" t="s">
        <v>17</v>
      </c>
      <c r="E3691" s="27" t="s">
        <v>33</v>
      </c>
      <c r="F3691" s="27" t="s">
        <v>34</v>
      </c>
      <c r="G3691" s="27" t="s">
        <v>28</v>
      </c>
      <c r="H3691" s="29">
        <v>40</v>
      </c>
      <c r="I3691" s="27" t="s">
        <v>29</v>
      </c>
      <c r="J3691" s="37">
        <v>45603</v>
      </c>
      <c r="K3691" s="27" t="s">
        <v>22</v>
      </c>
    </row>
    <row r="3692" spans="1:11" x14ac:dyDescent="0.2">
      <c r="A3692" s="24" t="s">
        <v>8991</v>
      </c>
      <c r="B3692" s="24" t="s">
        <v>8992</v>
      </c>
      <c r="C3692" s="24" t="s">
        <v>8993</v>
      </c>
      <c r="D3692" s="24" t="s">
        <v>17</v>
      </c>
      <c r="E3692" s="24" t="s">
        <v>26</v>
      </c>
      <c r="F3692" s="24" t="s">
        <v>27</v>
      </c>
      <c r="G3692" s="24" t="s">
        <v>44</v>
      </c>
      <c r="H3692" s="26">
        <v>600</v>
      </c>
      <c r="I3692" s="24" t="s">
        <v>21</v>
      </c>
      <c r="J3692" s="36">
        <v>45608</v>
      </c>
      <c r="K3692" s="24" t="s">
        <v>22</v>
      </c>
    </row>
    <row r="3693" spans="1:11" x14ac:dyDescent="0.2">
      <c r="A3693" s="27" t="s">
        <v>8994</v>
      </c>
      <c r="B3693" s="27" t="s">
        <v>8995</v>
      </c>
      <c r="C3693" s="27" t="s">
        <v>4256</v>
      </c>
      <c r="D3693" s="27" t="s">
        <v>17</v>
      </c>
      <c r="E3693" s="27" t="s">
        <v>42</v>
      </c>
      <c r="F3693" s="27" t="s">
        <v>43</v>
      </c>
      <c r="G3693" s="27" t="s">
        <v>28</v>
      </c>
      <c r="H3693" s="29">
        <v>404</v>
      </c>
      <c r="I3693" s="27" t="s">
        <v>29</v>
      </c>
      <c r="J3693" s="37">
        <v>45609</v>
      </c>
      <c r="K3693" s="27" t="s">
        <v>22</v>
      </c>
    </row>
    <row r="3694" spans="1:11" x14ac:dyDescent="0.2">
      <c r="A3694" s="24" t="s">
        <v>8996</v>
      </c>
      <c r="B3694" s="24" t="s">
        <v>8997</v>
      </c>
      <c r="C3694" s="24" t="s">
        <v>921</v>
      </c>
      <c r="D3694" s="24" t="s">
        <v>17</v>
      </c>
      <c r="E3694" s="24" t="s">
        <v>18</v>
      </c>
      <c r="F3694" s="24" t="s">
        <v>19</v>
      </c>
      <c r="G3694" s="24" t="s">
        <v>217</v>
      </c>
      <c r="H3694" s="26">
        <v>120</v>
      </c>
      <c r="I3694" s="24" t="s">
        <v>29</v>
      </c>
      <c r="J3694" s="36">
        <v>45597</v>
      </c>
      <c r="K3694" s="24" t="s">
        <v>22</v>
      </c>
    </row>
    <row r="3695" spans="1:11" x14ac:dyDescent="0.2">
      <c r="A3695" s="27" t="s">
        <v>8998</v>
      </c>
      <c r="B3695" s="27" t="s">
        <v>8999</v>
      </c>
      <c r="C3695" s="27" t="s">
        <v>1161</v>
      </c>
      <c r="D3695" s="27" t="s">
        <v>17</v>
      </c>
      <c r="E3695" s="27" t="s">
        <v>26</v>
      </c>
      <c r="F3695" s="27" t="s">
        <v>27</v>
      </c>
      <c r="G3695" s="27" t="s">
        <v>28</v>
      </c>
      <c r="H3695" s="29">
        <v>90</v>
      </c>
      <c r="I3695" s="27" t="s">
        <v>29</v>
      </c>
      <c r="J3695" s="37">
        <v>45600</v>
      </c>
      <c r="K3695" s="27" t="s">
        <v>22</v>
      </c>
    </row>
    <row r="3696" spans="1:11" x14ac:dyDescent="0.2">
      <c r="A3696" s="24" t="s">
        <v>9000</v>
      </c>
      <c r="B3696" s="24" t="s">
        <v>9001</v>
      </c>
      <c r="C3696" s="24" t="s">
        <v>208</v>
      </c>
      <c r="D3696" s="24" t="s">
        <v>17</v>
      </c>
      <c r="E3696" s="24" t="s">
        <v>26</v>
      </c>
      <c r="F3696" s="24" t="s">
        <v>27</v>
      </c>
      <c r="G3696" s="24" t="s">
        <v>44</v>
      </c>
      <c r="H3696" s="26">
        <v>980</v>
      </c>
      <c r="I3696" s="24" t="s">
        <v>21</v>
      </c>
      <c r="J3696" s="36">
        <v>45615</v>
      </c>
      <c r="K3696" s="24" t="s">
        <v>22</v>
      </c>
    </row>
    <row r="3697" spans="1:11" x14ac:dyDescent="0.2">
      <c r="A3697" s="27" t="s">
        <v>9002</v>
      </c>
      <c r="B3697" s="27" t="s">
        <v>9003</v>
      </c>
      <c r="C3697" s="27" t="s">
        <v>2484</v>
      </c>
      <c r="D3697" s="27" t="s">
        <v>17</v>
      </c>
      <c r="E3697" s="27" t="s">
        <v>42</v>
      </c>
      <c r="F3697" s="27" t="s">
        <v>43</v>
      </c>
      <c r="G3697" s="27" t="s">
        <v>227</v>
      </c>
      <c r="H3697" s="29">
        <v>8</v>
      </c>
      <c r="I3697" s="27" t="s">
        <v>29</v>
      </c>
      <c r="J3697" s="37">
        <v>45615</v>
      </c>
      <c r="K3697" s="27" t="s">
        <v>22</v>
      </c>
    </row>
    <row r="3698" spans="1:11" x14ac:dyDescent="0.2">
      <c r="A3698" s="24" t="s">
        <v>9004</v>
      </c>
      <c r="B3698" s="24" t="s">
        <v>9005</v>
      </c>
      <c r="C3698" s="24" t="s">
        <v>208</v>
      </c>
      <c r="D3698" s="24" t="s">
        <v>17</v>
      </c>
      <c r="E3698" s="24" t="s">
        <v>18</v>
      </c>
      <c r="F3698" s="24" t="s">
        <v>19</v>
      </c>
      <c r="G3698" s="24" t="s">
        <v>20</v>
      </c>
      <c r="H3698" s="26">
        <v>32</v>
      </c>
      <c r="I3698" s="24" t="s">
        <v>21</v>
      </c>
      <c r="J3698" s="36">
        <v>45616</v>
      </c>
      <c r="K3698" s="24" t="s">
        <v>22</v>
      </c>
    </row>
    <row r="3699" spans="1:11" x14ac:dyDescent="0.2">
      <c r="A3699" s="27" t="s">
        <v>9006</v>
      </c>
      <c r="B3699" s="27" t="s">
        <v>9007</v>
      </c>
      <c r="C3699" s="27" t="s">
        <v>5561</v>
      </c>
      <c r="D3699" s="27" t="s">
        <v>17</v>
      </c>
      <c r="E3699" s="27" t="s">
        <v>42</v>
      </c>
      <c r="F3699" s="27" t="s">
        <v>43</v>
      </c>
      <c r="G3699" s="27" t="s">
        <v>28</v>
      </c>
      <c r="H3699" s="29">
        <v>82</v>
      </c>
      <c r="I3699" s="27" t="s">
        <v>29</v>
      </c>
      <c r="J3699" s="37">
        <v>45602</v>
      </c>
      <c r="K3699" s="27" t="s">
        <v>22</v>
      </c>
    </row>
    <row r="3700" spans="1:11" x14ac:dyDescent="0.2">
      <c r="A3700" s="24" t="s">
        <v>9008</v>
      </c>
      <c r="B3700" s="24" t="s">
        <v>9009</v>
      </c>
      <c r="C3700" s="24" t="s">
        <v>2331</v>
      </c>
      <c r="D3700" s="24" t="s">
        <v>17</v>
      </c>
      <c r="E3700" s="24" t="s">
        <v>26</v>
      </c>
      <c r="F3700" s="24" t="s">
        <v>27</v>
      </c>
      <c r="G3700" s="24" t="s">
        <v>20</v>
      </c>
      <c r="H3700" s="26">
        <v>1353</v>
      </c>
      <c r="I3700" s="24" t="s">
        <v>21</v>
      </c>
      <c r="J3700" s="36">
        <v>45607</v>
      </c>
      <c r="K3700" s="24" t="s">
        <v>22</v>
      </c>
    </row>
    <row r="3701" spans="1:11" x14ac:dyDescent="0.2">
      <c r="A3701" s="27" t="s">
        <v>9010</v>
      </c>
      <c r="B3701" s="27" t="s">
        <v>9011</v>
      </c>
      <c r="C3701" s="27" t="s">
        <v>871</v>
      </c>
      <c r="D3701" s="27" t="s">
        <v>17</v>
      </c>
      <c r="E3701" s="27" t="s">
        <v>48</v>
      </c>
      <c r="F3701" s="27" t="s">
        <v>49</v>
      </c>
      <c r="G3701" s="27" t="s">
        <v>28</v>
      </c>
      <c r="H3701" s="29">
        <v>9</v>
      </c>
      <c r="I3701" s="27" t="s">
        <v>29</v>
      </c>
      <c r="J3701" s="37">
        <v>45600</v>
      </c>
      <c r="K3701" s="27" t="s">
        <v>22</v>
      </c>
    </row>
    <row r="3702" spans="1:11" x14ac:dyDescent="0.2">
      <c r="A3702" s="24" t="s">
        <v>9012</v>
      </c>
      <c r="B3702" s="24" t="s">
        <v>9013</v>
      </c>
      <c r="C3702" s="24" t="s">
        <v>55</v>
      </c>
      <c r="D3702" s="24" t="s">
        <v>17</v>
      </c>
      <c r="E3702" s="24" t="s">
        <v>18</v>
      </c>
      <c r="F3702" s="24" t="s">
        <v>19</v>
      </c>
      <c r="G3702" s="24" t="s">
        <v>44</v>
      </c>
      <c r="H3702" s="26">
        <v>72</v>
      </c>
      <c r="I3702" s="24" t="s">
        <v>29</v>
      </c>
      <c r="J3702" s="36">
        <v>45608</v>
      </c>
      <c r="K3702" s="24" t="s">
        <v>22</v>
      </c>
    </row>
    <row r="3703" spans="1:11" x14ac:dyDescent="0.2">
      <c r="A3703" s="27" t="s">
        <v>9014</v>
      </c>
      <c r="B3703" s="27" t="s">
        <v>9015</v>
      </c>
      <c r="C3703" s="27" t="s">
        <v>9016</v>
      </c>
      <c r="D3703" s="27" t="s">
        <v>17</v>
      </c>
      <c r="E3703" s="27" t="s">
        <v>48</v>
      </c>
      <c r="F3703" s="27" t="s">
        <v>49</v>
      </c>
      <c r="G3703" s="27" t="s">
        <v>28</v>
      </c>
      <c r="H3703" s="29">
        <v>40</v>
      </c>
      <c r="I3703" s="27" t="s">
        <v>29</v>
      </c>
      <c r="J3703" s="37">
        <v>45621</v>
      </c>
      <c r="K3703" s="27" t="s">
        <v>22</v>
      </c>
    </row>
    <row r="3704" spans="1:11" x14ac:dyDescent="0.2">
      <c r="A3704" s="24" t="s">
        <v>9017</v>
      </c>
      <c r="B3704" s="24" t="s">
        <v>9018</v>
      </c>
      <c r="C3704" s="24" t="s">
        <v>208</v>
      </c>
      <c r="D3704" s="24" t="s">
        <v>17</v>
      </c>
      <c r="E3704" s="24" t="s">
        <v>26</v>
      </c>
      <c r="F3704" s="24" t="s">
        <v>27</v>
      </c>
      <c r="G3704" s="24" t="s">
        <v>28</v>
      </c>
      <c r="H3704" s="26">
        <v>66</v>
      </c>
      <c r="I3704" s="24" t="s">
        <v>29</v>
      </c>
      <c r="J3704" s="36">
        <v>45617</v>
      </c>
      <c r="K3704" s="24" t="s">
        <v>22</v>
      </c>
    </row>
    <row r="3705" spans="1:11" x14ac:dyDescent="0.2">
      <c r="A3705" s="27" t="s">
        <v>9019</v>
      </c>
      <c r="B3705" s="27" t="s">
        <v>9020</v>
      </c>
      <c r="C3705" s="27" t="s">
        <v>9016</v>
      </c>
      <c r="D3705" s="27" t="s">
        <v>17</v>
      </c>
      <c r="E3705" s="27" t="s">
        <v>18</v>
      </c>
      <c r="F3705" s="27" t="s">
        <v>19</v>
      </c>
      <c r="G3705" s="27" t="s">
        <v>28</v>
      </c>
      <c r="H3705" s="29">
        <v>10</v>
      </c>
      <c r="I3705" s="27" t="s">
        <v>29</v>
      </c>
      <c r="J3705" s="37">
        <v>45606</v>
      </c>
      <c r="K3705" s="27" t="s">
        <v>22</v>
      </c>
    </row>
    <row r="3706" spans="1:11" x14ac:dyDescent="0.2">
      <c r="A3706" s="24" t="s">
        <v>9021</v>
      </c>
      <c r="B3706" s="24" t="s">
        <v>9022</v>
      </c>
      <c r="C3706" s="24" t="s">
        <v>1883</v>
      </c>
      <c r="D3706" s="24" t="s">
        <v>17</v>
      </c>
      <c r="E3706" s="24" t="s">
        <v>42</v>
      </c>
      <c r="F3706" s="24" t="s">
        <v>43</v>
      </c>
      <c r="G3706" s="24" t="s">
        <v>28</v>
      </c>
      <c r="H3706" s="26">
        <v>189</v>
      </c>
      <c r="I3706" s="24" t="s">
        <v>29</v>
      </c>
      <c r="J3706" s="36">
        <v>45610</v>
      </c>
      <c r="K3706" s="24" t="s">
        <v>22</v>
      </c>
    </row>
    <row r="3707" spans="1:11" x14ac:dyDescent="0.2">
      <c r="A3707" s="27" t="s">
        <v>9023</v>
      </c>
      <c r="B3707" s="27" t="s">
        <v>9024</v>
      </c>
      <c r="C3707" s="27" t="s">
        <v>409</v>
      </c>
      <c r="D3707" s="27" t="s">
        <v>17</v>
      </c>
      <c r="E3707" s="27" t="s">
        <v>42</v>
      </c>
      <c r="F3707" s="27" t="s">
        <v>43</v>
      </c>
      <c r="G3707" s="27" t="s">
        <v>20</v>
      </c>
      <c r="H3707" s="29">
        <v>310</v>
      </c>
      <c r="I3707" s="27" t="s">
        <v>21</v>
      </c>
      <c r="J3707" s="37">
        <v>45618</v>
      </c>
      <c r="K3707" s="27" t="s">
        <v>22</v>
      </c>
    </row>
    <row r="3708" spans="1:11" x14ac:dyDescent="0.2">
      <c r="A3708" s="24" t="s">
        <v>9025</v>
      </c>
      <c r="B3708" s="24" t="s">
        <v>9026</v>
      </c>
      <c r="C3708" s="24" t="s">
        <v>2048</v>
      </c>
      <c r="D3708" s="24" t="s">
        <v>17</v>
      </c>
      <c r="E3708" s="24" t="s">
        <v>18</v>
      </c>
      <c r="F3708" s="24" t="s">
        <v>19</v>
      </c>
      <c r="G3708" s="24" t="s">
        <v>217</v>
      </c>
      <c r="H3708" s="26">
        <v>48</v>
      </c>
      <c r="I3708" s="24" t="s">
        <v>29</v>
      </c>
      <c r="J3708" s="36">
        <v>45601</v>
      </c>
      <c r="K3708" s="24" t="s">
        <v>22</v>
      </c>
    </row>
    <row r="3709" spans="1:11" x14ac:dyDescent="0.2">
      <c r="A3709" s="27" t="s">
        <v>9027</v>
      </c>
      <c r="B3709" s="27" t="s">
        <v>9028</v>
      </c>
      <c r="C3709" s="27" t="s">
        <v>882</v>
      </c>
      <c r="D3709" s="27" t="s">
        <v>17</v>
      </c>
      <c r="E3709" s="27" t="s">
        <v>42</v>
      </c>
      <c r="F3709" s="27" t="s">
        <v>43</v>
      </c>
      <c r="G3709" s="27" t="s">
        <v>28</v>
      </c>
      <c r="H3709" s="29">
        <v>430</v>
      </c>
      <c r="I3709" s="27" t="s">
        <v>29</v>
      </c>
      <c r="J3709" s="37">
        <v>45623</v>
      </c>
      <c r="K3709" s="27" t="s">
        <v>22</v>
      </c>
    </row>
    <row r="3710" spans="1:11" x14ac:dyDescent="0.2">
      <c r="A3710" s="24" t="s">
        <v>9029</v>
      </c>
      <c r="B3710" s="24" t="s">
        <v>9030</v>
      </c>
      <c r="C3710" s="24" t="s">
        <v>9031</v>
      </c>
      <c r="D3710" s="24" t="s">
        <v>17</v>
      </c>
      <c r="E3710" s="24" t="s">
        <v>42</v>
      </c>
      <c r="F3710" s="24" t="s">
        <v>43</v>
      </c>
      <c r="G3710" s="24" t="s">
        <v>28</v>
      </c>
      <c r="H3710" s="26">
        <v>374</v>
      </c>
      <c r="I3710" s="24" t="s">
        <v>29</v>
      </c>
      <c r="J3710" s="36">
        <v>45607</v>
      </c>
      <c r="K3710" s="24" t="s">
        <v>22</v>
      </c>
    </row>
    <row r="3711" spans="1:11" x14ac:dyDescent="0.2">
      <c r="A3711" s="27" t="s">
        <v>9032</v>
      </c>
      <c r="B3711" s="27" t="s">
        <v>9033</v>
      </c>
      <c r="C3711" s="27" t="s">
        <v>9034</v>
      </c>
      <c r="D3711" s="27" t="s">
        <v>17</v>
      </c>
      <c r="E3711" s="27" t="s">
        <v>48</v>
      </c>
      <c r="F3711" s="27" t="s">
        <v>49</v>
      </c>
      <c r="G3711" s="27" t="s">
        <v>20</v>
      </c>
      <c r="H3711" s="29">
        <v>156</v>
      </c>
      <c r="I3711" s="27" t="s">
        <v>21</v>
      </c>
      <c r="J3711" s="37">
        <v>45604</v>
      </c>
      <c r="K3711" s="27" t="s">
        <v>22</v>
      </c>
    </row>
    <row r="3712" spans="1:11" x14ac:dyDescent="0.2">
      <c r="A3712" s="24" t="s">
        <v>9035</v>
      </c>
      <c r="B3712" s="24" t="s">
        <v>9036</v>
      </c>
      <c r="C3712" s="24" t="s">
        <v>984</v>
      </c>
      <c r="D3712" s="24" t="s">
        <v>17</v>
      </c>
      <c r="E3712" s="24" t="s">
        <v>42</v>
      </c>
      <c r="F3712" s="24" t="s">
        <v>43</v>
      </c>
      <c r="G3712" s="24" t="s">
        <v>20</v>
      </c>
      <c r="H3712" s="26">
        <v>2457</v>
      </c>
      <c r="I3712" s="24" t="s">
        <v>21</v>
      </c>
      <c r="J3712" s="36">
        <v>45614</v>
      </c>
      <c r="K3712" s="24" t="s">
        <v>22</v>
      </c>
    </row>
    <row r="3713" spans="1:11" x14ac:dyDescent="0.2">
      <c r="A3713" s="27" t="s">
        <v>9037</v>
      </c>
      <c r="B3713" s="27" t="s">
        <v>9038</v>
      </c>
      <c r="C3713" s="27" t="s">
        <v>213</v>
      </c>
      <c r="D3713" s="27" t="s">
        <v>17</v>
      </c>
      <c r="E3713" s="27" t="s">
        <v>18</v>
      </c>
      <c r="F3713" s="27" t="s">
        <v>19</v>
      </c>
      <c r="G3713" s="27" t="s">
        <v>44</v>
      </c>
      <c r="H3713" s="29">
        <v>71</v>
      </c>
      <c r="I3713" s="27" t="s">
        <v>21</v>
      </c>
      <c r="J3713" s="37">
        <v>45623</v>
      </c>
      <c r="K3713" s="27" t="s">
        <v>22</v>
      </c>
    </row>
    <row r="3714" spans="1:11" x14ac:dyDescent="0.2">
      <c r="A3714" s="24" t="s">
        <v>9039</v>
      </c>
      <c r="B3714" s="24" t="s">
        <v>9040</v>
      </c>
      <c r="C3714" s="24" t="s">
        <v>146</v>
      </c>
      <c r="D3714" s="24" t="s">
        <v>17</v>
      </c>
      <c r="E3714" s="24" t="s">
        <v>18</v>
      </c>
      <c r="F3714" s="24" t="s">
        <v>19</v>
      </c>
      <c r="G3714" s="24" t="s">
        <v>28</v>
      </c>
      <c r="H3714" s="26">
        <v>48</v>
      </c>
      <c r="I3714" s="24" t="s">
        <v>29</v>
      </c>
      <c r="J3714" s="36">
        <v>45614</v>
      </c>
      <c r="K3714" s="24" t="s">
        <v>22</v>
      </c>
    </row>
    <row r="3715" spans="1:11" x14ac:dyDescent="0.2">
      <c r="A3715" s="27" t="s">
        <v>9041</v>
      </c>
      <c r="B3715" s="27" t="s">
        <v>9042</v>
      </c>
      <c r="C3715" s="27" t="s">
        <v>9043</v>
      </c>
      <c r="D3715" s="27" t="s">
        <v>17</v>
      </c>
      <c r="E3715" s="27" t="s">
        <v>163</v>
      </c>
      <c r="F3715" s="27" t="s">
        <v>164</v>
      </c>
      <c r="G3715" s="27" t="s">
        <v>28</v>
      </c>
      <c r="H3715" s="29">
        <v>30</v>
      </c>
      <c r="I3715" s="27" t="s">
        <v>29</v>
      </c>
      <c r="J3715" s="37">
        <v>45623</v>
      </c>
      <c r="K3715" s="27" t="s">
        <v>22</v>
      </c>
    </row>
    <row r="3716" spans="1:11" x14ac:dyDescent="0.2">
      <c r="A3716" s="24" t="s">
        <v>9044</v>
      </c>
      <c r="B3716" s="24" t="s">
        <v>9045</v>
      </c>
      <c r="C3716" s="24" t="s">
        <v>827</v>
      </c>
      <c r="D3716" s="24" t="s">
        <v>17</v>
      </c>
      <c r="E3716" s="24" t="s">
        <v>48</v>
      </c>
      <c r="F3716" s="24" t="s">
        <v>49</v>
      </c>
      <c r="G3716" s="24" t="s">
        <v>28</v>
      </c>
      <c r="H3716" s="26">
        <v>172</v>
      </c>
      <c r="I3716" s="24" t="s">
        <v>29</v>
      </c>
      <c r="J3716" s="36">
        <v>45608</v>
      </c>
      <c r="K3716" s="24" t="s">
        <v>22</v>
      </c>
    </row>
    <row r="3717" spans="1:11" x14ac:dyDescent="0.2">
      <c r="A3717" s="27" t="s">
        <v>9046</v>
      </c>
      <c r="B3717" s="27" t="s">
        <v>9047</v>
      </c>
      <c r="C3717" s="27" t="s">
        <v>213</v>
      </c>
      <c r="D3717" s="27" t="s">
        <v>17</v>
      </c>
      <c r="E3717" s="27" t="s">
        <v>18</v>
      </c>
      <c r="F3717" s="27" t="s">
        <v>19</v>
      </c>
      <c r="G3717" s="27" t="s">
        <v>59</v>
      </c>
      <c r="H3717" s="29">
        <v>4</v>
      </c>
      <c r="I3717" s="27" t="s">
        <v>21</v>
      </c>
      <c r="J3717" s="37">
        <v>45607</v>
      </c>
      <c r="K3717" s="27" t="s">
        <v>22</v>
      </c>
    </row>
    <row r="3718" spans="1:11" x14ac:dyDescent="0.2">
      <c r="A3718" s="24" t="s">
        <v>9048</v>
      </c>
      <c r="B3718" s="24" t="s">
        <v>9049</v>
      </c>
      <c r="C3718" s="24" t="s">
        <v>3576</v>
      </c>
      <c r="D3718" s="24" t="s">
        <v>17</v>
      </c>
      <c r="E3718" s="24" t="s">
        <v>26</v>
      </c>
      <c r="F3718" s="24" t="s">
        <v>27</v>
      </c>
      <c r="G3718" s="24" t="s">
        <v>227</v>
      </c>
      <c r="H3718" s="26">
        <v>30</v>
      </c>
      <c r="I3718" s="24" t="s">
        <v>29</v>
      </c>
      <c r="J3718" s="36">
        <v>45622</v>
      </c>
      <c r="K3718" s="24" t="s">
        <v>22</v>
      </c>
    </row>
    <row r="3719" spans="1:11" x14ac:dyDescent="0.2">
      <c r="A3719" s="27" t="s">
        <v>9050</v>
      </c>
      <c r="B3719" s="27" t="s">
        <v>9051</v>
      </c>
      <c r="C3719" s="27" t="s">
        <v>3512</v>
      </c>
      <c r="D3719" s="27" t="s">
        <v>17</v>
      </c>
      <c r="E3719" s="27" t="s">
        <v>42</v>
      </c>
      <c r="F3719" s="27" t="s">
        <v>43</v>
      </c>
      <c r="G3719" s="27" t="s">
        <v>28</v>
      </c>
      <c r="H3719" s="29">
        <v>440</v>
      </c>
      <c r="I3719" s="27" t="s">
        <v>29</v>
      </c>
      <c r="J3719" s="37">
        <v>45624</v>
      </c>
      <c r="K3719" s="27" t="s">
        <v>22</v>
      </c>
    </row>
    <row r="3720" spans="1:11" x14ac:dyDescent="0.2">
      <c r="A3720" s="24" t="s">
        <v>9052</v>
      </c>
      <c r="B3720" s="24" t="s">
        <v>9053</v>
      </c>
      <c r="C3720" s="24" t="s">
        <v>921</v>
      </c>
      <c r="D3720" s="24" t="s">
        <v>17</v>
      </c>
      <c r="E3720" s="24" t="s">
        <v>48</v>
      </c>
      <c r="F3720" s="24" t="s">
        <v>49</v>
      </c>
      <c r="G3720" s="24" t="s">
        <v>28</v>
      </c>
      <c r="H3720" s="26">
        <v>42</v>
      </c>
      <c r="I3720" s="24" t="s">
        <v>29</v>
      </c>
      <c r="J3720" s="36">
        <v>45610</v>
      </c>
      <c r="K3720" s="24" t="s">
        <v>22</v>
      </c>
    </row>
    <row r="3721" spans="1:11" x14ac:dyDescent="0.2">
      <c r="A3721" s="27" t="s">
        <v>9054</v>
      </c>
      <c r="B3721" s="27" t="s">
        <v>9055</v>
      </c>
      <c r="C3721" s="27" t="s">
        <v>85</v>
      </c>
      <c r="D3721" s="27" t="s">
        <v>17</v>
      </c>
      <c r="E3721" s="27" t="s">
        <v>18</v>
      </c>
      <c r="F3721" s="27" t="s">
        <v>19</v>
      </c>
      <c r="G3721" s="27" t="s">
        <v>20</v>
      </c>
      <c r="H3721" s="29">
        <v>16</v>
      </c>
      <c r="I3721" s="27" t="s">
        <v>21</v>
      </c>
      <c r="J3721" s="37">
        <v>45622</v>
      </c>
      <c r="K3721" s="27" t="s">
        <v>22</v>
      </c>
    </row>
    <row r="3722" spans="1:11" x14ac:dyDescent="0.2">
      <c r="A3722" s="24" t="s">
        <v>9056</v>
      </c>
      <c r="B3722" s="24" t="s">
        <v>9057</v>
      </c>
      <c r="C3722" s="24" t="s">
        <v>9058</v>
      </c>
      <c r="D3722" s="24" t="s">
        <v>17</v>
      </c>
      <c r="E3722" s="24" t="s">
        <v>18</v>
      </c>
      <c r="F3722" s="24" t="s">
        <v>19</v>
      </c>
      <c r="G3722" s="24" t="s">
        <v>20</v>
      </c>
      <c r="H3722" s="26">
        <v>22</v>
      </c>
      <c r="I3722" s="24" t="s">
        <v>21</v>
      </c>
      <c r="J3722" s="36">
        <v>45607</v>
      </c>
      <c r="K3722" s="24" t="s">
        <v>22</v>
      </c>
    </row>
    <row r="3723" spans="1:11" x14ac:dyDescent="0.2">
      <c r="A3723" s="27" t="s">
        <v>9059</v>
      </c>
      <c r="B3723" s="27" t="s">
        <v>9060</v>
      </c>
      <c r="C3723" s="27" t="s">
        <v>3253</v>
      </c>
      <c r="D3723" s="27" t="s">
        <v>17</v>
      </c>
      <c r="E3723" s="27" t="s">
        <v>48</v>
      </c>
      <c r="F3723" s="27" t="s">
        <v>49</v>
      </c>
      <c r="G3723" s="27" t="s">
        <v>44</v>
      </c>
      <c r="H3723" s="29">
        <v>10</v>
      </c>
      <c r="I3723" s="27" t="s">
        <v>21</v>
      </c>
      <c r="J3723" s="37">
        <v>45618</v>
      </c>
      <c r="K3723" s="27" t="s">
        <v>22</v>
      </c>
    </row>
    <row r="3724" spans="1:11" x14ac:dyDescent="0.2">
      <c r="A3724" s="24" t="s">
        <v>9061</v>
      </c>
      <c r="B3724" s="24" t="s">
        <v>9062</v>
      </c>
      <c r="C3724" s="24" t="s">
        <v>97</v>
      </c>
      <c r="D3724" s="24" t="s">
        <v>17</v>
      </c>
      <c r="E3724" s="24" t="s">
        <v>18</v>
      </c>
      <c r="F3724" s="24" t="s">
        <v>19</v>
      </c>
      <c r="G3724" s="24" t="s">
        <v>20</v>
      </c>
      <c r="H3724" s="26">
        <v>22</v>
      </c>
      <c r="I3724" s="24" t="s">
        <v>21</v>
      </c>
      <c r="J3724" s="36">
        <v>45597</v>
      </c>
      <c r="K3724" s="24" t="s">
        <v>22</v>
      </c>
    </row>
    <row r="3725" spans="1:11" x14ac:dyDescent="0.2">
      <c r="A3725" s="27" t="s">
        <v>9063</v>
      </c>
      <c r="B3725" s="27" t="s">
        <v>9064</v>
      </c>
      <c r="C3725" s="27" t="s">
        <v>298</v>
      </c>
      <c r="D3725" s="27" t="s">
        <v>17</v>
      </c>
      <c r="E3725" s="27" t="s">
        <v>33</v>
      </c>
      <c r="F3725" s="27" t="s">
        <v>34</v>
      </c>
      <c r="G3725" s="27" t="s">
        <v>28</v>
      </c>
      <c r="H3725" s="29">
        <v>75</v>
      </c>
      <c r="I3725" s="27" t="s">
        <v>29</v>
      </c>
      <c r="J3725" s="37">
        <v>45616</v>
      </c>
      <c r="K3725" s="27" t="s">
        <v>22</v>
      </c>
    </row>
    <row r="3726" spans="1:11" x14ac:dyDescent="0.2">
      <c r="A3726" s="24" t="s">
        <v>9065</v>
      </c>
      <c r="B3726" s="24" t="s">
        <v>9066</v>
      </c>
      <c r="C3726" s="24" t="s">
        <v>618</v>
      </c>
      <c r="D3726" s="24" t="s">
        <v>17</v>
      </c>
      <c r="E3726" s="24" t="s">
        <v>48</v>
      </c>
      <c r="F3726" s="24" t="s">
        <v>49</v>
      </c>
      <c r="G3726" s="24" t="s">
        <v>116</v>
      </c>
      <c r="H3726" s="26">
        <v>0</v>
      </c>
      <c r="I3726" s="24" t="s">
        <v>21</v>
      </c>
      <c r="J3726" s="36">
        <v>45626</v>
      </c>
      <c r="K3726" s="24" t="s">
        <v>22</v>
      </c>
    </row>
    <row r="3727" spans="1:11" x14ac:dyDescent="0.2">
      <c r="A3727" s="27" t="s">
        <v>9067</v>
      </c>
      <c r="B3727" s="27" t="s">
        <v>9068</v>
      </c>
      <c r="C3727" s="27" t="s">
        <v>115</v>
      </c>
      <c r="D3727" s="27" t="s">
        <v>17</v>
      </c>
      <c r="E3727" s="27" t="s">
        <v>42</v>
      </c>
      <c r="F3727" s="27" t="s">
        <v>43</v>
      </c>
      <c r="G3727" s="27" t="s">
        <v>28</v>
      </c>
      <c r="H3727" s="29">
        <v>39</v>
      </c>
      <c r="I3727" s="27" t="s">
        <v>29</v>
      </c>
      <c r="J3727" s="37">
        <v>45600</v>
      </c>
      <c r="K3727" s="27" t="s">
        <v>22</v>
      </c>
    </row>
    <row r="3728" spans="1:11" x14ac:dyDescent="0.2">
      <c r="A3728" s="24" t="s">
        <v>9069</v>
      </c>
      <c r="B3728" s="24" t="s">
        <v>9070</v>
      </c>
      <c r="C3728" s="24" t="s">
        <v>106</v>
      </c>
      <c r="D3728" s="24" t="s">
        <v>17</v>
      </c>
      <c r="E3728" s="24" t="s">
        <v>18</v>
      </c>
      <c r="F3728" s="24" t="s">
        <v>19</v>
      </c>
      <c r="G3728" s="24" t="s">
        <v>20</v>
      </c>
      <c r="H3728" s="26">
        <v>14</v>
      </c>
      <c r="I3728" s="24" t="s">
        <v>21</v>
      </c>
      <c r="J3728" s="36">
        <v>45604</v>
      </c>
      <c r="K3728" s="24" t="s">
        <v>22</v>
      </c>
    </row>
    <row r="3729" spans="1:11" x14ac:dyDescent="0.2">
      <c r="A3729" s="27" t="s">
        <v>9071</v>
      </c>
      <c r="B3729" s="27" t="s">
        <v>9072</v>
      </c>
      <c r="C3729" s="27" t="s">
        <v>9073</v>
      </c>
      <c r="D3729" s="27" t="s">
        <v>17</v>
      </c>
      <c r="E3729" s="27" t="s">
        <v>18</v>
      </c>
      <c r="F3729" s="27" t="s">
        <v>19</v>
      </c>
      <c r="G3729" s="27" t="s">
        <v>28</v>
      </c>
      <c r="H3729" s="29">
        <v>36</v>
      </c>
      <c r="I3729" s="27" t="s">
        <v>29</v>
      </c>
      <c r="J3729" s="37">
        <v>45621</v>
      </c>
      <c r="K3729" s="27" t="s">
        <v>22</v>
      </c>
    </row>
    <row r="3730" spans="1:11" x14ac:dyDescent="0.2">
      <c r="A3730" s="24" t="s">
        <v>9074</v>
      </c>
      <c r="B3730" s="24" t="s">
        <v>9075</v>
      </c>
      <c r="C3730" s="24" t="s">
        <v>1617</v>
      </c>
      <c r="D3730" s="24" t="s">
        <v>17</v>
      </c>
      <c r="E3730" s="24" t="s">
        <v>42</v>
      </c>
      <c r="F3730" s="24" t="s">
        <v>43</v>
      </c>
      <c r="G3730" s="24" t="s">
        <v>28</v>
      </c>
      <c r="H3730" s="26">
        <v>270</v>
      </c>
      <c r="I3730" s="24" t="s">
        <v>29</v>
      </c>
      <c r="J3730" s="36">
        <v>45614</v>
      </c>
      <c r="K3730" s="24" t="s">
        <v>22</v>
      </c>
    </row>
    <row r="3731" spans="1:11" x14ac:dyDescent="0.2">
      <c r="A3731" s="27" t="s">
        <v>9076</v>
      </c>
      <c r="B3731" s="27" t="s">
        <v>9077</v>
      </c>
      <c r="C3731" s="27" t="s">
        <v>292</v>
      </c>
      <c r="D3731" s="27" t="s">
        <v>17</v>
      </c>
      <c r="E3731" s="27" t="s">
        <v>42</v>
      </c>
      <c r="F3731" s="27" t="s">
        <v>43</v>
      </c>
      <c r="G3731" s="27" t="s">
        <v>44</v>
      </c>
      <c r="H3731" s="29">
        <v>400</v>
      </c>
      <c r="I3731" s="27" t="s">
        <v>29</v>
      </c>
      <c r="J3731" s="37">
        <v>45623</v>
      </c>
      <c r="K3731" s="27" t="s">
        <v>22</v>
      </c>
    </row>
    <row r="3732" spans="1:11" x14ac:dyDescent="0.2">
      <c r="A3732" s="24" t="s">
        <v>9078</v>
      </c>
      <c r="B3732" s="24" t="s">
        <v>9079</v>
      </c>
      <c r="C3732" s="24" t="s">
        <v>203</v>
      </c>
      <c r="D3732" s="24" t="s">
        <v>17</v>
      </c>
      <c r="E3732" s="24" t="s">
        <v>48</v>
      </c>
      <c r="F3732" s="24" t="s">
        <v>49</v>
      </c>
      <c r="G3732" s="24" t="s">
        <v>28</v>
      </c>
      <c r="H3732" s="26">
        <v>23</v>
      </c>
      <c r="I3732" s="24" t="s">
        <v>29</v>
      </c>
      <c r="J3732" s="36">
        <v>45621</v>
      </c>
      <c r="K3732" s="24" t="s">
        <v>22</v>
      </c>
    </row>
    <row r="3733" spans="1:11" x14ac:dyDescent="0.2">
      <c r="A3733" s="27" t="s">
        <v>9080</v>
      </c>
      <c r="B3733" s="27" t="s">
        <v>9081</v>
      </c>
      <c r="C3733" s="27" t="s">
        <v>97</v>
      </c>
      <c r="D3733" s="27" t="s">
        <v>17</v>
      </c>
      <c r="E3733" s="27" t="s">
        <v>18</v>
      </c>
      <c r="F3733" s="27" t="s">
        <v>19</v>
      </c>
      <c r="G3733" s="27" t="s">
        <v>20</v>
      </c>
      <c r="H3733" s="29">
        <v>16</v>
      </c>
      <c r="I3733" s="27" t="s">
        <v>21</v>
      </c>
      <c r="J3733" s="37">
        <v>45643</v>
      </c>
      <c r="K3733" s="27" t="s">
        <v>22</v>
      </c>
    </row>
    <row r="3734" spans="1:11" x14ac:dyDescent="0.2">
      <c r="A3734" s="24" t="s">
        <v>9082</v>
      </c>
      <c r="B3734" s="24" t="s">
        <v>9083</v>
      </c>
      <c r="C3734" s="24" t="s">
        <v>9084</v>
      </c>
      <c r="D3734" s="24" t="s">
        <v>17</v>
      </c>
      <c r="E3734" s="24" t="s">
        <v>18</v>
      </c>
      <c r="F3734" s="24" t="s">
        <v>19</v>
      </c>
      <c r="G3734" s="24" t="s">
        <v>20</v>
      </c>
      <c r="H3734" s="26">
        <v>148</v>
      </c>
      <c r="I3734" s="24" t="s">
        <v>21</v>
      </c>
      <c r="J3734" s="36">
        <v>45630</v>
      </c>
      <c r="K3734" s="24" t="s">
        <v>22</v>
      </c>
    </row>
    <row r="3735" spans="1:11" x14ac:dyDescent="0.2">
      <c r="A3735" s="27" t="s">
        <v>9085</v>
      </c>
      <c r="B3735" s="27" t="s">
        <v>9086</v>
      </c>
      <c r="C3735" s="27" t="s">
        <v>1307</v>
      </c>
      <c r="D3735" s="27" t="s">
        <v>17</v>
      </c>
      <c r="E3735" s="27" t="s">
        <v>18</v>
      </c>
      <c r="F3735" s="27" t="s">
        <v>19</v>
      </c>
      <c r="G3735" s="27" t="s">
        <v>28</v>
      </c>
      <c r="H3735" s="29">
        <v>206</v>
      </c>
      <c r="I3735" s="27" t="s">
        <v>29</v>
      </c>
      <c r="J3735" s="37">
        <v>45643</v>
      </c>
      <c r="K3735" s="27" t="s">
        <v>22</v>
      </c>
    </row>
    <row r="3736" spans="1:11" x14ac:dyDescent="0.2">
      <c r="A3736" s="24" t="s">
        <v>9087</v>
      </c>
      <c r="B3736" s="24" t="s">
        <v>9088</v>
      </c>
      <c r="C3736" s="24" t="s">
        <v>208</v>
      </c>
      <c r="D3736" s="24" t="s">
        <v>17</v>
      </c>
      <c r="E3736" s="24" t="s">
        <v>48</v>
      </c>
      <c r="F3736" s="24" t="s">
        <v>49</v>
      </c>
      <c r="G3736" s="24" t="s">
        <v>28</v>
      </c>
      <c r="H3736" s="26">
        <v>260</v>
      </c>
      <c r="I3736" s="24" t="s">
        <v>29</v>
      </c>
      <c r="J3736" s="36">
        <v>45636</v>
      </c>
      <c r="K3736" s="24" t="s">
        <v>22</v>
      </c>
    </row>
    <row r="3737" spans="1:11" x14ac:dyDescent="0.2">
      <c r="A3737" s="27" t="s">
        <v>9089</v>
      </c>
      <c r="B3737" s="27" t="s">
        <v>9090</v>
      </c>
      <c r="C3737" s="27" t="s">
        <v>85</v>
      </c>
      <c r="D3737" s="27" t="s">
        <v>17</v>
      </c>
      <c r="E3737" s="27" t="s">
        <v>42</v>
      </c>
      <c r="F3737" s="27" t="s">
        <v>43</v>
      </c>
      <c r="G3737" s="27" t="s">
        <v>44</v>
      </c>
      <c r="H3737" s="29">
        <v>99</v>
      </c>
      <c r="I3737" s="27" t="s">
        <v>21</v>
      </c>
      <c r="J3737" s="37">
        <v>45648</v>
      </c>
      <c r="K3737" s="27" t="s">
        <v>22</v>
      </c>
    </row>
    <row r="3738" spans="1:11" x14ac:dyDescent="0.2">
      <c r="A3738" s="24" t="s">
        <v>9091</v>
      </c>
      <c r="B3738" s="24" t="s">
        <v>9092</v>
      </c>
      <c r="C3738" s="24" t="s">
        <v>85</v>
      </c>
      <c r="D3738" s="24" t="s">
        <v>17</v>
      </c>
      <c r="E3738" s="24" t="s">
        <v>18</v>
      </c>
      <c r="F3738" s="24" t="s">
        <v>19</v>
      </c>
      <c r="G3738" s="24" t="s">
        <v>116</v>
      </c>
      <c r="H3738" s="26">
        <v>0</v>
      </c>
      <c r="I3738" s="24" t="s">
        <v>21</v>
      </c>
      <c r="J3738" s="36">
        <v>45627</v>
      </c>
      <c r="K3738" s="24" t="s">
        <v>22</v>
      </c>
    </row>
    <row r="3739" spans="1:11" x14ac:dyDescent="0.2">
      <c r="A3739" s="27" t="s">
        <v>9093</v>
      </c>
      <c r="B3739" s="27" t="s">
        <v>9094</v>
      </c>
      <c r="C3739" s="27" t="s">
        <v>194</v>
      </c>
      <c r="D3739" s="27" t="s">
        <v>17</v>
      </c>
      <c r="E3739" s="27" t="s">
        <v>48</v>
      </c>
      <c r="F3739" s="27" t="s">
        <v>49</v>
      </c>
      <c r="G3739" s="27" t="s">
        <v>28</v>
      </c>
      <c r="H3739" s="29">
        <v>40</v>
      </c>
      <c r="I3739" s="27" t="s">
        <v>29</v>
      </c>
      <c r="J3739" s="37">
        <v>45650</v>
      </c>
      <c r="K3739" s="27" t="s">
        <v>22</v>
      </c>
    </row>
    <row r="3740" spans="1:11" x14ac:dyDescent="0.2">
      <c r="A3740" s="24" t="s">
        <v>9095</v>
      </c>
      <c r="B3740" s="24" t="s">
        <v>9096</v>
      </c>
      <c r="C3740" s="24" t="s">
        <v>6591</v>
      </c>
      <c r="D3740" s="24" t="s">
        <v>17</v>
      </c>
      <c r="E3740" s="24" t="s">
        <v>48</v>
      </c>
      <c r="F3740" s="24" t="s">
        <v>49</v>
      </c>
      <c r="G3740" s="24" t="s">
        <v>217</v>
      </c>
      <c r="H3740" s="26">
        <v>60</v>
      </c>
      <c r="I3740" s="24" t="s">
        <v>29</v>
      </c>
      <c r="J3740" s="36">
        <v>45627</v>
      </c>
      <c r="K3740" s="24" t="s">
        <v>22</v>
      </c>
    </row>
    <row r="3741" spans="1:11" x14ac:dyDescent="0.2">
      <c r="A3741" s="27" t="s">
        <v>9097</v>
      </c>
      <c r="B3741" s="27" t="s">
        <v>9098</v>
      </c>
      <c r="C3741" s="27" t="s">
        <v>621</v>
      </c>
      <c r="D3741" s="27" t="s">
        <v>17</v>
      </c>
      <c r="E3741" s="27" t="s">
        <v>18</v>
      </c>
      <c r="F3741" s="27" t="s">
        <v>19</v>
      </c>
      <c r="G3741" s="27" t="s">
        <v>28</v>
      </c>
      <c r="H3741" s="29">
        <v>24</v>
      </c>
      <c r="I3741" s="27" t="s">
        <v>29</v>
      </c>
      <c r="J3741" s="37">
        <v>45635</v>
      </c>
      <c r="K3741" s="27" t="s">
        <v>22</v>
      </c>
    </row>
    <row r="3742" spans="1:11" x14ac:dyDescent="0.2">
      <c r="A3742" s="24" t="s">
        <v>9099</v>
      </c>
      <c r="B3742" s="24" t="s">
        <v>9100</v>
      </c>
      <c r="C3742" s="24" t="s">
        <v>1161</v>
      </c>
      <c r="D3742" s="24" t="s">
        <v>17</v>
      </c>
      <c r="E3742" s="24" t="s">
        <v>18</v>
      </c>
      <c r="F3742" s="24" t="s">
        <v>19</v>
      </c>
      <c r="G3742" s="24" t="s">
        <v>44</v>
      </c>
      <c r="H3742" s="26">
        <v>5</v>
      </c>
      <c r="I3742" s="24" t="s">
        <v>21</v>
      </c>
      <c r="J3742" s="36">
        <v>45645</v>
      </c>
      <c r="K3742" s="24" t="s">
        <v>22</v>
      </c>
    </row>
    <row r="3743" spans="1:11" x14ac:dyDescent="0.2">
      <c r="A3743" s="27" t="s">
        <v>9101</v>
      </c>
      <c r="B3743" s="27" t="s">
        <v>9102</v>
      </c>
      <c r="C3743" s="27" t="s">
        <v>1158</v>
      </c>
      <c r="D3743" s="27" t="s">
        <v>17</v>
      </c>
      <c r="E3743" s="27" t="s">
        <v>42</v>
      </c>
      <c r="F3743" s="27" t="s">
        <v>43</v>
      </c>
      <c r="G3743" s="27" t="s">
        <v>28</v>
      </c>
      <c r="H3743" s="29">
        <v>115</v>
      </c>
      <c r="I3743" s="27" t="s">
        <v>29</v>
      </c>
      <c r="J3743" s="37">
        <v>45644</v>
      </c>
      <c r="K3743" s="27" t="s">
        <v>22</v>
      </c>
    </row>
    <row r="3744" spans="1:11" x14ac:dyDescent="0.2">
      <c r="A3744" s="24" t="s">
        <v>9103</v>
      </c>
      <c r="B3744" s="24" t="s">
        <v>9104</v>
      </c>
      <c r="C3744" s="24" t="s">
        <v>9105</v>
      </c>
      <c r="D3744" s="24" t="s">
        <v>17</v>
      </c>
      <c r="E3744" s="24" t="s">
        <v>33</v>
      </c>
      <c r="F3744" s="24" t="s">
        <v>34</v>
      </c>
      <c r="G3744" s="24" t="s">
        <v>116</v>
      </c>
      <c r="H3744" s="26">
        <v>0</v>
      </c>
      <c r="I3744" s="24" t="s">
        <v>21</v>
      </c>
      <c r="J3744" s="36">
        <v>45627</v>
      </c>
      <c r="K3744" s="24" t="s">
        <v>22</v>
      </c>
    </row>
    <row r="3745" spans="1:11" x14ac:dyDescent="0.2">
      <c r="A3745" s="27" t="s">
        <v>9106</v>
      </c>
      <c r="B3745" s="27" t="s">
        <v>9107</v>
      </c>
      <c r="C3745" s="27" t="s">
        <v>2048</v>
      </c>
      <c r="D3745" s="27" t="s">
        <v>17</v>
      </c>
      <c r="E3745" s="27" t="s">
        <v>48</v>
      </c>
      <c r="F3745" s="27" t="s">
        <v>49</v>
      </c>
      <c r="G3745" s="27" t="s">
        <v>28</v>
      </c>
      <c r="H3745" s="29">
        <v>50</v>
      </c>
      <c r="I3745" s="27" t="s">
        <v>29</v>
      </c>
      <c r="J3745" s="37">
        <v>45656</v>
      </c>
      <c r="K3745" s="27" t="s">
        <v>22</v>
      </c>
    </row>
    <row r="3746" spans="1:11" x14ac:dyDescent="0.2">
      <c r="A3746" s="24" t="s">
        <v>9108</v>
      </c>
      <c r="B3746" s="24" t="s">
        <v>9109</v>
      </c>
      <c r="C3746" s="24" t="s">
        <v>301</v>
      </c>
      <c r="D3746" s="24" t="s">
        <v>17</v>
      </c>
      <c r="E3746" s="24" t="s">
        <v>18</v>
      </c>
      <c r="F3746" s="24" t="s">
        <v>19</v>
      </c>
      <c r="G3746" s="24" t="s">
        <v>28</v>
      </c>
      <c r="H3746" s="26">
        <v>80</v>
      </c>
      <c r="I3746" s="24" t="s">
        <v>29</v>
      </c>
      <c r="J3746" s="36">
        <v>45645</v>
      </c>
      <c r="K3746" s="24" t="s">
        <v>22</v>
      </c>
    </row>
    <row r="3747" spans="1:11" x14ac:dyDescent="0.2">
      <c r="A3747" s="27" t="s">
        <v>9110</v>
      </c>
      <c r="B3747" s="27" t="s">
        <v>9111</v>
      </c>
      <c r="C3747" s="27" t="s">
        <v>618</v>
      </c>
      <c r="D3747" s="27" t="s">
        <v>17</v>
      </c>
      <c r="E3747" s="27" t="s">
        <v>18</v>
      </c>
      <c r="F3747" s="27" t="s">
        <v>19</v>
      </c>
      <c r="G3747" s="27" t="s">
        <v>217</v>
      </c>
      <c r="H3747" s="29">
        <v>448</v>
      </c>
      <c r="I3747" s="27" t="s">
        <v>29</v>
      </c>
      <c r="J3747" s="37">
        <v>45646</v>
      </c>
      <c r="K3747" s="27" t="s">
        <v>22</v>
      </c>
    </row>
    <row r="3748" spans="1:11" x14ac:dyDescent="0.2">
      <c r="A3748" s="24" t="s">
        <v>9112</v>
      </c>
      <c r="B3748" s="24" t="s">
        <v>9113</v>
      </c>
      <c r="C3748" s="24" t="s">
        <v>9114</v>
      </c>
      <c r="D3748" s="24" t="s">
        <v>17</v>
      </c>
      <c r="E3748" s="24" t="s">
        <v>42</v>
      </c>
      <c r="F3748" s="24" t="s">
        <v>43</v>
      </c>
      <c r="G3748" s="24" t="s">
        <v>28</v>
      </c>
      <c r="H3748" s="26">
        <v>412</v>
      </c>
      <c r="I3748" s="24" t="s">
        <v>29</v>
      </c>
      <c r="J3748" s="36">
        <v>45650</v>
      </c>
      <c r="K3748" s="24" t="s">
        <v>22</v>
      </c>
    </row>
    <row r="3749" spans="1:11" x14ac:dyDescent="0.2">
      <c r="A3749" s="27" t="s">
        <v>9115</v>
      </c>
      <c r="B3749" s="27" t="s">
        <v>9116</v>
      </c>
      <c r="C3749" s="27" t="s">
        <v>871</v>
      </c>
      <c r="D3749" s="27" t="s">
        <v>17</v>
      </c>
      <c r="E3749" s="27" t="s">
        <v>18</v>
      </c>
      <c r="F3749" s="27" t="s">
        <v>19</v>
      </c>
      <c r="G3749" s="27" t="s">
        <v>20</v>
      </c>
      <c r="H3749" s="29">
        <v>212</v>
      </c>
      <c r="I3749" s="27" t="s">
        <v>21</v>
      </c>
      <c r="J3749" s="37">
        <v>45636</v>
      </c>
      <c r="K3749" s="27" t="s">
        <v>22</v>
      </c>
    </row>
    <row r="3750" spans="1:11" x14ac:dyDescent="0.2">
      <c r="A3750" s="24" t="s">
        <v>9117</v>
      </c>
      <c r="B3750" s="24" t="s">
        <v>9118</v>
      </c>
      <c r="C3750" s="24" t="s">
        <v>9119</v>
      </c>
      <c r="D3750" s="24" t="s">
        <v>17</v>
      </c>
      <c r="E3750" s="24" t="s">
        <v>18</v>
      </c>
      <c r="F3750" s="24" t="s">
        <v>19</v>
      </c>
      <c r="G3750" s="24" t="s">
        <v>28</v>
      </c>
      <c r="H3750" s="26">
        <v>24</v>
      </c>
      <c r="I3750" s="24" t="s">
        <v>29</v>
      </c>
      <c r="J3750" s="36">
        <v>45657</v>
      </c>
      <c r="K3750" s="24" t="s">
        <v>22</v>
      </c>
    </row>
    <row r="3751" spans="1:11" x14ac:dyDescent="0.2">
      <c r="A3751" s="27" t="s">
        <v>9120</v>
      </c>
      <c r="B3751" s="27" t="s">
        <v>9121</v>
      </c>
      <c r="C3751" s="27" t="s">
        <v>9122</v>
      </c>
      <c r="D3751" s="27" t="s">
        <v>17</v>
      </c>
      <c r="E3751" s="27" t="s">
        <v>18</v>
      </c>
      <c r="F3751" s="27" t="s">
        <v>19</v>
      </c>
      <c r="G3751" s="27" t="s">
        <v>28</v>
      </c>
      <c r="H3751" s="29">
        <v>123</v>
      </c>
      <c r="I3751" s="27" t="s">
        <v>29</v>
      </c>
      <c r="J3751" s="37">
        <v>45642</v>
      </c>
      <c r="K3751" s="27" t="s">
        <v>22</v>
      </c>
    </row>
    <row r="3752" spans="1:11" x14ac:dyDescent="0.2">
      <c r="A3752" s="24" t="s">
        <v>9123</v>
      </c>
      <c r="B3752" s="24" t="s">
        <v>9124</v>
      </c>
      <c r="C3752" s="24" t="s">
        <v>9125</v>
      </c>
      <c r="D3752" s="24" t="s">
        <v>17</v>
      </c>
      <c r="E3752" s="24" t="s">
        <v>48</v>
      </c>
      <c r="F3752" s="24" t="s">
        <v>49</v>
      </c>
      <c r="G3752" s="24" t="s">
        <v>44</v>
      </c>
      <c r="H3752" s="26">
        <v>432</v>
      </c>
      <c r="I3752" s="24" t="s">
        <v>21</v>
      </c>
      <c r="J3752" s="36">
        <v>45631</v>
      </c>
      <c r="K3752" s="24" t="s">
        <v>22</v>
      </c>
    </row>
    <row r="3753" spans="1:11" x14ac:dyDescent="0.2">
      <c r="A3753" s="27" t="s">
        <v>9126</v>
      </c>
      <c r="B3753" s="27" t="s">
        <v>9127</v>
      </c>
      <c r="C3753" s="27" t="s">
        <v>512</v>
      </c>
      <c r="D3753" s="27" t="s">
        <v>17</v>
      </c>
      <c r="E3753" s="27" t="s">
        <v>18</v>
      </c>
      <c r="F3753" s="27" t="s">
        <v>19</v>
      </c>
      <c r="G3753" s="27" t="s">
        <v>28</v>
      </c>
      <c r="H3753" s="29">
        <v>48</v>
      </c>
      <c r="I3753" s="27" t="s">
        <v>29</v>
      </c>
      <c r="J3753" s="37">
        <v>45638</v>
      </c>
      <c r="K3753" s="27" t="s">
        <v>22</v>
      </c>
    </row>
    <row r="3754" spans="1:11" x14ac:dyDescent="0.2">
      <c r="A3754" s="24" t="s">
        <v>9128</v>
      </c>
      <c r="B3754" s="24" t="s">
        <v>9129</v>
      </c>
      <c r="C3754" s="24" t="s">
        <v>526</v>
      </c>
      <c r="D3754" s="24" t="s">
        <v>17</v>
      </c>
      <c r="E3754" s="24" t="s">
        <v>18</v>
      </c>
      <c r="F3754" s="24" t="s">
        <v>19</v>
      </c>
      <c r="G3754" s="24" t="s">
        <v>20</v>
      </c>
      <c r="H3754" s="26">
        <v>27</v>
      </c>
      <c r="I3754" s="24" t="s">
        <v>21</v>
      </c>
      <c r="J3754" s="36">
        <v>45632</v>
      </c>
      <c r="K3754" s="24" t="s">
        <v>22</v>
      </c>
    </row>
    <row r="3755" spans="1:11" x14ac:dyDescent="0.2">
      <c r="A3755" s="27" t="s">
        <v>9130</v>
      </c>
      <c r="B3755" s="27" t="s">
        <v>9131</v>
      </c>
      <c r="C3755" s="27" t="s">
        <v>9132</v>
      </c>
      <c r="D3755" s="27" t="s">
        <v>17</v>
      </c>
      <c r="E3755" s="27" t="s">
        <v>163</v>
      </c>
      <c r="F3755" s="27" t="s">
        <v>164</v>
      </c>
      <c r="G3755" s="27" t="s">
        <v>20</v>
      </c>
      <c r="H3755" s="29">
        <v>36</v>
      </c>
      <c r="I3755" s="27" t="s">
        <v>21</v>
      </c>
      <c r="J3755" s="37">
        <v>45628</v>
      </c>
      <c r="K3755" s="27" t="s">
        <v>22</v>
      </c>
    </row>
    <row r="3756" spans="1:11" x14ac:dyDescent="0.2">
      <c r="A3756" s="24" t="s">
        <v>9133</v>
      </c>
      <c r="B3756" s="24" t="s">
        <v>9134</v>
      </c>
      <c r="C3756" s="24" t="s">
        <v>9135</v>
      </c>
      <c r="D3756" s="24" t="s">
        <v>17</v>
      </c>
      <c r="E3756" s="24" t="s">
        <v>81</v>
      </c>
      <c r="F3756" s="24" t="s">
        <v>82</v>
      </c>
      <c r="G3756" s="24" t="s">
        <v>227</v>
      </c>
      <c r="H3756" s="26">
        <v>120</v>
      </c>
      <c r="I3756" s="24" t="s">
        <v>29</v>
      </c>
      <c r="J3756" s="36">
        <v>45627</v>
      </c>
      <c r="K3756" s="24" t="s">
        <v>22</v>
      </c>
    </row>
    <row r="3757" spans="1:11" x14ac:dyDescent="0.2">
      <c r="A3757" s="27" t="s">
        <v>9136</v>
      </c>
      <c r="B3757" s="27" t="s">
        <v>9137</v>
      </c>
      <c r="C3757" s="27" t="s">
        <v>9138</v>
      </c>
      <c r="D3757" s="27" t="s">
        <v>17</v>
      </c>
      <c r="E3757" s="27" t="s">
        <v>18</v>
      </c>
      <c r="F3757" s="27" t="s">
        <v>19</v>
      </c>
      <c r="G3757" s="27" t="s">
        <v>227</v>
      </c>
      <c r="H3757" s="29">
        <v>12</v>
      </c>
      <c r="I3757" s="27" t="s">
        <v>29</v>
      </c>
      <c r="J3757" s="37">
        <v>45656</v>
      </c>
      <c r="K3757" s="27" t="s">
        <v>22</v>
      </c>
    </row>
    <row r="3758" spans="1:11" x14ac:dyDescent="0.2">
      <c r="A3758" s="24" t="s">
        <v>9139</v>
      </c>
      <c r="B3758" s="24" t="s">
        <v>9140</v>
      </c>
      <c r="C3758" s="24" t="s">
        <v>1227</v>
      </c>
      <c r="D3758" s="24" t="s">
        <v>17</v>
      </c>
      <c r="E3758" s="24" t="s">
        <v>48</v>
      </c>
      <c r="F3758" s="24" t="s">
        <v>49</v>
      </c>
      <c r="G3758" s="24" t="s">
        <v>217</v>
      </c>
      <c r="H3758" s="26">
        <v>120</v>
      </c>
      <c r="I3758" s="24" t="s">
        <v>29</v>
      </c>
      <c r="J3758" s="36">
        <v>45627</v>
      </c>
      <c r="K3758" s="24" t="s">
        <v>22</v>
      </c>
    </row>
    <row r="3759" spans="1:11" x14ac:dyDescent="0.2">
      <c r="A3759" s="27" t="s">
        <v>9141</v>
      </c>
      <c r="B3759" s="27" t="s">
        <v>9142</v>
      </c>
      <c r="C3759" s="27" t="s">
        <v>1260</v>
      </c>
      <c r="D3759" s="27" t="s">
        <v>17</v>
      </c>
      <c r="E3759" s="27" t="s">
        <v>42</v>
      </c>
      <c r="F3759" s="27" t="s">
        <v>43</v>
      </c>
      <c r="G3759" s="27" t="s">
        <v>28</v>
      </c>
      <c r="H3759" s="29">
        <v>332</v>
      </c>
      <c r="I3759" s="27" t="s">
        <v>29</v>
      </c>
      <c r="J3759" s="37">
        <v>45628</v>
      </c>
      <c r="K3759" s="27" t="s">
        <v>22</v>
      </c>
    </row>
    <row r="3760" spans="1:11" x14ac:dyDescent="0.2">
      <c r="A3760" s="24" t="s">
        <v>9143</v>
      </c>
      <c r="B3760" s="24" t="s">
        <v>9144</v>
      </c>
      <c r="C3760" s="24" t="s">
        <v>6017</v>
      </c>
      <c r="D3760" s="24" t="s">
        <v>17</v>
      </c>
      <c r="E3760" s="24" t="s">
        <v>163</v>
      </c>
      <c r="F3760" s="24" t="s">
        <v>164</v>
      </c>
      <c r="G3760" s="24" t="s">
        <v>28</v>
      </c>
      <c r="H3760" s="26">
        <v>12</v>
      </c>
      <c r="I3760" s="24" t="s">
        <v>29</v>
      </c>
      <c r="J3760" s="36">
        <v>45630</v>
      </c>
      <c r="K3760" s="24" t="s">
        <v>22</v>
      </c>
    </row>
    <row r="3761" spans="1:11" x14ac:dyDescent="0.2">
      <c r="A3761" s="27" t="s">
        <v>9145</v>
      </c>
      <c r="B3761" s="27" t="s">
        <v>9146</v>
      </c>
      <c r="C3761" s="27" t="s">
        <v>1110</v>
      </c>
      <c r="D3761" s="27" t="s">
        <v>17</v>
      </c>
      <c r="E3761" s="27" t="s">
        <v>42</v>
      </c>
      <c r="F3761" s="27" t="s">
        <v>43</v>
      </c>
      <c r="G3761" s="27" t="s">
        <v>28</v>
      </c>
      <c r="H3761" s="29">
        <v>500</v>
      </c>
      <c r="I3761" s="27" t="s">
        <v>29</v>
      </c>
      <c r="J3761" s="37">
        <v>45639</v>
      </c>
      <c r="K3761" s="27" t="s">
        <v>22</v>
      </c>
    </row>
    <row r="3762" spans="1:11" x14ac:dyDescent="0.2">
      <c r="A3762" s="24" t="s">
        <v>9147</v>
      </c>
      <c r="B3762" s="24" t="s">
        <v>9148</v>
      </c>
      <c r="C3762" s="24" t="s">
        <v>52</v>
      </c>
      <c r="D3762" s="24" t="s">
        <v>17</v>
      </c>
      <c r="E3762" s="24" t="s">
        <v>26</v>
      </c>
      <c r="F3762" s="24" t="s">
        <v>27</v>
      </c>
      <c r="G3762" s="24" t="s">
        <v>28</v>
      </c>
      <c r="H3762" s="26">
        <v>480</v>
      </c>
      <c r="I3762" s="24" t="s">
        <v>29</v>
      </c>
      <c r="J3762" s="36">
        <v>45645</v>
      </c>
      <c r="K3762" s="24" t="s">
        <v>22</v>
      </c>
    </row>
    <row r="3763" spans="1:11" x14ac:dyDescent="0.2">
      <c r="A3763" s="27" t="s">
        <v>9149</v>
      </c>
      <c r="B3763" s="27" t="s">
        <v>9150</v>
      </c>
      <c r="C3763" s="27" t="s">
        <v>9151</v>
      </c>
      <c r="D3763" s="27" t="s">
        <v>17</v>
      </c>
      <c r="E3763" s="27" t="s">
        <v>48</v>
      </c>
      <c r="F3763" s="27" t="s">
        <v>49</v>
      </c>
      <c r="G3763" s="27" t="s">
        <v>28</v>
      </c>
      <c r="H3763" s="29">
        <v>240</v>
      </c>
      <c r="I3763" s="27" t="s">
        <v>29</v>
      </c>
      <c r="J3763" s="37">
        <v>45643</v>
      </c>
      <c r="K3763" s="27" t="s">
        <v>22</v>
      </c>
    </row>
    <row r="3764" spans="1:11" x14ac:dyDescent="0.2">
      <c r="A3764" s="24" t="s">
        <v>9152</v>
      </c>
      <c r="B3764" s="24" t="s">
        <v>9153</v>
      </c>
      <c r="C3764" s="24" t="s">
        <v>7365</v>
      </c>
      <c r="D3764" s="24" t="s">
        <v>17</v>
      </c>
      <c r="E3764" s="24" t="s">
        <v>48</v>
      </c>
      <c r="F3764" s="24" t="s">
        <v>49</v>
      </c>
      <c r="G3764" s="24" t="s">
        <v>44</v>
      </c>
      <c r="H3764" s="26">
        <v>258</v>
      </c>
      <c r="I3764" s="24" t="s">
        <v>21</v>
      </c>
      <c r="J3764" s="36">
        <v>45657</v>
      </c>
      <c r="K3764" s="24" t="s">
        <v>22</v>
      </c>
    </row>
    <row r="3765" spans="1:11" x14ac:dyDescent="0.2">
      <c r="A3765" s="27" t="s">
        <v>9154</v>
      </c>
      <c r="B3765" s="27" t="s">
        <v>9155</v>
      </c>
      <c r="C3765" s="27" t="s">
        <v>1110</v>
      </c>
      <c r="D3765" s="27" t="s">
        <v>17</v>
      </c>
      <c r="E3765" s="27" t="s">
        <v>42</v>
      </c>
      <c r="F3765" s="27" t="s">
        <v>43</v>
      </c>
      <c r="G3765" s="27" t="s">
        <v>28</v>
      </c>
      <c r="H3765" s="29">
        <v>350</v>
      </c>
      <c r="I3765" s="27" t="s">
        <v>29</v>
      </c>
      <c r="J3765" s="37">
        <v>45637</v>
      </c>
      <c r="K3765" s="27" t="s">
        <v>22</v>
      </c>
    </row>
    <row r="3766" spans="1:11" x14ac:dyDescent="0.2">
      <c r="A3766" s="24" t="s">
        <v>9156</v>
      </c>
      <c r="B3766" s="24" t="s">
        <v>9157</v>
      </c>
      <c r="C3766" s="24" t="s">
        <v>899</v>
      </c>
      <c r="D3766" s="24" t="s">
        <v>17</v>
      </c>
      <c r="E3766" s="24" t="s">
        <v>18</v>
      </c>
      <c r="F3766" s="24" t="s">
        <v>19</v>
      </c>
      <c r="G3766" s="24" t="s">
        <v>59</v>
      </c>
      <c r="H3766" s="26">
        <v>1</v>
      </c>
      <c r="I3766" s="24" t="s">
        <v>21</v>
      </c>
      <c r="J3766" s="36">
        <v>45646</v>
      </c>
      <c r="K3766" s="24" t="s">
        <v>22</v>
      </c>
    </row>
    <row r="3767" spans="1:11" x14ac:dyDescent="0.2">
      <c r="A3767" s="27" t="s">
        <v>9158</v>
      </c>
      <c r="B3767" s="27" t="s">
        <v>9159</v>
      </c>
      <c r="C3767" s="27" t="s">
        <v>5699</v>
      </c>
      <c r="D3767" s="27" t="s">
        <v>17</v>
      </c>
      <c r="E3767" s="27" t="s">
        <v>48</v>
      </c>
      <c r="F3767" s="27" t="s">
        <v>49</v>
      </c>
      <c r="G3767" s="27" t="s">
        <v>20</v>
      </c>
      <c r="H3767" s="29">
        <v>74</v>
      </c>
      <c r="I3767" s="27" t="s">
        <v>21</v>
      </c>
      <c r="J3767" s="37">
        <v>45638</v>
      </c>
      <c r="K3767" s="27" t="s">
        <v>22</v>
      </c>
    </row>
    <row r="3768" spans="1:11" x14ac:dyDescent="0.2">
      <c r="A3768" s="24" t="s">
        <v>9160</v>
      </c>
      <c r="B3768" s="24" t="s">
        <v>9161</v>
      </c>
      <c r="C3768" s="24" t="s">
        <v>1883</v>
      </c>
      <c r="D3768" s="24" t="s">
        <v>17</v>
      </c>
      <c r="E3768" s="24" t="s">
        <v>18</v>
      </c>
      <c r="F3768" s="24" t="s">
        <v>19</v>
      </c>
      <c r="G3768" s="24" t="s">
        <v>28</v>
      </c>
      <c r="H3768" s="26">
        <v>48</v>
      </c>
      <c r="I3768" s="24" t="s">
        <v>29</v>
      </c>
      <c r="J3768" s="36">
        <v>45657</v>
      </c>
      <c r="K3768" s="24" t="s">
        <v>22</v>
      </c>
    </row>
    <row r="3769" spans="1:11" x14ac:dyDescent="0.2">
      <c r="A3769" s="27" t="s">
        <v>9162</v>
      </c>
      <c r="B3769" s="27" t="s">
        <v>9163</v>
      </c>
      <c r="C3769" s="27" t="s">
        <v>9164</v>
      </c>
      <c r="D3769" s="27" t="s">
        <v>17</v>
      </c>
      <c r="E3769" s="27" t="s">
        <v>18</v>
      </c>
      <c r="F3769" s="27" t="s">
        <v>19</v>
      </c>
      <c r="G3769" s="27" t="s">
        <v>20</v>
      </c>
      <c r="H3769" s="29">
        <v>24</v>
      </c>
      <c r="I3769" s="27" t="s">
        <v>21</v>
      </c>
      <c r="J3769" s="37">
        <v>45646</v>
      </c>
      <c r="K3769" s="27" t="s">
        <v>22</v>
      </c>
    </row>
    <row r="3770" spans="1:11" x14ac:dyDescent="0.2">
      <c r="A3770" s="24" t="s">
        <v>9165</v>
      </c>
      <c r="B3770" s="24" t="s">
        <v>9166</v>
      </c>
      <c r="C3770" s="24" t="s">
        <v>1088</v>
      </c>
      <c r="D3770" s="24" t="s">
        <v>17</v>
      </c>
      <c r="E3770" s="24" t="s">
        <v>42</v>
      </c>
      <c r="F3770" s="24" t="s">
        <v>43</v>
      </c>
      <c r="G3770" s="24" t="s">
        <v>227</v>
      </c>
      <c r="H3770" s="26">
        <v>700</v>
      </c>
      <c r="I3770" s="24" t="s">
        <v>29</v>
      </c>
      <c r="J3770" s="36">
        <v>45629</v>
      </c>
      <c r="K3770" s="24" t="s">
        <v>22</v>
      </c>
    </row>
    <row r="3771" spans="1:11" x14ac:dyDescent="0.2">
      <c r="A3771" s="27" t="s">
        <v>9167</v>
      </c>
      <c r="B3771" s="27" t="s">
        <v>9168</v>
      </c>
      <c r="C3771" s="27" t="s">
        <v>197</v>
      </c>
      <c r="D3771" s="27" t="s">
        <v>17</v>
      </c>
      <c r="E3771" s="27" t="s">
        <v>18</v>
      </c>
      <c r="F3771" s="27" t="s">
        <v>19</v>
      </c>
      <c r="G3771" s="27" t="s">
        <v>116</v>
      </c>
      <c r="H3771" s="29">
        <v>0</v>
      </c>
      <c r="I3771" s="27" t="s">
        <v>21</v>
      </c>
      <c r="J3771" s="37">
        <v>45657</v>
      </c>
      <c r="K3771" s="27" t="s">
        <v>22</v>
      </c>
    </row>
    <row r="3772" spans="1:11" x14ac:dyDescent="0.2">
      <c r="A3772" s="24" t="s">
        <v>9169</v>
      </c>
      <c r="B3772" s="24" t="s">
        <v>9170</v>
      </c>
      <c r="C3772" s="24" t="s">
        <v>5086</v>
      </c>
      <c r="D3772" s="24" t="s">
        <v>17</v>
      </c>
      <c r="E3772" s="24" t="s">
        <v>42</v>
      </c>
      <c r="F3772" s="24" t="s">
        <v>43</v>
      </c>
      <c r="G3772" s="24" t="s">
        <v>44</v>
      </c>
      <c r="H3772" s="26">
        <v>129</v>
      </c>
      <c r="I3772" s="24" t="s">
        <v>21</v>
      </c>
      <c r="J3772" s="36">
        <v>45629</v>
      </c>
      <c r="K3772" s="24" t="s">
        <v>22</v>
      </c>
    </row>
    <row r="3773" spans="1:11" x14ac:dyDescent="0.2">
      <c r="A3773" s="27" t="s">
        <v>9171</v>
      </c>
      <c r="B3773" s="27" t="s">
        <v>9172</v>
      </c>
      <c r="C3773" s="27" t="s">
        <v>1863</v>
      </c>
      <c r="D3773" s="27" t="s">
        <v>17</v>
      </c>
      <c r="E3773" s="27" t="s">
        <v>42</v>
      </c>
      <c r="F3773" s="27" t="s">
        <v>43</v>
      </c>
      <c r="G3773" s="27" t="s">
        <v>28</v>
      </c>
      <c r="H3773" s="29">
        <v>724</v>
      </c>
      <c r="I3773" s="27" t="s">
        <v>29</v>
      </c>
      <c r="J3773" s="37">
        <v>45638</v>
      </c>
      <c r="K3773" s="27" t="s">
        <v>22</v>
      </c>
    </row>
    <row r="3774" spans="1:11" x14ac:dyDescent="0.2">
      <c r="A3774" s="24" t="s">
        <v>9173</v>
      </c>
      <c r="B3774" s="24" t="s">
        <v>9174</v>
      </c>
      <c r="C3774" s="24" t="s">
        <v>213</v>
      </c>
      <c r="D3774" s="24" t="s">
        <v>17</v>
      </c>
      <c r="E3774" s="24" t="s">
        <v>48</v>
      </c>
      <c r="F3774" s="24" t="s">
        <v>49</v>
      </c>
      <c r="G3774" s="24" t="s">
        <v>20</v>
      </c>
      <c r="H3774" s="26">
        <v>263</v>
      </c>
      <c r="I3774" s="24" t="s">
        <v>21</v>
      </c>
      <c r="J3774" s="36">
        <v>45635</v>
      </c>
      <c r="K3774" s="24" t="s">
        <v>22</v>
      </c>
    </row>
    <row r="3775" spans="1:11" x14ac:dyDescent="0.2">
      <c r="A3775" s="27" t="s">
        <v>9175</v>
      </c>
      <c r="B3775" s="27" t="s">
        <v>9176</v>
      </c>
      <c r="C3775" s="27" t="s">
        <v>9177</v>
      </c>
      <c r="D3775" s="27" t="s">
        <v>17</v>
      </c>
      <c r="E3775" s="27" t="s">
        <v>18</v>
      </c>
      <c r="F3775" s="27" t="s">
        <v>19</v>
      </c>
      <c r="G3775" s="27" t="s">
        <v>217</v>
      </c>
      <c r="H3775" s="29">
        <v>38</v>
      </c>
      <c r="I3775" s="27" t="s">
        <v>29</v>
      </c>
      <c r="J3775" s="37">
        <v>45652</v>
      </c>
      <c r="K3775" s="27" t="s">
        <v>22</v>
      </c>
    </row>
    <row r="3776" spans="1:11" x14ac:dyDescent="0.2">
      <c r="A3776" s="24" t="s">
        <v>9178</v>
      </c>
      <c r="B3776" s="24" t="s">
        <v>9179</v>
      </c>
      <c r="C3776" s="24" t="s">
        <v>9180</v>
      </c>
      <c r="D3776" s="24" t="s">
        <v>17</v>
      </c>
      <c r="E3776" s="24" t="s">
        <v>18</v>
      </c>
      <c r="F3776" s="24" t="s">
        <v>19</v>
      </c>
      <c r="G3776" s="24" t="s">
        <v>28</v>
      </c>
      <c r="H3776" s="26">
        <v>21</v>
      </c>
      <c r="I3776" s="24" t="s">
        <v>29</v>
      </c>
      <c r="J3776" s="36">
        <v>45644</v>
      </c>
      <c r="K3776" s="24" t="s">
        <v>22</v>
      </c>
    </row>
    <row r="3777" spans="1:11" x14ac:dyDescent="0.2">
      <c r="A3777" s="27" t="s">
        <v>9181</v>
      </c>
      <c r="B3777" s="27" t="s">
        <v>9182</v>
      </c>
      <c r="C3777" s="27" t="s">
        <v>1758</v>
      </c>
      <c r="D3777" s="27" t="s">
        <v>17</v>
      </c>
      <c r="E3777" s="27" t="s">
        <v>48</v>
      </c>
      <c r="F3777" s="27" t="s">
        <v>49</v>
      </c>
      <c r="G3777" s="27" t="s">
        <v>20</v>
      </c>
      <c r="H3777" s="29">
        <v>110</v>
      </c>
      <c r="I3777" s="27" t="s">
        <v>21</v>
      </c>
      <c r="J3777" s="37">
        <v>45631</v>
      </c>
      <c r="K3777" s="27" t="s">
        <v>22</v>
      </c>
    </row>
    <row r="3778" spans="1:11" x14ac:dyDescent="0.2">
      <c r="A3778" s="24" t="s">
        <v>9183</v>
      </c>
      <c r="B3778" s="24" t="s">
        <v>9184</v>
      </c>
      <c r="C3778" s="24" t="s">
        <v>1839</v>
      </c>
      <c r="D3778" s="24" t="s">
        <v>17</v>
      </c>
      <c r="E3778" s="24" t="s">
        <v>18</v>
      </c>
      <c r="F3778" s="24" t="s">
        <v>19</v>
      </c>
      <c r="G3778" s="24" t="s">
        <v>20</v>
      </c>
      <c r="H3778" s="26">
        <v>8</v>
      </c>
      <c r="I3778" s="24" t="s">
        <v>21</v>
      </c>
      <c r="J3778" s="36">
        <v>45629</v>
      </c>
      <c r="K3778" s="24" t="s">
        <v>22</v>
      </c>
    </row>
    <row r="3779" spans="1:11" x14ac:dyDescent="0.2">
      <c r="A3779" s="27" t="s">
        <v>9185</v>
      </c>
      <c r="B3779" s="27" t="s">
        <v>9186</v>
      </c>
      <c r="C3779" s="27" t="s">
        <v>7864</v>
      </c>
      <c r="D3779" s="27" t="s">
        <v>17</v>
      </c>
      <c r="E3779" s="27" t="s">
        <v>42</v>
      </c>
      <c r="F3779" s="27" t="s">
        <v>43</v>
      </c>
      <c r="G3779" s="27" t="s">
        <v>28</v>
      </c>
      <c r="H3779" s="29">
        <v>207</v>
      </c>
      <c r="I3779" s="27" t="s">
        <v>29</v>
      </c>
      <c r="J3779" s="37">
        <v>45628</v>
      </c>
      <c r="K3779" s="27" t="s">
        <v>22</v>
      </c>
    </row>
    <row r="3780" spans="1:11" x14ac:dyDescent="0.2">
      <c r="A3780" s="24" t="s">
        <v>9187</v>
      </c>
      <c r="B3780" s="24" t="s">
        <v>9188</v>
      </c>
      <c r="C3780" s="24" t="s">
        <v>8357</v>
      </c>
      <c r="D3780" s="24" t="s">
        <v>17</v>
      </c>
      <c r="E3780" s="24" t="s">
        <v>26</v>
      </c>
      <c r="F3780" s="24" t="s">
        <v>27</v>
      </c>
      <c r="G3780" s="24" t="s">
        <v>116</v>
      </c>
      <c r="H3780" s="26">
        <v>0</v>
      </c>
      <c r="I3780" s="24" t="s">
        <v>21</v>
      </c>
      <c r="J3780" s="36">
        <v>45627</v>
      </c>
      <c r="K3780" s="24" t="s">
        <v>22</v>
      </c>
    </row>
    <row r="3781" spans="1:11" x14ac:dyDescent="0.2">
      <c r="A3781" s="27" t="s">
        <v>9189</v>
      </c>
      <c r="B3781" s="27" t="s">
        <v>9190</v>
      </c>
      <c r="C3781" s="27" t="s">
        <v>9191</v>
      </c>
      <c r="D3781" s="27" t="s">
        <v>17</v>
      </c>
      <c r="E3781" s="27" t="s">
        <v>18</v>
      </c>
      <c r="F3781" s="27" t="s">
        <v>19</v>
      </c>
      <c r="G3781" s="27" t="s">
        <v>20</v>
      </c>
      <c r="H3781" s="29">
        <v>72</v>
      </c>
      <c r="I3781" s="27" t="s">
        <v>21</v>
      </c>
      <c r="J3781" s="37">
        <v>45637</v>
      </c>
      <c r="K3781" s="27" t="s">
        <v>22</v>
      </c>
    </row>
    <row r="3782" spans="1:11" x14ac:dyDescent="0.2">
      <c r="A3782" s="24" t="s">
        <v>9192</v>
      </c>
      <c r="B3782" s="24" t="s">
        <v>9193</v>
      </c>
      <c r="C3782" s="24" t="s">
        <v>526</v>
      </c>
      <c r="D3782" s="24" t="s">
        <v>17</v>
      </c>
      <c r="E3782" s="24" t="s">
        <v>18</v>
      </c>
      <c r="F3782" s="24" t="s">
        <v>19</v>
      </c>
      <c r="G3782" s="24" t="s">
        <v>44</v>
      </c>
      <c r="H3782" s="26">
        <v>132</v>
      </c>
      <c r="I3782" s="24" t="s">
        <v>29</v>
      </c>
      <c r="J3782" s="36">
        <v>45628</v>
      </c>
      <c r="K3782" s="24" t="s">
        <v>22</v>
      </c>
    </row>
    <row r="3783" spans="1:11" x14ac:dyDescent="0.2">
      <c r="A3783" s="27" t="s">
        <v>9194</v>
      </c>
      <c r="B3783" s="27" t="s">
        <v>9195</v>
      </c>
      <c r="C3783" s="27" t="s">
        <v>9196</v>
      </c>
      <c r="D3783" s="27" t="s">
        <v>17</v>
      </c>
      <c r="E3783" s="27" t="s">
        <v>26</v>
      </c>
      <c r="F3783" s="27" t="s">
        <v>27</v>
      </c>
      <c r="G3783" s="27" t="s">
        <v>28</v>
      </c>
      <c r="H3783" s="29">
        <v>224</v>
      </c>
      <c r="I3783" s="27" t="s">
        <v>29</v>
      </c>
      <c r="J3783" s="37">
        <v>45651</v>
      </c>
      <c r="K3783" s="27" t="s">
        <v>22</v>
      </c>
    </row>
    <row r="3784" spans="1:11" x14ac:dyDescent="0.2">
      <c r="A3784" s="24" t="s">
        <v>9197</v>
      </c>
      <c r="B3784" s="24" t="s">
        <v>9198</v>
      </c>
      <c r="C3784" s="24" t="s">
        <v>3402</v>
      </c>
      <c r="D3784" s="24" t="s">
        <v>17</v>
      </c>
      <c r="E3784" s="24" t="s">
        <v>42</v>
      </c>
      <c r="F3784" s="24" t="s">
        <v>43</v>
      </c>
      <c r="G3784" s="24" t="s">
        <v>28</v>
      </c>
      <c r="H3784" s="26">
        <v>1800</v>
      </c>
      <c r="I3784" s="24" t="s">
        <v>29</v>
      </c>
      <c r="J3784" s="36">
        <v>45645</v>
      </c>
      <c r="K3784" s="24" t="s">
        <v>22</v>
      </c>
    </row>
    <row r="3785" spans="1:11" x14ac:dyDescent="0.2">
      <c r="A3785" s="27" t="s">
        <v>9199</v>
      </c>
      <c r="B3785" s="27" t="s">
        <v>9200</v>
      </c>
      <c r="C3785" s="27" t="s">
        <v>1648</v>
      </c>
      <c r="D3785" s="27" t="s">
        <v>17</v>
      </c>
      <c r="E3785" s="27" t="s">
        <v>163</v>
      </c>
      <c r="F3785" s="27" t="s">
        <v>164</v>
      </c>
      <c r="G3785" s="27" t="s">
        <v>28</v>
      </c>
      <c r="H3785" s="29">
        <v>12</v>
      </c>
      <c r="I3785" s="27" t="s">
        <v>29</v>
      </c>
      <c r="J3785" s="37">
        <v>45638</v>
      </c>
      <c r="K3785" s="27" t="s">
        <v>22</v>
      </c>
    </row>
    <row r="3786" spans="1:11" x14ac:dyDescent="0.2">
      <c r="A3786" s="24" t="s">
        <v>9201</v>
      </c>
      <c r="B3786" s="24" t="s">
        <v>9202</v>
      </c>
      <c r="C3786" s="24" t="s">
        <v>9203</v>
      </c>
      <c r="D3786" s="24" t="s">
        <v>17</v>
      </c>
      <c r="E3786" s="24" t="s">
        <v>18</v>
      </c>
      <c r="F3786" s="24" t="s">
        <v>19</v>
      </c>
      <c r="G3786" s="24" t="s">
        <v>20</v>
      </c>
      <c r="H3786" s="26">
        <v>130</v>
      </c>
      <c r="I3786" s="24" t="s">
        <v>21</v>
      </c>
      <c r="J3786" s="36">
        <v>45629</v>
      </c>
      <c r="K3786" s="24" t="s">
        <v>22</v>
      </c>
    </row>
    <row r="3787" spans="1:11" x14ac:dyDescent="0.2">
      <c r="A3787" s="27" t="s">
        <v>9204</v>
      </c>
      <c r="B3787" s="27" t="s">
        <v>9205</v>
      </c>
      <c r="C3787" s="27" t="s">
        <v>146</v>
      </c>
      <c r="D3787" s="27" t="s">
        <v>17</v>
      </c>
      <c r="E3787" s="27" t="s">
        <v>42</v>
      </c>
      <c r="F3787" s="27" t="s">
        <v>43</v>
      </c>
      <c r="G3787" s="27" t="s">
        <v>28</v>
      </c>
      <c r="H3787" s="29">
        <v>514</v>
      </c>
      <c r="I3787" s="27" t="s">
        <v>29</v>
      </c>
      <c r="J3787" s="37">
        <v>45638</v>
      </c>
      <c r="K3787" s="27" t="s">
        <v>22</v>
      </c>
    </row>
    <row r="3788" spans="1:11" x14ac:dyDescent="0.2">
      <c r="A3788" s="24" t="s">
        <v>9206</v>
      </c>
      <c r="B3788" s="24" t="s">
        <v>9207</v>
      </c>
      <c r="C3788" s="24" t="s">
        <v>9208</v>
      </c>
      <c r="D3788" s="24" t="s">
        <v>17</v>
      </c>
      <c r="E3788" s="24" t="s">
        <v>48</v>
      </c>
      <c r="F3788" s="24" t="s">
        <v>49</v>
      </c>
      <c r="G3788" s="24" t="s">
        <v>227</v>
      </c>
      <c r="H3788" s="26">
        <v>476</v>
      </c>
      <c r="I3788" s="24" t="s">
        <v>29</v>
      </c>
      <c r="J3788" s="36">
        <v>45627</v>
      </c>
      <c r="K3788" s="24" t="s">
        <v>22</v>
      </c>
    </row>
    <row r="3789" spans="1:11" x14ac:dyDescent="0.2">
      <c r="A3789" s="27" t="s">
        <v>9209</v>
      </c>
      <c r="B3789" s="27" t="s">
        <v>9210</v>
      </c>
      <c r="C3789" s="27" t="s">
        <v>708</v>
      </c>
      <c r="D3789" s="27" t="s">
        <v>17</v>
      </c>
      <c r="E3789" s="27" t="s">
        <v>42</v>
      </c>
      <c r="F3789" s="27" t="s">
        <v>43</v>
      </c>
      <c r="G3789" s="27" t="s">
        <v>44</v>
      </c>
      <c r="H3789" s="29">
        <v>9</v>
      </c>
      <c r="I3789" s="27" t="s">
        <v>21</v>
      </c>
      <c r="J3789" s="37">
        <v>45642</v>
      </c>
      <c r="K3789" s="27" t="s">
        <v>22</v>
      </c>
    </row>
    <row r="3790" spans="1:11" x14ac:dyDescent="0.2">
      <c r="A3790" s="24" t="s">
        <v>9211</v>
      </c>
      <c r="B3790" s="24" t="s">
        <v>9212</v>
      </c>
      <c r="C3790" s="24" t="s">
        <v>1766</v>
      </c>
      <c r="D3790" s="24" t="s">
        <v>17</v>
      </c>
      <c r="E3790" s="24" t="s">
        <v>18</v>
      </c>
      <c r="F3790" s="24" t="s">
        <v>19</v>
      </c>
      <c r="G3790" s="24" t="s">
        <v>20</v>
      </c>
      <c r="H3790" s="26">
        <v>16</v>
      </c>
      <c r="I3790" s="24" t="s">
        <v>21</v>
      </c>
      <c r="J3790" s="36">
        <v>45643</v>
      </c>
      <c r="K3790" s="24" t="s">
        <v>22</v>
      </c>
    </row>
    <row r="3791" spans="1:11" x14ac:dyDescent="0.2">
      <c r="A3791" s="27" t="s">
        <v>9213</v>
      </c>
      <c r="B3791" s="27" t="s">
        <v>9214</v>
      </c>
      <c r="C3791" s="27" t="s">
        <v>301</v>
      </c>
      <c r="D3791" s="27" t="s">
        <v>17</v>
      </c>
      <c r="E3791" s="27" t="s">
        <v>18</v>
      </c>
      <c r="F3791" s="27" t="s">
        <v>19</v>
      </c>
      <c r="G3791" s="27" t="s">
        <v>28</v>
      </c>
      <c r="H3791" s="29">
        <v>140</v>
      </c>
      <c r="I3791" s="27" t="s">
        <v>29</v>
      </c>
      <c r="J3791" s="37">
        <v>45630</v>
      </c>
      <c r="K3791" s="27" t="s">
        <v>22</v>
      </c>
    </row>
    <row r="3792" spans="1:11" x14ac:dyDescent="0.2">
      <c r="A3792" s="24" t="s">
        <v>9215</v>
      </c>
      <c r="B3792" s="24" t="s">
        <v>9216</v>
      </c>
      <c r="C3792" s="24" t="s">
        <v>801</v>
      </c>
      <c r="D3792" s="24" t="s">
        <v>17</v>
      </c>
      <c r="E3792" s="24" t="s">
        <v>18</v>
      </c>
      <c r="F3792" s="24" t="s">
        <v>19</v>
      </c>
      <c r="G3792" s="24" t="s">
        <v>59</v>
      </c>
      <c r="H3792" s="26">
        <v>12</v>
      </c>
      <c r="I3792" s="24" t="s">
        <v>21</v>
      </c>
      <c r="J3792" s="36">
        <v>45642</v>
      </c>
      <c r="K3792" s="24" t="s">
        <v>22</v>
      </c>
    </row>
    <row r="3793" spans="1:11" x14ac:dyDescent="0.2">
      <c r="A3793" s="27" t="s">
        <v>9217</v>
      </c>
      <c r="B3793" s="27" t="s">
        <v>9218</v>
      </c>
      <c r="C3793" s="27" t="s">
        <v>213</v>
      </c>
      <c r="D3793" s="27" t="s">
        <v>17</v>
      </c>
      <c r="E3793" s="27" t="s">
        <v>42</v>
      </c>
      <c r="F3793" s="27" t="s">
        <v>43</v>
      </c>
      <c r="G3793" s="27" t="s">
        <v>28</v>
      </c>
      <c r="H3793" s="29">
        <v>2330</v>
      </c>
      <c r="I3793" s="27" t="s">
        <v>29</v>
      </c>
      <c r="J3793" s="37">
        <v>45634</v>
      </c>
      <c r="K3793" s="27" t="s">
        <v>22</v>
      </c>
    </row>
    <row r="3794" spans="1:11" x14ac:dyDescent="0.2">
      <c r="A3794" s="24" t="s">
        <v>9219</v>
      </c>
      <c r="B3794" s="24" t="s">
        <v>9220</v>
      </c>
      <c r="C3794" s="24" t="s">
        <v>9221</v>
      </c>
      <c r="D3794" s="24" t="s">
        <v>17</v>
      </c>
      <c r="E3794" s="24" t="s">
        <v>48</v>
      </c>
      <c r="F3794" s="24" t="s">
        <v>49</v>
      </c>
      <c r="G3794" s="24" t="s">
        <v>20</v>
      </c>
      <c r="H3794" s="26">
        <v>280</v>
      </c>
      <c r="I3794" s="24" t="s">
        <v>21</v>
      </c>
      <c r="J3794" s="36">
        <v>45644</v>
      </c>
      <c r="K3794" s="24" t="s">
        <v>22</v>
      </c>
    </row>
    <row r="3795" spans="1:11" x14ac:dyDescent="0.2">
      <c r="A3795" s="27" t="s">
        <v>9222</v>
      </c>
      <c r="B3795" s="27" t="s">
        <v>9223</v>
      </c>
      <c r="C3795" s="27" t="s">
        <v>9224</v>
      </c>
      <c r="D3795" s="27" t="s">
        <v>17</v>
      </c>
      <c r="E3795" s="27" t="s">
        <v>18</v>
      </c>
      <c r="F3795" s="27" t="s">
        <v>19</v>
      </c>
      <c r="G3795" s="27" t="s">
        <v>28</v>
      </c>
      <c r="H3795" s="29">
        <v>21</v>
      </c>
      <c r="I3795" s="27" t="s">
        <v>29</v>
      </c>
      <c r="J3795" s="37">
        <v>45644</v>
      </c>
      <c r="K3795" s="27" t="s">
        <v>22</v>
      </c>
    </row>
    <row r="3796" spans="1:11" x14ac:dyDescent="0.2">
      <c r="A3796" s="24" t="s">
        <v>9225</v>
      </c>
      <c r="B3796" s="24" t="s">
        <v>9226</v>
      </c>
      <c r="C3796" s="24" t="s">
        <v>8442</v>
      </c>
      <c r="D3796" s="24" t="s">
        <v>17</v>
      </c>
      <c r="E3796" s="24" t="s">
        <v>163</v>
      </c>
      <c r="F3796" s="24" t="s">
        <v>164</v>
      </c>
      <c r="G3796" s="24" t="s">
        <v>227</v>
      </c>
      <c r="H3796" s="26">
        <v>10</v>
      </c>
      <c r="I3796" s="24" t="s">
        <v>29</v>
      </c>
      <c r="J3796" s="36">
        <v>45641</v>
      </c>
      <c r="K3796" s="24" t="s">
        <v>22</v>
      </c>
    </row>
    <row r="3797" spans="1:11" x14ac:dyDescent="0.2">
      <c r="A3797" s="27" t="s">
        <v>9227</v>
      </c>
      <c r="B3797" s="27" t="s">
        <v>9228</v>
      </c>
      <c r="C3797" s="27" t="s">
        <v>5453</v>
      </c>
      <c r="D3797" s="27" t="s">
        <v>17</v>
      </c>
      <c r="E3797" s="27" t="s">
        <v>18</v>
      </c>
      <c r="F3797" s="27" t="s">
        <v>19</v>
      </c>
      <c r="G3797" s="27" t="s">
        <v>217</v>
      </c>
      <c r="H3797" s="29">
        <v>166</v>
      </c>
      <c r="I3797" s="27" t="s">
        <v>29</v>
      </c>
      <c r="J3797" s="37">
        <v>45639</v>
      </c>
      <c r="K3797" s="27" t="s">
        <v>22</v>
      </c>
    </row>
    <row r="3798" spans="1:11" x14ac:dyDescent="0.2">
      <c r="A3798" s="24" t="s">
        <v>9229</v>
      </c>
      <c r="B3798" s="24" t="s">
        <v>9230</v>
      </c>
      <c r="C3798" s="24" t="s">
        <v>97</v>
      </c>
      <c r="D3798" s="24" t="s">
        <v>17</v>
      </c>
      <c r="E3798" s="24" t="s">
        <v>26</v>
      </c>
      <c r="F3798" s="24" t="s">
        <v>27</v>
      </c>
      <c r="G3798" s="24" t="s">
        <v>28</v>
      </c>
      <c r="H3798" s="26">
        <v>231</v>
      </c>
      <c r="I3798" s="24" t="s">
        <v>29</v>
      </c>
      <c r="J3798" s="36">
        <v>45656</v>
      </c>
      <c r="K3798" s="24" t="s">
        <v>22</v>
      </c>
    </row>
    <row r="3799" spans="1:11" x14ac:dyDescent="0.2">
      <c r="A3799" s="27" t="s">
        <v>9231</v>
      </c>
      <c r="B3799" s="27" t="s">
        <v>9232</v>
      </c>
      <c r="C3799" s="27" t="s">
        <v>7607</v>
      </c>
      <c r="D3799" s="27" t="s">
        <v>17</v>
      </c>
      <c r="E3799" s="27" t="s">
        <v>48</v>
      </c>
      <c r="F3799" s="27" t="s">
        <v>49</v>
      </c>
      <c r="G3799" s="27" t="s">
        <v>44</v>
      </c>
      <c r="H3799" s="29">
        <v>82</v>
      </c>
      <c r="I3799" s="27" t="s">
        <v>29</v>
      </c>
      <c r="J3799" s="37">
        <v>45646</v>
      </c>
      <c r="K3799" s="27" t="s">
        <v>22</v>
      </c>
    </row>
    <row r="3800" spans="1:11" x14ac:dyDescent="0.2">
      <c r="A3800" s="24" t="s">
        <v>9233</v>
      </c>
      <c r="B3800" s="24" t="s">
        <v>9234</v>
      </c>
      <c r="C3800" s="24" t="s">
        <v>289</v>
      </c>
      <c r="D3800" s="24" t="s">
        <v>17</v>
      </c>
      <c r="E3800" s="24" t="s">
        <v>42</v>
      </c>
      <c r="F3800" s="24" t="s">
        <v>43</v>
      </c>
      <c r="G3800" s="24" t="s">
        <v>28</v>
      </c>
      <c r="H3800" s="26">
        <v>131</v>
      </c>
      <c r="I3800" s="24" t="s">
        <v>29</v>
      </c>
      <c r="J3800" s="36">
        <v>45645</v>
      </c>
      <c r="K3800" s="24" t="s">
        <v>22</v>
      </c>
    </row>
    <row r="3801" spans="1:11" x14ac:dyDescent="0.2">
      <c r="A3801" s="27" t="s">
        <v>9235</v>
      </c>
      <c r="B3801" s="27" t="s">
        <v>9236</v>
      </c>
      <c r="C3801" s="27" t="s">
        <v>5385</v>
      </c>
      <c r="D3801" s="27" t="s">
        <v>17</v>
      </c>
      <c r="E3801" s="27" t="s">
        <v>42</v>
      </c>
      <c r="F3801" s="27" t="s">
        <v>43</v>
      </c>
      <c r="G3801" s="27" t="s">
        <v>28</v>
      </c>
      <c r="H3801" s="29">
        <v>90</v>
      </c>
      <c r="I3801" s="27" t="s">
        <v>29</v>
      </c>
      <c r="J3801" s="37">
        <v>45646</v>
      </c>
      <c r="K3801" s="27" t="s">
        <v>22</v>
      </c>
    </row>
    <row r="3802" spans="1:11" x14ac:dyDescent="0.2">
      <c r="A3802" s="24" t="s">
        <v>9237</v>
      </c>
      <c r="B3802" s="24" t="s">
        <v>9238</v>
      </c>
      <c r="C3802" s="24" t="s">
        <v>1047</v>
      </c>
      <c r="D3802" s="24" t="s">
        <v>17</v>
      </c>
      <c r="E3802" s="24" t="s">
        <v>42</v>
      </c>
      <c r="F3802" s="24" t="s">
        <v>43</v>
      </c>
      <c r="G3802" s="24" t="s">
        <v>44</v>
      </c>
      <c r="H3802" s="26">
        <v>357</v>
      </c>
      <c r="I3802" s="24" t="s">
        <v>21</v>
      </c>
      <c r="J3802" s="36">
        <v>45629</v>
      </c>
      <c r="K3802" s="24" t="s">
        <v>22</v>
      </c>
    </row>
    <row r="3803" spans="1:11" x14ac:dyDescent="0.2">
      <c r="A3803" s="27" t="s">
        <v>9239</v>
      </c>
      <c r="B3803" s="27" t="s">
        <v>9240</v>
      </c>
      <c r="C3803" s="27" t="s">
        <v>9241</v>
      </c>
      <c r="D3803" s="27" t="s">
        <v>17</v>
      </c>
      <c r="E3803" s="27" t="s">
        <v>42</v>
      </c>
      <c r="F3803" s="27" t="s">
        <v>43</v>
      </c>
      <c r="G3803" s="27" t="s">
        <v>28</v>
      </c>
      <c r="H3803" s="29">
        <v>450</v>
      </c>
      <c r="I3803" s="27" t="s">
        <v>29</v>
      </c>
      <c r="J3803" s="37">
        <v>45646</v>
      </c>
      <c r="K3803" s="27" t="s">
        <v>22</v>
      </c>
    </row>
    <row r="3804" spans="1:11" x14ac:dyDescent="0.2">
      <c r="A3804" s="24" t="s">
        <v>9242</v>
      </c>
      <c r="B3804" s="24" t="s">
        <v>9243</v>
      </c>
      <c r="C3804" s="24" t="s">
        <v>4616</v>
      </c>
      <c r="D3804" s="24" t="s">
        <v>17</v>
      </c>
      <c r="E3804" s="24" t="s">
        <v>18</v>
      </c>
      <c r="F3804" s="24" t="s">
        <v>19</v>
      </c>
      <c r="G3804" s="24" t="s">
        <v>28</v>
      </c>
      <c r="H3804" s="26">
        <v>122</v>
      </c>
      <c r="I3804" s="24" t="s">
        <v>29</v>
      </c>
      <c r="J3804" s="36">
        <v>45635</v>
      </c>
      <c r="K3804" s="24" t="s">
        <v>22</v>
      </c>
    </row>
    <row r="3805" spans="1:11" x14ac:dyDescent="0.2">
      <c r="A3805" s="27" t="s">
        <v>9244</v>
      </c>
      <c r="B3805" s="27" t="s">
        <v>9245</v>
      </c>
      <c r="C3805" s="27" t="s">
        <v>9246</v>
      </c>
      <c r="D3805" s="27" t="s">
        <v>17</v>
      </c>
      <c r="E3805" s="27" t="s">
        <v>48</v>
      </c>
      <c r="F3805" s="27" t="s">
        <v>49</v>
      </c>
      <c r="G3805" s="27" t="s">
        <v>28</v>
      </c>
      <c r="H3805" s="29">
        <v>120</v>
      </c>
      <c r="I3805" s="27" t="s">
        <v>29</v>
      </c>
      <c r="J3805" s="37">
        <v>45657</v>
      </c>
      <c r="K3805" s="27" t="s">
        <v>22</v>
      </c>
    </row>
    <row r="3806" spans="1:11" x14ac:dyDescent="0.2">
      <c r="A3806" s="24" t="s">
        <v>9247</v>
      </c>
      <c r="B3806" s="24" t="s">
        <v>9248</v>
      </c>
      <c r="C3806" s="24" t="s">
        <v>9249</v>
      </c>
      <c r="D3806" s="24" t="s">
        <v>17</v>
      </c>
      <c r="E3806" s="24" t="s">
        <v>48</v>
      </c>
      <c r="F3806" s="24" t="s">
        <v>49</v>
      </c>
      <c r="G3806" s="24" t="s">
        <v>217</v>
      </c>
      <c r="H3806" s="26">
        <v>120</v>
      </c>
      <c r="I3806" s="24" t="s">
        <v>29</v>
      </c>
      <c r="J3806" s="36">
        <v>45627</v>
      </c>
      <c r="K3806" s="24" t="s">
        <v>22</v>
      </c>
    </row>
    <row r="3807" spans="1:11" x14ac:dyDescent="0.2">
      <c r="A3807" s="27" t="s">
        <v>9250</v>
      </c>
      <c r="B3807" s="27" t="s">
        <v>9251</v>
      </c>
      <c r="C3807" s="27" t="s">
        <v>3048</v>
      </c>
      <c r="D3807" s="27" t="s">
        <v>17</v>
      </c>
      <c r="E3807" s="27" t="s">
        <v>42</v>
      </c>
      <c r="F3807" s="27" t="s">
        <v>43</v>
      </c>
      <c r="G3807" s="27" t="s">
        <v>28</v>
      </c>
      <c r="H3807" s="29">
        <v>412</v>
      </c>
      <c r="I3807" s="27" t="s">
        <v>29</v>
      </c>
      <c r="J3807" s="37">
        <v>45638</v>
      </c>
      <c r="K3807" s="27" t="s">
        <v>22</v>
      </c>
    </row>
    <row r="3808" spans="1:11" x14ac:dyDescent="0.2">
      <c r="A3808" s="24" t="s">
        <v>9252</v>
      </c>
      <c r="B3808" s="24" t="s">
        <v>9253</v>
      </c>
      <c r="C3808" s="24" t="s">
        <v>592</v>
      </c>
      <c r="D3808" s="24" t="s">
        <v>17</v>
      </c>
      <c r="E3808" s="24" t="s">
        <v>48</v>
      </c>
      <c r="F3808" s="24" t="s">
        <v>49</v>
      </c>
      <c r="G3808" s="24" t="s">
        <v>116</v>
      </c>
      <c r="H3808" s="26">
        <v>0</v>
      </c>
      <c r="I3808" s="24" t="s">
        <v>21</v>
      </c>
      <c r="J3808" s="36">
        <v>45646</v>
      </c>
      <c r="K3808" s="24" t="s">
        <v>22</v>
      </c>
    </row>
    <row r="3809" spans="1:11" x14ac:dyDescent="0.2">
      <c r="A3809" s="27" t="s">
        <v>9254</v>
      </c>
      <c r="B3809" s="27" t="s">
        <v>9255</v>
      </c>
      <c r="C3809" s="27" t="s">
        <v>9256</v>
      </c>
      <c r="D3809" s="27" t="s">
        <v>17</v>
      </c>
      <c r="E3809" s="27" t="s">
        <v>42</v>
      </c>
      <c r="F3809" s="27" t="s">
        <v>43</v>
      </c>
      <c r="G3809" s="27" t="s">
        <v>28</v>
      </c>
      <c r="H3809" s="29">
        <v>70</v>
      </c>
      <c r="I3809" s="27" t="s">
        <v>29</v>
      </c>
      <c r="J3809" s="37">
        <v>45639</v>
      </c>
      <c r="K3809" s="27" t="s">
        <v>22</v>
      </c>
    </row>
    <row r="3810" spans="1:11" x14ac:dyDescent="0.2">
      <c r="A3810" s="24" t="s">
        <v>9257</v>
      </c>
      <c r="B3810" s="24" t="s">
        <v>9258</v>
      </c>
      <c r="C3810" s="24" t="s">
        <v>4269</v>
      </c>
      <c r="D3810" s="24" t="s">
        <v>17</v>
      </c>
      <c r="E3810" s="24" t="s">
        <v>42</v>
      </c>
      <c r="F3810" s="24" t="s">
        <v>43</v>
      </c>
      <c r="G3810" s="24" t="s">
        <v>28</v>
      </c>
      <c r="H3810" s="26">
        <v>60</v>
      </c>
      <c r="I3810" s="24" t="s">
        <v>29</v>
      </c>
      <c r="J3810" s="36">
        <v>45630</v>
      </c>
      <c r="K3810" s="24" t="s">
        <v>22</v>
      </c>
    </row>
    <row r="3811" spans="1:11" x14ac:dyDescent="0.2">
      <c r="A3811" s="27" t="s">
        <v>9259</v>
      </c>
      <c r="B3811" s="27" t="s">
        <v>9260</v>
      </c>
      <c r="C3811" s="27" t="s">
        <v>4991</v>
      </c>
      <c r="D3811" s="27" t="s">
        <v>17</v>
      </c>
      <c r="E3811" s="27" t="s">
        <v>48</v>
      </c>
      <c r="F3811" s="27" t="s">
        <v>49</v>
      </c>
      <c r="G3811" s="27" t="s">
        <v>44</v>
      </c>
      <c r="H3811" s="29">
        <v>105</v>
      </c>
      <c r="I3811" s="27" t="s">
        <v>21</v>
      </c>
      <c r="J3811" s="37">
        <v>45639</v>
      </c>
      <c r="K3811" s="27" t="s">
        <v>22</v>
      </c>
    </row>
    <row r="3812" spans="1:11" x14ac:dyDescent="0.2">
      <c r="A3812" s="24" t="s">
        <v>9261</v>
      </c>
      <c r="B3812" s="24" t="s">
        <v>9262</v>
      </c>
      <c r="C3812" s="24" t="s">
        <v>9263</v>
      </c>
      <c r="D3812" s="24" t="s">
        <v>17</v>
      </c>
      <c r="E3812" s="24" t="s">
        <v>48</v>
      </c>
      <c r="F3812" s="24" t="s">
        <v>49</v>
      </c>
      <c r="G3812" s="24" t="s">
        <v>28</v>
      </c>
      <c r="H3812" s="26">
        <v>140</v>
      </c>
      <c r="I3812" s="24" t="s">
        <v>29</v>
      </c>
      <c r="J3812" s="36">
        <v>45639</v>
      </c>
      <c r="K3812" s="24" t="s">
        <v>22</v>
      </c>
    </row>
    <row r="3813" spans="1:11" x14ac:dyDescent="0.2">
      <c r="A3813" s="27" t="s">
        <v>9264</v>
      </c>
      <c r="B3813" s="27" t="s">
        <v>9265</v>
      </c>
      <c r="C3813" s="27" t="s">
        <v>9266</v>
      </c>
      <c r="D3813" s="27" t="s">
        <v>17</v>
      </c>
      <c r="E3813" s="27" t="s">
        <v>42</v>
      </c>
      <c r="F3813" s="27" t="s">
        <v>43</v>
      </c>
      <c r="G3813" s="27" t="s">
        <v>28</v>
      </c>
      <c r="H3813" s="29">
        <v>234</v>
      </c>
      <c r="I3813" s="27" t="s">
        <v>29</v>
      </c>
      <c r="J3813" s="37">
        <v>45656</v>
      </c>
      <c r="K3813" s="27" t="s">
        <v>22</v>
      </c>
    </row>
    <row r="3814" spans="1:11" x14ac:dyDescent="0.2">
      <c r="A3814" s="24" t="s">
        <v>9267</v>
      </c>
      <c r="B3814" s="24" t="s">
        <v>9268</v>
      </c>
      <c r="C3814" s="24" t="s">
        <v>4482</v>
      </c>
      <c r="D3814" s="24" t="s">
        <v>17</v>
      </c>
      <c r="E3814" s="24" t="s">
        <v>18</v>
      </c>
      <c r="F3814" s="24" t="s">
        <v>19</v>
      </c>
      <c r="G3814" s="24" t="s">
        <v>20</v>
      </c>
      <c r="H3814" s="26">
        <v>6</v>
      </c>
      <c r="I3814" s="24" t="s">
        <v>21</v>
      </c>
      <c r="J3814" s="36">
        <v>45632</v>
      </c>
      <c r="K3814" s="24" t="s">
        <v>22</v>
      </c>
    </row>
    <row r="3815" spans="1:11" x14ac:dyDescent="0.2">
      <c r="A3815" s="27" t="s">
        <v>9269</v>
      </c>
      <c r="B3815" s="27" t="s">
        <v>9270</v>
      </c>
      <c r="C3815" s="27" t="s">
        <v>1535</v>
      </c>
      <c r="D3815" s="27" t="s">
        <v>17</v>
      </c>
      <c r="E3815" s="27" t="s">
        <v>18</v>
      </c>
      <c r="F3815" s="27" t="s">
        <v>19</v>
      </c>
      <c r="G3815" s="27" t="s">
        <v>28</v>
      </c>
      <c r="H3815" s="29">
        <v>50</v>
      </c>
      <c r="I3815" s="27" t="s">
        <v>29</v>
      </c>
      <c r="J3815" s="37">
        <v>45643</v>
      </c>
      <c r="K3815" s="27" t="s">
        <v>22</v>
      </c>
    </row>
    <row r="3816" spans="1:11" x14ac:dyDescent="0.2">
      <c r="A3816" s="24" t="s">
        <v>9271</v>
      </c>
      <c r="B3816" s="24" t="s">
        <v>9272</v>
      </c>
      <c r="C3816" s="24" t="s">
        <v>1161</v>
      </c>
      <c r="D3816" s="24" t="s">
        <v>17</v>
      </c>
      <c r="E3816" s="24" t="s">
        <v>48</v>
      </c>
      <c r="F3816" s="24" t="s">
        <v>49</v>
      </c>
      <c r="G3816" s="24" t="s">
        <v>217</v>
      </c>
      <c r="H3816" s="26">
        <v>20</v>
      </c>
      <c r="I3816" s="24" t="s">
        <v>29</v>
      </c>
      <c r="J3816" s="36">
        <v>45627</v>
      </c>
      <c r="K3816" s="24" t="s">
        <v>22</v>
      </c>
    </row>
    <row r="3817" spans="1:11" x14ac:dyDescent="0.2">
      <c r="A3817" s="27" t="s">
        <v>9273</v>
      </c>
      <c r="B3817" s="27" t="s">
        <v>9274</v>
      </c>
      <c r="C3817" s="27" t="s">
        <v>749</v>
      </c>
      <c r="D3817" s="27" t="s">
        <v>17</v>
      </c>
      <c r="E3817" s="27" t="s">
        <v>26</v>
      </c>
      <c r="F3817" s="27" t="s">
        <v>27</v>
      </c>
      <c r="G3817" s="27" t="s">
        <v>28</v>
      </c>
      <c r="H3817" s="29">
        <v>120</v>
      </c>
      <c r="I3817" s="27" t="s">
        <v>29</v>
      </c>
      <c r="J3817" s="37">
        <v>45630</v>
      </c>
      <c r="K3817" s="27" t="s">
        <v>22</v>
      </c>
    </row>
    <row r="3818" spans="1:11" x14ac:dyDescent="0.2">
      <c r="A3818" s="24" t="s">
        <v>9275</v>
      </c>
      <c r="B3818" s="24" t="s">
        <v>9276</v>
      </c>
      <c r="C3818" s="24" t="s">
        <v>1119</v>
      </c>
      <c r="D3818" s="24" t="s">
        <v>17</v>
      </c>
      <c r="E3818" s="24" t="s">
        <v>18</v>
      </c>
      <c r="F3818" s="24" t="s">
        <v>19</v>
      </c>
      <c r="G3818" s="24" t="s">
        <v>28</v>
      </c>
      <c r="H3818" s="26">
        <v>120</v>
      </c>
      <c r="I3818" s="24" t="s">
        <v>29</v>
      </c>
      <c r="J3818" s="36">
        <v>45631</v>
      </c>
      <c r="K3818" s="24" t="s">
        <v>22</v>
      </c>
    </row>
    <row r="3819" spans="1:11" x14ac:dyDescent="0.2">
      <c r="A3819" s="27" t="s">
        <v>9277</v>
      </c>
      <c r="B3819" s="27" t="s">
        <v>9278</v>
      </c>
      <c r="C3819" s="27" t="s">
        <v>9279</v>
      </c>
      <c r="D3819" s="27" t="s">
        <v>17</v>
      </c>
      <c r="E3819" s="27" t="s">
        <v>42</v>
      </c>
      <c r="F3819" s="27" t="s">
        <v>43</v>
      </c>
      <c r="G3819" s="27" t="s">
        <v>257</v>
      </c>
      <c r="H3819" s="29">
        <v>234</v>
      </c>
      <c r="I3819" s="27" t="s">
        <v>29</v>
      </c>
      <c r="J3819" s="37">
        <v>45627</v>
      </c>
      <c r="K3819" s="27" t="s">
        <v>22</v>
      </c>
    </row>
    <row r="3820" spans="1:11" x14ac:dyDescent="0.2">
      <c r="A3820" s="24" t="s">
        <v>9280</v>
      </c>
      <c r="B3820" s="24" t="s">
        <v>9281</v>
      </c>
      <c r="C3820" s="24" t="s">
        <v>9282</v>
      </c>
      <c r="D3820" s="24" t="s">
        <v>17</v>
      </c>
      <c r="E3820" s="24" t="s">
        <v>48</v>
      </c>
      <c r="F3820" s="24" t="s">
        <v>49</v>
      </c>
      <c r="G3820" s="24" t="s">
        <v>116</v>
      </c>
      <c r="H3820" s="26">
        <v>0</v>
      </c>
      <c r="I3820" s="24" t="s">
        <v>21</v>
      </c>
      <c r="J3820" s="36">
        <v>45629</v>
      </c>
      <c r="K3820" s="24" t="s">
        <v>22</v>
      </c>
    </row>
    <row r="3821" spans="1:11" x14ac:dyDescent="0.2">
      <c r="A3821" s="27" t="s">
        <v>9283</v>
      </c>
      <c r="B3821" s="27" t="s">
        <v>9284</v>
      </c>
      <c r="C3821" s="27" t="s">
        <v>9285</v>
      </c>
      <c r="D3821" s="27" t="s">
        <v>17</v>
      </c>
      <c r="E3821" s="27" t="s">
        <v>48</v>
      </c>
      <c r="F3821" s="27" t="s">
        <v>49</v>
      </c>
      <c r="G3821" s="27" t="s">
        <v>44</v>
      </c>
      <c r="H3821" s="29">
        <v>150</v>
      </c>
      <c r="I3821" s="27" t="s">
        <v>29</v>
      </c>
      <c r="J3821" s="37">
        <v>45642</v>
      </c>
      <c r="K3821" s="27" t="s">
        <v>22</v>
      </c>
    </row>
    <row r="3822" spans="1:11" x14ac:dyDescent="0.2">
      <c r="A3822" s="24" t="s">
        <v>9286</v>
      </c>
      <c r="B3822" s="24" t="s">
        <v>9287</v>
      </c>
      <c r="C3822" s="24" t="s">
        <v>9288</v>
      </c>
      <c r="D3822" s="24" t="s">
        <v>17</v>
      </c>
      <c r="E3822" s="24" t="s">
        <v>18</v>
      </c>
      <c r="F3822" s="24" t="s">
        <v>19</v>
      </c>
      <c r="G3822" s="24" t="s">
        <v>116</v>
      </c>
      <c r="H3822" s="26">
        <v>0</v>
      </c>
      <c r="I3822" s="24" t="s">
        <v>21</v>
      </c>
      <c r="J3822" s="36">
        <v>45627</v>
      </c>
      <c r="K3822" s="24" t="s">
        <v>22</v>
      </c>
    </row>
    <row r="3823" spans="1:11" x14ac:dyDescent="0.2">
      <c r="A3823" s="27" t="s">
        <v>9289</v>
      </c>
      <c r="B3823" s="27" t="s">
        <v>9290</v>
      </c>
      <c r="C3823" s="27" t="s">
        <v>251</v>
      </c>
      <c r="D3823" s="27" t="s">
        <v>17</v>
      </c>
      <c r="E3823" s="27" t="s">
        <v>48</v>
      </c>
      <c r="F3823" s="27" t="s">
        <v>49</v>
      </c>
      <c r="G3823" s="27" t="s">
        <v>28</v>
      </c>
      <c r="H3823" s="29">
        <v>123</v>
      </c>
      <c r="I3823" s="27" t="s">
        <v>29</v>
      </c>
      <c r="J3823" s="37">
        <v>45643</v>
      </c>
      <c r="K3823" s="27" t="s">
        <v>22</v>
      </c>
    </row>
    <row r="3824" spans="1:11" x14ac:dyDescent="0.2">
      <c r="A3824" s="24" t="s">
        <v>9291</v>
      </c>
      <c r="B3824" s="24" t="s">
        <v>9292</v>
      </c>
      <c r="C3824" s="24" t="s">
        <v>8740</v>
      </c>
      <c r="D3824" s="24" t="s">
        <v>17</v>
      </c>
      <c r="E3824" s="24" t="s">
        <v>33</v>
      </c>
      <c r="F3824" s="24" t="s">
        <v>34</v>
      </c>
      <c r="G3824" s="24" t="s">
        <v>227</v>
      </c>
      <c r="H3824" s="26">
        <v>360</v>
      </c>
      <c r="I3824" s="24" t="s">
        <v>29</v>
      </c>
      <c r="J3824" s="36">
        <v>45641</v>
      </c>
      <c r="K3824" s="24" t="s">
        <v>22</v>
      </c>
    </row>
    <row r="3825" spans="1:11" x14ac:dyDescent="0.2">
      <c r="A3825" s="27" t="s">
        <v>9293</v>
      </c>
      <c r="B3825" s="27" t="s">
        <v>9294</v>
      </c>
      <c r="C3825" s="27" t="s">
        <v>146</v>
      </c>
      <c r="D3825" s="27" t="s">
        <v>17</v>
      </c>
      <c r="E3825" s="27" t="s">
        <v>42</v>
      </c>
      <c r="F3825" s="27" t="s">
        <v>43</v>
      </c>
      <c r="G3825" s="27" t="s">
        <v>28</v>
      </c>
      <c r="H3825" s="29">
        <v>520</v>
      </c>
      <c r="I3825" s="27" t="s">
        <v>29</v>
      </c>
      <c r="J3825" s="37">
        <v>45642</v>
      </c>
      <c r="K3825" s="27" t="s">
        <v>22</v>
      </c>
    </row>
    <row r="3826" spans="1:11" x14ac:dyDescent="0.2">
      <c r="A3826" s="24" t="s">
        <v>9295</v>
      </c>
      <c r="B3826" s="24" t="s">
        <v>9296</v>
      </c>
      <c r="C3826" s="24" t="s">
        <v>9297</v>
      </c>
      <c r="D3826" s="24" t="s">
        <v>17</v>
      </c>
      <c r="E3826" s="24" t="s">
        <v>48</v>
      </c>
      <c r="F3826" s="24" t="s">
        <v>49</v>
      </c>
      <c r="G3826" s="24" t="s">
        <v>28</v>
      </c>
      <c r="H3826" s="26">
        <v>150</v>
      </c>
      <c r="I3826" s="24" t="s">
        <v>29</v>
      </c>
      <c r="J3826" s="36">
        <v>45656</v>
      </c>
      <c r="K3826" s="24" t="s">
        <v>22</v>
      </c>
    </row>
    <row r="3827" spans="1:11" x14ac:dyDescent="0.2">
      <c r="A3827" s="27" t="s">
        <v>9298</v>
      </c>
      <c r="B3827" s="27" t="s">
        <v>9299</v>
      </c>
      <c r="C3827" s="27" t="s">
        <v>5901</v>
      </c>
      <c r="D3827" s="27" t="s">
        <v>17</v>
      </c>
      <c r="E3827" s="27" t="s">
        <v>26</v>
      </c>
      <c r="F3827" s="27" t="s">
        <v>27</v>
      </c>
      <c r="G3827" s="27" t="s">
        <v>28</v>
      </c>
      <c r="H3827" s="29">
        <v>25</v>
      </c>
      <c r="I3827" s="27" t="s">
        <v>29</v>
      </c>
      <c r="J3827" s="37">
        <v>45644</v>
      </c>
      <c r="K3827" s="27" t="s">
        <v>22</v>
      </c>
    </row>
    <row r="3828" spans="1:11" x14ac:dyDescent="0.2">
      <c r="A3828" s="24" t="s">
        <v>9300</v>
      </c>
      <c r="B3828" s="24" t="s">
        <v>9301</v>
      </c>
      <c r="C3828" s="24" t="s">
        <v>9302</v>
      </c>
      <c r="D3828" s="24" t="s">
        <v>17</v>
      </c>
      <c r="E3828" s="24" t="s">
        <v>48</v>
      </c>
      <c r="F3828" s="24" t="s">
        <v>49</v>
      </c>
      <c r="G3828" s="24" t="s">
        <v>44</v>
      </c>
      <c r="H3828" s="26">
        <v>55</v>
      </c>
      <c r="I3828" s="24" t="s">
        <v>29</v>
      </c>
      <c r="J3828" s="36">
        <v>45645</v>
      </c>
      <c r="K3828" s="24" t="s">
        <v>22</v>
      </c>
    </row>
    <row r="3829" spans="1:11" x14ac:dyDescent="0.2">
      <c r="A3829" s="27" t="s">
        <v>9303</v>
      </c>
      <c r="B3829" s="27" t="s">
        <v>9304</v>
      </c>
      <c r="C3829" s="27" t="s">
        <v>9305</v>
      </c>
      <c r="D3829" s="27" t="s">
        <v>17</v>
      </c>
      <c r="E3829" s="27" t="s">
        <v>48</v>
      </c>
      <c r="F3829" s="27" t="s">
        <v>49</v>
      </c>
      <c r="G3829" s="27" t="s">
        <v>217</v>
      </c>
      <c r="H3829" s="29">
        <v>100</v>
      </c>
      <c r="I3829" s="27" t="s">
        <v>29</v>
      </c>
      <c r="J3829" s="37">
        <v>45627</v>
      </c>
      <c r="K3829" s="27" t="s">
        <v>22</v>
      </c>
    </row>
    <row r="3830" spans="1:11" x14ac:dyDescent="0.2">
      <c r="A3830" s="24" t="s">
        <v>9306</v>
      </c>
      <c r="B3830" s="24" t="s">
        <v>9307</v>
      </c>
      <c r="C3830" s="24" t="s">
        <v>5398</v>
      </c>
      <c r="D3830" s="24" t="s">
        <v>17</v>
      </c>
      <c r="E3830" s="24" t="s">
        <v>42</v>
      </c>
      <c r="F3830" s="24" t="s">
        <v>43</v>
      </c>
      <c r="G3830" s="24" t="s">
        <v>28</v>
      </c>
      <c r="H3830" s="26">
        <v>480</v>
      </c>
      <c r="I3830" s="24" t="s">
        <v>29</v>
      </c>
      <c r="J3830" s="36">
        <v>45656</v>
      </c>
      <c r="K3830" s="24" t="s">
        <v>22</v>
      </c>
    </row>
    <row r="3831" spans="1:11" x14ac:dyDescent="0.2">
      <c r="A3831" s="27" t="s">
        <v>9308</v>
      </c>
      <c r="B3831" s="27" t="s">
        <v>9309</v>
      </c>
      <c r="C3831" s="27" t="s">
        <v>97</v>
      </c>
      <c r="D3831" s="27" t="s">
        <v>17</v>
      </c>
      <c r="E3831" s="27" t="s">
        <v>42</v>
      </c>
      <c r="F3831" s="27" t="s">
        <v>43</v>
      </c>
      <c r="G3831" s="27" t="s">
        <v>28</v>
      </c>
      <c r="H3831" s="29">
        <v>180</v>
      </c>
      <c r="I3831" s="27" t="s">
        <v>29</v>
      </c>
      <c r="J3831" s="37">
        <v>45629</v>
      </c>
      <c r="K3831" s="27" t="s">
        <v>22</v>
      </c>
    </row>
    <row r="3832" spans="1:11" x14ac:dyDescent="0.2">
      <c r="A3832" s="24" t="s">
        <v>9310</v>
      </c>
      <c r="B3832" s="24" t="s">
        <v>9311</v>
      </c>
      <c r="C3832" s="24" t="s">
        <v>1047</v>
      </c>
      <c r="D3832" s="24" t="s">
        <v>17</v>
      </c>
      <c r="E3832" s="24" t="s">
        <v>81</v>
      </c>
      <c r="F3832" s="24" t="s">
        <v>82</v>
      </c>
      <c r="G3832" s="24" t="s">
        <v>44</v>
      </c>
      <c r="H3832" s="26">
        <v>150</v>
      </c>
      <c r="I3832" s="24" t="s">
        <v>21</v>
      </c>
      <c r="J3832" s="36">
        <v>45644</v>
      </c>
      <c r="K3832" s="24" t="s">
        <v>22</v>
      </c>
    </row>
    <row r="3833" spans="1:11" x14ac:dyDescent="0.2">
      <c r="A3833" s="27" t="s">
        <v>9312</v>
      </c>
      <c r="B3833" s="27" t="s">
        <v>9313</v>
      </c>
      <c r="C3833" s="27" t="s">
        <v>97</v>
      </c>
      <c r="D3833" s="27" t="s">
        <v>17</v>
      </c>
      <c r="E3833" s="27" t="s">
        <v>48</v>
      </c>
      <c r="F3833" s="27" t="s">
        <v>49</v>
      </c>
      <c r="G3833" s="27" t="s">
        <v>28</v>
      </c>
      <c r="H3833" s="29">
        <v>30</v>
      </c>
      <c r="I3833" s="27" t="s">
        <v>29</v>
      </c>
      <c r="J3833" s="37">
        <v>45637</v>
      </c>
      <c r="K3833" s="27" t="s">
        <v>22</v>
      </c>
    </row>
    <row r="3834" spans="1:11" x14ac:dyDescent="0.2">
      <c r="A3834" s="24" t="s">
        <v>9314</v>
      </c>
      <c r="B3834" s="24" t="s">
        <v>9315</v>
      </c>
      <c r="C3834" s="24" t="s">
        <v>708</v>
      </c>
      <c r="D3834" s="24" t="s">
        <v>17</v>
      </c>
      <c r="E3834" s="24" t="s">
        <v>26</v>
      </c>
      <c r="F3834" s="24" t="s">
        <v>27</v>
      </c>
      <c r="G3834" s="24" t="s">
        <v>28</v>
      </c>
      <c r="H3834" s="26">
        <v>186</v>
      </c>
      <c r="I3834" s="24" t="s">
        <v>29</v>
      </c>
      <c r="J3834" s="36">
        <v>45637</v>
      </c>
      <c r="K3834" s="24" t="s">
        <v>22</v>
      </c>
    </row>
    <row r="3835" spans="1:11" x14ac:dyDescent="0.2">
      <c r="A3835" s="27" t="s">
        <v>9316</v>
      </c>
      <c r="B3835" s="27" t="s">
        <v>9317</v>
      </c>
      <c r="C3835" s="27" t="s">
        <v>4536</v>
      </c>
      <c r="D3835" s="27" t="s">
        <v>17</v>
      </c>
      <c r="E3835" s="27" t="s">
        <v>48</v>
      </c>
      <c r="F3835" s="27" t="s">
        <v>49</v>
      </c>
      <c r="G3835" s="27" t="s">
        <v>28</v>
      </c>
      <c r="H3835" s="29">
        <v>160</v>
      </c>
      <c r="I3835" s="27" t="s">
        <v>29</v>
      </c>
      <c r="J3835" s="37">
        <v>45638</v>
      </c>
      <c r="K3835" s="27" t="s">
        <v>22</v>
      </c>
    </row>
    <row r="3836" spans="1:11" x14ac:dyDescent="0.2">
      <c r="A3836" s="24" t="s">
        <v>9318</v>
      </c>
      <c r="B3836" s="24" t="s">
        <v>9319</v>
      </c>
      <c r="C3836" s="24" t="s">
        <v>494</v>
      </c>
      <c r="D3836" s="24" t="s">
        <v>17</v>
      </c>
      <c r="E3836" s="24" t="s">
        <v>18</v>
      </c>
      <c r="F3836" s="24" t="s">
        <v>19</v>
      </c>
      <c r="G3836" s="24" t="s">
        <v>28</v>
      </c>
      <c r="H3836" s="26">
        <v>150</v>
      </c>
      <c r="I3836" s="24" t="s">
        <v>29</v>
      </c>
      <c r="J3836" s="36">
        <v>45635</v>
      </c>
      <c r="K3836" s="24" t="s">
        <v>22</v>
      </c>
    </row>
    <row r="3837" spans="1:11" x14ac:dyDescent="0.2">
      <c r="A3837" s="27" t="s">
        <v>9320</v>
      </c>
      <c r="B3837" s="27" t="s">
        <v>9321</v>
      </c>
      <c r="C3837" s="27" t="s">
        <v>5829</v>
      </c>
      <c r="D3837" s="27" t="s">
        <v>17</v>
      </c>
      <c r="E3837" s="27" t="s">
        <v>42</v>
      </c>
      <c r="F3837" s="27" t="s">
        <v>43</v>
      </c>
      <c r="G3837" s="27" t="s">
        <v>217</v>
      </c>
      <c r="H3837" s="29">
        <v>810</v>
      </c>
      <c r="I3837" s="27" t="s">
        <v>29</v>
      </c>
      <c r="J3837" s="37">
        <v>45656</v>
      </c>
      <c r="K3837" s="27" t="s">
        <v>22</v>
      </c>
    </row>
    <row r="3838" spans="1:11" x14ac:dyDescent="0.2">
      <c r="A3838" s="24" t="s">
        <v>9322</v>
      </c>
      <c r="B3838" s="24" t="s">
        <v>9323</v>
      </c>
      <c r="C3838" s="24" t="s">
        <v>1307</v>
      </c>
      <c r="D3838" s="24" t="s">
        <v>17</v>
      </c>
      <c r="E3838" s="24" t="s">
        <v>18</v>
      </c>
      <c r="F3838" s="24" t="s">
        <v>19</v>
      </c>
      <c r="G3838" s="24" t="s">
        <v>217</v>
      </c>
      <c r="H3838" s="26">
        <v>54</v>
      </c>
      <c r="I3838" s="24" t="s">
        <v>29</v>
      </c>
      <c r="J3838" s="36">
        <v>45627</v>
      </c>
      <c r="K3838" s="24" t="s">
        <v>22</v>
      </c>
    </row>
    <row r="3839" spans="1:11" x14ac:dyDescent="0.2">
      <c r="A3839" s="27" t="s">
        <v>9324</v>
      </c>
      <c r="B3839" s="27" t="s">
        <v>9325</v>
      </c>
      <c r="C3839" s="27" t="s">
        <v>4442</v>
      </c>
      <c r="D3839" s="27" t="s">
        <v>17</v>
      </c>
      <c r="E3839" s="27" t="s">
        <v>26</v>
      </c>
      <c r="F3839" s="27" t="s">
        <v>27</v>
      </c>
      <c r="G3839" s="27" t="s">
        <v>28</v>
      </c>
      <c r="H3839" s="29">
        <v>250</v>
      </c>
      <c r="I3839" s="27" t="s">
        <v>29</v>
      </c>
      <c r="J3839" s="37">
        <v>45639</v>
      </c>
      <c r="K3839" s="27" t="s">
        <v>22</v>
      </c>
    </row>
    <row r="3840" spans="1:11" x14ac:dyDescent="0.2">
      <c r="A3840" s="24" t="s">
        <v>9326</v>
      </c>
      <c r="B3840" s="24" t="s">
        <v>9327</v>
      </c>
      <c r="C3840" s="24" t="s">
        <v>208</v>
      </c>
      <c r="D3840" s="24" t="s">
        <v>17</v>
      </c>
      <c r="E3840" s="24" t="s">
        <v>48</v>
      </c>
      <c r="F3840" s="24" t="s">
        <v>49</v>
      </c>
      <c r="G3840" s="24" t="s">
        <v>44</v>
      </c>
      <c r="H3840" s="26">
        <v>60</v>
      </c>
      <c r="I3840" s="24" t="s">
        <v>29</v>
      </c>
      <c r="J3840" s="36">
        <v>45642</v>
      </c>
      <c r="K3840" s="24" t="s">
        <v>22</v>
      </c>
    </row>
    <row r="3841" spans="1:11" x14ac:dyDescent="0.2">
      <c r="A3841" s="27" t="s">
        <v>9328</v>
      </c>
      <c r="B3841" s="27" t="s">
        <v>9329</v>
      </c>
      <c r="C3841" s="27" t="s">
        <v>1147</v>
      </c>
      <c r="D3841" s="27" t="s">
        <v>17</v>
      </c>
      <c r="E3841" s="27" t="s">
        <v>18</v>
      </c>
      <c r="F3841" s="27" t="s">
        <v>19</v>
      </c>
      <c r="G3841" s="27" t="s">
        <v>28</v>
      </c>
      <c r="H3841" s="29">
        <v>60</v>
      </c>
      <c r="I3841" s="27" t="s">
        <v>29</v>
      </c>
      <c r="J3841" s="37">
        <v>45650</v>
      </c>
      <c r="K3841" s="27" t="s">
        <v>22</v>
      </c>
    </row>
    <row r="3842" spans="1:11" x14ac:dyDescent="0.2">
      <c r="A3842" s="24" t="s">
        <v>9330</v>
      </c>
      <c r="B3842" s="24" t="s">
        <v>9331</v>
      </c>
      <c r="C3842" s="24" t="s">
        <v>1307</v>
      </c>
      <c r="D3842" s="24" t="s">
        <v>17</v>
      </c>
      <c r="E3842" s="24" t="s">
        <v>18</v>
      </c>
      <c r="F3842" s="24" t="s">
        <v>19</v>
      </c>
      <c r="G3842" s="24" t="s">
        <v>20</v>
      </c>
      <c r="H3842" s="26">
        <v>23</v>
      </c>
      <c r="I3842" s="24" t="s">
        <v>21</v>
      </c>
      <c r="J3842" s="36">
        <v>45656</v>
      </c>
      <c r="K3842" s="24" t="s">
        <v>22</v>
      </c>
    </row>
    <row r="3843" spans="1:11" x14ac:dyDescent="0.2">
      <c r="A3843" s="27" t="s">
        <v>9332</v>
      </c>
      <c r="B3843" s="27" t="s">
        <v>9333</v>
      </c>
      <c r="C3843" s="27" t="s">
        <v>4050</v>
      </c>
      <c r="D3843" s="27" t="s">
        <v>17</v>
      </c>
      <c r="E3843" s="27" t="s">
        <v>18</v>
      </c>
      <c r="F3843" s="27" t="s">
        <v>19</v>
      </c>
      <c r="G3843" s="27" t="s">
        <v>20</v>
      </c>
      <c r="H3843" s="29">
        <v>22</v>
      </c>
      <c r="I3843" s="27" t="s">
        <v>21</v>
      </c>
      <c r="J3843" s="37">
        <v>45630</v>
      </c>
      <c r="K3843" s="27" t="s">
        <v>22</v>
      </c>
    </row>
    <row r="3844" spans="1:11" x14ac:dyDescent="0.2">
      <c r="A3844" s="24" t="s">
        <v>9334</v>
      </c>
      <c r="B3844" s="24" t="s">
        <v>9335</v>
      </c>
      <c r="C3844" s="24" t="s">
        <v>687</v>
      </c>
      <c r="D3844" s="24" t="s">
        <v>17</v>
      </c>
      <c r="E3844" s="24" t="s">
        <v>18</v>
      </c>
      <c r="F3844" s="24" t="s">
        <v>19</v>
      </c>
      <c r="G3844" s="24" t="s">
        <v>20</v>
      </c>
      <c r="H3844" s="26">
        <v>18</v>
      </c>
      <c r="I3844" s="24" t="s">
        <v>21</v>
      </c>
      <c r="J3844" s="36">
        <v>45628</v>
      </c>
      <c r="K3844" s="24" t="s">
        <v>22</v>
      </c>
    </row>
    <row r="3845" spans="1:11" x14ac:dyDescent="0.2">
      <c r="A3845" s="27" t="s">
        <v>9336</v>
      </c>
      <c r="B3845" s="27" t="s">
        <v>9337</v>
      </c>
      <c r="C3845" s="27" t="s">
        <v>1850</v>
      </c>
      <c r="D3845" s="27" t="s">
        <v>17</v>
      </c>
      <c r="E3845" s="27" t="s">
        <v>48</v>
      </c>
      <c r="F3845" s="27" t="s">
        <v>49</v>
      </c>
      <c r="G3845" s="27" t="s">
        <v>28</v>
      </c>
      <c r="H3845" s="29">
        <v>100</v>
      </c>
      <c r="I3845" s="27" t="s">
        <v>29</v>
      </c>
      <c r="J3845" s="37">
        <v>45652</v>
      </c>
      <c r="K3845" s="27" t="s">
        <v>22</v>
      </c>
    </row>
    <row r="3846" spans="1:11" x14ac:dyDescent="0.2">
      <c r="A3846" s="24" t="s">
        <v>9338</v>
      </c>
      <c r="B3846" s="24" t="s">
        <v>9339</v>
      </c>
      <c r="C3846" s="24" t="s">
        <v>3076</v>
      </c>
      <c r="D3846" s="24" t="s">
        <v>17</v>
      </c>
      <c r="E3846" s="24" t="s">
        <v>26</v>
      </c>
      <c r="F3846" s="24" t="s">
        <v>27</v>
      </c>
      <c r="G3846" s="24" t="s">
        <v>28</v>
      </c>
      <c r="H3846" s="26">
        <v>156</v>
      </c>
      <c r="I3846" s="24" t="s">
        <v>29</v>
      </c>
      <c r="J3846" s="36">
        <v>45630</v>
      </c>
      <c r="K3846" s="24" t="s">
        <v>22</v>
      </c>
    </row>
    <row r="3847" spans="1:11" x14ac:dyDescent="0.2">
      <c r="A3847" s="27" t="s">
        <v>9340</v>
      </c>
      <c r="B3847" s="27" t="s">
        <v>9341</v>
      </c>
      <c r="C3847" s="27" t="s">
        <v>251</v>
      </c>
      <c r="D3847" s="27" t="s">
        <v>17</v>
      </c>
      <c r="E3847" s="27" t="s">
        <v>26</v>
      </c>
      <c r="F3847" s="27" t="s">
        <v>27</v>
      </c>
      <c r="G3847" s="27" t="s">
        <v>116</v>
      </c>
      <c r="H3847" s="29">
        <v>0</v>
      </c>
      <c r="I3847" s="27" t="s">
        <v>21</v>
      </c>
      <c r="J3847" s="37">
        <v>45646</v>
      </c>
      <c r="K3847" s="27" t="s">
        <v>22</v>
      </c>
    </row>
    <row r="3848" spans="1:11" x14ac:dyDescent="0.2">
      <c r="A3848" s="24" t="s">
        <v>9342</v>
      </c>
      <c r="B3848" s="24" t="s">
        <v>9343</v>
      </c>
      <c r="C3848" s="24" t="s">
        <v>3304</v>
      </c>
      <c r="D3848" s="24" t="s">
        <v>17</v>
      </c>
      <c r="E3848" s="24" t="s">
        <v>48</v>
      </c>
      <c r="F3848" s="24" t="s">
        <v>49</v>
      </c>
      <c r="G3848" s="24" t="s">
        <v>44</v>
      </c>
      <c r="H3848" s="26">
        <v>214</v>
      </c>
      <c r="I3848" s="24" t="s">
        <v>21</v>
      </c>
      <c r="J3848" s="36">
        <v>45642</v>
      </c>
      <c r="K3848" s="24" t="s">
        <v>22</v>
      </c>
    </row>
    <row r="3849" spans="1:11" x14ac:dyDescent="0.2">
      <c r="A3849" s="27" t="s">
        <v>9344</v>
      </c>
      <c r="B3849" s="27" t="s">
        <v>9345</v>
      </c>
      <c r="C3849" s="27" t="s">
        <v>9346</v>
      </c>
      <c r="D3849" s="27" t="s">
        <v>17</v>
      </c>
      <c r="E3849" s="27" t="s">
        <v>18</v>
      </c>
      <c r="F3849" s="27" t="s">
        <v>19</v>
      </c>
      <c r="G3849" s="27" t="s">
        <v>28</v>
      </c>
      <c r="H3849" s="29">
        <v>68</v>
      </c>
      <c r="I3849" s="27" t="s">
        <v>29</v>
      </c>
      <c r="J3849" s="37">
        <v>45656</v>
      </c>
      <c r="K3849" s="27" t="s">
        <v>22</v>
      </c>
    </row>
    <row r="3850" spans="1:11" x14ac:dyDescent="0.2">
      <c r="A3850" s="24" t="s">
        <v>9347</v>
      </c>
      <c r="B3850" s="24" t="s">
        <v>9348</v>
      </c>
      <c r="C3850" s="24" t="s">
        <v>1473</v>
      </c>
      <c r="D3850" s="24" t="s">
        <v>17</v>
      </c>
      <c r="E3850" s="24" t="s">
        <v>18</v>
      </c>
      <c r="F3850" s="24" t="s">
        <v>19</v>
      </c>
      <c r="G3850" s="24" t="s">
        <v>28</v>
      </c>
      <c r="H3850" s="26">
        <v>60</v>
      </c>
      <c r="I3850" s="24" t="s">
        <v>29</v>
      </c>
      <c r="J3850" s="36">
        <v>45632</v>
      </c>
      <c r="K3850" s="24" t="s">
        <v>22</v>
      </c>
    </row>
    <row r="3851" spans="1:11" x14ac:dyDescent="0.2">
      <c r="A3851" s="27" t="s">
        <v>9349</v>
      </c>
      <c r="B3851" s="27" t="s">
        <v>9350</v>
      </c>
      <c r="C3851" s="27" t="s">
        <v>1444</v>
      </c>
      <c r="D3851" s="27" t="s">
        <v>17</v>
      </c>
      <c r="E3851" s="27" t="s">
        <v>18</v>
      </c>
      <c r="F3851" s="27" t="s">
        <v>19</v>
      </c>
      <c r="G3851" s="27" t="s">
        <v>28</v>
      </c>
      <c r="H3851" s="29">
        <v>180</v>
      </c>
      <c r="I3851" s="27" t="s">
        <v>29</v>
      </c>
      <c r="J3851" s="37">
        <v>45639</v>
      </c>
      <c r="K3851" s="27" t="s">
        <v>22</v>
      </c>
    </row>
    <row r="3852" spans="1:11" x14ac:dyDescent="0.2">
      <c r="A3852" s="24" t="s">
        <v>9351</v>
      </c>
      <c r="B3852" s="24" t="s">
        <v>9352</v>
      </c>
      <c r="C3852" s="24" t="s">
        <v>9353</v>
      </c>
      <c r="D3852" s="24" t="s">
        <v>17</v>
      </c>
      <c r="E3852" s="24" t="s">
        <v>81</v>
      </c>
      <c r="F3852" s="24" t="s">
        <v>82</v>
      </c>
      <c r="G3852" s="24" t="s">
        <v>28</v>
      </c>
      <c r="H3852" s="26">
        <v>340</v>
      </c>
      <c r="I3852" s="24" t="s">
        <v>29</v>
      </c>
      <c r="J3852" s="36">
        <v>45632</v>
      </c>
      <c r="K3852" s="24" t="s">
        <v>22</v>
      </c>
    </row>
    <row r="3853" spans="1:11" x14ac:dyDescent="0.2">
      <c r="A3853" s="27" t="s">
        <v>9354</v>
      </c>
      <c r="B3853" s="27" t="s">
        <v>9355</v>
      </c>
      <c r="C3853" s="27" t="s">
        <v>9356</v>
      </c>
      <c r="D3853" s="27" t="s">
        <v>17</v>
      </c>
      <c r="E3853" s="27" t="s">
        <v>48</v>
      </c>
      <c r="F3853" s="27" t="s">
        <v>49</v>
      </c>
      <c r="G3853" s="27" t="s">
        <v>257</v>
      </c>
      <c r="H3853" s="29">
        <v>100</v>
      </c>
      <c r="I3853" s="27" t="s">
        <v>29</v>
      </c>
      <c r="J3853" s="37">
        <v>45631</v>
      </c>
      <c r="K3853" s="27" t="s">
        <v>22</v>
      </c>
    </row>
    <row r="3854" spans="1:11" x14ac:dyDescent="0.2">
      <c r="A3854" s="24" t="s">
        <v>9357</v>
      </c>
      <c r="B3854" s="24" t="s">
        <v>9358</v>
      </c>
      <c r="C3854" s="24" t="s">
        <v>2048</v>
      </c>
      <c r="D3854" s="24" t="s">
        <v>17</v>
      </c>
      <c r="E3854" s="24" t="s">
        <v>18</v>
      </c>
      <c r="F3854" s="24" t="s">
        <v>19</v>
      </c>
      <c r="G3854" s="24" t="s">
        <v>28</v>
      </c>
      <c r="H3854" s="26">
        <v>30</v>
      </c>
      <c r="I3854" s="24" t="s">
        <v>29</v>
      </c>
      <c r="J3854" s="36">
        <v>45654</v>
      </c>
      <c r="K3854" s="24" t="s">
        <v>22</v>
      </c>
    </row>
    <row r="3855" spans="1:11" x14ac:dyDescent="0.2">
      <c r="A3855" s="27" t="s">
        <v>9359</v>
      </c>
      <c r="B3855" s="27" t="s">
        <v>9360</v>
      </c>
      <c r="C3855" s="27" t="s">
        <v>9361</v>
      </c>
      <c r="D3855" s="27" t="s">
        <v>17</v>
      </c>
      <c r="E3855" s="27" t="s">
        <v>42</v>
      </c>
      <c r="F3855" s="27" t="s">
        <v>43</v>
      </c>
      <c r="G3855" s="27" t="s">
        <v>28</v>
      </c>
      <c r="H3855" s="29">
        <v>200</v>
      </c>
      <c r="I3855" s="27" t="s">
        <v>29</v>
      </c>
      <c r="J3855" s="37">
        <v>45637</v>
      </c>
      <c r="K3855" s="27" t="s">
        <v>22</v>
      </c>
    </row>
    <row r="3856" spans="1:11" x14ac:dyDescent="0.2">
      <c r="A3856" s="24" t="s">
        <v>9362</v>
      </c>
      <c r="B3856" s="24" t="s">
        <v>9363</v>
      </c>
      <c r="C3856" s="24" t="s">
        <v>500</v>
      </c>
      <c r="D3856" s="24" t="s">
        <v>17</v>
      </c>
      <c r="E3856" s="24" t="s">
        <v>18</v>
      </c>
      <c r="F3856" s="24" t="s">
        <v>19</v>
      </c>
      <c r="G3856" s="24" t="s">
        <v>20</v>
      </c>
      <c r="H3856" s="26">
        <v>14</v>
      </c>
      <c r="I3856" s="24" t="s">
        <v>21</v>
      </c>
      <c r="J3856" s="36">
        <v>45630</v>
      </c>
      <c r="K3856" s="24" t="s">
        <v>22</v>
      </c>
    </row>
    <row r="3857" spans="1:11" x14ac:dyDescent="0.2">
      <c r="A3857" s="27" t="s">
        <v>9364</v>
      </c>
      <c r="B3857" s="27" t="s">
        <v>9365</v>
      </c>
      <c r="C3857" s="27" t="s">
        <v>3504</v>
      </c>
      <c r="D3857" s="27" t="s">
        <v>17</v>
      </c>
      <c r="E3857" s="27" t="s">
        <v>42</v>
      </c>
      <c r="F3857" s="27" t="s">
        <v>43</v>
      </c>
      <c r="G3857" s="27" t="s">
        <v>28</v>
      </c>
      <c r="H3857" s="29">
        <v>8000</v>
      </c>
      <c r="I3857" s="27" t="s">
        <v>29</v>
      </c>
      <c r="J3857" s="37">
        <v>45639</v>
      </c>
      <c r="K3857" s="27" t="s">
        <v>22</v>
      </c>
    </row>
    <row r="3858" spans="1:11" x14ac:dyDescent="0.2">
      <c r="A3858" s="24" t="s">
        <v>9366</v>
      </c>
      <c r="B3858" s="24" t="s">
        <v>9367</v>
      </c>
      <c r="C3858" s="24" t="s">
        <v>177</v>
      </c>
      <c r="D3858" s="24" t="s">
        <v>17</v>
      </c>
      <c r="E3858" s="24" t="s">
        <v>42</v>
      </c>
      <c r="F3858" s="24" t="s">
        <v>43</v>
      </c>
      <c r="G3858" s="24" t="s">
        <v>44</v>
      </c>
      <c r="H3858" s="26">
        <v>610</v>
      </c>
      <c r="I3858" s="24" t="s">
        <v>29</v>
      </c>
      <c r="J3858" s="36">
        <v>45639</v>
      </c>
      <c r="K3858" s="24" t="s">
        <v>22</v>
      </c>
    </row>
    <row r="3859" spans="1:11" x14ac:dyDescent="0.2">
      <c r="A3859" s="27" t="s">
        <v>9368</v>
      </c>
      <c r="B3859" s="27" t="s">
        <v>9369</v>
      </c>
      <c r="C3859" s="27" t="s">
        <v>1737</v>
      </c>
      <c r="D3859" s="27" t="s">
        <v>17</v>
      </c>
      <c r="E3859" s="27" t="s">
        <v>48</v>
      </c>
      <c r="F3859" s="27" t="s">
        <v>49</v>
      </c>
      <c r="G3859" s="27" t="s">
        <v>217</v>
      </c>
      <c r="H3859" s="29">
        <v>60</v>
      </c>
      <c r="I3859" s="27" t="s">
        <v>29</v>
      </c>
      <c r="J3859" s="37">
        <v>45627</v>
      </c>
      <c r="K3859" s="27" t="s">
        <v>22</v>
      </c>
    </row>
    <row r="3860" spans="1:11" x14ac:dyDescent="0.2">
      <c r="A3860" s="24" t="s">
        <v>9370</v>
      </c>
      <c r="B3860" s="24" t="s">
        <v>9371</v>
      </c>
      <c r="C3860" s="24" t="s">
        <v>9372</v>
      </c>
      <c r="D3860" s="24" t="s">
        <v>17</v>
      </c>
      <c r="E3860" s="24" t="s">
        <v>18</v>
      </c>
      <c r="F3860" s="24" t="s">
        <v>19</v>
      </c>
      <c r="G3860" s="24" t="s">
        <v>217</v>
      </c>
      <c r="H3860" s="26">
        <v>30</v>
      </c>
      <c r="I3860" s="24" t="s">
        <v>29</v>
      </c>
      <c r="J3860" s="36">
        <v>45627</v>
      </c>
      <c r="K3860" s="24" t="s">
        <v>22</v>
      </c>
    </row>
    <row r="3861" spans="1:11" x14ac:dyDescent="0.2">
      <c r="A3861" s="27" t="s">
        <v>9373</v>
      </c>
      <c r="B3861" s="27" t="s">
        <v>9374</v>
      </c>
      <c r="C3861" s="27" t="s">
        <v>55</v>
      </c>
      <c r="D3861" s="27" t="s">
        <v>17</v>
      </c>
      <c r="E3861" s="27" t="s">
        <v>26</v>
      </c>
      <c r="F3861" s="27" t="s">
        <v>27</v>
      </c>
      <c r="G3861" s="27" t="s">
        <v>28</v>
      </c>
      <c r="H3861" s="29">
        <v>32</v>
      </c>
      <c r="I3861" s="27" t="s">
        <v>29</v>
      </c>
      <c r="J3861" s="37">
        <v>45646</v>
      </c>
      <c r="K3861" s="27" t="s">
        <v>22</v>
      </c>
    </row>
    <row r="3862" spans="1:11" x14ac:dyDescent="0.2">
      <c r="A3862" s="24" t="s">
        <v>9375</v>
      </c>
      <c r="B3862" s="24" t="s">
        <v>9376</v>
      </c>
      <c r="C3862" s="24" t="s">
        <v>9377</v>
      </c>
      <c r="D3862" s="24" t="s">
        <v>17</v>
      </c>
      <c r="E3862" s="24" t="s">
        <v>163</v>
      </c>
      <c r="F3862" s="24" t="s">
        <v>164</v>
      </c>
      <c r="G3862" s="24" t="s">
        <v>217</v>
      </c>
      <c r="H3862" s="26">
        <v>20</v>
      </c>
      <c r="I3862" s="24" t="s">
        <v>29</v>
      </c>
      <c r="J3862" s="36">
        <v>45646</v>
      </c>
      <c r="K3862" s="24" t="s">
        <v>22</v>
      </c>
    </row>
    <row r="3863" spans="1:11" x14ac:dyDescent="0.2">
      <c r="A3863" s="27" t="s">
        <v>9378</v>
      </c>
      <c r="B3863" s="27" t="s">
        <v>9379</v>
      </c>
      <c r="C3863" s="27" t="s">
        <v>6743</v>
      </c>
      <c r="D3863" s="27" t="s">
        <v>17</v>
      </c>
      <c r="E3863" s="27" t="s">
        <v>42</v>
      </c>
      <c r="F3863" s="27" t="s">
        <v>43</v>
      </c>
      <c r="G3863" s="27" t="s">
        <v>28</v>
      </c>
      <c r="H3863" s="29">
        <v>748</v>
      </c>
      <c r="I3863" s="27" t="s">
        <v>29</v>
      </c>
      <c r="J3863" s="37">
        <v>45627</v>
      </c>
      <c r="K3863" s="27" t="s">
        <v>22</v>
      </c>
    </row>
    <row r="3864" spans="1:11" x14ac:dyDescent="0.2">
      <c r="A3864" s="24" t="s">
        <v>9380</v>
      </c>
      <c r="B3864" s="24" t="s">
        <v>9381</v>
      </c>
      <c r="C3864" s="24" t="s">
        <v>91</v>
      </c>
      <c r="D3864" s="24" t="s">
        <v>17</v>
      </c>
      <c r="E3864" s="24" t="s">
        <v>42</v>
      </c>
      <c r="F3864" s="24" t="s">
        <v>43</v>
      </c>
      <c r="G3864" s="24" t="s">
        <v>28</v>
      </c>
      <c r="H3864" s="26">
        <v>520</v>
      </c>
      <c r="I3864" s="24" t="s">
        <v>29</v>
      </c>
      <c r="J3864" s="36">
        <v>45642</v>
      </c>
      <c r="K3864" s="24" t="s">
        <v>22</v>
      </c>
    </row>
    <row r="3865" spans="1:11" x14ac:dyDescent="0.2">
      <c r="A3865" s="27" t="s">
        <v>9382</v>
      </c>
      <c r="B3865" s="27" t="s">
        <v>9383</v>
      </c>
      <c r="C3865" s="27" t="s">
        <v>9384</v>
      </c>
      <c r="D3865" s="27" t="s">
        <v>17</v>
      </c>
      <c r="E3865" s="27" t="s">
        <v>48</v>
      </c>
      <c r="F3865" s="27" t="s">
        <v>49</v>
      </c>
      <c r="G3865" s="27" t="s">
        <v>28</v>
      </c>
      <c r="H3865" s="29">
        <v>360</v>
      </c>
      <c r="I3865" s="27" t="s">
        <v>29</v>
      </c>
      <c r="J3865" s="37">
        <v>45635</v>
      </c>
      <c r="K3865" s="27" t="s">
        <v>22</v>
      </c>
    </row>
    <row r="3866" spans="1:11" x14ac:dyDescent="0.2">
      <c r="A3866" s="24" t="s">
        <v>9385</v>
      </c>
      <c r="B3866" s="24" t="s">
        <v>9386</v>
      </c>
      <c r="C3866" s="24" t="s">
        <v>9387</v>
      </c>
      <c r="D3866" s="24" t="s">
        <v>17</v>
      </c>
      <c r="E3866" s="24" t="s">
        <v>42</v>
      </c>
      <c r="F3866" s="24" t="s">
        <v>43</v>
      </c>
      <c r="G3866" s="24" t="s">
        <v>116</v>
      </c>
      <c r="H3866" s="26">
        <v>0</v>
      </c>
      <c r="I3866" s="24" t="s">
        <v>21</v>
      </c>
      <c r="J3866" s="36">
        <v>45653</v>
      </c>
      <c r="K3866" s="24" t="s">
        <v>22</v>
      </c>
    </row>
    <row r="3867" spans="1:11" x14ac:dyDescent="0.2">
      <c r="A3867" s="27" t="s">
        <v>9388</v>
      </c>
      <c r="B3867" s="27" t="s">
        <v>9389</v>
      </c>
      <c r="C3867" s="27" t="s">
        <v>871</v>
      </c>
      <c r="D3867" s="27" t="s">
        <v>17</v>
      </c>
      <c r="E3867" s="27" t="s">
        <v>48</v>
      </c>
      <c r="F3867" s="27" t="s">
        <v>49</v>
      </c>
      <c r="G3867" s="27" t="s">
        <v>28</v>
      </c>
      <c r="H3867" s="29">
        <v>12</v>
      </c>
      <c r="I3867" s="27" t="s">
        <v>29</v>
      </c>
      <c r="J3867" s="37">
        <v>45638</v>
      </c>
      <c r="K3867" s="27" t="s">
        <v>22</v>
      </c>
    </row>
    <row r="3868" spans="1:11" x14ac:dyDescent="0.2">
      <c r="A3868" s="24" t="s">
        <v>9390</v>
      </c>
      <c r="B3868" s="24" t="s">
        <v>9391</v>
      </c>
      <c r="C3868" s="24" t="s">
        <v>236</v>
      </c>
      <c r="D3868" s="24" t="s">
        <v>17</v>
      </c>
      <c r="E3868" s="24" t="s">
        <v>42</v>
      </c>
      <c r="F3868" s="24" t="s">
        <v>43</v>
      </c>
      <c r="G3868" s="24" t="s">
        <v>28</v>
      </c>
      <c r="H3868" s="26">
        <v>6</v>
      </c>
      <c r="I3868" s="24" t="s">
        <v>29</v>
      </c>
      <c r="J3868" s="36">
        <v>45627</v>
      </c>
      <c r="K3868" s="24" t="s">
        <v>22</v>
      </c>
    </row>
    <row r="3869" spans="1:11" x14ac:dyDescent="0.2">
      <c r="A3869" s="27" t="s">
        <v>9392</v>
      </c>
      <c r="B3869" s="27" t="s">
        <v>9393</v>
      </c>
      <c r="C3869" s="27" t="s">
        <v>494</v>
      </c>
      <c r="D3869" s="27" t="s">
        <v>17</v>
      </c>
      <c r="E3869" s="27" t="s">
        <v>48</v>
      </c>
      <c r="F3869" s="27" t="s">
        <v>49</v>
      </c>
      <c r="G3869" s="27" t="s">
        <v>44</v>
      </c>
      <c r="H3869" s="29">
        <v>116</v>
      </c>
      <c r="I3869" s="27" t="s">
        <v>29</v>
      </c>
      <c r="J3869" s="37">
        <v>45630</v>
      </c>
      <c r="K3869" s="27" t="s">
        <v>22</v>
      </c>
    </row>
    <row r="3870" spans="1:11" x14ac:dyDescent="0.2">
      <c r="A3870" s="24" t="s">
        <v>9394</v>
      </c>
      <c r="B3870" s="24" t="s">
        <v>9395</v>
      </c>
      <c r="C3870" s="24" t="s">
        <v>9396</v>
      </c>
      <c r="D3870" s="24" t="s">
        <v>17</v>
      </c>
      <c r="E3870" s="24" t="s">
        <v>48</v>
      </c>
      <c r="F3870" s="24" t="s">
        <v>49</v>
      </c>
      <c r="G3870" s="24" t="s">
        <v>217</v>
      </c>
      <c r="H3870" s="26">
        <v>100</v>
      </c>
      <c r="I3870" s="24" t="s">
        <v>29</v>
      </c>
      <c r="J3870" s="36">
        <v>45627</v>
      </c>
      <c r="K3870" s="24" t="s">
        <v>22</v>
      </c>
    </row>
    <row r="3871" spans="1:11" x14ac:dyDescent="0.2">
      <c r="A3871" s="27" t="s">
        <v>9397</v>
      </c>
      <c r="B3871" s="27" t="s">
        <v>9398</v>
      </c>
      <c r="C3871" s="27" t="s">
        <v>9399</v>
      </c>
      <c r="D3871" s="27" t="s">
        <v>17</v>
      </c>
      <c r="E3871" s="27" t="s">
        <v>48</v>
      </c>
      <c r="F3871" s="27" t="s">
        <v>49</v>
      </c>
      <c r="G3871" s="27" t="s">
        <v>44</v>
      </c>
      <c r="H3871" s="29">
        <v>90</v>
      </c>
      <c r="I3871" s="27" t="s">
        <v>29</v>
      </c>
      <c r="J3871" s="37">
        <v>45637</v>
      </c>
      <c r="K3871" s="27" t="s">
        <v>22</v>
      </c>
    </row>
    <row r="3872" spans="1:11" x14ac:dyDescent="0.2">
      <c r="A3872" s="24" t="s">
        <v>9400</v>
      </c>
      <c r="B3872" s="24" t="s">
        <v>9401</v>
      </c>
      <c r="C3872" s="24" t="s">
        <v>301</v>
      </c>
      <c r="D3872" s="24" t="s">
        <v>17</v>
      </c>
      <c r="E3872" s="24" t="s">
        <v>48</v>
      </c>
      <c r="F3872" s="24" t="s">
        <v>49</v>
      </c>
      <c r="G3872" s="24" t="s">
        <v>28</v>
      </c>
      <c r="H3872" s="26">
        <v>124</v>
      </c>
      <c r="I3872" s="24" t="s">
        <v>29</v>
      </c>
      <c r="J3872" s="36">
        <v>45652</v>
      </c>
      <c r="K3872" s="24" t="s">
        <v>22</v>
      </c>
    </row>
    <row r="3873" spans="1:11" x14ac:dyDescent="0.2">
      <c r="A3873" s="27" t="s">
        <v>9402</v>
      </c>
      <c r="B3873" s="27" t="s">
        <v>9403</v>
      </c>
      <c r="C3873" s="27" t="s">
        <v>1199</v>
      </c>
      <c r="D3873" s="27" t="s">
        <v>17</v>
      </c>
      <c r="E3873" s="27" t="s">
        <v>26</v>
      </c>
      <c r="F3873" s="27" t="s">
        <v>27</v>
      </c>
      <c r="G3873" s="27" t="s">
        <v>28</v>
      </c>
      <c r="H3873" s="29">
        <v>115</v>
      </c>
      <c r="I3873" s="27" t="s">
        <v>29</v>
      </c>
      <c r="J3873" s="37">
        <v>45636</v>
      </c>
      <c r="K3873" s="27" t="s">
        <v>22</v>
      </c>
    </row>
    <row r="3874" spans="1:11" x14ac:dyDescent="0.2">
      <c r="A3874" s="24" t="s">
        <v>9404</v>
      </c>
      <c r="B3874" s="24" t="s">
        <v>9405</v>
      </c>
      <c r="C3874" s="24" t="s">
        <v>5388</v>
      </c>
      <c r="D3874" s="24" t="s">
        <v>17</v>
      </c>
      <c r="E3874" s="24" t="s">
        <v>42</v>
      </c>
      <c r="F3874" s="24" t="s">
        <v>43</v>
      </c>
      <c r="G3874" s="24" t="s">
        <v>217</v>
      </c>
      <c r="H3874" s="26">
        <v>1200</v>
      </c>
      <c r="I3874" s="24" t="s">
        <v>29</v>
      </c>
      <c r="J3874" s="36">
        <v>45635</v>
      </c>
      <c r="K3874" s="24" t="s">
        <v>22</v>
      </c>
    </row>
    <row r="3875" spans="1:11" x14ac:dyDescent="0.2">
      <c r="A3875" s="27" t="s">
        <v>9406</v>
      </c>
      <c r="B3875" s="27" t="s">
        <v>9407</v>
      </c>
      <c r="C3875" s="27" t="s">
        <v>334</v>
      </c>
      <c r="D3875" s="27" t="s">
        <v>17</v>
      </c>
      <c r="E3875" s="27" t="s">
        <v>33</v>
      </c>
      <c r="F3875" s="27" t="s">
        <v>34</v>
      </c>
      <c r="G3875" s="27" t="s">
        <v>28</v>
      </c>
      <c r="H3875" s="29">
        <v>280</v>
      </c>
      <c r="I3875" s="27" t="s">
        <v>29</v>
      </c>
      <c r="J3875" s="37">
        <v>45643</v>
      </c>
      <c r="K3875" s="27" t="s">
        <v>22</v>
      </c>
    </row>
    <row r="3876" spans="1:11" x14ac:dyDescent="0.2">
      <c r="A3876" s="24" t="s">
        <v>9408</v>
      </c>
      <c r="B3876" s="24" t="s">
        <v>9409</v>
      </c>
      <c r="C3876" s="24" t="s">
        <v>55</v>
      </c>
      <c r="D3876" s="24" t="s">
        <v>17</v>
      </c>
      <c r="E3876" s="24" t="s">
        <v>18</v>
      </c>
      <c r="F3876" s="24" t="s">
        <v>19</v>
      </c>
      <c r="G3876" s="24" t="s">
        <v>44</v>
      </c>
      <c r="H3876" s="26">
        <v>72</v>
      </c>
      <c r="I3876" s="24" t="s">
        <v>29</v>
      </c>
      <c r="J3876" s="36">
        <v>45646</v>
      </c>
      <c r="K3876" s="24" t="s">
        <v>22</v>
      </c>
    </row>
    <row r="3877" spans="1:11" x14ac:dyDescent="0.2">
      <c r="A3877" s="27" t="s">
        <v>9410</v>
      </c>
      <c r="B3877" s="27" t="s">
        <v>9411</v>
      </c>
      <c r="C3877" s="27" t="s">
        <v>354</v>
      </c>
      <c r="D3877" s="27" t="s">
        <v>17</v>
      </c>
      <c r="E3877" s="27" t="s">
        <v>42</v>
      </c>
      <c r="F3877" s="27" t="s">
        <v>43</v>
      </c>
      <c r="G3877" s="27" t="s">
        <v>44</v>
      </c>
      <c r="H3877" s="29">
        <v>455</v>
      </c>
      <c r="I3877" s="27" t="s">
        <v>21</v>
      </c>
      <c r="J3877" s="37">
        <v>45644</v>
      </c>
      <c r="K3877" s="27" t="s">
        <v>22</v>
      </c>
    </row>
    <row r="3878" spans="1:11" x14ac:dyDescent="0.2">
      <c r="A3878" s="24" t="s">
        <v>9412</v>
      </c>
      <c r="B3878" s="24" t="s">
        <v>9413</v>
      </c>
      <c r="C3878" s="24" t="s">
        <v>213</v>
      </c>
      <c r="D3878" s="24" t="s">
        <v>17</v>
      </c>
      <c r="E3878" s="24" t="s">
        <v>18</v>
      </c>
      <c r="F3878" s="24" t="s">
        <v>19</v>
      </c>
      <c r="G3878" s="24" t="s">
        <v>44</v>
      </c>
      <c r="H3878" s="26">
        <v>30</v>
      </c>
      <c r="I3878" s="24" t="s">
        <v>21</v>
      </c>
      <c r="J3878" s="36">
        <v>45636</v>
      </c>
      <c r="K3878" s="24" t="s">
        <v>22</v>
      </c>
    </row>
    <row r="3879" spans="1:11" x14ac:dyDescent="0.2">
      <c r="A3879" s="27" t="s">
        <v>9414</v>
      </c>
      <c r="B3879" s="27" t="s">
        <v>9415</v>
      </c>
      <c r="C3879" s="27" t="s">
        <v>6277</v>
      </c>
      <c r="D3879" s="27" t="s">
        <v>17</v>
      </c>
      <c r="E3879" s="27" t="s">
        <v>48</v>
      </c>
      <c r="F3879" s="27" t="s">
        <v>49</v>
      </c>
      <c r="G3879" s="27" t="s">
        <v>28</v>
      </c>
      <c r="H3879" s="29">
        <v>81</v>
      </c>
      <c r="I3879" s="27" t="s">
        <v>29</v>
      </c>
      <c r="J3879" s="37">
        <v>45637</v>
      </c>
      <c r="K3879" s="27" t="s">
        <v>22</v>
      </c>
    </row>
    <row r="3880" spans="1:11" x14ac:dyDescent="0.2">
      <c r="A3880" s="24" t="s">
        <v>9416</v>
      </c>
      <c r="B3880" s="24" t="s">
        <v>9417</v>
      </c>
      <c r="C3880" s="24" t="s">
        <v>4948</v>
      </c>
      <c r="D3880" s="24" t="s">
        <v>17</v>
      </c>
      <c r="E3880" s="24" t="s">
        <v>42</v>
      </c>
      <c r="F3880" s="24" t="s">
        <v>43</v>
      </c>
      <c r="G3880" s="24" t="s">
        <v>217</v>
      </c>
      <c r="H3880" s="26">
        <v>4950</v>
      </c>
      <c r="I3880" s="24" t="s">
        <v>29</v>
      </c>
      <c r="J3880" s="36">
        <v>45656</v>
      </c>
      <c r="K3880" s="24" t="s">
        <v>22</v>
      </c>
    </row>
    <row r="3881" spans="1:11" x14ac:dyDescent="0.2">
      <c r="A3881" s="27" t="s">
        <v>9418</v>
      </c>
      <c r="B3881" s="27" t="s">
        <v>9419</v>
      </c>
      <c r="C3881" s="27" t="s">
        <v>226</v>
      </c>
      <c r="D3881" s="27" t="s">
        <v>17</v>
      </c>
      <c r="E3881" s="27" t="s">
        <v>18</v>
      </c>
      <c r="F3881" s="27" t="s">
        <v>19</v>
      </c>
      <c r="G3881" s="27" t="s">
        <v>59</v>
      </c>
      <c r="H3881" s="29">
        <v>18</v>
      </c>
      <c r="I3881" s="27" t="s">
        <v>21</v>
      </c>
      <c r="J3881" s="37">
        <v>45632</v>
      </c>
      <c r="K3881" s="27" t="s">
        <v>22</v>
      </c>
    </row>
    <row r="3882" spans="1:11" x14ac:dyDescent="0.2">
      <c r="A3882" s="24" t="s">
        <v>9420</v>
      </c>
      <c r="B3882" s="24" t="s">
        <v>9421</v>
      </c>
      <c r="C3882" s="24" t="s">
        <v>71</v>
      </c>
      <c r="D3882" s="24" t="s">
        <v>17</v>
      </c>
      <c r="E3882" s="24" t="s">
        <v>42</v>
      </c>
      <c r="F3882" s="24" t="s">
        <v>43</v>
      </c>
      <c r="G3882" s="24" t="s">
        <v>28</v>
      </c>
      <c r="H3882" s="26">
        <v>363</v>
      </c>
      <c r="I3882" s="24" t="s">
        <v>29</v>
      </c>
      <c r="J3882" s="36">
        <v>45638</v>
      </c>
      <c r="K3882" s="24" t="s">
        <v>22</v>
      </c>
    </row>
    <row r="3883" spans="1:11" x14ac:dyDescent="0.2">
      <c r="A3883" s="27" t="s">
        <v>9422</v>
      </c>
      <c r="B3883" s="27" t="s">
        <v>9423</v>
      </c>
      <c r="C3883" s="27" t="s">
        <v>9424</v>
      </c>
      <c r="D3883" s="27" t="s">
        <v>17</v>
      </c>
      <c r="E3883" s="27" t="s">
        <v>18</v>
      </c>
      <c r="F3883" s="27" t="s">
        <v>19</v>
      </c>
      <c r="G3883" s="27" t="s">
        <v>217</v>
      </c>
      <c r="H3883" s="29">
        <v>40</v>
      </c>
      <c r="I3883" s="27" t="s">
        <v>29</v>
      </c>
      <c r="J3883" s="37">
        <v>45627</v>
      </c>
      <c r="K3883" s="27" t="s">
        <v>22</v>
      </c>
    </row>
    <row r="3884" spans="1:11" x14ac:dyDescent="0.2">
      <c r="A3884" s="24" t="s">
        <v>9425</v>
      </c>
      <c r="B3884" s="24" t="s">
        <v>9426</v>
      </c>
      <c r="C3884" s="24" t="s">
        <v>437</v>
      </c>
      <c r="D3884" s="24" t="s">
        <v>17</v>
      </c>
      <c r="E3884" s="24" t="s">
        <v>48</v>
      </c>
      <c r="F3884" s="24" t="s">
        <v>49</v>
      </c>
      <c r="G3884" s="24" t="s">
        <v>28</v>
      </c>
      <c r="H3884" s="26">
        <v>200</v>
      </c>
      <c r="I3884" s="24" t="s">
        <v>29</v>
      </c>
      <c r="J3884" s="36">
        <v>45652</v>
      </c>
      <c r="K3884" s="24" t="s">
        <v>22</v>
      </c>
    </row>
    <row r="3885" spans="1:11" x14ac:dyDescent="0.2">
      <c r="A3885" s="27" t="s">
        <v>9427</v>
      </c>
      <c r="B3885" s="27" t="s">
        <v>9428</v>
      </c>
      <c r="C3885" s="27" t="s">
        <v>55</v>
      </c>
      <c r="D3885" s="27" t="s">
        <v>17</v>
      </c>
      <c r="E3885" s="27" t="s">
        <v>48</v>
      </c>
      <c r="F3885" s="27" t="s">
        <v>49</v>
      </c>
      <c r="G3885" s="27" t="s">
        <v>44</v>
      </c>
      <c r="H3885" s="29">
        <v>350</v>
      </c>
      <c r="I3885" s="27" t="s">
        <v>29</v>
      </c>
      <c r="J3885" s="37">
        <v>45642</v>
      </c>
      <c r="K3885" s="27" t="s">
        <v>22</v>
      </c>
    </row>
    <row r="3886" spans="1:11" x14ac:dyDescent="0.2">
      <c r="A3886" s="24" t="s">
        <v>9429</v>
      </c>
      <c r="B3886" s="24" t="s">
        <v>9430</v>
      </c>
      <c r="C3886" s="24" t="s">
        <v>500</v>
      </c>
      <c r="D3886" s="24" t="s">
        <v>17</v>
      </c>
      <c r="E3886" s="24" t="s">
        <v>18</v>
      </c>
      <c r="F3886" s="24" t="s">
        <v>19</v>
      </c>
      <c r="G3886" s="24" t="s">
        <v>20</v>
      </c>
      <c r="H3886" s="26">
        <v>40</v>
      </c>
      <c r="I3886" s="24" t="s">
        <v>21</v>
      </c>
      <c r="J3886" s="36">
        <v>45649</v>
      </c>
      <c r="K3886" s="24" t="s">
        <v>22</v>
      </c>
    </row>
    <row r="3887" spans="1:11" x14ac:dyDescent="0.2">
      <c r="A3887" s="27" t="s">
        <v>9431</v>
      </c>
      <c r="B3887" s="27" t="s">
        <v>9432</v>
      </c>
      <c r="C3887" s="27" t="s">
        <v>1295</v>
      </c>
      <c r="D3887" s="27" t="s">
        <v>17</v>
      </c>
      <c r="E3887" s="27" t="s">
        <v>18</v>
      </c>
      <c r="F3887" s="27" t="s">
        <v>19</v>
      </c>
      <c r="G3887" s="27" t="s">
        <v>28</v>
      </c>
      <c r="H3887" s="29">
        <v>120</v>
      </c>
      <c r="I3887" s="27" t="s">
        <v>29</v>
      </c>
      <c r="J3887" s="37">
        <v>45645</v>
      </c>
      <c r="K3887" s="27" t="s">
        <v>22</v>
      </c>
    </row>
    <row r="3888" spans="1:11" x14ac:dyDescent="0.2">
      <c r="A3888" s="24" t="s">
        <v>9433</v>
      </c>
      <c r="B3888" s="24" t="s">
        <v>9434</v>
      </c>
      <c r="C3888" s="24" t="s">
        <v>494</v>
      </c>
      <c r="D3888" s="24" t="s">
        <v>17</v>
      </c>
      <c r="E3888" s="24" t="s">
        <v>18</v>
      </c>
      <c r="F3888" s="24" t="s">
        <v>19</v>
      </c>
      <c r="G3888" s="24" t="s">
        <v>28</v>
      </c>
      <c r="H3888" s="26">
        <v>72</v>
      </c>
      <c r="I3888" s="24" t="s">
        <v>29</v>
      </c>
      <c r="J3888" s="36">
        <v>45629</v>
      </c>
      <c r="K3888" s="24" t="s">
        <v>22</v>
      </c>
    </row>
    <row r="3889" spans="1:11" x14ac:dyDescent="0.2">
      <c r="A3889" s="27" t="s">
        <v>9435</v>
      </c>
      <c r="B3889" s="27" t="s">
        <v>9436</v>
      </c>
      <c r="C3889" s="27" t="s">
        <v>9437</v>
      </c>
      <c r="D3889" s="27" t="s">
        <v>17</v>
      </c>
      <c r="E3889" s="27" t="s">
        <v>42</v>
      </c>
      <c r="F3889" s="27" t="s">
        <v>43</v>
      </c>
      <c r="G3889" s="27" t="s">
        <v>20</v>
      </c>
      <c r="H3889" s="29">
        <v>427</v>
      </c>
      <c r="I3889" s="27" t="s">
        <v>21</v>
      </c>
      <c r="J3889" s="37">
        <v>45656</v>
      </c>
      <c r="K3889" s="27" t="s">
        <v>22</v>
      </c>
    </row>
    <row r="3890" spans="1:11" x14ac:dyDescent="0.2">
      <c r="A3890" s="24" t="s">
        <v>9438</v>
      </c>
      <c r="B3890" s="24" t="s">
        <v>9439</v>
      </c>
      <c r="C3890" s="24" t="s">
        <v>6457</v>
      </c>
      <c r="D3890" s="24" t="s">
        <v>17</v>
      </c>
      <c r="E3890" s="24" t="s">
        <v>26</v>
      </c>
      <c r="F3890" s="24" t="s">
        <v>27</v>
      </c>
      <c r="G3890" s="24" t="s">
        <v>28</v>
      </c>
      <c r="H3890" s="26">
        <v>820</v>
      </c>
      <c r="I3890" s="24" t="s">
        <v>29</v>
      </c>
      <c r="J3890" s="36">
        <v>45656</v>
      </c>
      <c r="K3890" s="24" t="s">
        <v>22</v>
      </c>
    </row>
    <row r="3891" spans="1:11" x14ac:dyDescent="0.2">
      <c r="A3891" s="27" t="s">
        <v>9440</v>
      </c>
      <c r="B3891" s="27" t="s">
        <v>9441</v>
      </c>
      <c r="C3891" s="27" t="s">
        <v>9442</v>
      </c>
      <c r="D3891" s="27" t="s">
        <v>17</v>
      </c>
      <c r="E3891" s="27" t="s">
        <v>18</v>
      </c>
      <c r="F3891" s="27" t="s">
        <v>19</v>
      </c>
      <c r="G3891" s="27" t="s">
        <v>28</v>
      </c>
      <c r="H3891" s="29">
        <v>180</v>
      </c>
      <c r="I3891" s="27" t="s">
        <v>29</v>
      </c>
      <c r="J3891" s="37">
        <v>45642</v>
      </c>
      <c r="K3891" s="27" t="s">
        <v>22</v>
      </c>
    </row>
    <row r="3892" spans="1:11" x14ac:dyDescent="0.2">
      <c r="A3892" s="24" t="s">
        <v>9443</v>
      </c>
      <c r="B3892" s="24" t="s">
        <v>9444</v>
      </c>
      <c r="C3892" s="24" t="s">
        <v>9445</v>
      </c>
      <c r="D3892" s="24" t="s">
        <v>17</v>
      </c>
      <c r="E3892" s="24" t="s">
        <v>18</v>
      </c>
      <c r="F3892" s="24" t="s">
        <v>19</v>
      </c>
      <c r="G3892" s="24" t="s">
        <v>28</v>
      </c>
      <c r="H3892" s="26">
        <v>36</v>
      </c>
      <c r="I3892" s="24" t="s">
        <v>29</v>
      </c>
      <c r="J3892" s="36">
        <v>45636</v>
      </c>
      <c r="K3892" s="24" t="s">
        <v>22</v>
      </c>
    </row>
    <row r="3893" spans="1:11" x14ac:dyDescent="0.2">
      <c r="A3893" s="27" t="s">
        <v>9446</v>
      </c>
      <c r="B3893" s="27" t="s">
        <v>9447</v>
      </c>
      <c r="C3893" s="27" t="s">
        <v>5312</v>
      </c>
      <c r="D3893" s="27" t="s">
        <v>17</v>
      </c>
      <c r="E3893" s="27" t="s">
        <v>33</v>
      </c>
      <c r="F3893" s="27" t="s">
        <v>34</v>
      </c>
      <c r="G3893" s="27" t="s">
        <v>116</v>
      </c>
      <c r="H3893" s="29">
        <v>0</v>
      </c>
      <c r="I3893" s="27" t="s">
        <v>21</v>
      </c>
      <c r="J3893" s="37">
        <v>45627</v>
      </c>
      <c r="K3893" s="27" t="s">
        <v>22</v>
      </c>
    </row>
    <row r="3894" spans="1:11" x14ac:dyDescent="0.2">
      <c r="A3894" s="24" t="s">
        <v>9448</v>
      </c>
      <c r="B3894" s="24" t="s">
        <v>9449</v>
      </c>
      <c r="C3894" s="24" t="s">
        <v>9450</v>
      </c>
      <c r="D3894" s="24" t="s">
        <v>17</v>
      </c>
      <c r="E3894" s="24" t="s">
        <v>26</v>
      </c>
      <c r="F3894" s="24" t="s">
        <v>27</v>
      </c>
      <c r="G3894" s="24" t="s">
        <v>28</v>
      </c>
      <c r="H3894" s="26">
        <v>15</v>
      </c>
      <c r="I3894" s="24" t="s">
        <v>29</v>
      </c>
      <c r="J3894" s="36">
        <v>45649</v>
      </c>
      <c r="K3894" s="24" t="s">
        <v>22</v>
      </c>
    </row>
    <row r="3895" spans="1:11" x14ac:dyDescent="0.2">
      <c r="A3895" s="27" t="s">
        <v>9451</v>
      </c>
      <c r="B3895" s="27" t="s">
        <v>9452</v>
      </c>
      <c r="C3895" s="27" t="s">
        <v>1088</v>
      </c>
      <c r="D3895" s="27" t="s">
        <v>17</v>
      </c>
      <c r="E3895" s="27" t="s">
        <v>18</v>
      </c>
      <c r="F3895" s="27" t="s">
        <v>19</v>
      </c>
      <c r="G3895" s="27" t="s">
        <v>28</v>
      </c>
      <c r="H3895" s="29">
        <v>158</v>
      </c>
      <c r="I3895" s="27" t="s">
        <v>29</v>
      </c>
      <c r="J3895" s="37">
        <v>45656</v>
      </c>
      <c r="K3895" s="27" t="s">
        <v>22</v>
      </c>
    </row>
    <row r="3896" spans="1:11" x14ac:dyDescent="0.2">
      <c r="A3896" s="24" t="s">
        <v>9453</v>
      </c>
      <c r="B3896" s="24" t="s">
        <v>9454</v>
      </c>
      <c r="C3896" s="24" t="s">
        <v>9455</v>
      </c>
      <c r="D3896" s="24" t="s">
        <v>17</v>
      </c>
      <c r="E3896" s="24" t="s">
        <v>81</v>
      </c>
      <c r="F3896" s="24" t="s">
        <v>82</v>
      </c>
      <c r="G3896" s="24" t="s">
        <v>20</v>
      </c>
      <c r="H3896" s="26">
        <v>55</v>
      </c>
      <c r="I3896" s="24" t="s">
        <v>21</v>
      </c>
      <c r="J3896" s="36">
        <v>45630</v>
      </c>
      <c r="K3896" s="24" t="s">
        <v>22</v>
      </c>
    </row>
    <row r="3897" spans="1:11" x14ac:dyDescent="0.2">
      <c r="A3897" s="27" t="s">
        <v>9456</v>
      </c>
      <c r="B3897" s="27" t="s">
        <v>9457</v>
      </c>
      <c r="C3897" s="27" t="s">
        <v>9105</v>
      </c>
      <c r="D3897" s="27" t="s">
        <v>17</v>
      </c>
      <c r="E3897" s="27" t="s">
        <v>48</v>
      </c>
      <c r="F3897" s="27" t="s">
        <v>49</v>
      </c>
      <c r="G3897" s="27" t="s">
        <v>116</v>
      </c>
      <c r="H3897" s="29">
        <v>0</v>
      </c>
      <c r="I3897" s="27" t="s">
        <v>21</v>
      </c>
      <c r="J3897" s="37">
        <v>45627</v>
      </c>
      <c r="K3897" s="27" t="s">
        <v>22</v>
      </c>
    </row>
    <row r="3898" spans="1:11" x14ac:dyDescent="0.2">
      <c r="A3898" s="24" t="s">
        <v>9458</v>
      </c>
      <c r="B3898" s="24" t="s">
        <v>9459</v>
      </c>
      <c r="C3898" s="24" t="s">
        <v>9460</v>
      </c>
      <c r="D3898" s="24" t="s">
        <v>17</v>
      </c>
      <c r="E3898" s="24" t="s">
        <v>18</v>
      </c>
      <c r="F3898" s="24" t="s">
        <v>19</v>
      </c>
      <c r="G3898" s="24" t="s">
        <v>38</v>
      </c>
      <c r="H3898" s="26">
        <v>40</v>
      </c>
      <c r="I3898" s="24" t="s">
        <v>29</v>
      </c>
      <c r="J3898" s="36">
        <v>45627</v>
      </c>
      <c r="K3898" s="24" t="s">
        <v>22</v>
      </c>
    </row>
    <row r="3899" spans="1:11" x14ac:dyDescent="0.2">
      <c r="A3899" s="27" t="s">
        <v>9461</v>
      </c>
      <c r="B3899" s="27" t="s">
        <v>9462</v>
      </c>
      <c r="C3899" s="27" t="s">
        <v>4925</v>
      </c>
      <c r="D3899" s="27" t="s">
        <v>17</v>
      </c>
      <c r="E3899" s="27" t="s">
        <v>42</v>
      </c>
      <c r="F3899" s="27" t="s">
        <v>43</v>
      </c>
      <c r="G3899" s="27" t="s">
        <v>28</v>
      </c>
      <c r="H3899" s="29">
        <v>162</v>
      </c>
      <c r="I3899" s="27" t="s">
        <v>29</v>
      </c>
      <c r="J3899" s="37">
        <v>45628</v>
      </c>
      <c r="K3899" s="27" t="s">
        <v>22</v>
      </c>
    </row>
    <row r="3900" spans="1:11" x14ac:dyDescent="0.2">
      <c r="A3900" s="24" t="s">
        <v>9463</v>
      </c>
      <c r="B3900" s="24" t="s">
        <v>9464</v>
      </c>
      <c r="C3900" s="24" t="s">
        <v>9465</v>
      </c>
      <c r="D3900" s="24" t="s">
        <v>17</v>
      </c>
      <c r="E3900" s="24" t="s">
        <v>18</v>
      </c>
      <c r="F3900" s="24" t="s">
        <v>19</v>
      </c>
      <c r="G3900" s="24" t="s">
        <v>44</v>
      </c>
      <c r="H3900" s="26">
        <v>24</v>
      </c>
      <c r="I3900" s="24" t="s">
        <v>29</v>
      </c>
      <c r="J3900" s="36">
        <v>45645</v>
      </c>
      <c r="K3900" s="24" t="s">
        <v>22</v>
      </c>
    </row>
    <row r="3901" spans="1:11" x14ac:dyDescent="0.2">
      <c r="A3901" s="27" t="s">
        <v>9466</v>
      </c>
      <c r="B3901" s="27" t="s">
        <v>9467</v>
      </c>
      <c r="C3901" s="27" t="s">
        <v>7261</v>
      </c>
      <c r="D3901" s="27" t="s">
        <v>17</v>
      </c>
      <c r="E3901" s="27" t="s">
        <v>48</v>
      </c>
      <c r="F3901" s="27" t="s">
        <v>49</v>
      </c>
      <c r="G3901" s="27" t="s">
        <v>20</v>
      </c>
      <c r="H3901" s="29">
        <v>250</v>
      </c>
      <c r="I3901" s="27" t="s">
        <v>21</v>
      </c>
      <c r="J3901" s="37">
        <v>45645</v>
      </c>
      <c r="K3901" s="27" t="s">
        <v>22</v>
      </c>
    </row>
    <row r="3902" spans="1:11" x14ac:dyDescent="0.2">
      <c r="A3902" s="24" t="s">
        <v>9468</v>
      </c>
      <c r="B3902" s="24" t="s">
        <v>9469</v>
      </c>
      <c r="C3902" s="24" t="s">
        <v>9470</v>
      </c>
      <c r="D3902" s="24" t="s">
        <v>17</v>
      </c>
      <c r="E3902" s="24" t="s">
        <v>18</v>
      </c>
      <c r="F3902" s="24" t="s">
        <v>19</v>
      </c>
      <c r="G3902" s="24" t="s">
        <v>28</v>
      </c>
      <c r="H3902" s="26">
        <v>94</v>
      </c>
      <c r="I3902" s="24" t="s">
        <v>29</v>
      </c>
      <c r="J3902" s="36">
        <v>45657</v>
      </c>
      <c r="K3902" s="24" t="s">
        <v>22</v>
      </c>
    </row>
    <row r="3903" spans="1:11" x14ac:dyDescent="0.2">
      <c r="A3903" s="27" t="s">
        <v>9471</v>
      </c>
      <c r="B3903" s="27" t="s">
        <v>9472</v>
      </c>
      <c r="C3903" s="27" t="s">
        <v>1110</v>
      </c>
      <c r="D3903" s="27" t="s">
        <v>17</v>
      </c>
      <c r="E3903" s="27" t="s">
        <v>48</v>
      </c>
      <c r="F3903" s="27" t="s">
        <v>49</v>
      </c>
      <c r="G3903" s="27" t="s">
        <v>28</v>
      </c>
      <c r="H3903" s="29">
        <v>362</v>
      </c>
      <c r="I3903" s="27" t="s">
        <v>29</v>
      </c>
      <c r="J3903" s="37">
        <v>45635</v>
      </c>
      <c r="K3903" s="27" t="s">
        <v>22</v>
      </c>
    </row>
    <row r="3904" spans="1:11" x14ac:dyDescent="0.2">
      <c r="A3904" s="24" t="s">
        <v>9473</v>
      </c>
      <c r="B3904" s="24" t="s">
        <v>9474</v>
      </c>
      <c r="C3904" s="24" t="s">
        <v>1938</v>
      </c>
      <c r="D3904" s="24" t="s">
        <v>17</v>
      </c>
      <c r="E3904" s="24" t="s">
        <v>18</v>
      </c>
      <c r="F3904" s="24" t="s">
        <v>19</v>
      </c>
      <c r="G3904" s="24" t="s">
        <v>28</v>
      </c>
      <c r="H3904" s="26">
        <v>40</v>
      </c>
      <c r="I3904" s="24" t="s">
        <v>29</v>
      </c>
      <c r="J3904" s="36">
        <v>45656</v>
      </c>
      <c r="K3904" s="24" t="s">
        <v>22</v>
      </c>
    </row>
    <row r="3905" spans="1:11" x14ac:dyDescent="0.2">
      <c r="A3905" s="27" t="s">
        <v>9475</v>
      </c>
      <c r="B3905" s="27" t="s">
        <v>9476</v>
      </c>
      <c r="C3905" s="27" t="s">
        <v>3412</v>
      </c>
      <c r="D3905" s="27" t="s">
        <v>17</v>
      </c>
      <c r="E3905" s="27" t="s">
        <v>18</v>
      </c>
      <c r="F3905" s="27" t="s">
        <v>19</v>
      </c>
      <c r="G3905" s="27" t="s">
        <v>44</v>
      </c>
      <c r="H3905" s="29">
        <v>146</v>
      </c>
      <c r="I3905" s="27" t="s">
        <v>29</v>
      </c>
      <c r="J3905" s="37">
        <v>45634</v>
      </c>
      <c r="K3905" s="27" t="s">
        <v>22</v>
      </c>
    </row>
    <row r="3906" spans="1:11" x14ac:dyDescent="0.2">
      <c r="A3906" s="24" t="s">
        <v>9477</v>
      </c>
      <c r="B3906" s="24" t="s">
        <v>9478</v>
      </c>
      <c r="C3906" s="24" t="s">
        <v>409</v>
      </c>
      <c r="D3906" s="24" t="s">
        <v>17</v>
      </c>
      <c r="E3906" s="24" t="s">
        <v>18</v>
      </c>
      <c r="F3906" s="24" t="s">
        <v>19</v>
      </c>
      <c r="G3906" s="24" t="s">
        <v>28</v>
      </c>
      <c r="H3906" s="26">
        <v>292</v>
      </c>
      <c r="I3906" s="24" t="s">
        <v>29</v>
      </c>
      <c r="J3906" s="36">
        <v>45637</v>
      </c>
      <c r="K3906" s="24" t="s">
        <v>22</v>
      </c>
    </row>
    <row r="3907" spans="1:11" x14ac:dyDescent="0.2">
      <c r="A3907" s="27" t="s">
        <v>9479</v>
      </c>
      <c r="B3907" s="27" t="s">
        <v>9480</v>
      </c>
      <c r="C3907" s="27" t="s">
        <v>9481</v>
      </c>
      <c r="D3907" s="27" t="s">
        <v>17</v>
      </c>
      <c r="E3907" s="27" t="s">
        <v>26</v>
      </c>
      <c r="F3907" s="27" t="s">
        <v>27</v>
      </c>
      <c r="G3907" s="27" t="s">
        <v>28</v>
      </c>
      <c r="H3907" s="29">
        <v>18</v>
      </c>
      <c r="I3907" s="27" t="s">
        <v>29</v>
      </c>
      <c r="J3907" s="37">
        <v>45643</v>
      </c>
      <c r="K3907" s="27" t="s">
        <v>22</v>
      </c>
    </row>
    <row r="3908" spans="1:11" x14ac:dyDescent="0.2">
      <c r="A3908" s="24" t="s">
        <v>9482</v>
      </c>
      <c r="B3908" s="24" t="s">
        <v>9483</v>
      </c>
      <c r="C3908" s="24" t="s">
        <v>5006</v>
      </c>
      <c r="D3908" s="24" t="s">
        <v>17</v>
      </c>
      <c r="E3908" s="24" t="s">
        <v>48</v>
      </c>
      <c r="F3908" s="24" t="s">
        <v>49</v>
      </c>
      <c r="G3908" s="24" t="s">
        <v>28</v>
      </c>
      <c r="H3908" s="26">
        <v>15</v>
      </c>
      <c r="I3908" s="24" t="s">
        <v>29</v>
      </c>
      <c r="J3908" s="36">
        <v>45646</v>
      </c>
      <c r="K3908" s="24" t="s">
        <v>22</v>
      </c>
    </row>
    <row r="3909" spans="1:11" x14ac:dyDescent="0.2">
      <c r="A3909" s="27" t="s">
        <v>9484</v>
      </c>
      <c r="B3909" s="27" t="s">
        <v>9485</v>
      </c>
      <c r="C3909" s="27" t="s">
        <v>140</v>
      </c>
      <c r="D3909" s="27" t="s">
        <v>17</v>
      </c>
      <c r="E3909" s="27" t="s">
        <v>48</v>
      </c>
      <c r="F3909" s="27" t="s">
        <v>49</v>
      </c>
      <c r="G3909" s="27" t="s">
        <v>227</v>
      </c>
      <c r="H3909" s="29">
        <v>309</v>
      </c>
      <c r="I3909" s="27" t="s">
        <v>29</v>
      </c>
      <c r="J3909" s="37">
        <v>45636</v>
      </c>
      <c r="K3909" s="27" t="s">
        <v>22</v>
      </c>
    </row>
    <row r="3910" spans="1:11" x14ac:dyDescent="0.2">
      <c r="A3910" s="24" t="s">
        <v>9486</v>
      </c>
      <c r="B3910" s="24" t="s">
        <v>9487</v>
      </c>
      <c r="C3910" s="24" t="s">
        <v>9488</v>
      </c>
      <c r="D3910" s="24" t="s">
        <v>17</v>
      </c>
      <c r="E3910" s="24" t="s">
        <v>163</v>
      </c>
      <c r="F3910" s="24" t="s">
        <v>164</v>
      </c>
      <c r="G3910" s="24" t="s">
        <v>28</v>
      </c>
      <c r="H3910" s="26">
        <v>32</v>
      </c>
      <c r="I3910" s="24" t="s">
        <v>29</v>
      </c>
      <c r="J3910" s="36">
        <v>45636</v>
      </c>
      <c r="K3910" s="24" t="s">
        <v>22</v>
      </c>
    </row>
    <row r="3911" spans="1:11" x14ac:dyDescent="0.2">
      <c r="A3911" s="27" t="s">
        <v>9489</v>
      </c>
      <c r="B3911" s="27" t="s">
        <v>9490</v>
      </c>
      <c r="C3911" s="27" t="s">
        <v>9491</v>
      </c>
      <c r="D3911" s="27" t="s">
        <v>17</v>
      </c>
      <c r="E3911" s="27" t="s">
        <v>42</v>
      </c>
      <c r="F3911" s="27" t="s">
        <v>43</v>
      </c>
      <c r="G3911" s="27" t="s">
        <v>28</v>
      </c>
      <c r="H3911" s="29">
        <v>240</v>
      </c>
      <c r="I3911" s="27" t="s">
        <v>29</v>
      </c>
      <c r="J3911" s="37">
        <v>45646</v>
      </c>
      <c r="K3911" s="27" t="s">
        <v>22</v>
      </c>
    </row>
    <row r="3912" spans="1:11" x14ac:dyDescent="0.2">
      <c r="A3912" s="24" t="s">
        <v>9492</v>
      </c>
      <c r="B3912" s="24" t="s">
        <v>9493</v>
      </c>
      <c r="C3912" s="24" t="s">
        <v>1005</v>
      </c>
      <c r="D3912" s="24" t="s">
        <v>17</v>
      </c>
      <c r="E3912" s="24" t="s">
        <v>18</v>
      </c>
      <c r="F3912" s="24" t="s">
        <v>19</v>
      </c>
      <c r="G3912" s="24" t="s">
        <v>28</v>
      </c>
      <c r="H3912" s="26">
        <v>100</v>
      </c>
      <c r="I3912" s="24" t="s">
        <v>29</v>
      </c>
      <c r="J3912" s="36">
        <v>45653</v>
      </c>
      <c r="K3912" s="24" t="s">
        <v>22</v>
      </c>
    </row>
    <row r="3913" spans="1:11" x14ac:dyDescent="0.2">
      <c r="A3913" s="27" t="s">
        <v>9494</v>
      </c>
      <c r="B3913" s="27" t="s">
        <v>9495</v>
      </c>
      <c r="C3913" s="27" t="s">
        <v>9496</v>
      </c>
      <c r="D3913" s="27" t="s">
        <v>17</v>
      </c>
      <c r="E3913" s="27" t="s">
        <v>18</v>
      </c>
      <c r="F3913" s="27" t="s">
        <v>19</v>
      </c>
      <c r="G3913" s="27" t="s">
        <v>44</v>
      </c>
      <c r="H3913" s="29">
        <v>144</v>
      </c>
      <c r="I3913" s="27" t="s">
        <v>29</v>
      </c>
      <c r="J3913" s="37">
        <v>45639</v>
      </c>
      <c r="K3913" s="27" t="s">
        <v>22</v>
      </c>
    </row>
    <row r="3914" spans="1:11" x14ac:dyDescent="0.2">
      <c r="A3914" s="24" t="s">
        <v>9497</v>
      </c>
      <c r="B3914" s="24" t="s">
        <v>9498</v>
      </c>
      <c r="C3914" s="24" t="s">
        <v>9499</v>
      </c>
      <c r="D3914" s="24" t="s">
        <v>17</v>
      </c>
      <c r="E3914" s="24" t="s">
        <v>48</v>
      </c>
      <c r="F3914" s="24" t="s">
        <v>49</v>
      </c>
      <c r="G3914" s="24" t="s">
        <v>28</v>
      </c>
      <c r="H3914" s="26">
        <v>180</v>
      </c>
      <c r="I3914" s="24" t="s">
        <v>29</v>
      </c>
      <c r="J3914" s="36">
        <v>45644</v>
      </c>
      <c r="K3914" s="24" t="s">
        <v>22</v>
      </c>
    </row>
    <row r="3915" spans="1:11" x14ac:dyDescent="0.2">
      <c r="A3915" s="27" t="s">
        <v>9500</v>
      </c>
      <c r="B3915" s="27" t="s">
        <v>9501</v>
      </c>
      <c r="C3915" s="27" t="s">
        <v>2850</v>
      </c>
      <c r="D3915" s="27" t="s">
        <v>17</v>
      </c>
      <c r="E3915" s="27" t="s">
        <v>42</v>
      </c>
      <c r="F3915" s="27" t="s">
        <v>43</v>
      </c>
      <c r="G3915" s="27" t="s">
        <v>44</v>
      </c>
      <c r="H3915" s="29">
        <v>45</v>
      </c>
      <c r="I3915" s="27" t="s">
        <v>29</v>
      </c>
      <c r="J3915" s="37">
        <v>45639</v>
      </c>
      <c r="K3915" s="27" t="s">
        <v>22</v>
      </c>
    </row>
    <row r="3916" spans="1:11" x14ac:dyDescent="0.2">
      <c r="A3916" s="24" t="s">
        <v>9502</v>
      </c>
      <c r="B3916" s="24" t="s">
        <v>9503</v>
      </c>
      <c r="C3916" s="24" t="s">
        <v>9504</v>
      </c>
      <c r="D3916" s="24" t="s">
        <v>17</v>
      </c>
      <c r="E3916" s="24" t="s">
        <v>18</v>
      </c>
      <c r="F3916" s="24" t="s">
        <v>19</v>
      </c>
      <c r="G3916" s="24" t="s">
        <v>28</v>
      </c>
      <c r="H3916" s="26">
        <v>50</v>
      </c>
      <c r="I3916" s="24" t="s">
        <v>29</v>
      </c>
      <c r="J3916" s="36">
        <v>45656</v>
      </c>
      <c r="K3916" s="24" t="s">
        <v>22</v>
      </c>
    </row>
    <row r="3917" spans="1:11" x14ac:dyDescent="0.2">
      <c r="A3917" s="27" t="s">
        <v>9505</v>
      </c>
      <c r="B3917" s="27" t="s">
        <v>9506</v>
      </c>
      <c r="C3917" s="27" t="s">
        <v>486</v>
      </c>
      <c r="D3917" s="27" t="s">
        <v>17</v>
      </c>
      <c r="E3917" s="27" t="s">
        <v>18</v>
      </c>
      <c r="F3917" s="27" t="s">
        <v>19</v>
      </c>
      <c r="G3917" s="27" t="s">
        <v>28</v>
      </c>
      <c r="H3917" s="29">
        <v>9</v>
      </c>
      <c r="I3917" s="27" t="s">
        <v>29</v>
      </c>
      <c r="J3917" s="37">
        <v>45641</v>
      </c>
      <c r="K3917" s="27" t="s">
        <v>22</v>
      </c>
    </row>
    <row r="3918" spans="1:11" x14ac:dyDescent="0.2">
      <c r="A3918" s="24" t="s">
        <v>9507</v>
      </c>
      <c r="B3918" s="24" t="s">
        <v>9508</v>
      </c>
      <c r="C3918" s="24" t="s">
        <v>7041</v>
      </c>
      <c r="D3918" s="24" t="s">
        <v>17</v>
      </c>
      <c r="E3918" s="24" t="s">
        <v>18</v>
      </c>
      <c r="F3918" s="24" t="s">
        <v>19</v>
      </c>
      <c r="G3918" s="24" t="s">
        <v>28</v>
      </c>
      <c r="H3918" s="26">
        <v>24</v>
      </c>
      <c r="I3918" s="24" t="s">
        <v>29</v>
      </c>
      <c r="J3918" s="36">
        <v>45651</v>
      </c>
      <c r="K3918" s="24" t="s">
        <v>22</v>
      </c>
    </row>
    <row r="3919" spans="1:11" x14ac:dyDescent="0.2">
      <c r="A3919" s="27" t="s">
        <v>9509</v>
      </c>
      <c r="B3919" s="27" t="s">
        <v>9510</v>
      </c>
      <c r="C3919" s="27" t="s">
        <v>7327</v>
      </c>
      <c r="D3919" s="27" t="s">
        <v>17</v>
      </c>
      <c r="E3919" s="27" t="s">
        <v>42</v>
      </c>
      <c r="F3919" s="27" t="s">
        <v>43</v>
      </c>
      <c r="G3919" s="27" t="s">
        <v>44</v>
      </c>
      <c r="H3919" s="29">
        <v>9320</v>
      </c>
      <c r="I3919" s="27" t="s">
        <v>21</v>
      </c>
      <c r="J3919" s="37">
        <v>45635</v>
      </c>
      <c r="K3919" s="27" t="s">
        <v>22</v>
      </c>
    </row>
    <row r="3920" spans="1:11" x14ac:dyDescent="0.2">
      <c r="A3920" s="24" t="s">
        <v>9511</v>
      </c>
      <c r="B3920" s="24" t="s">
        <v>9512</v>
      </c>
      <c r="C3920" s="24" t="s">
        <v>9513</v>
      </c>
      <c r="D3920" s="24" t="s">
        <v>17</v>
      </c>
      <c r="E3920" s="24" t="s">
        <v>48</v>
      </c>
      <c r="F3920" s="24" t="s">
        <v>49</v>
      </c>
      <c r="G3920" s="24" t="s">
        <v>20</v>
      </c>
      <c r="H3920" s="26">
        <v>243</v>
      </c>
      <c r="I3920" s="24" t="s">
        <v>21</v>
      </c>
      <c r="J3920" s="36">
        <v>45630</v>
      </c>
      <c r="K3920" s="24" t="s">
        <v>22</v>
      </c>
    </row>
    <row r="3921" spans="1:11" x14ac:dyDescent="0.2">
      <c r="A3921" s="27" t="s">
        <v>9514</v>
      </c>
      <c r="B3921" s="27" t="s">
        <v>9515</v>
      </c>
      <c r="C3921" s="27" t="s">
        <v>8280</v>
      </c>
      <c r="D3921" s="27" t="s">
        <v>17</v>
      </c>
      <c r="E3921" s="27" t="s">
        <v>48</v>
      </c>
      <c r="F3921" s="27" t="s">
        <v>49</v>
      </c>
      <c r="G3921" s="27" t="s">
        <v>28</v>
      </c>
      <c r="H3921" s="29">
        <v>60</v>
      </c>
      <c r="I3921" s="27" t="s">
        <v>29</v>
      </c>
      <c r="J3921" s="37">
        <v>45638</v>
      </c>
      <c r="K3921" s="27" t="s">
        <v>22</v>
      </c>
    </row>
    <row r="3922" spans="1:11" x14ac:dyDescent="0.2">
      <c r="A3922" s="24" t="s">
        <v>9516</v>
      </c>
      <c r="B3922" s="24" t="s">
        <v>9517</v>
      </c>
      <c r="C3922" s="24" t="s">
        <v>9518</v>
      </c>
      <c r="D3922" s="24" t="s">
        <v>17</v>
      </c>
      <c r="E3922" s="24" t="s">
        <v>18</v>
      </c>
      <c r="F3922" s="24" t="s">
        <v>19</v>
      </c>
      <c r="G3922" s="24" t="s">
        <v>20</v>
      </c>
      <c r="H3922" s="26">
        <v>468</v>
      </c>
      <c r="I3922" s="24" t="s">
        <v>21</v>
      </c>
      <c r="J3922" s="36">
        <v>45651</v>
      </c>
      <c r="K3922" s="24" t="s">
        <v>22</v>
      </c>
    </row>
    <row r="3923" spans="1:11" x14ac:dyDescent="0.2">
      <c r="A3923" s="27" t="s">
        <v>9519</v>
      </c>
      <c r="B3923" s="27" t="s">
        <v>9520</v>
      </c>
      <c r="C3923" s="27" t="s">
        <v>263</v>
      </c>
      <c r="D3923" s="27" t="s">
        <v>17</v>
      </c>
      <c r="E3923" s="27" t="s">
        <v>48</v>
      </c>
      <c r="F3923" s="27" t="s">
        <v>49</v>
      </c>
      <c r="G3923" s="27" t="s">
        <v>116</v>
      </c>
      <c r="H3923" s="29">
        <v>0</v>
      </c>
      <c r="I3923" s="27" t="s">
        <v>21</v>
      </c>
      <c r="J3923" s="37">
        <v>45643</v>
      </c>
      <c r="K3923" s="27" t="s">
        <v>22</v>
      </c>
    </row>
    <row r="3924" spans="1:11" x14ac:dyDescent="0.2">
      <c r="A3924" s="24" t="s">
        <v>9521</v>
      </c>
      <c r="B3924" s="24" t="s">
        <v>9522</v>
      </c>
      <c r="C3924" s="24" t="s">
        <v>613</v>
      </c>
      <c r="D3924" s="24" t="s">
        <v>17</v>
      </c>
      <c r="E3924" s="24" t="s">
        <v>18</v>
      </c>
      <c r="F3924" s="24" t="s">
        <v>19</v>
      </c>
      <c r="G3924" s="24" t="s">
        <v>28</v>
      </c>
      <c r="H3924" s="26">
        <v>130</v>
      </c>
      <c r="I3924" s="24" t="s">
        <v>29</v>
      </c>
      <c r="J3924" s="36">
        <v>45632</v>
      </c>
      <c r="K3924" s="24" t="s">
        <v>22</v>
      </c>
    </row>
    <row r="3925" spans="1:11" x14ac:dyDescent="0.2">
      <c r="A3925" s="27" t="s">
        <v>9523</v>
      </c>
      <c r="B3925" s="27" t="s">
        <v>9524</v>
      </c>
      <c r="C3925" s="27" t="s">
        <v>8313</v>
      </c>
      <c r="D3925" s="27" t="s">
        <v>17</v>
      </c>
      <c r="E3925" s="27" t="s">
        <v>18</v>
      </c>
      <c r="F3925" s="27" t="s">
        <v>19</v>
      </c>
      <c r="G3925" s="27" t="s">
        <v>28</v>
      </c>
      <c r="H3925" s="29">
        <v>42</v>
      </c>
      <c r="I3925" s="27" t="s">
        <v>29</v>
      </c>
      <c r="J3925" s="37">
        <v>45638</v>
      </c>
      <c r="K3925" s="27" t="s">
        <v>22</v>
      </c>
    </row>
    <row r="3926" spans="1:11" x14ac:dyDescent="0.2">
      <c r="A3926" s="24" t="s">
        <v>9525</v>
      </c>
      <c r="B3926" s="24" t="s">
        <v>9526</v>
      </c>
      <c r="C3926" s="24" t="s">
        <v>992</v>
      </c>
      <c r="D3926" s="24" t="s">
        <v>17</v>
      </c>
      <c r="E3926" s="24" t="s">
        <v>42</v>
      </c>
      <c r="F3926" s="24" t="s">
        <v>43</v>
      </c>
      <c r="G3926" s="24" t="s">
        <v>44</v>
      </c>
      <c r="H3926" s="26">
        <v>81</v>
      </c>
      <c r="I3926" s="24" t="s">
        <v>29</v>
      </c>
      <c r="J3926" s="36">
        <v>45627</v>
      </c>
      <c r="K3926" s="24" t="s">
        <v>22</v>
      </c>
    </row>
    <row r="3927" spans="1:11" x14ac:dyDescent="0.2">
      <c r="A3927" s="27" t="s">
        <v>9527</v>
      </c>
      <c r="B3927" s="27" t="s">
        <v>9528</v>
      </c>
      <c r="C3927" s="27" t="s">
        <v>97</v>
      </c>
      <c r="D3927" s="27" t="s">
        <v>17</v>
      </c>
      <c r="E3927" s="27" t="s">
        <v>42</v>
      </c>
      <c r="F3927" s="27" t="s">
        <v>43</v>
      </c>
      <c r="G3927" s="27" t="s">
        <v>44</v>
      </c>
      <c r="H3927" s="29">
        <v>45</v>
      </c>
      <c r="I3927" s="27" t="s">
        <v>21</v>
      </c>
      <c r="J3927" s="37">
        <v>45656</v>
      </c>
      <c r="K3927" s="27" t="s">
        <v>22</v>
      </c>
    </row>
    <row r="3928" spans="1:11" x14ac:dyDescent="0.2">
      <c r="A3928" s="24" t="s">
        <v>9529</v>
      </c>
      <c r="B3928" s="24" t="s">
        <v>9530</v>
      </c>
      <c r="C3928" s="24" t="s">
        <v>2663</v>
      </c>
      <c r="D3928" s="24" t="s">
        <v>17</v>
      </c>
      <c r="E3928" s="24" t="s">
        <v>48</v>
      </c>
      <c r="F3928" s="24" t="s">
        <v>49</v>
      </c>
      <c r="G3928" s="24" t="s">
        <v>44</v>
      </c>
      <c r="H3928" s="26">
        <v>131</v>
      </c>
      <c r="I3928" s="24" t="s">
        <v>21</v>
      </c>
      <c r="J3928" s="36">
        <v>45644</v>
      </c>
      <c r="K3928" s="24" t="s">
        <v>22</v>
      </c>
    </row>
    <row r="3929" spans="1:11" x14ac:dyDescent="0.2">
      <c r="A3929" s="27" t="s">
        <v>9531</v>
      </c>
      <c r="B3929" s="27" t="s">
        <v>9532</v>
      </c>
      <c r="C3929" s="27" t="s">
        <v>242</v>
      </c>
      <c r="D3929" s="27" t="s">
        <v>17</v>
      </c>
      <c r="E3929" s="27" t="s">
        <v>48</v>
      </c>
      <c r="F3929" s="27" t="s">
        <v>49</v>
      </c>
      <c r="G3929" s="27" t="s">
        <v>44</v>
      </c>
      <c r="H3929" s="29">
        <v>225</v>
      </c>
      <c r="I3929" s="27" t="s">
        <v>29</v>
      </c>
      <c r="J3929" s="37">
        <v>45646</v>
      </c>
      <c r="K3929" s="27" t="s">
        <v>22</v>
      </c>
    </row>
    <row r="3930" spans="1:11" x14ac:dyDescent="0.2">
      <c r="A3930" s="24" t="s">
        <v>9533</v>
      </c>
      <c r="B3930" s="24" t="s">
        <v>9534</v>
      </c>
      <c r="C3930" s="24" t="s">
        <v>301</v>
      </c>
      <c r="D3930" s="24" t="s">
        <v>17</v>
      </c>
      <c r="E3930" s="24" t="s">
        <v>18</v>
      </c>
      <c r="F3930" s="24" t="s">
        <v>19</v>
      </c>
      <c r="G3930" s="24" t="s">
        <v>227</v>
      </c>
      <c r="H3930" s="26">
        <v>80</v>
      </c>
      <c r="I3930" s="24" t="s">
        <v>29</v>
      </c>
      <c r="J3930" s="36">
        <v>45656</v>
      </c>
      <c r="K3930" s="24" t="s">
        <v>22</v>
      </c>
    </row>
    <row r="3931" spans="1:11" x14ac:dyDescent="0.2">
      <c r="A3931" s="27" t="s">
        <v>9535</v>
      </c>
      <c r="B3931" s="27" t="s">
        <v>9536</v>
      </c>
      <c r="C3931" s="27" t="s">
        <v>9537</v>
      </c>
      <c r="D3931" s="27" t="s">
        <v>17</v>
      </c>
      <c r="E3931" s="27" t="s">
        <v>26</v>
      </c>
      <c r="F3931" s="27" t="s">
        <v>27</v>
      </c>
      <c r="G3931" s="27" t="s">
        <v>44</v>
      </c>
      <c r="H3931" s="29">
        <v>86</v>
      </c>
      <c r="I3931" s="27" t="s">
        <v>21</v>
      </c>
      <c r="J3931" s="37">
        <v>45656</v>
      </c>
      <c r="K3931" s="27" t="s">
        <v>22</v>
      </c>
    </row>
    <row r="3932" spans="1:11" x14ac:dyDescent="0.2">
      <c r="A3932" s="24" t="s">
        <v>9538</v>
      </c>
      <c r="B3932" s="24" t="s">
        <v>9539</v>
      </c>
      <c r="C3932" s="24" t="s">
        <v>1346</v>
      </c>
      <c r="D3932" s="24" t="s">
        <v>17</v>
      </c>
      <c r="E3932" s="24" t="s">
        <v>18</v>
      </c>
      <c r="F3932" s="24" t="s">
        <v>19</v>
      </c>
      <c r="G3932" s="24" t="s">
        <v>20</v>
      </c>
      <c r="H3932" s="26">
        <v>26</v>
      </c>
      <c r="I3932" s="24" t="s">
        <v>21</v>
      </c>
      <c r="J3932" s="36">
        <v>45636</v>
      </c>
      <c r="K3932" s="24" t="s">
        <v>22</v>
      </c>
    </row>
    <row r="3933" spans="1:11" x14ac:dyDescent="0.2">
      <c r="A3933" s="27" t="s">
        <v>9540</v>
      </c>
      <c r="B3933" s="27" t="s">
        <v>9541</v>
      </c>
      <c r="C3933" s="27" t="s">
        <v>1017</v>
      </c>
      <c r="D3933" s="27" t="s">
        <v>17</v>
      </c>
      <c r="E3933" s="27" t="s">
        <v>18</v>
      </c>
      <c r="F3933" s="27" t="s">
        <v>19</v>
      </c>
      <c r="G3933" s="27" t="s">
        <v>28</v>
      </c>
      <c r="H3933" s="29">
        <v>30</v>
      </c>
      <c r="I3933" s="27" t="s">
        <v>29</v>
      </c>
      <c r="J3933" s="37">
        <v>45652</v>
      </c>
      <c r="K3933" s="27" t="s">
        <v>22</v>
      </c>
    </row>
    <row r="3934" spans="1:11" x14ac:dyDescent="0.2">
      <c r="A3934" s="24" t="s">
        <v>9542</v>
      </c>
      <c r="B3934" s="24" t="s">
        <v>9543</v>
      </c>
      <c r="C3934" s="24" t="s">
        <v>3141</v>
      </c>
      <c r="D3934" s="24" t="s">
        <v>17</v>
      </c>
      <c r="E3934" s="24" t="s">
        <v>18</v>
      </c>
      <c r="F3934" s="24" t="s">
        <v>19</v>
      </c>
      <c r="G3934" s="24" t="s">
        <v>28</v>
      </c>
      <c r="H3934" s="26">
        <v>12</v>
      </c>
      <c r="I3934" s="24" t="s">
        <v>29</v>
      </c>
      <c r="J3934" s="36">
        <v>45632</v>
      </c>
      <c r="K3934" s="24" t="s">
        <v>22</v>
      </c>
    </row>
    <row r="3935" spans="1:11" x14ac:dyDescent="0.2">
      <c r="A3935" s="27" t="s">
        <v>9544</v>
      </c>
      <c r="B3935" s="27" t="s">
        <v>9545</v>
      </c>
      <c r="C3935" s="27" t="s">
        <v>4761</v>
      </c>
      <c r="D3935" s="27" t="s">
        <v>17</v>
      </c>
      <c r="E3935" s="27" t="s">
        <v>26</v>
      </c>
      <c r="F3935" s="27" t="s">
        <v>27</v>
      </c>
      <c r="G3935" s="27" t="s">
        <v>28</v>
      </c>
      <c r="H3935" s="29">
        <v>36</v>
      </c>
      <c r="I3935" s="27" t="s">
        <v>29</v>
      </c>
      <c r="J3935" s="37">
        <v>45632</v>
      </c>
      <c r="K3935" s="27" t="s">
        <v>22</v>
      </c>
    </row>
    <row r="3936" spans="1:11" x14ac:dyDescent="0.2">
      <c r="A3936" s="24" t="s">
        <v>9546</v>
      </c>
      <c r="B3936" s="24" t="s">
        <v>9547</v>
      </c>
      <c r="C3936" s="24" t="s">
        <v>3972</v>
      </c>
      <c r="D3936" s="24" t="s">
        <v>17</v>
      </c>
      <c r="E3936" s="24" t="s">
        <v>48</v>
      </c>
      <c r="F3936" s="24" t="s">
        <v>49</v>
      </c>
      <c r="G3936" s="24" t="s">
        <v>28</v>
      </c>
      <c r="H3936" s="26">
        <v>98</v>
      </c>
      <c r="I3936" s="24" t="s">
        <v>29</v>
      </c>
      <c r="J3936" s="36">
        <v>45646</v>
      </c>
      <c r="K3936" s="24" t="s">
        <v>22</v>
      </c>
    </row>
    <row r="3937" spans="1:11" x14ac:dyDescent="0.2">
      <c r="A3937" s="27" t="s">
        <v>9548</v>
      </c>
      <c r="B3937" s="27" t="s">
        <v>9549</v>
      </c>
      <c r="C3937" s="27" t="s">
        <v>9550</v>
      </c>
      <c r="D3937" s="27" t="s">
        <v>17</v>
      </c>
      <c r="E3937" s="27" t="s">
        <v>18</v>
      </c>
      <c r="F3937" s="27" t="s">
        <v>19</v>
      </c>
      <c r="G3937" s="27" t="s">
        <v>20</v>
      </c>
      <c r="H3937" s="29">
        <v>94</v>
      </c>
      <c r="I3937" s="27" t="s">
        <v>21</v>
      </c>
      <c r="J3937" s="37">
        <v>45642</v>
      </c>
      <c r="K3937" s="27" t="s">
        <v>22</v>
      </c>
    </row>
    <row r="3938" spans="1:11" x14ac:dyDescent="0.2">
      <c r="A3938" s="24" t="s">
        <v>9551</v>
      </c>
      <c r="B3938" s="24" t="s">
        <v>9552</v>
      </c>
      <c r="C3938" s="24" t="s">
        <v>705</v>
      </c>
      <c r="D3938" s="24" t="s">
        <v>17</v>
      </c>
      <c r="E3938" s="24" t="s">
        <v>18</v>
      </c>
      <c r="F3938" s="24" t="s">
        <v>19</v>
      </c>
      <c r="G3938" s="24" t="s">
        <v>28</v>
      </c>
      <c r="H3938" s="26">
        <v>266</v>
      </c>
      <c r="I3938" s="24" t="s">
        <v>29</v>
      </c>
      <c r="J3938" s="36">
        <v>45644</v>
      </c>
      <c r="K3938" s="24" t="s">
        <v>22</v>
      </c>
    </row>
    <row r="3939" spans="1:11" x14ac:dyDescent="0.2">
      <c r="A3939" s="27" t="s">
        <v>9553</v>
      </c>
      <c r="B3939" s="27" t="s">
        <v>9554</v>
      </c>
      <c r="C3939" s="27" t="s">
        <v>1212</v>
      </c>
      <c r="D3939" s="27" t="s">
        <v>17</v>
      </c>
      <c r="E3939" s="27" t="s">
        <v>18</v>
      </c>
      <c r="F3939" s="27" t="s">
        <v>19</v>
      </c>
      <c r="G3939" s="27" t="s">
        <v>20</v>
      </c>
      <c r="H3939" s="29">
        <v>40</v>
      </c>
      <c r="I3939" s="27" t="s">
        <v>21</v>
      </c>
      <c r="J3939" s="37">
        <v>45631</v>
      </c>
      <c r="K3939" s="27" t="s">
        <v>22</v>
      </c>
    </row>
    <row r="3940" spans="1:11" x14ac:dyDescent="0.2">
      <c r="A3940" s="24" t="s">
        <v>9555</v>
      </c>
      <c r="B3940" s="24" t="s">
        <v>9556</v>
      </c>
      <c r="C3940" s="24" t="s">
        <v>9557</v>
      </c>
      <c r="D3940" s="24" t="s">
        <v>17</v>
      </c>
      <c r="E3940" s="24" t="s">
        <v>18</v>
      </c>
      <c r="F3940" s="24" t="s">
        <v>19</v>
      </c>
      <c r="G3940" s="24" t="s">
        <v>28</v>
      </c>
      <c r="H3940" s="26">
        <v>48</v>
      </c>
      <c r="I3940" s="24" t="s">
        <v>29</v>
      </c>
      <c r="J3940" s="36">
        <v>45641</v>
      </c>
      <c r="K3940" s="24" t="s">
        <v>22</v>
      </c>
    </row>
    <row r="3941" spans="1:11" x14ac:dyDescent="0.2">
      <c r="A3941" s="27" t="s">
        <v>9558</v>
      </c>
      <c r="B3941" s="27" t="s">
        <v>9559</v>
      </c>
      <c r="C3941" s="27" t="s">
        <v>4256</v>
      </c>
      <c r="D3941" s="27" t="s">
        <v>17</v>
      </c>
      <c r="E3941" s="27" t="s">
        <v>26</v>
      </c>
      <c r="F3941" s="27" t="s">
        <v>27</v>
      </c>
      <c r="G3941" s="27" t="s">
        <v>217</v>
      </c>
      <c r="H3941" s="29">
        <v>140</v>
      </c>
      <c r="I3941" s="27" t="s">
        <v>29</v>
      </c>
      <c r="J3941" s="37">
        <v>45627</v>
      </c>
      <c r="K3941" s="27" t="s">
        <v>22</v>
      </c>
    </row>
    <row r="3942" spans="1:11" x14ac:dyDescent="0.2">
      <c r="A3942" s="24" t="s">
        <v>9560</v>
      </c>
      <c r="B3942" s="24" t="s">
        <v>9561</v>
      </c>
      <c r="C3942" s="24" t="s">
        <v>437</v>
      </c>
      <c r="D3942" s="24" t="s">
        <v>17</v>
      </c>
      <c r="E3942" s="24" t="s">
        <v>18</v>
      </c>
      <c r="F3942" s="24" t="s">
        <v>19</v>
      </c>
      <c r="G3942" s="24" t="s">
        <v>20</v>
      </c>
      <c r="H3942" s="26">
        <v>59</v>
      </c>
      <c r="I3942" s="24" t="s">
        <v>21</v>
      </c>
      <c r="J3942" s="36">
        <v>45636</v>
      </c>
      <c r="K3942" s="24" t="s">
        <v>22</v>
      </c>
    </row>
    <row r="3943" spans="1:11" x14ac:dyDescent="0.2">
      <c r="A3943" s="27" t="s">
        <v>9562</v>
      </c>
      <c r="B3943" s="27" t="s">
        <v>9563</v>
      </c>
      <c r="C3943" s="27" t="s">
        <v>9564</v>
      </c>
      <c r="D3943" s="27" t="s">
        <v>17</v>
      </c>
      <c r="E3943" s="27" t="s">
        <v>48</v>
      </c>
      <c r="F3943" s="27" t="s">
        <v>49</v>
      </c>
      <c r="G3943" s="27" t="s">
        <v>28</v>
      </c>
      <c r="H3943" s="29">
        <v>20</v>
      </c>
      <c r="I3943" s="27" t="s">
        <v>29</v>
      </c>
      <c r="J3943" s="37">
        <v>45631</v>
      </c>
      <c r="K3943" s="27" t="s">
        <v>22</v>
      </c>
    </row>
    <row r="3944" spans="1:11" x14ac:dyDescent="0.2">
      <c r="A3944" s="24" t="s">
        <v>9565</v>
      </c>
      <c r="B3944" s="24" t="s">
        <v>9566</v>
      </c>
      <c r="C3944" s="24" t="s">
        <v>3156</v>
      </c>
      <c r="D3944" s="24" t="s">
        <v>17</v>
      </c>
      <c r="E3944" s="24" t="s">
        <v>18</v>
      </c>
      <c r="F3944" s="24" t="s">
        <v>19</v>
      </c>
      <c r="G3944" s="24" t="s">
        <v>20</v>
      </c>
      <c r="H3944" s="26">
        <v>20</v>
      </c>
      <c r="I3944" s="24" t="s">
        <v>21</v>
      </c>
      <c r="J3944" s="36">
        <v>45638</v>
      </c>
      <c r="K3944" s="24" t="s">
        <v>22</v>
      </c>
    </row>
    <row r="3945" spans="1:11" x14ac:dyDescent="0.2">
      <c r="A3945" s="27" t="s">
        <v>9567</v>
      </c>
      <c r="B3945" s="27" t="s">
        <v>9568</v>
      </c>
      <c r="C3945" s="27" t="s">
        <v>9569</v>
      </c>
      <c r="D3945" s="27" t="s">
        <v>17</v>
      </c>
      <c r="E3945" s="27" t="s">
        <v>48</v>
      </c>
      <c r="F3945" s="27" t="s">
        <v>49</v>
      </c>
      <c r="G3945" s="27" t="s">
        <v>28</v>
      </c>
      <c r="H3945" s="29">
        <v>50</v>
      </c>
      <c r="I3945" s="27" t="s">
        <v>29</v>
      </c>
      <c r="J3945" s="37">
        <v>45639</v>
      </c>
      <c r="K3945" s="27" t="s">
        <v>22</v>
      </c>
    </row>
    <row r="3946" spans="1:11" x14ac:dyDescent="0.2">
      <c r="A3946" s="24" t="s">
        <v>9570</v>
      </c>
      <c r="B3946" s="24" t="s">
        <v>9571</v>
      </c>
      <c r="C3946" s="24" t="s">
        <v>6622</v>
      </c>
      <c r="D3946" s="24" t="s">
        <v>17</v>
      </c>
      <c r="E3946" s="24" t="s">
        <v>18</v>
      </c>
      <c r="F3946" s="24" t="s">
        <v>19</v>
      </c>
      <c r="G3946" s="24" t="s">
        <v>20</v>
      </c>
      <c r="H3946" s="26">
        <v>133</v>
      </c>
      <c r="I3946" s="24" t="s">
        <v>21</v>
      </c>
      <c r="J3946" s="36">
        <v>45652</v>
      </c>
      <c r="K3946" s="24" t="s">
        <v>22</v>
      </c>
    </row>
    <row r="3947" spans="1:11" x14ac:dyDescent="0.2">
      <c r="A3947" s="27" t="s">
        <v>9572</v>
      </c>
      <c r="B3947" s="27" t="s">
        <v>9573</v>
      </c>
      <c r="C3947" s="27" t="s">
        <v>827</v>
      </c>
      <c r="D3947" s="27" t="s">
        <v>17</v>
      </c>
      <c r="E3947" s="27" t="s">
        <v>18</v>
      </c>
      <c r="F3947" s="27" t="s">
        <v>19</v>
      </c>
      <c r="G3947" s="27" t="s">
        <v>217</v>
      </c>
      <c r="H3947" s="29">
        <v>87</v>
      </c>
      <c r="I3947" s="27" t="s">
        <v>29</v>
      </c>
      <c r="J3947" s="37">
        <v>45627</v>
      </c>
      <c r="K3947" s="27" t="s">
        <v>22</v>
      </c>
    </row>
    <row r="3948" spans="1:11" x14ac:dyDescent="0.2">
      <c r="A3948" s="24" t="s">
        <v>9574</v>
      </c>
      <c r="B3948" s="24" t="s">
        <v>9575</v>
      </c>
      <c r="C3948" s="24" t="s">
        <v>9576</v>
      </c>
      <c r="D3948" s="24" t="s">
        <v>17</v>
      </c>
      <c r="E3948" s="24" t="s">
        <v>33</v>
      </c>
      <c r="F3948" s="24" t="s">
        <v>34</v>
      </c>
      <c r="G3948" s="24" t="s">
        <v>28</v>
      </c>
      <c r="H3948" s="26">
        <v>230</v>
      </c>
      <c r="I3948" s="24" t="s">
        <v>29</v>
      </c>
      <c r="J3948" s="36">
        <v>45637</v>
      </c>
      <c r="K3948" s="24" t="s">
        <v>22</v>
      </c>
    </row>
    <row r="3949" spans="1:11" x14ac:dyDescent="0.2">
      <c r="A3949" s="27" t="s">
        <v>9577</v>
      </c>
      <c r="B3949" s="27" t="s">
        <v>9578</v>
      </c>
      <c r="C3949" s="27" t="s">
        <v>9579</v>
      </c>
      <c r="D3949" s="27" t="s">
        <v>17</v>
      </c>
      <c r="E3949" s="27" t="s">
        <v>42</v>
      </c>
      <c r="F3949" s="27" t="s">
        <v>43</v>
      </c>
      <c r="G3949" s="27" t="s">
        <v>20</v>
      </c>
      <c r="H3949" s="29">
        <v>560</v>
      </c>
      <c r="I3949" s="27" t="s">
        <v>21</v>
      </c>
      <c r="J3949" s="37">
        <v>45643</v>
      </c>
      <c r="K3949" s="27" t="s">
        <v>22</v>
      </c>
    </row>
    <row r="3950" spans="1:11" x14ac:dyDescent="0.2">
      <c r="A3950" s="24" t="s">
        <v>9580</v>
      </c>
      <c r="B3950" s="24" t="s">
        <v>9581</v>
      </c>
      <c r="C3950" s="24" t="s">
        <v>9582</v>
      </c>
      <c r="D3950" s="24" t="s">
        <v>17</v>
      </c>
      <c r="E3950" s="24" t="s">
        <v>18</v>
      </c>
      <c r="F3950" s="24" t="s">
        <v>19</v>
      </c>
      <c r="G3950" s="24" t="s">
        <v>28</v>
      </c>
      <c r="H3950" s="26">
        <v>115</v>
      </c>
      <c r="I3950" s="24" t="s">
        <v>29</v>
      </c>
      <c r="J3950" s="36">
        <v>45645</v>
      </c>
      <c r="K3950" s="24" t="s">
        <v>22</v>
      </c>
    </row>
    <row r="3951" spans="1:11" x14ac:dyDescent="0.2">
      <c r="A3951" s="27" t="s">
        <v>9583</v>
      </c>
      <c r="B3951" s="27" t="s">
        <v>9584</v>
      </c>
      <c r="C3951" s="27" t="s">
        <v>1565</v>
      </c>
      <c r="D3951" s="27" t="s">
        <v>17</v>
      </c>
      <c r="E3951" s="27" t="s">
        <v>18</v>
      </c>
      <c r="F3951" s="27" t="s">
        <v>19</v>
      </c>
      <c r="G3951" s="27" t="s">
        <v>20</v>
      </c>
      <c r="H3951" s="29">
        <v>8</v>
      </c>
      <c r="I3951" s="27" t="s">
        <v>21</v>
      </c>
      <c r="J3951" s="37">
        <v>45646</v>
      </c>
      <c r="K3951" s="27" t="s">
        <v>22</v>
      </c>
    </row>
    <row r="3952" spans="1:11" x14ac:dyDescent="0.2">
      <c r="A3952" s="24" t="s">
        <v>9585</v>
      </c>
      <c r="B3952" s="24" t="s">
        <v>9586</v>
      </c>
      <c r="C3952" s="24" t="s">
        <v>9587</v>
      </c>
      <c r="D3952" s="24" t="s">
        <v>17</v>
      </c>
      <c r="E3952" s="24" t="s">
        <v>18</v>
      </c>
      <c r="F3952" s="24" t="s">
        <v>19</v>
      </c>
      <c r="G3952" s="24" t="s">
        <v>20</v>
      </c>
      <c r="H3952" s="26">
        <v>92</v>
      </c>
      <c r="I3952" s="24" t="s">
        <v>21</v>
      </c>
      <c r="J3952" s="36">
        <v>45629</v>
      </c>
      <c r="K3952" s="24" t="s">
        <v>22</v>
      </c>
    </row>
    <row r="3953" spans="1:11" x14ac:dyDescent="0.2">
      <c r="A3953" s="27" t="s">
        <v>9588</v>
      </c>
      <c r="B3953" s="27" t="s">
        <v>9589</v>
      </c>
      <c r="C3953" s="27" t="s">
        <v>9590</v>
      </c>
      <c r="D3953" s="27" t="s">
        <v>17</v>
      </c>
      <c r="E3953" s="27" t="s">
        <v>26</v>
      </c>
      <c r="F3953" s="27" t="s">
        <v>27</v>
      </c>
      <c r="G3953" s="27" t="s">
        <v>116</v>
      </c>
      <c r="H3953" s="29">
        <v>0</v>
      </c>
      <c r="I3953" s="27" t="s">
        <v>21</v>
      </c>
      <c r="J3953" s="37">
        <v>45627</v>
      </c>
      <c r="K3953" s="27" t="s">
        <v>22</v>
      </c>
    </row>
    <row r="3954" spans="1:11" x14ac:dyDescent="0.2">
      <c r="A3954" s="24" t="s">
        <v>9591</v>
      </c>
      <c r="B3954" s="24" t="s">
        <v>9592</v>
      </c>
      <c r="C3954" s="24" t="s">
        <v>9593</v>
      </c>
      <c r="D3954" s="24" t="s">
        <v>17</v>
      </c>
      <c r="E3954" s="24" t="s">
        <v>26</v>
      </c>
      <c r="F3954" s="24" t="s">
        <v>27</v>
      </c>
      <c r="G3954" s="24" t="s">
        <v>28</v>
      </c>
      <c r="H3954" s="26">
        <v>80</v>
      </c>
      <c r="I3954" s="24" t="s">
        <v>29</v>
      </c>
      <c r="J3954" s="36">
        <v>45642</v>
      </c>
      <c r="K3954" s="24" t="s">
        <v>22</v>
      </c>
    </row>
    <row r="3955" spans="1:11" x14ac:dyDescent="0.2">
      <c r="A3955" s="27" t="s">
        <v>9594</v>
      </c>
      <c r="B3955" s="27" t="s">
        <v>9595</v>
      </c>
      <c r="C3955" s="27" t="s">
        <v>6462</v>
      </c>
      <c r="D3955" s="27" t="s">
        <v>17</v>
      </c>
      <c r="E3955" s="27" t="s">
        <v>26</v>
      </c>
      <c r="F3955" s="27" t="s">
        <v>27</v>
      </c>
      <c r="G3955" s="27" t="s">
        <v>59</v>
      </c>
      <c r="H3955" s="29">
        <v>24</v>
      </c>
      <c r="I3955" s="27" t="s">
        <v>21</v>
      </c>
      <c r="J3955" s="37">
        <v>45630</v>
      </c>
      <c r="K3955" s="27" t="s">
        <v>22</v>
      </c>
    </row>
    <row r="3956" spans="1:11" x14ac:dyDescent="0.2">
      <c r="A3956" s="24" t="s">
        <v>9596</v>
      </c>
      <c r="B3956" s="24" t="s">
        <v>9597</v>
      </c>
      <c r="C3956" s="24" t="s">
        <v>9598</v>
      </c>
      <c r="D3956" s="24" t="s">
        <v>17</v>
      </c>
      <c r="E3956" s="24" t="s">
        <v>42</v>
      </c>
      <c r="F3956" s="24" t="s">
        <v>43</v>
      </c>
      <c r="G3956" s="24" t="s">
        <v>28</v>
      </c>
      <c r="H3956" s="26">
        <v>4514</v>
      </c>
      <c r="I3956" s="24" t="s">
        <v>29</v>
      </c>
      <c r="J3956" s="36">
        <v>45653</v>
      </c>
      <c r="K3956" s="24" t="s">
        <v>22</v>
      </c>
    </row>
    <row r="3957" spans="1:11" x14ac:dyDescent="0.2">
      <c r="A3957" s="27" t="s">
        <v>9599</v>
      </c>
      <c r="B3957" s="27" t="s">
        <v>9600</v>
      </c>
      <c r="C3957" s="27" t="s">
        <v>146</v>
      </c>
      <c r="D3957" s="27" t="s">
        <v>17</v>
      </c>
      <c r="E3957" s="27" t="s">
        <v>26</v>
      </c>
      <c r="F3957" s="27" t="s">
        <v>27</v>
      </c>
      <c r="G3957" s="27" t="s">
        <v>44</v>
      </c>
      <c r="H3957" s="29">
        <v>14</v>
      </c>
      <c r="I3957" s="27" t="s">
        <v>21</v>
      </c>
      <c r="J3957" s="37">
        <v>45639</v>
      </c>
      <c r="K3957" s="27" t="s">
        <v>22</v>
      </c>
    </row>
    <row r="3958" spans="1:11" x14ac:dyDescent="0.2">
      <c r="A3958" s="24" t="s">
        <v>9601</v>
      </c>
      <c r="B3958" s="24" t="s">
        <v>9602</v>
      </c>
      <c r="C3958" s="24" t="s">
        <v>9603</v>
      </c>
      <c r="D3958" s="24" t="s">
        <v>17</v>
      </c>
      <c r="E3958" s="24" t="s">
        <v>18</v>
      </c>
      <c r="F3958" s="24" t="s">
        <v>19</v>
      </c>
      <c r="G3958" s="24" t="s">
        <v>20</v>
      </c>
      <c r="H3958" s="26">
        <v>6</v>
      </c>
      <c r="I3958" s="24" t="s">
        <v>21</v>
      </c>
      <c r="J3958" s="36">
        <v>45638</v>
      </c>
      <c r="K3958" s="24" t="s">
        <v>22</v>
      </c>
    </row>
    <row r="3959" spans="1:11" x14ac:dyDescent="0.2">
      <c r="A3959" s="27" t="s">
        <v>9604</v>
      </c>
      <c r="B3959" s="27" t="s">
        <v>9605</v>
      </c>
      <c r="C3959" s="27" t="s">
        <v>3836</v>
      </c>
      <c r="D3959" s="27" t="s">
        <v>17</v>
      </c>
      <c r="E3959" s="27" t="s">
        <v>42</v>
      </c>
      <c r="F3959" s="27" t="s">
        <v>43</v>
      </c>
      <c r="G3959" s="27" t="s">
        <v>28</v>
      </c>
      <c r="H3959" s="29">
        <v>35</v>
      </c>
      <c r="I3959" s="27" t="s">
        <v>29</v>
      </c>
      <c r="J3959" s="37">
        <v>45656</v>
      </c>
      <c r="K3959" s="27" t="s">
        <v>22</v>
      </c>
    </row>
    <row r="3960" spans="1:11" x14ac:dyDescent="0.2">
      <c r="A3960" s="24" t="s">
        <v>9606</v>
      </c>
      <c r="B3960" s="24" t="s">
        <v>9607</v>
      </c>
      <c r="C3960" s="24" t="s">
        <v>9608</v>
      </c>
      <c r="D3960" s="24" t="s">
        <v>17</v>
      </c>
      <c r="E3960" s="24" t="s">
        <v>26</v>
      </c>
      <c r="F3960" s="24" t="s">
        <v>27</v>
      </c>
      <c r="G3960" s="24" t="s">
        <v>28</v>
      </c>
      <c r="H3960" s="26">
        <v>170</v>
      </c>
      <c r="I3960" s="24" t="s">
        <v>29</v>
      </c>
      <c r="J3960" s="36">
        <v>45642</v>
      </c>
      <c r="K3960" s="24" t="s">
        <v>22</v>
      </c>
    </row>
    <row r="3961" spans="1:11" x14ac:dyDescent="0.2">
      <c r="A3961" s="27" t="s">
        <v>9609</v>
      </c>
      <c r="B3961" s="27" t="s">
        <v>9610</v>
      </c>
      <c r="C3961" s="27" t="s">
        <v>5829</v>
      </c>
      <c r="D3961" s="27" t="s">
        <v>17</v>
      </c>
      <c r="E3961" s="27" t="s">
        <v>48</v>
      </c>
      <c r="F3961" s="27" t="s">
        <v>49</v>
      </c>
      <c r="G3961" s="27" t="s">
        <v>217</v>
      </c>
      <c r="H3961" s="29">
        <v>72</v>
      </c>
      <c r="I3961" s="27" t="s">
        <v>29</v>
      </c>
      <c r="J3961" s="37">
        <v>45657</v>
      </c>
      <c r="K3961" s="27" t="s">
        <v>22</v>
      </c>
    </row>
    <row r="3962" spans="1:11" x14ac:dyDescent="0.2">
      <c r="A3962" s="24" t="s">
        <v>9611</v>
      </c>
      <c r="B3962" s="24" t="s">
        <v>9612</v>
      </c>
      <c r="C3962" s="24" t="s">
        <v>9613</v>
      </c>
      <c r="D3962" s="24" t="s">
        <v>17</v>
      </c>
      <c r="E3962" s="24" t="s">
        <v>81</v>
      </c>
      <c r="F3962" s="24" t="s">
        <v>82</v>
      </c>
      <c r="G3962" s="24" t="s">
        <v>44</v>
      </c>
      <c r="H3962" s="26">
        <v>37</v>
      </c>
      <c r="I3962" s="24" t="s">
        <v>21</v>
      </c>
      <c r="J3962" s="36">
        <v>45645</v>
      </c>
      <c r="K3962" s="24" t="s">
        <v>22</v>
      </c>
    </row>
    <row r="3963" spans="1:11" x14ac:dyDescent="0.2">
      <c r="A3963" s="27" t="s">
        <v>9614</v>
      </c>
      <c r="B3963" s="27" t="s">
        <v>9615</v>
      </c>
      <c r="C3963" s="27" t="s">
        <v>9616</v>
      </c>
      <c r="D3963" s="27" t="s">
        <v>17</v>
      </c>
      <c r="E3963" s="27" t="s">
        <v>48</v>
      </c>
      <c r="F3963" s="27" t="s">
        <v>49</v>
      </c>
      <c r="G3963" s="27" t="s">
        <v>28</v>
      </c>
      <c r="H3963" s="29">
        <v>96</v>
      </c>
      <c r="I3963" s="27" t="s">
        <v>29</v>
      </c>
      <c r="J3963" s="37">
        <v>45649</v>
      </c>
      <c r="K3963" s="27" t="s">
        <v>22</v>
      </c>
    </row>
    <row r="3964" spans="1:11" x14ac:dyDescent="0.2">
      <c r="A3964" s="24" t="s">
        <v>9617</v>
      </c>
      <c r="B3964" s="24" t="s">
        <v>9618</v>
      </c>
      <c r="C3964" s="24" t="s">
        <v>97</v>
      </c>
      <c r="D3964" s="24" t="s">
        <v>17</v>
      </c>
      <c r="E3964" s="24" t="s">
        <v>48</v>
      </c>
      <c r="F3964" s="24" t="s">
        <v>49</v>
      </c>
      <c r="G3964" s="24" t="s">
        <v>20</v>
      </c>
      <c r="H3964" s="26">
        <v>40</v>
      </c>
      <c r="I3964" s="24" t="s">
        <v>21</v>
      </c>
      <c r="J3964" s="36">
        <v>45632</v>
      </c>
      <c r="K3964" s="24" t="s">
        <v>22</v>
      </c>
    </row>
    <row r="3965" spans="1:11" x14ac:dyDescent="0.2">
      <c r="A3965" s="27" t="s">
        <v>9619</v>
      </c>
      <c r="B3965" s="27" t="s">
        <v>9620</v>
      </c>
      <c r="C3965" s="27" t="s">
        <v>115</v>
      </c>
      <c r="D3965" s="27" t="s">
        <v>17</v>
      </c>
      <c r="E3965" s="27" t="s">
        <v>42</v>
      </c>
      <c r="F3965" s="27" t="s">
        <v>43</v>
      </c>
      <c r="G3965" s="27" t="s">
        <v>28</v>
      </c>
      <c r="H3965" s="29">
        <v>20</v>
      </c>
      <c r="I3965" s="27" t="s">
        <v>29</v>
      </c>
      <c r="J3965" s="37">
        <v>45642</v>
      </c>
      <c r="K3965" s="27" t="s">
        <v>22</v>
      </c>
    </row>
    <row r="3966" spans="1:11" x14ac:dyDescent="0.2">
      <c r="A3966" s="24" t="s">
        <v>9621</v>
      </c>
      <c r="B3966" s="24" t="s">
        <v>9622</v>
      </c>
      <c r="C3966" s="24" t="s">
        <v>213</v>
      </c>
      <c r="D3966" s="24" t="s">
        <v>17</v>
      </c>
      <c r="E3966" s="24" t="s">
        <v>18</v>
      </c>
      <c r="F3966" s="24" t="s">
        <v>19</v>
      </c>
      <c r="G3966" s="24" t="s">
        <v>20</v>
      </c>
      <c r="H3966" s="26">
        <v>26</v>
      </c>
      <c r="I3966" s="24" t="s">
        <v>21</v>
      </c>
      <c r="J3966" s="36">
        <v>45637</v>
      </c>
      <c r="K3966" s="24" t="s">
        <v>22</v>
      </c>
    </row>
    <row r="3967" spans="1:11" x14ac:dyDescent="0.2">
      <c r="A3967" s="27" t="s">
        <v>9623</v>
      </c>
      <c r="B3967" s="27" t="s">
        <v>9624</v>
      </c>
      <c r="C3967" s="27" t="s">
        <v>3531</v>
      </c>
      <c r="D3967" s="27" t="s">
        <v>17</v>
      </c>
      <c r="E3967" s="27" t="s">
        <v>26</v>
      </c>
      <c r="F3967" s="27" t="s">
        <v>27</v>
      </c>
      <c r="G3967" s="27" t="s">
        <v>28</v>
      </c>
      <c r="H3967" s="29">
        <v>120</v>
      </c>
      <c r="I3967" s="27" t="s">
        <v>29</v>
      </c>
      <c r="J3967" s="37">
        <v>45636</v>
      </c>
      <c r="K3967" s="27" t="s">
        <v>22</v>
      </c>
    </row>
    <row r="3968" spans="1:11" x14ac:dyDescent="0.2">
      <c r="A3968" s="24" t="s">
        <v>9625</v>
      </c>
      <c r="B3968" s="24" t="s">
        <v>9626</v>
      </c>
      <c r="C3968" s="24" t="s">
        <v>5070</v>
      </c>
      <c r="D3968" s="24" t="s">
        <v>17</v>
      </c>
      <c r="E3968" s="24" t="s">
        <v>48</v>
      </c>
      <c r="F3968" s="24" t="s">
        <v>49</v>
      </c>
      <c r="G3968" s="24" t="s">
        <v>44</v>
      </c>
      <c r="H3968" s="26">
        <v>336</v>
      </c>
      <c r="I3968" s="24" t="s">
        <v>29</v>
      </c>
      <c r="J3968" s="36">
        <v>45645</v>
      </c>
      <c r="K3968" s="24" t="s">
        <v>22</v>
      </c>
    </row>
    <row r="3969" spans="1:11" x14ac:dyDescent="0.2">
      <c r="A3969" s="27" t="s">
        <v>9627</v>
      </c>
      <c r="B3969" s="27" t="s">
        <v>9628</v>
      </c>
      <c r="C3969" s="27" t="s">
        <v>9629</v>
      </c>
      <c r="D3969" s="27" t="s">
        <v>17</v>
      </c>
      <c r="E3969" s="27" t="s">
        <v>18</v>
      </c>
      <c r="F3969" s="27" t="s">
        <v>19</v>
      </c>
      <c r="G3969" s="27" t="s">
        <v>28</v>
      </c>
      <c r="H3969" s="29">
        <v>24</v>
      </c>
      <c r="I3969" s="27" t="s">
        <v>29</v>
      </c>
      <c r="J3969" s="37">
        <v>45636</v>
      </c>
      <c r="K3969" s="27" t="s">
        <v>22</v>
      </c>
    </row>
    <row r="3970" spans="1:11" x14ac:dyDescent="0.2">
      <c r="A3970" s="24" t="s">
        <v>9630</v>
      </c>
      <c r="B3970" s="24" t="s">
        <v>9631</v>
      </c>
      <c r="C3970" s="24" t="s">
        <v>277</v>
      </c>
      <c r="D3970" s="24" t="s">
        <v>17</v>
      </c>
      <c r="E3970" s="24" t="s">
        <v>42</v>
      </c>
      <c r="F3970" s="24" t="s">
        <v>43</v>
      </c>
      <c r="G3970" s="24" t="s">
        <v>28</v>
      </c>
      <c r="H3970" s="26">
        <v>120</v>
      </c>
      <c r="I3970" s="24" t="s">
        <v>29</v>
      </c>
      <c r="J3970" s="36">
        <v>45629</v>
      </c>
      <c r="K3970" s="24" t="s">
        <v>22</v>
      </c>
    </row>
    <row r="3971" spans="1:11" x14ac:dyDescent="0.2">
      <c r="A3971" s="27" t="s">
        <v>9632</v>
      </c>
      <c r="B3971" s="27" t="s">
        <v>9633</v>
      </c>
      <c r="C3971" s="27" t="s">
        <v>1212</v>
      </c>
      <c r="D3971" s="27" t="s">
        <v>17</v>
      </c>
      <c r="E3971" s="27" t="s">
        <v>18</v>
      </c>
      <c r="F3971" s="27" t="s">
        <v>19</v>
      </c>
      <c r="G3971" s="27" t="s">
        <v>20</v>
      </c>
      <c r="H3971" s="29">
        <v>53</v>
      </c>
      <c r="I3971" s="27" t="s">
        <v>21</v>
      </c>
      <c r="J3971" s="37">
        <v>45627</v>
      </c>
      <c r="K3971" s="27" t="s">
        <v>22</v>
      </c>
    </row>
    <row r="3972" spans="1:11" x14ac:dyDescent="0.2">
      <c r="A3972" s="24" t="s">
        <v>9634</v>
      </c>
      <c r="B3972" s="24" t="s">
        <v>9635</v>
      </c>
      <c r="C3972" s="24" t="s">
        <v>3299</v>
      </c>
      <c r="D3972" s="24" t="s">
        <v>17</v>
      </c>
      <c r="E3972" s="24" t="s">
        <v>42</v>
      </c>
      <c r="F3972" s="24" t="s">
        <v>43</v>
      </c>
      <c r="G3972" s="24" t="s">
        <v>59</v>
      </c>
      <c r="H3972" s="26">
        <v>52</v>
      </c>
      <c r="I3972" s="24" t="s">
        <v>21</v>
      </c>
      <c r="J3972" s="36">
        <v>45645</v>
      </c>
      <c r="K3972" s="24" t="s">
        <v>22</v>
      </c>
    </row>
    <row r="3973" spans="1:11" x14ac:dyDescent="0.2">
      <c r="A3973" s="27" t="s">
        <v>9636</v>
      </c>
      <c r="B3973" s="27" t="s">
        <v>9637</v>
      </c>
      <c r="C3973" s="27" t="s">
        <v>500</v>
      </c>
      <c r="D3973" s="27" t="s">
        <v>17</v>
      </c>
      <c r="E3973" s="27" t="s">
        <v>18</v>
      </c>
      <c r="F3973" s="27" t="s">
        <v>19</v>
      </c>
      <c r="G3973" s="27" t="s">
        <v>20</v>
      </c>
      <c r="H3973" s="29">
        <v>48</v>
      </c>
      <c r="I3973" s="27" t="s">
        <v>21</v>
      </c>
      <c r="J3973" s="37">
        <v>45654</v>
      </c>
      <c r="K3973" s="27" t="s">
        <v>22</v>
      </c>
    </row>
    <row r="3974" spans="1:11" x14ac:dyDescent="0.2">
      <c r="A3974" s="24" t="s">
        <v>9638</v>
      </c>
      <c r="B3974" s="24" t="s">
        <v>9639</v>
      </c>
      <c r="C3974" s="24" t="s">
        <v>1518</v>
      </c>
      <c r="D3974" s="24" t="s">
        <v>17</v>
      </c>
      <c r="E3974" s="24" t="s">
        <v>42</v>
      </c>
      <c r="F3974" s="24" t="s">
        <v>43</v>
      </c>
      <c r="G3974" s="24" t="s">
        <v>28</v>
      </c>
      <c r="H3974" s="26">
        <v>438</v>
      </c>
      <c r="I3974" s="24" t="s">
        <v>29</v>
      </c>
      <c r="J3974" s="36">
        <v>45643</v>
      </c>
      <c r="K3974" s="24" t="s">
        <v>22</v>
      </c>
    </row>
    <row r="3975" spans="1:11" x14ac:dyDescent="0.2">
      <c r="A3975" s="27" t="s">
        <v>9640</v>
      </c>
      <c r="B3975" s="27" t="s">
        <v>9641</v>
      </c>
      <c r="C3975" s="27" t="s">
        <v>213</v>
      </c>
      <c r="D3975" s="27" t="s">
        <v>17</v>
      </c>
      <c r="E3975" s="27" t="s">
        <v>18</v>
      </c>
      <c r="F3975" s="27" t="s">
        <v>19</v>
      </c>
      <c r="G3975" s="27" t="s">
        <v>20</v>
      </c>
      <c r="H3975" s="29">
        <v>25</v>
      </c>
      <c r="I3975" s="27" t="s">
        <v>21</v>
      </c>
      <c r="J3975" s="37">
        <v>45629</v>
      </c>
      <c r="K3975" s="27" t="s">
        <v>22</v>
      </c>
    </row>
    <row r="3976" spans="1:11" x14ac:dyDescent="0.2">
      <c r="A3976" s="24" t="s">
        <v>9642</v>
      </c>
      <c r="B3976" s="24" t="s">
        <v>9643</v>
      </c>
      <c r="C3976" s="24" t="s">
        <v>9644</v>
      </c>
      <c r="D3976" s="24" t="s">
        <v>17</v>
      </c>
      <c r="E3976" s="24" t="s">
        <v>48</v>
      </c>
      <c r="F3976" s="24" t="s">
        <v>49</v>
      </c>
      <c r="G3976" s="24" t="s">
        <v>28</v>
      </c>
      <c r="H3976" s="26">
        <v>142</v>
      </c>
      <c r="I3976" s="24" t="s">
        <v>29</v>
      </c>
      <c r="J3976" s="36">
        <v>45656</v>
      </c>
      <c r="K3976" s="24" t="s">
        <v>22</v>
      </c>
    </row>
    <row r="3977" spans="1:11" x14ac:dyDescent="0.2">
      <c r="A3977" s="27" t="s">
        <v>9645</v>
      </c>
      <c r="B3977" s="27" t="s">
        <v>9646</v>
      </c>
      <c r="C3977" s="27" t="s">
        <v>1044</v>
      </c>
      <c r="D3977" s="27" t="s">
        <v>17</v>
      </c>
      <c r="E3977" s="27" t="s">
        <v>18</v>
      </c>
      <c r="F3977" s="27" t="s">
        <v>19</v>
      </c>
      <c r="G3977" s="27" t="s">
        <v>28</v>
      </c>
      <c r="H3977" s="29">
        <v>76</v>
      </c>
      <c r="I3977" s="27" t="s">
        <v>29</v>
      </c>
      <c r="J3977" s="37">
        <v>45636</v>
      </c>
      <c r="K3977" s="27" t="s">
        <v>22</v>
      </c>
    </row>
    <row r="3978" spans="1:11" x14ac:dyDescent="0.2">
      <c r="A3978" s="24" t="s">
        <v>9647</v>
      </c>
      <c r="B3978" s="24" t="s">
        <v>9648</v>
      </c>
      <c r="C3978" s="24" t="s">
        <v>251</v>
      </c>
      <c r="D3978" s="24" t="s">
        <v>17</v>
      </c>
      <c r="E3978" s="24" t="s">
        <v>81</v>
      </c>
      <c r="F3978" s="24" t="s">
        <v>82</v>
      </c>
      <c r="G3978" s="24" t="s">
        <v>44</v>
      </c>
      <c r="H3978" s="26">
        <v>63</v>
      </c>
      <c r="I3978" s="24" t="s">
        <v>21</v>
      </c>
      <c r="J3978" s="36">
        <v>45637</v>
      </c>
      <c r="K3978" s="24" t="s">
        <v>22</v>
      </c>
    </row>
    <row r="3979" spans="1:11" x14ac:dyDescent="0.2">
      <c r="A3979" s="27" t="s">
        <v>9649</v>
      </c>
      <c r="B3979" s="27" t="s">
        <v>9650</v>
      </c>
      <c r="C3979" s="27" t="s">
        <v>134</v>
      </c>
      <c r="D3979" s="27" t="s">
        <v>17</v>
      </c>
      <c r="E3979" s="27" t="s">
        <v>18</v>
      </c>
      <c r="F3979" s="27" t="s">
        <v>19</v>
      </c>
      <c r="G3979" s="27" t="s">
        <v>20</v>
      </c>
      <c r="H3979" s="29">
        <v>27</v>
      </c>
      <c r="I3979" s="27" t="s">
        <v>21</v>
      </c>
      <c r="J3979" s="37">
        <v>45633</v>
      </c>
      <c r="K3979" s="27" t="s">
        <v>22</v>
      </c>
    </row>
    <row r="3980" spans="1:11" x14ac:dyDescent="0.2">
      <c r="A3980" s="24" t="s">
        <v>9651</v>
      </c>
      <c r="B3980" s="24" t="s">
        <v>9652</v>
      </c>
      <c r="C3980" s="24" t="s">
        <v>260</v>
      </c>
      <c r="D3980" s="24" t="s">
        <v>17</v>
      </c>
      <c r="E3980" s="24" t="s">
        <v>26</v>
      </c>
      <c r="F3980" s="24" t="s">
        <v>27</v>
      </c>
      <c r="G3980" s="24" t="s">
        <v>44</v>
      </c>
      <c r="H3980" s="26">
        <v>276</v>
      </c>
      <c r="I3980" s="24" t="s">
        <v>21</v>
      </c>
      <c r="J3980" s="36">
        <v>45635</v>
      </c>
      <c r="K3980" s="24" t="s">
        <v>22</v>
      </c>
    </row>
    <row r="3981" spans="1:11" x14ac:dyDescent="0.2">
      <c r="A3981" s="27" t="s">
        <v>9653</v>
      </c>
      <c r="B3981" s="27" t="s">
        <v>9654</v>
      </c>
      <c r="C3981" s="27" t="s">
        <v>1158</v>
      </c>
      <c r="D3981" s="27" t="s">
        <v>17</v>
      </c>
      <c r="E3981" s="27" t="s">
        <v>81</v>
      </c>
      <c r="F3981" s="27" t="s">
        <v>82</v>
      </c>
      <c r="G3981" s="27" t="s">
        <v>44</v>
      </c>
      <c r="H3981" s="29">
        <v>23</v>
      </c>
      <c r="I3981" s="27" t="s">
        <v>21</v>
      </c>
      <c r="J3981" s="37">
        <v>45636</v>
      </c>
      <c r="K3981" s="27" t="s">
        <v>22</v>
      </c>
    </row>
    <row r="3982" spans="1:11" x14ac:dyDescent="0.2">
      <c r="A3982" s="24" t="s">
        <v>9655</v>
      </c>
      <c r="B3982" s="24" t="s">
        <v>9656</v>
      </c>
      <c r="C3982" s="24" t="s">
        <v>1050</v>
      </c>
      <c r="D3982" s="24" t="s">
        <v>17</v>
      </c>
      <c r="E3982" s="24" t="s">
        <v>18</v>
      </c>
      <c r="F3982" s="24" t="s">
        <v>19</v>
      </c>
      <c r="G3982" s="24" t="s">
        <v>217</v>
      </c>
      <c r="H3982" s="26">
        <v>50</v>
      </c>
      <c r="I3982" s="24" t="s">
        <v>29</v>
      </c>
      <c r="J3982" s="36">
        <v>45652</v>
      </c>
      <c r="K3982" s="24" t="s">
        <v>22</v>
      </c>
    </row>
    <row r="3983" spans="1:11" x14ac:dyDescent="0.2">
      <c r="A3983" s="27" t="s">
        <v>9657</v>
      </c>
      <c r="B3983" s="27" t="s">
        <v>9658</v>
      </c>
      <c r="C3983" s="27" t="s">
        <v>4714</v>
      </c>
      <c r="D3983" s="27" t="s">
        <v>17</v>
      </c>
      <c r="E3983" s="27" t="s">
        <v>48</v>
      </c>
      <c r="F3983" s="27" t="s">
        <v>49</v>
      </c>
      <c r="G3983" s="27" t="s">
        <v>59</v>
      </c>
      <c r="H3983" s="29">
        <v>17</v>
      </c>
      <c r="I3983" s="27" t="s">
        <v>21</v>
      </c>
      <c r="J3983" s="37">
        <v>45645</v>
      </c>
      <c r="K3983" s="27" t="s">
        <v>22</v>
      </c>
    </row>
    <row r="3984" spans="1:11" x14ac:dyDescent="0.2">
      <c r="A3984" s="24" t="s">
        <v>9659</v>
      </c>
      <c r="B3984" s="24" t="s">
        <v>9660</v>
      </c>
      <c r="C3984" s="24" t="s">
        <v>2352</v>
      </c>
      <c r="D3984" s="24" t="s">
        <v>17</v>
      </c>
      <c r="E3984" s="24" t="s">
        <v>48</v>
      </c>
      <c r="F3984" s="24" t="s">
        <v>49</v>
      </c>
      <c r="G3984" s="24" t="s">
        <v>28</v>
      </c>
      <c r="H3984" s="26">
        <v>258</v>
      </c>
      <c r="I3984" s="24" t="s">
        <v>29</v>
      </c>
      <c r="J3984" s="36">
        <v>45656</v>
      </c>
      <c r="K3984" s="24" t="s">
        <v>22</v>
      </c>
    </row>
    <row r="3985" spans="1:11" x14ac:dyDescent="0.2">
      <c r="A3985" s="27" t="s">
        <v>9661</v>
      </c>
      <c r="B3985" s="27" t="s">
        <v>9662</v>
      </c>
      <c r="C3985" s="27" t="s">
        <v>85</v>
      </c>
      <c r="D3985" s="27" t="s">
        <v>17</v>
      </c>
      <c r="E3985" s="27" t="s">
        <v>18</v>
      </c>
      <c r="F3985" s="27" t="s">
        <v>19</v>
      </c>
      <c r="G3985" s="27" t="s">
        <v>20</v>
      </c>
      <c r="H3985" s="29">
        <v>72</v>
      </c>
      <c r="I3985" s="27" t="s">
        <v>21</v>
      </c>
      <c r="J3985" s="37">
        <v>45645</v>
      </c>
      <c r="K3985" s="27" t="s">
        <v>22</v>
      </c>
    </row>
    <row r="3986" spans="1:11" x14ac:dyDescent="0.2">
      <c r="A3986" s="24" t="s">
        <v>9663</v>
      </c>
      <c r="B3986" s="24" t="s">
        <v>9664</v>
      </c>
      <c r="C3986" s="24" t="s">
        <v>97</v>
      </c>
      <c r="D3986" s="24" t="s">
        <v>17</v>
      </c>
      <c r="E3986" s="24" t="s">
        <v>18</v>
      </c>
      <c r="F3986" s="24" t="s">
        <v>19</v>
      </c>
      <c r="G3986" s="24" t="s">
        <v>20</v>
      </c>
      <c r="H3986" s="26">
        <v>30</v>
      </c>
      <c r="I3986" s="24" t="s">
        <v>21</v>
      </c>
      <c r="J3986" s="36">
        <v>45631</v>
      </c>
      <c r="K3986" s="24" t="s">
        <v>22</v>
      </c>
    </row>
    <row r="3987" spans="1:11" x14ac:dyDescent="0.2">
      <c r="A3987" s="27" t="s">
        <v>9665</v>
      </c>
      <c r="B3987" s="27" t="s">
        <v>9666</v>
      </c>
      <c r="C3987" s="27" t="s">
        <v>9667</v>
      </c>
      <c r="D3987" s="27" t="s">
        <v>17</v>
      </c>
      <c r="E3987" s="27" t="s">
        <v>48</v>
      </c>
      <c r="F3987" s="27" t="s">
        <v>49</v>
      </c>
      <c r="G3987" s="27" t="s">
        <v>217</v>
      </c>
      <c r="H3987" s="29">
        <v>10</v>
      </c>
      <c r="I3987" s="27" t="s">
        <v>29</v>
      </c>
      <c r="J3987" s="37">
        <v>45627</v>
      </c>
      <c r="K3987" s="27" t="s">
        <v>22</v>
      </c>
    </row>
    <row r="3988" spans="1:11" x14ac:dyDescent="0.2">
      <c r="A3988" s="24" t="s">
        <v>9668</v>
      </c>
      <c r="B3988" s="24" t="s">
        <v>9669</v>
      </c>
      <c r="C3988" s="24" t="s">
        <v>1147</v>
      </c>
      <c r="D3988" s="24" t="s">
        <v>17</v>
      </c>
      <c r="E3988" s="24" t="s">
        <v>18</v>
      </c>
      <c r="F3988" s="24" t="s">
        <v>19</v>
      </c>
      <c r="G3988" s="24" t="s">
        <v>20</v>
      </c>
      <c r="H3988" s="26">
        <v>57</v>
      </c>
      <c r="I3988" s="24" t="s">
        <v>21</v>
      </c>
      <c r="J3988" s="36">
        <v>45644</v>
      </c>
      <c r="K3988" s="24" t="s">
        <v>22</v>
      </c>
    </row>
    <row r="3989" spans="1:11" x14ac:dyDescent="0.2">
      <c r="A3989" s="27" t="s">
        <v>9670</v>
      </c>
      <c r="B3989" s="27" t="s">
        <v>9671</v>
      </c>
      <c r="C3989" s="27" t="s">
        <v>9672</v>
      </c>
      <c r="D3989" s="27" t="s">
        <v>17</v>
      </c>
      <c r="E3989" s="27" t="s">
        <v>42</v>
      </c>
      <c r="F3989" s="27" t="s">
        <v>43</v>
      </c>
      <c r="G3989" s="27" t="s">
        <v>20</v>
      </c>
      <c r="H3989" s="29">
        <v>164</v>
      </c>
      <c r="I3989" s="27" t="s">
        <v>21</v>
      </c>
      <c r="J3989" s="37">
        <v>45630</v>
      </c>
      <c r="K3989" s="27" t="s">
        <v>22</v>
      </c>
    </row>
    <row r="3990" spans="1:11" x14ac:dyDescent="0.2">
      <c r="A3990" s="24" t="s">
        <v>9673</v>
      </c>
      <c r="B3990" s="24" t="s">
        <v>9674</v>
      </c>
      <c r="C3990" s="24" t="s">
        <v>2657</v>
      </c>
      <c r="D3990" s="24" t="s">
        <v>17</v>
      </c>
      <c r="E3990" s="24" t="s">
        <v>42</v>
      </c>
      <c r="F3990" s="24" t="s">
        <v>43</v>
      </c>
      <c r="G3990" s="24" t="s">
        <v>217</v>
      </c>
      <c r="H3990" s="26">
        <v>520</v>
      </c>
      <c r="I3990" s="24" t="s">
        <v>29</v>
      </c>
      <c r="J3990" s="36">
        <v>45656</v>
      </c>
      <c r="K3990" s="24" t="s">
        <v>22</v>
      </c>
    </row>
    <row r="3991" spans="1:11" x14ac:dyDescent="0.2">
      <c r="A3991" s="27" t="s">
        <v>9675</v>
      </c>
      <c r="B3991" s="27" t="s">
        <v>9676</v>
      </c>
      <c r="C3991" s="27" t="s">
        <v>9677</v>
      </c>
      <c r="D3991" s="27" t="s">
        <v>17</v>
      </c>
      <c r="E3991" s="27" t="s">
        <v>48</v>
      </c>
      <c r="F3991" s="27" t="s">
        <v>49</v>
      </c>
      <c r="G3991" s="27" t="s">
        <v>20</v>
      </c>
      <c r="H3991" s="29">
        <v>38</v>
      </c>
      <c r="I3991" s="27" t="s">
        <v>21</v>
      </c>
      <c r="J3991" s="37">
        <v>45635</v>
      </c>
      <c r="K3991" s="27" t="s">
        <v>22</v>
      </c>
    </row>
    <row r="3992" spans="1:11" x14ac:dyDescent="0.2">
      <c r="A3992" s="24" t="s">
        <v>9678</v>
      </c>
      <c r="B3992" s="24" t="s">
        <v>9679</v>
      </c>
      <c r="C3992" s="24" t="s">
        <v>8323</v>
      </c>
      <c r="D3992" s="24" t="s">
        <v>17</v>
      </c>
      <c r="E3992" s="24" t="s">
        <v>26</v>
      </c>
      <c r="F3992" s="24" t="s">
        <v>27</v>
      </c>
      <c r="G3992" s="24" t="s">
        <v>44</v>
      </c>
      <c r="H3992" s="26">
        <v>60</v>
      </c>
      <c r="I3992" s="24" t="s">
        <v>29</v>
      </c>
      <c r="J3992" s="36">
        <v>45638</v>
      </c>
      <c r="K3992" s="24" t="s">
        <v>22</v>
      </c>
    </row>
    <row r="3993" spans="1:11" x14ac:dyDescent="0.2">
      <c r="A3993" s="27" t="s">
        <v>9680</v>
      </c>
      <c r="B3993" s="27" t="s">
        <v>9681</v>
      </c>
      <c r="C3993" s="27" t="s">
        <v>97</v>
      </c>
      <c r="D3993" s="27" t="s">
        <v>17</v>
      </c>
      <c r="E3993" s="27" t="s">
        <v>18</v>
      </c>
      <c r="F3993" s="27" t="s">
        <v>19</v>
      </c>
      <c r="G3993" s="27" t="s">
        <v>20</v>
      </c>
      <c r="H3993" s="29">
        <v>81</v>
      </c>
      <c r="I3993" s="27" t="s">
        <v>21</v>
      </c>
      <c r="J3993" s="37">
        <v>45646</v>
      </c>
      <c r="K3993" s="27" t="s">
        <v>22</v>
      </c>
    </row>
    <row r="3994" spans="1:11" x14ac:dyDescent="0.2">
      <c r="A3994" s="24" t="s">
        <v>9682</v>
      </c>
      <c r="B3994" s="24" t="s">
        <v>9683</v>
      </c>
      <c r="C3994" s="24" t="s">
        <v>749</v>
      </c>
      <c r="D3994" s="24" t="s">
        <v>17</v>
      </c>
      <c r="E3994" s="24" t="s">
        <v>18</v>
      </c>
      <c r="F3994" s="24" t="s">
        <v>19</v>
      </c>
      <c r="G3994" s="24" t="s">
        <v>28</v>
      </c>
      <c r="H3994" s="26">
        <v>36</v>
      </c>
      <c r="I3994" s="24" t="s">
        <v>29</v>
      </c>
      <c r="J3994" s="36">
        <v>45643</v>
      </c>
      <c r="K3994" s="24" t="s">
        <v>22</v>
      </c>
    </row>
    <row r="3995" spans="1:11" x14ac:dyDescent="0.2">
      <c r="A3995" s="27" t="s">
        <v>9684</v>
      </c>
      <c r="B3995" s="27" t="s">
        <v>9685</v>
      </c>
      <c r="C3995" s="27" t="s">
        <v>9686</v>
      </c>
      <c r="D3995" s="27" t="s">
        <v>17</v>
      </c>
      <c r="E3995" s="27" t="s">
        <v>18</v>
      </c>
      <c r="F3995" s="27" t="s">
        <v>19</v>
      </c>
      <c r="G3995" s="27" t="s">
        <v>20</v>
      </c>
      <c r="H3995" s="29">
        <v>16</v>
      </c>
      <c r="I3995" s="27" t="s">
        <v>21</v>
      </c>
      <c r="J3995" s="37">
        <v>45635</v>
      </c>
      <c r="K3995" s="27" t="s">
        <v>22</v>
      </c>
    </row>
    <row r="3996" spans="1:11" x14ac:dyDescent="0.2">
      <c r="A3996" s="24" t="s">
        <v>9687</v>
      </c>
      <c r="B3996" s="24" t="s">
        <v>9688</v>
      </c>
      <c r="C3996" s="24" t="s">
        <v>68</v>
      </c>
      <c r="D3996" s="24" t="s">
        <v>17</v>
      </c>
      <c r="E3996" s="24" t="s">
        <v>26</v>
      </c>
      <c r="F3996" s="24" t="s">
        <v>27</v>
      </c>
      <c r="G3996" s="24" t="s">
        <v>28</v>
      </c>
      <c r="H3996" s="26">
        <v>200</v>
      </c>
      <c r="I3996" s="24" t="s">
        <v>29</v>
      </c>
      <c r="J3996" s="36">
        <v>45649</v>
      </c>
      <c r="K3996" s="24" t="s">
        <v>22</v>
      </c>
    </row>
    <row r="3997" spans="1:11" x14ac:dyDescent="0.2">
      <c r="A3997" s="27" t="s">
        <v>9689</v>
      </c>
      <c r="B3997" s="27" t="s">
        <v>9690</v>
      </c>
      <c r="C3997" s="27" t="s">
        <v>106</v>
      </c>
      <c r="D3997" s="27" t="s">
        <v>17</v>
      </c>
      <c r="E3997" s="27" t="s">
        <v>18</v>
      </c>
      <c r="F3997" s="27" t="s">
        <v>19</v>
      </c>
      <c r="G3997" s="27" t="s">
        <v>59</v>
      </c>
      <c r="H3997" s="29">
        <v>30</v>
      </c>
      <c r="I3997" s="27" t="s">
        <v>21</v>
      </c>
      <c r="J3997" s="37">
        <v>45644</v>
      </c>
      <c r="K3997" s="27" t="s">
        <v>22</v>
      </c>
    </row>
    <row r="3998" spans="1:11" x14ac:dyDescent="0.2">
      <c r="A3998" s="24" t="s">
        <v>9691</v>
      </c>
      <c r="B3998" s="24" t="s">
        <v>9692</v>
      </c>
      <c r="C3998" s="24" t="s">
        <v>9693</v>
      </c>
      <c r="D3998" s="24" t="s">
        <v>17</v>
      </c>
      <c r="E3998" s="24" t="s">
        <v>18</v>
      </c>
      <c r="F3998" s="24" t="s">
        <v>19</v>
      </c>
      <c r="G3998" s="24" t="s">
        <v>28</v>
      </c>
      <c r="H3998" s="26">
        <v>24</v>
      </c>
      <c r="I3998" s="24" t="s">
        <v>29</v>
      </c>
      <c r="J3998" s="36">
        <v>45645</v>
      </c>
      <c r="K3998" s="24" t="s">
        <v>22</v>
      </c>
    </row>
    <row r="3999" spans="1:11" x14ac:dyDescent="0.2">
      <c r="A3999" s="27" t="s">
        <v>9694</v>
      </c>
      <c r="B3999" s="27" t="s">
        <v>9695</v>
      </c>
      <c r="C3999" s="27" t="s">
        <v>450</v>
      </c>
      <c r="D3999" s="27" t="s">
        <v>17</v>
      </c>
      <c r="E3999" s="27" t="s">
        <v>42</v>
      </c>
      <c r="F3999" s="27" t="s">
        <v>43</v>
      </c>
      <c r="G3999" s="27" t="s">
        <v>28</v>
      </c>
      <c r="H3999" s="29">
        <v>174</v>
      </c>
      <c r="I3999" s="27" t="s">
        <v>29</v>
      </c>
      <c r="J3999" s="37">
        <v>45632</v>
      </c>
      <c r="K3999" s="27" t="s">
        <v>22</v>
      </c>
    </row>
    <row r="4000" spans="1:11" x14ac:dyDescent="0.2">
      <c r="A4000" s="24" t="s">
        <v>9696</v>
      </c>
      <c r="B4000" s="24" t="s">
        <v>9697</v>
      </c>
      <c r="C4000" s="24" t="s">
        <v>9698</v>
      </c>
      <c r="D4000" s="24" t="s">
        <v>17</v>
      </c>
      <c r="E4000" s="24" t="s">
        <v>18</v>
      </c>
      <c r="F4000" s="24" t="s">
        <v>19</v>
      </c>
      <c r="G4000" s="24" t="s">
        <v>20</v>
      </c>
      <c r="H4000" s="26">
        <v>66</v>
      </c>
      <c r="I4000" s="24" t="s">
        <v>21</v>
      </c>
      <c r="J4000" s="36">
        <v>45627</v>
      </c>
      <c r="K4000" s="24" t="s">
        <v>22</v>
      </c>
    </row>
    <row r="4001" spans="1:11" x14ac:dyDescent="0.2">
      <c r="A4001" s="27" t="s">
        <v>9699</v>
      </c>
      <c r="B4001" s="27" t="s">
        <v>9700</v>
      </c>
      <c r="C4001" s="27" t="s">
        <v>9701</v>
      </c>
      <c r="D4001" s="27" t="s">
        <v>17</v>
      </c>
      <c r="E4001" s="27" t="s">
        <v>48</v>
      </c>
      <c r="F4001" s="27" t="s">
        <v>49</v>
      </c>
      <c r="G4001" s="27" t="s">
        <v>28</v>
      </c>
      <c r="H4001" s="29">
        <v>15</v>
      </c>
      <c r="I4001" s="27" t="s">
        <v>29</v>
      </c>
      <c r="J4001" s="37">
        <v>45642</v>
      </c>
      <c r="K4001" s="27" t="s">
        <v>22</v>
      </c>
    </row>
    <row r="4002" spans="1:11" x14ac:dyDescent="0.2">
      <c r="A4002" s="24" t="s">
        <v>9702</v>
      </c>
      <c r="B4002" s="24" t="s">
        <v>9703</v>
      </c>
      <c r="C4002" s="24" t="s">
        <v>208</v>
      </c>
      <c r="D4002" s="24" t="s">
        <v>17</v>
      </c>
      <c r="E4002" s="24" t="s">
        <v>81</v>
      </c>
      <c r="F4002" s="24" t="s">
        <v>82</v>
      </c>
      <c r="G4002" s="24" t="s">
        <v>44</v>
      </c>
      <c r="H4002" s="26">
        <v>6</v>
      </c>
      <c r="I4002" s="24" t="s">
        <v>21</v>
      </c>
      <c r="J4002" s="36">
        <v>45630</v>
      </c>
      <c r="K4002" s="24" t="s">
        <v>22</v>
      </c>
    </row>
    <row r="4003" spans="1:11" x14ac:dyDescent="0.2">
      <c r="A4003" s="27" t="s">
        <v>9704</v>
      </c>
      <c r="B4003" s="27" t="s">
        <v>9705</v>
      </c>
      <c r="C4003" s="27" t="s">
        <v>106</v>
      </c>
      <c r="D4003" s="27" t="s">
        <v>17</v>
      </c>
      <c r="E4003" s="27" t="s">
        <v>48</v>
      </c>
      <c r="F4003" s="27" t="s">
        <v>49</v>
      </c>
      <c r="G4003" s="27" t="s">
        <v>44</v>
      </c>
      <c r="H4003" s="29">
        <v>45</v>
      </c>
      <c r="I4003" s="27" t="s">
        <v>21</v>
      </c>
      <c r="J4003" s="37">
        <v>45637</v>
      </c>
      <c r="K4003" s="27" t="s">
        <v>22</v>
      </c>
    </row>
    <row r="4004" spans="1:11" x14ac:dyDescent="0.2">
      <c r="A4004" s="24" t="s">
        <v>9706</v>
      </c>
      <c r="B4004" s="24" t="s">
        <v>9707</v>
      </c>
      <c r="C4004" s="24" t="s">
        <v>9708</v>
      </c>
      <c r="D4004" s="24" t="s">
        <v>17</v>
      </c>
      <c r="E4004" s="24" t="s">
        <v>18</v>
      </c>
      <c r="F4004" s="24" t="s">
        <v>19</v>
      </c>
      <c r="G4004" s="24" t="s">
        <v>20</v>
      </c>
      <c r="H4004" s="26">
        <v>56</v>
      </c>
      <c r="I4004" s="24" t="s">
        <v>21</v>
      </c>
      <c r="J4004" s="36">
        <v>45649</v>
      </c>
      <c r="K4004" s="24" t="s">
        <v>22</v>
      </c>
    </row>
    <row r="4005" spans="1:11" x14ac:dyDescent="0.2">
      <c r="A4005" s="27" t="s">
        <v>9709</v>
      </c>
      <c r="B4005" s="27" t="s">
        <v>9710</v>
      </c>
      <c r="C4005" s="27" t="s">
        <v>97</v>
      </c>
      <c r="D4005" s="27" t="s">
        <v>17</v>
      </c>
      <c r="E4005" s="27" t="s">
        <v>18</v>
      </c>
      <c r="F4005" s="27" t="s">
        <v>19</v>
      </c>
      <c r="G4005" s="27" t="s">
        <v>20</v>
      </c>
      <c r="H4005" s="29">
        <v>33</v>
      </c>
      <c r="I4005" s="27" t="s">
        <v>21</v>
      </c>
      <c r="J4005" s="37">
        <v>45645</v>
      </c>
      <c r="K4005" s="27" t="s">
        <v>22</v>
      </c>
    </row>
    <row r="4006" spans="1:11" x14ac:dyDescent="0.2">
      <c r="A4006" s="24" t="s">
        <v>9711</v>
      </c>
      <c r="B4006" s="24" t="s">
        <v>9712</v>
      </c>
      <c r="C4006" s="24" t="s">
        <v>2779</v>
      </c>
      <c r="D4006" s="24" t="s">
        <v>17</v>
      </c>
      <c r="E4006" s="24" t="s">
        <v>18</v>
      </c>
      <c r="F4006" s="24" t="s">
        <v>19</v>
      </c>
      <c r="G4006" s="24" t="s">
        <v>28</v>
      </c>
      <c r="H4006" s="26">
        <v>168</v>
      </c>
      <c r="I4006" s="24" t="s">
        <v>29</v>
      </c>
      <c r="J4006" s="36">
        <v>45635</v>
      </c>
      <c r="K4006" s="24" t="s">
        <v>22</v>
      </c>
    </row>
    <row r="4007" spans="1:11" x14ac:dyDescent="0.2">
      <c r="A4007" s="27" t="s">
        <v>9713</v>
      </c>
      <c r="B4007" s="27" t="s">
        <v>9714</v>
      </c>
      <c r="C4007" s="27" t="s">
        <v>85</v>
      </c>
      <c r="D4007" s="27" t="s">
        <v>17</v>
      </c>
      <c r="E4007" s="27" t="s">
        <v>48</v>
      </c>
      <c r="F4007" s="27" t="s">
        <v>49</v>
      </c>
      <c r="G4007" s="27" t="s">
        <v>44</v>
      </c>
      <c r="H4007" s="29">
        <v>83</v>
      </c>
      <c r="I4007" s="27" t="s">
        <v>21</v>
      </c>
      <c r="J4007" s="37">
        <v>45645</v>
      </c>
      <c r="K4007" s="27" t="s">
        <v>22</v>
      </c>
    </row>
    <row r="4008" spans="1:11" x14ac:dyDescent="0.2">
      <c r="A4008" s="24" t="s">
        <v>9715</v>
      </c>
      <c r="B4008" s="24" t="s">
        <v>9716</v>
      </c>
      <c r="C4008" s="24" t="s">
        <v>242</v>
      </c>
      <c r="D4008" s="24" t="s">
        <v>17</v>
      </c>
      <c r="E4008" s="24" t="s">
        <v>18</v>
      </c>
      <c r="F4008" s="24" t="s">
        <v>19</v>
      </c>
      <c r="G4008" s="24" t="s">
        <v>28</v>
      </c>
      <c r="H4008" s="26">
        <v>50</v>
      </c>
      <c r="I4008" s="24" t="s">
        <v>29</v>
      </c>
      <c r="J4008" s="36">
        <v>45628</v>
      </c>
      <c r="K4008" s="24" t="s">
        <v>22</v>
      </c>
    </row>
    <row r="4009" spans="1:11" x14ac:dyDescent="0.2">
      <c r="A4009" s="27" t="s">
        <v>9717</v>
      </c>
      <c r="B4009" s="27" t="s">
        <v>9718</v>
      </c>
      <c r="C4009" s="27" t="s">
        <v>4277</v>
      </c>
      <c r="D4009" s="27" t="s">
        <v>17</v>
      </c>
      <c r="E4009" s="27" t="s">
        <v>42</v>
      </c>
      <c r="F4009" s="27" t="s">
        <v>43</v>
      </c>
      <c r="G4009" s="27" t="s">
        <v>59</v>
      </c>
      <c r="H4009" s="29">
        <v>101</v>
      </c>
      <c r="I4009" s="27" t="s">
        <v>21</v>
      </c>
      <c r="J4009" s="37">
        <v>45637</v>
      </c>
      <c r="K4009" s="27" t="s">
        <v>22</v>
      </c>
    </row>
    <row r="4010" spans="1:11" x14ac:dyDescent="0.2">
      <c r="A4010" s="24" t="s">
        <v>9719</v>
      </c>
      <c r="B4010" s="24" t="s">
        <v>9720</v>
      </c>
      <c r="C4010" s="24" t="s">
        <v>85</v>
      </c>
      <c r="D4010" s="24" t="s">
        <v>17</v>
      </c>
      <c r="E4010" s="24" t="s">
        <v>48</v>
      </c>
      <c r="F4010" s="24" t="s">
        <v>49</v>
      </c>
      <c r="G4010" s="24" t="s">
        <v>28</v>
      </c>
      <c r="H4010" s="26">
        <v>180</v>
      </c>
      <c r="I4010" s="24" t="s">
        <v>29</v>
      </c>
      <c r="J4010" s="36">
        <v>45639</v>
      </c>
      <c r="K4010" s="24" t="s">
        <v>22</v>
      </c>
    </row>
    <row r="4011" spans="1:11" x14ac:dyDescent="0.2">
      <c r="A4011" s="27" t="s">
        <v>9721</v>
      </c>
      <c r="B4011" s="27" t="s">
        <v>9722</v>
      </c>
      <c r="C4011" s="27" t="s">
        <v>1766</v>
      </c>
      <c r="D4011" s="27" t="s">
        <v>17</v>
      </c>
      <c r="E4011" s="27" t="s">
        <v>18</v>
      </c>
      <c r="F4011" s="27" t="s">
        <v>19</v>
      </c>
      <c r="G4011" s="27" t="s">
        <v>20</v>
      </c>
      <c r="H4011" s="29">
        <v>24</v>
      </c>
      <c r="I4011" s="27" t="s">
        <v>21</v>
      </c>
      <c r="J4011" s="37">
        <v>45656</v>
      </c>
      <c r="K4011" s="27" t="s">
        <v>22</v>
      </c>
    </row>
    <row r="4012" spans="1:11" x14ac:dyDescent="0.2">
      <c r="A4012" s="24" t="s">
        <v>9723</v>
      </c>
      <c r="B4012" s="24" t="s">
        <v>9724</v>
      </c>
      <c r="C4012" s="24" t="s">
        <v>55</v>
      </c>
      <c r="D4012" s="24" t="s">
        <v>17</v>
      </c>
      <c r="E4012" s="24" t="s">
        <v>42</v>
      </c>
      <c r="F4012" s="24" t="s">
        <v>43</v>
      </c>
      <c r="G4012" s="24" t="s">
        <v>28</v>
      </c>
      <c r="H4012" s="26">
        <v>3082</v>
      </c>
      <c r="I4012" s="24" t="s">
        <v>29</v>
      </c>
      <c r="J4012" s="36">
        <v>45628</v>
      </c>
      <c r="K4012" s="24" t="s">
        <v>22</v>
      </c>
    </row>
    <row r="4013" spans="1:11" x14ac:dyDescent="0.2">
      <c r="A4013" s="27" t="s">
        <v>9725</v>
      </c>
      <c r="B4013" s="27" t="s">
        <v>9726</v>
      </c>
      <c r="C4013" s="27" t="s">
        <v>437</v>
      </c>
      <c r="D4013" s="27" t="s">
        <v>17</v>
      </c>
      <c r="E4013" s="27" t="s">
        <v>42</v>
      </c>
      <c r="F4013" s="27" t="s">
        <v>43</v>
      </c>
      <c r="G4013" s="27" t="s">
        <v>28</v>
      </c>
      <c r="H4013" s="29">
        <v>675</v>
      </c>
      <c r="I4013" s="27" t="s">
        <v>29</v>
      </c>
      <c r="J4013" s="37">
        <v>45635</v>
      </c>
      <c r="K4013" s="27" t="s">
        <v>22</v>
      </c>
    </row>
    <row r="4014" spans="1:11" x14ac:dyDescent="0.2">
      <c r="A4014" s="24" t="s">
        <v>9727</v>
      </c>
      <c r="B4014" s="24" t="s">
        <v>9728</v>
      </c>
      <c r="C4014" s="24" t="s">
        <v>7975</v>
      </c>
      <c r="D4014" s="24" t="s">
        <v>17</v>
      </c>
      <c r="E4014" s="24" t="s">
        <v>26</v>
      </c>
      <c r="F4014" s="24" t="s">
        <v>27</v>
      </c>
      <c r="G4014" s="24" t="s">
        <v>20</v>
      </c>
      <c r="H4014" s="26">
        <v>20</v>
      </c>
      <c r="I4014" s="24" t="s">
        <v>21</v>
      </c>
      <c r="J4014" s="36">
        <v>45641</v>
      </c>
      <c r="K4014" s="24" t="s">
        <v>22</v>
      </c>
    </row>
    <row r="4015" spans="1:11" x14ac:dyDescent="0.2">
      <c r="A4015" s="27" t="s">
        <v>9729</v>
      </c>
      <c r="B4015" s="27" t="s">
        <v>9730</v>
      </c>
      <c r="C4015" s="27" t="s">
        <v>526</v>
      </c>
      <c r="D4015" s="27" t="s">
        <v>17</v>
      </c>
      <c r="E4015" s="27" t="s">
        <v>18</v>
      </c>
      <c r="F4015" s="27" t="s">
        <v>19</v>
      </c>
      <c r="G4015" s="27" t="s">
        <v>20</v>
      </c>
      <c r="H4015" s="29">
        <v>86</v>
      </c>
      <c r="I4015" s="27" t="s">
        <v>21</v>
      </c>
      <c r="J4015" s="37">
        <v>45639</v>
      </c>
      <c r="K4015" s="27" t="s">
        <v>22</v>
      </c>
    </row>
    <row r="4016" spans="1:11" x14ac:dyDescent="0.2">
      <c r="A4016" s="24" t="s">
        <v>9731</v>
      </c>
      <c r="B4016" s="24" t="s">
        <v>9732</v>
      </c>
      <c r="C4016" s="24" t="s">
        <v>8768</v>
      </c>
      <c r="D4016" s="24" t="s">
        <v>17</v>
      </c>
      <c r="E4016" s="24" t="s">
        <v>48</v>
      </c>
      <c r="F4016" s="24" t="s">
        <v>49</v>
      </c>
      <c r="G4016" s="24" t="s">
        <v>44</v>
      </c>
      <c r="H4016" s="26">
        <v>493</v>
      </c>
      <c r="I4016" s="24" t="s">
        <v>21</v>
      </c>
      <c r="J4016" s="36">
        <v>45635</v>
      </c>
      <c r="K4016" s="24" t="s">
        <v>22</v>
      </c>
    </row>
    <row r="4017" spans="1:11" x14ac:dyDescent="0.2">
      <c r="A4017" s="27" t="s">
        <v>9733</v>
      </c>
      <c r="B4017" s="27" t="s">
        <v>9734</v>
      </c>
      <c r="C4017" s="27" t="s">
        <v>301</v>
      </c>
      <c r="D4017" s="27" t="s">
        <v>17</v>
      </c>
      <c r="E4017" s="27" t="s">
        <v>42</v>
      </c>
      <c r="F4017" s="27" t="s">
        <v>43</v>
      </c>
      <c r="G4017" s="27" t="s">
        <v>28</v>
      </c>
      <c r="H4017" s="29">
        <v>700</v>
      </c>
      <c r="I4017" s="27" t="s">
        <v>29</v>
      </c>
      <c r="J4017" s="37">
        <v>45638</v>
      </c>
      <c r="K4017" s="27" t="s">
        <v>22</v>
      </c>
    </row>
    <row r="4018" spans="1:11" x14ac:dyDescent="0.2">
      <c r="A4018" s="24" t="s">
        <v>9735</v>
      </c>
      <c r="B4018" s="24" t="s">
        <v>9736</v>
      </c>
      <c r="C4018" s="24" t="s">
        <v>208</v>
      </c>
      <c r="D4018" s="24" t="s">
        <v>17</v>
      </c>
      <c r="E4018" s="24" t="s">
        <v>48</v>
      </c>
      <c r="F4018" s="24" t="s">
        <v>49</v>
      </c>
      <c r="G4018" s="24" t="s">
        <v>28</v>
      </c>
      <c r="H4018" s="26">
        <v>84</v>
      </c>
      <c r="I4018" s="24" t="s">
        <v>29</v>
      </c>
      <c r="J4018" s="36">
        <v>45645</v>
      </c>
      <c r="K4018" s="24" t="s">
        <v>22</v>
      </c>
    </row>
    <row r="4019" spans="1:11" x14ac:dyDescent="0.2">
      <c r="A4019" s="27" t="s">
        <v>9737</v>
      </c>
      <c r="B4019" s="27" t="s">
        <v>9738</v>
      </c>
      <c r="C4019" s="27" t="s">
        <v>2491</v>
      </c>
      <c r="D4019" s="27" t="s">
        <v>17</v>
      </c>
      <c r="E4019" s="27" t="s">
        <v>33</v>
      </c>
      <c r="F4019" s="27" t="s">
        <v>34</v>
      </c>
      <c r="G4019" s="27" t="s">
        <v>217</v>
      </c>
      <c r="H4019" s="29">
        <v>234</v>
      </c>
      <c r="I4019" s="27" t="s">
        <v>29</v>
      </c>
      <c r="J4019" s="37">
        <v>45656</v>
      </c>
      <c r="K4019" s="27" t="s">
        <v>22</v>
      </c>
    </row>
    <row r="4020" spans="1:11" x14ac:dyDescent="0.2">
      <c r="A4020" s="24" t="s">
        <v>9739</v>
      </c>
      <c r="B4020" s="24" t="s">
        <v>9740</v>
      </c>
      <c r="C4020" s="24" t="s">
        <v>52</v>
      </c>
      <c r="D4020" s="24" t="s">
        <v>17</v>
      </c>
      <c r="E4020" s="24" t="s">
        <v>42</v>
      </c>
      <c r="F4020" s="24" t="s">
        <v>43</v>
      </c>
      <c r="G4020" s="24" t="s">
        <v>44</v>
      </c>
      <c r="H4020" s="26">
        <v>840</v>
      </c>
      <c r="I4020" s="24" t="s">
        <v>21</v>
      </c>
      <c r="J4020" s="36">
        <v>45640</v>
      </c>
      <c r="K4020" s="24" t="s">
        <v>22</v>
      </c>
    </row>
    <row r="4021" spans="1:11" x14ac:dyDescent="0.2">
      <c r="A4021" s="27" t="s">
        <v>9741</v>
      </c>
      <c r="B4021" s="27" t="s">
        <v>9742</v>
      </c>
      <c r="C4021" s="27" t="s">
        <v>1093</v>
      </c>
      <c r="D4021" s="27" t="s">
        <v>17</v>
      </c>
      <c r="E4021" s="27" t="s">
        <v>42</v>
      </c>
      <c r="F4021" s="27" t="s">
        <v>43</v>
      </c>
      <c r="G4021" s="27" t="s">
        <v>116</v>
      </c>
      <c r="H4021" s="29">
        <v>0</v>
      </c>
      <c r="I4021" s="27" t="s">
        <v>21</v>
      </c>
      <c r="J4021" s="37">
        <v>45627</v>
      </c>
      <c r="K4021" s="27" t="s">
        <v>22</v>
      </c>
    </row>
    <row r="4022" spans="1:11" x14ac:dyDescent="0.2">
      <c r="A4022" s="24" t="s">
        <v>9743</v>
      </c>
      <c r="B4022" s="24" t="s">
        <v>9744</v>
      </c>
      <c r="C4022" s="24" t="s">
        <v>9745</v>
      </c>
      <c r="D4022" s="24" t="s">
        <v>17</v>
      </c>
      <c r="E4022" s="24" t="s">
        <v>18</v>
      </c>
      <c r="F4022" s="24" t="s">
        <v>19</v>
      </c>
      <c r="G4022" s="24" t="s">
        <v>20</v>
      </c>
      <c r="H4022" s="26">
        <v>243</v>
      </c>
      <c r="I4022" s="24" t="s">
        <v>21</v>
      </c>
      <c r="J4022" s="36">
        <v>45628</v>
      </c>
      <c r="K4022" s="24" t="s">
        <v>22</v>
      </c>
    </row>
    <row r="4023" spans="1:11" x14ac:dyDescent="0.2">
      <c r="A4023" s="27" t="s">
        <v>9746</v>
      </c>
      <c r="B4023" s="27" t="s">
        <v>9747</v>
      </c>
      <c r="C4023" s="27" t="s">
        <v>486</v>
      </c>
      <c r="D4023" s="27" t="s">
        <v>17</v>
      </c>
      <c r="E4023" s="27" t="s">
        <v>163</v>
      </c>
      <c r="F4023" s="27" t="s">
        <v>164</v>
      </c>
      <c r="G4023" s="27" t="s">
        <v>217</v>
      </c>
      <c r="H4023" s="29">
        <v>12</v>
      </c>
      <c r="I4023" s="27" t="s">
        <v>29</v>
      </c>
      <c r="J4023" s="37">
        <v>45639</v>
      </c>
      <c r="K4023" s="27" t="s">
        <v>22</v>
      </c>
    </row>
    <row r="4024" spans="1:11" x14ac:dyDescent="0.2">
      <c r="A4024" s="24" t="s">
        <v>9748</v>
      </c>
      <c r="B4024" s="24" t="s">
        <v>9749</v>
      </c>
      <c r="C4024" s="24" t="s">
        <v>3289</v>
      </c>
      <c r="D4024" s="24" t="s">
        <v>17</v>
      </c>
      <c r="E4024" s="24" t="s">
        <v>48</v>
      </c>
      <c r="F4024" s="24" t="s">
        <v>49</v>
      </c>
      <c r="G4024" s="24" t="s">
        <v>28</v>
      </c>
      <c r="H4024" s="26">
        <v>130</v>
      </c>
      <c r="I4024" s="24" t="s">
        <v>29</v>
      </c>
      <c r="J4024" s="36">
        <v>45632</v>
      </c>
      <c r="K4024" s="24" t="s">
        <v>22</v>
      </c>
    </row>
    <row r="4025" spans="1:11" x14ac:dyDescent="0.2">
      <c r="A4025" s="27" t="s">
        <v>9750</v>
      </c>
      <c r="B4025" s="27" t="s">
        <v>9751</v>
      </c>
      <c r="C4025" s="27" t="s">
        <v>9752</v>
      </c>
      <c r="D4025" s="27" t="s">
        <v>17</v>
      </c>
      <c r="E4025" s="27" t="s">
        <v>26</v>
      </c>
      <c r="F4025" s="27" t="s">
        <v>27</v>
      </c>
      <c r="G4025" s="27" t="s">
        <v>28</v>
      </c>
      <c r="H4025" s="29">
        <v>100</v>
      </c>
      <c r="I4025" s="27" t="s">
        <v>29</v>
      </c>
      <c r="J4025" s="37">
        <v>45656</v>
      </c>
      <c r="K4025" s="27" t="s">
        <v>22</v>
      </c>
    </row>
    <row r="4026" spans="1:11" x14ac:dyDescent="0.2">
      <c r="A4026" s="24" t="s">
        <v>9753</v>
      </c>
      <c r="B4026" s="24" t="s">
        <v>9754</v>
      </c>
      <c r="C4026" s="24" t="s">
        <v>251</v>
      </c>
      <c r="D4026" s="24" t="s">
        <v>17</v>
      </c>
      <c r="E4026" s="24" t="s">
        <v>42</v>
      </c>
      <c r="F4026" s="24" t="s">
        <v>43</v>
      </c>
      <c r="G4026" s="24" t="s">
        <v>28</v>
      </c>
      <c r="H4026" s="26">
        <v>51</v>
      </c>
      <c r="I4026" s="24" t="s">
        <v>29</v>
      </c>
      <c r="J4026" s="36">
        <v>45635</v>
      </c>
      <c r="K4026" s="24" t="s">
        <v>22</v>
      </c>
    </row>
    <row r="4027" spans="1:11" x14ac:dyDescent="0.2">
      <c r="A4027" s="27" t="s">
        <v>9755</v>
      </c>
      <c r="B4027" s="27" t="s">
        <v>9756</v>
      </c>
      <c r="C4027" s="27" t="s">
        <v>2527</v>
      </c>
      <c r="D4027" s="27" t="s">
        <v>17</v>
      </c>
      <c r="E4027" s="27" t="s">
        <v>42</v>
      </c>
      <c r="F4027" s="27" t="s">
        <v>43</v>
      </c>
      <c r="G4027" s="27" t="s">
        <v>217</v>
      </c>
      <c r="H4027" s="29">
        <v>45</v>
      </c>
      <c r="I4027" s="27" t="s">
        <v>29</v>
      </c>
      <c r="J4027" s="37">
        <v>45628</v>
      </c>
      <c r="K4027" s="27" t="s">
        <v>22</v>
      </c>
    </row>
    <row r="4028" spans="1:11" x14ac:dyDescent="0.2">
      <c r="A4028" s="24" t="s">
        <v>9757</v>
      </c>
      <c r="B4028" s="24" t="s">
        <v>9758</v>
      </c>
      <c r="C4028" s="24" t="s">
        <v>9759</v>
      </c>
      <c r="D4028" s="24" t="s">
        <v>17</v>
      </c>
      <c r="E4028" s="24" t="s">
        <v>18</v>
      </c>
      <c r="F4028" s="24" t="s">
        <v>19</v>
      </c>
      <c r="G4028" s="24" t="s">
        <v>20</v>
      </c>
      <c r="H4028" s="26">
        <v>24</v>
      </c>
      <c r="I4028" s="24" t="s">
        <v>21</v>
      </c>
      <c r="J4028" s="36">
        <v>45643</v>
      </c>
      <c r="K4028" s="24" t="s">
        <v>22</v>
      </c>
    </row>
    <row r="4029" spans="1:11" x14ac:dyDescent="0.2">
      <c r="A4029" s="27" t="s">
        <v>9760</v>
      </c>
      <c r="B4029" s="27" t="s">
        <v>9761</v>
      </c>
      <c r="C4029" s="27" t="s">
        <v>621</v>
      </c>
      <c r="D4029" s="27" t="s">
        <v>17</v>
      </c>
      <c r="E4029" s="27" t="s">
        <v>18</v>
      </c>
      <c r="F4029" s="27" t="s">
        <v>19</v>
      </c>
      <c r="G4029" s="27" t="s">
        <v>28</v>
      </c>
      <c r="H4029" s="29">
        <v>24</v>
      </c>
      <c r="I4029" s="27" t="s">
        <v>29</v>
      </c>
      <c r="J4029" s="37">
        <v>45636</v>
      </c>
      <c r="K4029" s="27" t="s">
        <v>22</v>
      </c>
    </row>
    <row r="4030" spans="1:11" x14ac:dyDescent="0.2">
      <c r="A4030" s="24" t="s">
        <v>9762</v>
      </c>
      <c r="B4030" s="24" t="s">
        <v>9763</v>
      </c>
      <c r="C4030" s="24" t="s">
        <v>687</v>
      </c>
      <c r="D4030" s="24" t="s">
        <v>17</v>
      </c>
      <c r="E4030" s="24" t="s">
        <v>48</v>
      </c>
      <c r="F4030" s="24" t="s">
        <v>49</v>
      </c>
      <c r="G4030" s="24" t="s">
        <v>28</v>
      </c>
      <c r="H4030" s="26">
        <v>465</v>
      </c>
      <c r="I4030" s="24" t="s">
        <v>29</v>
      </c>
      <c r="J4030" s="36">
        <v>45628</v>
      </c>
      <c r="K4030" s="24" t="s">
        <v>22</v>
      </c>
    </row>
    <row r="4031" spans="1:11" x14ac:dyDescent="0.2">
      <c r="A4031" s="27" t="s">
        <v>9764</v>
      </c>
      <c r="B4031" s="27" t="s">
        <v>9765</v>
      </c>
      <c r="C4031" s="27" t="s">
        <v>429</v>
      </c>
      <c r="D4031" s="27" t="s">
        <v>17</v>
      </c>
      <c r="E4031" s="27" t="s">
        <v>18</v>
      </c>
      <c r="F4031" s="27" t="s">
        <v>19</v>
      </c>
      <c r="G4031" s="27" t="s">
        <v>28</v>
      </c>
      <c r="H4031" s="29">
        <v>190</v>
      </c>
      <c r="I4031" s="27" t="s">
        <v>29</v>
      </c>
      <c r="J4031" s="37">
        <v>45656</v>
      </c>
      <c r="K4031" s="27" t="s">
        <v>22</v>
      </c>
    </row>
    <row r="4032" spans="1:11" x14ac:dyDescent="0.2">
      <c r="A4032" s="24" t="s">
        <v>9766</v>
      </c>
      <c r="B4032" s="24" t="s">
        <v>9767</v>
      </c>
      <c r="C4032" s="24" t="s">
        <v>9768</v>
      </c>
      <c r="D4032" s="24" t="s">
        <v>17</v>
      </c>
      <c r="E4032" s="24" t="s">
        <v>48</v>
      </c>
      <c r="F4032" s="24" t="s">
        <v>49</v>
      </c>
      <c r="G4032" s="24" t="s">
        <v>28</v>
      </c>
      <c r="H4032" s="26">
        <v>24</v>
      </c>
      <c r="I4032" s="24" t="s">
        <v>29</v>
      </c>
      <c r="J4032" s="36">
        <v>45642</v>
      </c>
      <c r="K4032" s="24" t="s">
        <v>22</v>
      </c>
    </row>
    <row r="4033" spans="1:11" x14ac:dyDescent="0.2">
      <c r="A4033" s="27" t="s">
        <v>9769</v>
      </c>
      <c r="B4033" s="27" t="s">
        <v>9770</v>
      </c>
      <c r="C4033" s="27" t="s">
        <v>687</v>
      </c>
      <c r="D4033" s="27" t="s">
        <v>17</v>
      </c>
      <c r="E4033" s="27" t="s">
        <v>18</v>
      </c>
      <c r="F4033" s="27" t="s">
        <v>19</v>
      </c>
      <c r="G4033" s="27" t="s">
        <v>28</v>
      </c>
      <c r="H4033" s="29">
        <v>177</v>
      </c>
      <c r="I4033" s="27" t="s">
        <v>29</v>
      </c>
      <c r="J4033" s="37">
        <v>45629</v>
      </c>
      <c r="K4033" s="27" t="s">
        <v>22</v>
      </c>
    </row>
    <row r="4034" spans="1:11" x14ac:dyDescent="0.2">
      <c r="A4034" s="24" t="s">
        <v>9771</v>
      </c>
      <c r="B4034" s="24" t="s">
        <v>9772</v>
      </c>
      <c r="C4034" s="24" t="s">
        <v>8379</v>
      </c>
      <c r="D4034" s="24" t="s">
        <v>17</v>
      </c>
      <c r="E4034" s="24" t="s">
        <v>42</v>
      </c>
      <c r="F4034" s="24" t="s">
        <v>43</v>
      </c>
      <c r="G4034" s="24" t="s">
        <v>28</v>
      </c>
      <c r="H4034" s="26">
        <v>450</v>
      </c>
      <c r="I4034" s="24" t="s">
        <v>29</v>
      </c>
      <c r="J4034" s="36">
        <v>45637</v>
      </c>
      <c r="K4034" s="24" t="s">
        <v>22</v>
      </c>
    </row>
    <row r="4035" spans="1:11" x14ac:dyDescent="0.2">
      <c r="A4035" s="27" t="s">
        <v>9773</v>
      </c>
      <c r="B4035" s="27" t="s">
        <v>9774</v>
      </c>
      <c r="C4035" s="27" t="s">
        <v>97</v>
      </c>
      <c r="D4035" s="27" t="s">
        <v>17</v>
      </c>
      <c r="E4035" s="27" t="s">
        <v>18</v>
      </c>
      <c r="F4035" s="27" t="s">
        <v>19</v>
      </c>
      <c r="G4035" s="27" t="s">
        <v>20</v>
      </c>
      <c r="H4035" s="29">
        <v>29</v>
      </c>
      <c r="I4035" s="27" t="s">
        <v>21</v>
      </c>
      <c r="J4035" s="37">
        <v>45635</v>
      </c>
      <c r="K4035" s="27" t="s">
        <v>22</v>
      </c>
    </row>
    <row r="4036" spans="1:11" x14ac:dyDescent="0.2">
      <c r="A4036" s="24" t="s">
        <v>9775</v>
      </c>
      <c r="B4036" s="24" t="s">
        <v>9776</v>
      </c>
      <c r="C4036" s="24" t="s">
        <v>2309</v>
      </c>
      <c r="D4036" s="24" t="s">
        <v>17</v>
      </c>
      <c r="E4036" s="24" t="s">
        <v>18</v>
      </c>
      <c r="F4036" s="24" t="s">
        <v>19</v>
      </c>
      <c r="G4036" s="24" t="s">
        <v>217</v>
      </c>
      <c r="H4036" s="26">
        <v>80</v>
      </c>
      <c r="I4036" s="24" t="s">
        <v>29</v>
      </c>
      <c r="J4036" s="36">
        <v>45642</v>
      </c>
      <c r="K4036" s="24" t="s">
        <v>22</v>
      </c>
    </row>
    <row r="4037" spans="1:11" x14ac:dyDescent="0.2">
      <c r="A4037" s="27" t="s">
        <v>9777</v>
      </c>
      <c r="B4037" s="27" t="s">
        <v>9778</v>
      </c>
      <c r="C4037" s="27" t="s">
        <v>263</v>
      </c>
      <c r="D4037" s="27" t="s">
        <v>17</v>
      </c>
      <c r="E4037" s="27" t="s">
        <v>48</v>
      </c>
      <c r="F4037" s="27" t="s">
        <v>49</v>
      </c>
      <c r="G4037" s="27" t="s">
        <v>28</v>
      </c>
      <c r="H4037" s="29">
        <v>24</v>
      </c>
      <c r="I4037" s="27" t="s">
        <v>29</v>
      </c>
      <c r="J4037" s="37">
        <v>45636</v>
      </c>
      <c r="K4037" s="27" t="s">
        <v>22</v>
      </c>
    </row>
    <row r="4038" spans="1:11" x14ac:dyDescent="0.2">
      <c r="A4038" s="24" t="s">
        <v>9779</v>
      </c>
      <c r="B4038" s="24" t="s">
        <v>9780</v>
      </c>
      <c r="C4038" s="24" t="s">
        <v>9781</v>
      </c>
      <c r="D4038" s="24" t="s">
        <v>17</v>
      </c>
      <c r="E4038" s="24" t="s">
        <v>48</v>
      </c>
      <c r="F4038" s="24" t="s">
        <v>49</v>
      </c>
      <c r="G4038" s="24" t="s">
        <v>28</v>
      </c>
      <c r="H4038" s="26">
        <v>40</v>
      </c>
      <c r="I4038" s="24" t="s">
        <v>29</v>
      </c>
      <c r="J4038" s="36">
        <v>45638</v>
      </c>
      <c r="K4038" s="24" t="s">
        <v>22</v>
      </c>
    </row>
    <row r="4039" spans="1:11" x14ac:dyDescent="0.2">
      <c r="A4039" s="27" t="s">
        <v>9782</v>
      </c>
      <c r="B4039" s="27" t="s">
        <v>9783</v>
      </c>
      <c r="C4039" s="27" t="s">
        <v>678</v>
      </c>
      <c r="D4039" s="27" t="s">
        <v>17</v>
      </c>
      <c r="E4039" s="27" t="s">
        <v>48</v>
      </c>
      <c r="F4039" s="27" t="s">
        <v>49</v>
      </c>
      <c r="G4039" s="27" t="s">
        <v>28</v>
      </c>
      <c r="H4039" s="29">
        <v>178</v>
      </c>
      <c r="I4039" s="27" t="s">
        <v>29</v>
      </c>
      <c r="J4039" s="37">
        <v>45631</v>
      </c>
      <c r="K4039" s="27" t="s">
        <v>22</v>
      </c>
    </row>
    <row r="4040" spans="1:11" x14ac:dyDescent="0.2">
      <c r="A4040" s="24" t="s">
        <v>9784</v>
      </c>
      <c r="B4040" s="24" t="s">
        <v>9785</v>
      </c>
      <c r="C4040" s="24" t="s">
        <v>85</v>
      </c>
      <c r="D4040" s="24" t="s">
        <v>17</v>
      </c>
      <c r="E4040" s="24" t="s">
        <v>42</v>
      </c>
      <c r="F4040" s="24" t="s">
        <v>43</v>
      </c>
      <c r="G4040" s="24" t="s">
        <v>28</v>
      </c>
      <c r="H4040" s="26">
        <v>231</v>
      </c>
      <c r="I4040" s="24" t="s">
        <v>29</v>
      </c>
      <c r="J4040" s="36">
        <v>45642</v>
      </c>
      <c r="K4040" s="24" t="s">
        <v>22</v>
      </c>
    </row>
    <row r="4041" spans="1:11" x14ac:dyDescent="0.2">
      <c r="A4041" s="27" t="s">
        <v>9786</v>
      </c>
      <c r="B4041" s="27" t="s">
        <v>9787</v>
      </c>
      <c r="C4041" s="27" t="s">
        <v>2586</v>
      </c>
      <c r="D4041" s="27" t="s">
        <v>17</v>
      </c>
      <c r="E4041" s="27" t="s">
        <v>81</v>
      </c>
      <c r="F4041" s="27" t="s">
        <v>82</v>
      </c>
      <c r="G4041" s="27" t="s">
        <v>20</v>
      </c>
      <c r="H4041" s="29">
        <v>244</v>
      </c>
      <c r="I4041" s="27" t="s">
        <v>21</v>
      </c>
      <c r="J4041" s="37">
        <v>45630</v>
      </c>
      <c r="K4041" s="27" t="s">
        <v>22</v>
      </c>
    </row>
    <row r="4042" spans="1:11" x14ac:dyDescent="0.2">
      <c r="A4042" s="24" t="s">
        <v>9788</v>
      </c>
      <c r="B4042" s="24" t="s">
        <v>9789</v>
      </c>
      <c r="C4042" s="24" t="s">
        <v>68</v>
      </c>
      <c r="D4042" s="24" t="s">
        <v>17</v>
      </c>
      <c r="E4042" s="24" t="s">
        <v>48</v>
      </c>
      <c r="F4042" s="24" t="s">
        <v>49</v>
      </c>
      <c r="G4042" s="24" t="s">
        <v>217</v>
      </c>
      <c r="H4042" s="26">
        <v>78</v>
      </c>
      <c r="I4042" s="24" t="s">
        <v>29</v>
      </c>
      <c r="J4042" s="36">
        <v>45627</v>
      </c>
      <c r="K4042" s="24" t="s">
        <v>22</v>
      </c>
    </row>
    <row r="4043" spans="1:11" x14ac:dyDescent="0.2">
      <c r="A4043" s="27" t="s">
        <v>9790</v>
      </c>
      <c r="B4043" s="27" t="s">
        <v>9791</v>
      </c>
      <c r="C4043" s="27" t="s">
        <v>9792</v>
      </c>
      <c r="D4043" s="27" t="s">
        <v>17</v>
      </c>
      <c r="E4043" s="27" t="s">
        <v>42</v>
      </c>
      <c r="F4043" s="27" t="s">
        <v>43</v>
      </c>
      <c r="G4043" s="27" t="s">
        <v>28</v>
      </c>
      <c r="H4043" s="29">
        <v>363</v>
      </c>
      <c r="I4043" s="27" t="s">
        <v>29</v>
      </c>
      <c r="J4043" s="37">
        <v>45629</v>
      </c>
      <c r="K4043" s="27" t="s">
        <v>22</v>
      </c>
    </row>
    <row r="4044" spans="1:11" x14ac:dyDescent="0.2">
      <c r="A4044" s="24" t="s">
        <v>9793</v>
      </c>
      <c r="B4044" s="24" t="s">
        <v>9794</v>
      </c>
      <c r="C4044" s="24" t="s">
        <v>260</v>
      </c>
      <c r="D4044" s="24" t="s">
        <v>17</v>
      </c>
      <c r="E4044" s="24" t="s">
        <v>42</v>
      </c>
      <c r="F4044" s="24" t="s">
        <v>43</v>
      </c>
      <c r="G4044" s="24" t="s">
        <v>44</v>
      </c>
      <c r="H4044" s="26">
        <v>1714</v>
      </c>
      <c r="I4044" s="24" t="s">
        <v>21</v>
      </c>
      <c r="J4044" s="36">
        <v>45644</v>
      </c>
      <c r="K4044" s="24" t="s">
        <v>22</v>
      </c>
    </row>
    <row r="4045" spans="1:11" x14ac:dyDescent="0.2">
      <c r="A4045" s="27" t="s">
        <v>9795</v>
      </c>
      <c r="B4045" s="27" t="s">
        <v>9796</v>
      </c>
      <c r="C4045" s="27" t="s">
        <v>9797</v>
      </c>
      <c r="D4045" s="27" t="s">
        <v>17</v>
      </c>
      <c r="E4045" s="27" t="s">
        <v>48</v>
      </c>
      <c r="F4045" s="27" t="s">
        <v>49</v>
      </c>
      <c r="G4045" s="27" t="s">
        <v>28</v>
      </c>
      <c r="H4045" s="29">
        <v>100</v>
      </c>
      <c r="I4045" s="27" t="s">
        <v>29</v>
      </c>
      <c r="J4045" s="37">
        <v>45650</v>
      </c>
      <c r="K4045" s="27" t="s">
        <v>22</v>
      </c>
    </row>
    <row r="4046" spans="1:11" x14ac:dyDescent="0.2">
      <c r="A4046" s="24" t="s">
        <v>9798</v>
      </c>
      <c r="B4046" s="24" t="s">
        <v>9799</v>
      </c>
      <c r="C4046" s="24" t="s">
        <v>52</v>
      </c>
      <c r="D4046" s="24" t="s">
        <v>17</v>
      </c>
      <c r="E4046" s="24" t="s">
        <v>33</v>
      </c>
      <c r="F4046" s="24" t="s">
        <v>34</v>
      </c>
      <c r="G4046" s="24" t="s">
        <v>44</v>
      </c>
      <c r="H4046" s="26">
        <v>1820</v>
      </c>
      <c r="I4046" s="24" t="s">
        <v>21</v>
      </c>
      <c r="J4046" s="36">
        <v>45646</v>
      </c>
      <c r="K4046" s="24" t="s">
        <v>22</v>
      </c>
    </row>
    <row r="4047" spans="1:11" x14ac:dyDescent="0.2">
      <c r="A4047" s="27" t="s">
        <v>9800</v>
      </c>
      <c r="B4047" s="27" t="s">
        <v>9801</v>
      </c>
      <c r="C4047" s="27" t="s">
        <v>9396</v>
      </c>
      <c r="D4047" s="27" t="s">
        <v>17</v>
      </c>
      <c r="E4047" s="27" t="s">
        <v>48</v>
      </c>
      <c r="F4047" s="27" t="s">
        <v>49</v>
      </c>
      <c r="G4047" s="27" t="s">
        <v>217</v>
      </c>
      <c r="H4047" s="29">
        <v>118</v>
      </c>
      <c r="I4047" s="27" t="s">
        <v>29</v>
      </c>
      <c r="J4047" s="37">
        <v>45627</v>
      </c>
      <c r="K4047" s="27" t="s">
        <v>22</v>
      </c>
    </row>
    <row r="4048" spans="1:11" x14ac:dyDescent="0.2">
      <c r="A4048" s="24" t="s">
        <v>9802</v>
      </c>
      <c r="B4048" s="24" t="s">
        <v>9803</v>
      </c>
      <c r="C4048" s="24" t="s">
        <v>1876</v>
      </c>
      <c r="D4048" s="24" t="s">
        <v>17</v>
      </c>
      <c r="E4048" s="24" t="s">
        <v>42</v>
      </c>
      <c r="F4048" s="24" t="s">
        <v>43</v>
      </c>
      <c r="G4048" s="24" t="s">
        <v>28</v>
      </c>
      <c r="H4048" s="26">
        <v>726</v>
      </c>
      <c r="I4048" s="24" t="s">
        <v>29</v>
      </c>
      <c r="J4048" s="36">
        <v>45656</v>
      </c>
      <c r="K4048" s="24" t="s">
        <v>22</v>
      </c>
    </row>
    <row r="4049" spans="1:11" x14ac:dyDescent="0.2">
      <c r="A4049" s="27" t="s">
        <v>9804</v>
      </c>
      <c r="B4049" s="27" t="s">
        <v>2276</v>
      </c>
      <c r="C4049" s="27" t="s">
        <v>1608</v>
      </c>
      <c r="D4049" s="27" t="s">
        <v>17</v>
      </c>
      <c r="E4049" s="27" t="s">
        <v>26</v>
      </c>
      <c r="F4049" s="27" t="s">
        <v>27</v>
      </c>
      <c r="G4049" s="27" t="s">
        <v>28</v>
      </c>
      <c r="H4049" s="29">
        <v>78</v>
      </c>
      <c r="I4049" s="27" t="s">
        <v>29</v>
      </c>
      <c r="J4049" s="37">
        <v>45657</v>
      </c>
      <c r="K4049" s="27" t="s">
        <v>22</v>
      </c>
    </row>
    <row r="4050" spans="1:11" x14ac:dyDescent="0.2">
      <c r="A4050" s="24" t="s">
        <v>9805</v>
      </c>
      <c r="B4050" s="24" t="s">
        <v>9806</v>
      </c>
      <c r="C4050" s="24" t="s">
        <v>1444</v>
      </c>
      <c r="D4050" s="24" t="s">
        <v>17</v>
      </c>
      <c r="E4050" s="24" t="s">
        <v>18</v>
      </c>
      <c r="F4050" s="24" t="s">
        <v>19</v>
      </c>
      <c r="G4050" s="24" t="s">
        <v>28</v>
      </c>
      <c r="H4050" s="26">
        <v>90</v>
      </c>
      <c r="I4050" s="24" t="s">
        <v>29</v>
      </c>
      <c r="J4050" s="36">
        <v>45638</v>
      </c>
      <c r="K4050" s="24" t="s">
        <v>22</v>
      </c>
    </row>
    <row r="4051" spans="1:11" x14ac:dyDescent="0.2">
      <c r="A4051" s="27" t="s">
        <v>9807</v>
      </c>
      <c r="B4051" s="27" t="s">
        <v>9808</v>
      </c>
      <c r="C4051" s="27" t="s">
        <v>9809</v>
      </c>
      <c r="D4051" s="27" t="s">
        <v>17</v>
      </c>
      <c r="E4051" s="27" t="s">
        <v>18</v>
      </c>
      <c r="F4051" s="27" t="s">
        <v>19</v>
      </c>
      <c r="G4051" s="27" t="s">
        <v>116</v>
      </c>
      <c r="H4051" s="29">
        <v>0</v>
      </c>
      <c r="I4051" s="27" t="s">
        <v>21</v>
      </c>
      <c r="J4051" s="37">
        <v>45627</v>
      </c>
      <c r="K4051" s="27" t="s">
        <v>22</v>
      </c>
    </row>
    <row r="4052" spans="1:11" x14ac:dyDescent="0.2">
      <c r="A4052" s="24" t="s">
        <v>9810</v>
      </c>
      <c r="B4052" s="24" t="s">
        <v>9811</v>
      </c>
      <c r="C4052" s="24" t="s">
        <v>146</v>
      </c>
      <c r="D4052" s="24" t="s">
        <v>17</v>
      </c>
      <c r="E4052" s="24" t="s">
        <v>18</v>
      </c>
      <c r="F4052" s="24" t="s">
        <v>19</v>
      </c>
      <c r="G4052" s="24" t="s">
        <v>28</v>
      </c>
      <c r="H4052" s="26">
        <v>84</v>
      </c>
      <c r="I4052" s="24" t="s">
        <v>29</v>
      </c>
      <c r="J4052" s="36">
        <v>45637</v>
      </c>
      <c r="K4052" s="24" t="s">
        <v>22</v>
      </c>
    </row>
    <row r="4053" spans="1:11" x14ac:dyDescent="0.2">
      <c r="A4053" s="27" t="s">
        <v>9812</v>
      </c>
      <c r="B4053" s="27" t="s">
        <v>9813</v>
      </c>
      <c r="C4053" s="27" t="s">
        <v>9814</v>
      </c>
      <c r="D4053" s="27" t="s">
        <v>17</v>
      </c>
      <c r="E4053" s="27" t="s">
        <v>18</v>
      </c>
      <c r="F4053" s="27" t="s">
        <v>19</v>
      </c>
      <c r="G4053" s="27" t="s">
        <v>28</v>
      </c>
      <c r="H4053" s="29">
        <v>40</v>
      </c>
      <c r="I4053" s="27" t="s">
        <v>29</v>
      </c>
      <c r="J4053" s="37">
        <v>45638</v>
      </c>
      <c r="K4053" s="27" t="s">
        <v>22</v>
      </c>
    </row>
    <row r="4054" spans="1:11" x14ac:dyDescent="0.2">
      <c r="A4054" s="24" t="s">
        <v>9815</v>
      </c>
      <c r="B4054" s="24" t="s">
        <v>9816</v>
      </c>
      <c r="C4054" s="24" t="s">
        <v>6506</v>
      </c>
      <c r="D4054" s="24" t="s">
        <v>17</v>
      </c>
      <c r="E4054" s="24" t="s">
        <v>18</v>
      </c>
      <c r="F4054" s="24" t="s">
        <v>19</v>
      </c>
      <c r="G4054" s="24" t="s">
        <v>28</v>
      </c>
      <c r="H4054" s="26">
        <v>80</v>
      </c>
      <c r="I4054" s="24" t="s">
        <v>29</v>
      </c>
      <c r="J4054" s="36">
        <v>45630</v>
      </c>
      <c r="K4054" s="24" t="s">
        <v>22</v>
      </c>
    </row>
    <row r="4055" spans="1:11" x14ac:dyDescent="0.2">
      <c r="A4055" s="27" t="s">
        <v>9817</v>
      </c>
      <c r="B4055" s="27" t="s">
        <v>9818</v>
      </c>
      <c r="C4055" s="27" t="s">
        <v>1147</v>
      </c>
      <c r="D4055" s="27" t="s">
        <v>17</v>
      </c>
      <c r="E4055" s="27" t="s">
        <v>18</v>
      </c>
      <c r="F4055" s="27" t="s">
        <v>19</v>
      </c>
      <c r="G4055" s="27" t="s">
        <v>44</v>
      </c>
      <c r="H4055" s="29">
        <v>50</v>
      </c>
      <c r="I4055" s="27" t="s">
        <v>21</v>
      </c>
      <c r="J4055" s="37">
        <v>45628</v>
      </c>
      <c r="K4055" s="27" t="s">
        <v>22</v>
      </c>
    </row>
    <row r="4056" spans="1:11" x14ac:dyDescent="0.2">
      <c r="A4056" s="24" t="s">
        <v>9819</v>
      </c>
      <c r="B4056" s="24" t="s">
        <v>9820</v>
      </c>
      <c r="C4056" s="24" t="s">
        <v>6098</v>
      </c>
      <c r="D4056" s="24" t="s">
        <v>17</v>
      </c>
      <c r="E4056" s="24" t="s">
        <v>18</v>
      </c>
      <c r="F4056" s="24" t="s">
        <v>19</v>
      </c>
      <c r="G4056" s="24" t="s">
        <v>227</v>
      </c>
      <c r="H4056" s="26">
        <v>144</v>
      </c>
      <c r="I4056" s="24" t="s">
        <v>29</v>
      </c>
      <c r="J4056" s="36">
        <v>45635</v>
      </c>
      <c r="K4056" s="24" t="s">
        <v>22</v>
      </c>
    </row>
    <row r="4057" spans="1:11" x14ac:dyDescent="0.2">
      <c r="A4057" s="27" t="s">
        <v>9821</v>
      </c>
      <c r="B4057" s="27" t="s">
        <v>9822</v>
      </c>
      <c r="C4057" s="27" t="s">
        <v>644</v>
      </c>
      <c r="D4057" s="27" t="s">
        <v>17</v>
      </c>
      <c r="E4057" s="27" t="s">
        <v>48</v>
      </c>
      <c r="F4057" s="27" t="s">
        <v>49</v>
      </c>
      <c r="G4057" s="27" t="s">
        <v>28</v>
      </c>
      <c r="H4057" s="29">
        <v>69</v>
      </c>
      <c r="I4057" s="27" t="s">
        <v>29</v>
      </c>
      <c r="J4057" s="37">
        <v>45628</v>
      </c>
      <c r="K4057" s="27" t="s">
        <v>22</v>
      </c>
    </row>
    <row r="4058" spans="1:11" x14ac:dyDescent="0.2">
      <c r="A4058" s="24" t="s">
        <v>9823</v>
      </c>
      <c r="B4058" s="24" t="s">
        <v>9824</v>
      </c>
      <c r="C4058" s="24" t="s">
        <v>2484</v>
      </c>
      <c r="D4058" s="24" t="s">
        <v>17</v>
      </c>
      <c r="E4058" s="24" t="s">
        <v>18</v>
      </c>
      <c r="F4058" s="24" t="s">
        <v>19</v>
      </c>
      <c r="G4058" s="24" t="s">
        <v>20</v>
      </c>
      <c r="H4058" s="26">
        <v>15</v>
      </c>
      <c r="I4058" s="24" t="s">
        <v>21</v>
      </c>
      <c r="J4058" s="36">
        <v>45629</v>
      </c>
      <c r="K4058" s="24" t="s">
        <v>22</v>
      </c>
    </row>
    <row r="4059" spans="1:11" x14ac:dyDescent="0.2">
      <c r="A4059" s="27" t="s">
        <v>9825</v>
      </c>
      <c r="B4059" s="27" t="s">
        <v>9826</v>
      </c>
      <c r="C4059" s="27" t="s">
        <v>9377</v>
      </c>
      <c r="D4059" s="27" t="s">
        <v>17</v>
      </c>
      <c r="E4059" s="27" t="s">
        <v>18</v>
      </c>
      <c r="F4059" s="27" t="s">
        <v>19</v>
      </c>
      <c r="G4059" s="27" t="s">
        <v>217</v>
      </c>
      <c r="H4059" s="29">
        <v>36</v>
      </c>
      <c r="I4059" s="27" t="s">
        <v>29</v>
      </c>
      <c r="J4059" s="37">
        <v>45627</v>
      </c>
      <c r="K4059" s="27" t="s">
        <v>22</v>
      </c>
    </row>
    <row r="4060" spans="1:11" x14ac:dyDescent="0.2">
      <c r="A4060" s="24" t="s">
        <v>9827</v>
      </c>
      <c r="B4060" s="24" t="s">
        <v>9828</v>
      </c>
      <c r="C4060" s="24" t="s">
        <v>9829</v>
      </c>
      <c r="D4060" s="24" t="s">
        <v>17</v>
      </c>
      <c r="E4060" s="24" t="s">
        <v>48</v>
      </c>
      <c r="F4060" s="24" t="s">
        <v>49</v>
      </c>
      <c r="G4060" s="24" t="s">
        <v>28</v>
      </c>
      <c r="H4060" s="26">
        <v>81</v>
      </c>
      <c r="I4060" s="24" t="s">
        <v>29</v>
      </c>
      <c r="J4060" s="36">
        <v>45641</v>
      </c>
      <c r="K4060" s="24" t="s">
        <v>22</v>
      </c>
    </row>
    <row r="4061" spans="1:11" x14ac:dyDescent="0.2">
      <c r="A4061" s="27" t="s">
        <v>9830</v>
      </c>
      <c r="B4061" s="27" t="s">
        <v>9831</v>
      </c>
      <c r="C4061" s="27" t="s">
        <v>618</v>
      </c>
      <c r="D4061" s="27" t="s">
        <v>17</v>
      </c>
      <c r="E4061" s="27" t="s">
        <v>18</v>
      </c>
      <c r="F4061" s="27" t="s">
        <v>19</v>
      </c>
      <c r="G4061" s="27" t="s">
        <v>28</v>
      </c>
      <c r="H4061" s="29">
        <v>780</v>
      </c>
      <c r="I4061" s="27" t="s">
        <v>29</v>
      </c>
      <c r="J4061" s="37">
        <v>45640</v>
      </c>
      <c r="K4061" s="27" t="s">
        <v>22</v>
      </c>
    </row>
    <row r="4062" spans="1:11" x14ac:dyDescent="0.2">
      <c r="A4062" s="24" t="s">
        <v>9832</v>
      </c>
      <c r="B4062" s="24" t="s">
        <v>9833</v>
      </c>
      <c r="C4062" s="24" t="s">
        <v>4948</v>
      </c>
      <c r="D4062" s="24" t="s">
        <v>17</v>
      </c>
      <c r="E4062" s="24" t="s">
        <v>48</v>
      </c>
      <c r="F4062" s="24" t="s">
        <v>49</v>
      </c>
      <c r="G4062" s="24" t="s">
        <v>217</v>
      </c>
      <c r="H4062" s="26">
        <v>3100</v>
      </c>
      <c r="I4062" s="24" t="s">
        <v>29</v>
      </c>
      <c r="J4062" s="36">
        <v>45656</v>
      </c>
      <c r="K4062" s="24" t="s">
        <v>22</v>
      </c>
    </row>
    <row r="4063" spans="1:11" x14ac:dyDescent="0.2">
      <c r="A4063" s="27" t="s">
        <v>9834</v>
      </c>
      <c r="B4063" s="27" t="s">
        <v>9835</v>
      </c>
      <c r="C4063" s="27" t="s">
        <v>1260</v>
      </c>
      <c r="D4063" s="27" t="s">
        <v>17</v>
      </c>
      <c r="E4063" s="27" t="s">
        <v>48</v>
      </c>
      <c r="F4063" s="27" t="s">
        <v>49</v>
      </c>
      <c r="G4063" s="27" t="s">
        <v>44</v>
      </c>
      <c r="H4063" s="29">
        <v>229</v>
      </c>
      <c r="I4063" s="27" t="s">
        <v>21</v>
      </c>
      <c r="J4063" s="37">
        <v>45646</v>
      </c>
      <c r="K4063" s="27" t="s">
        <v>22</v>
      </c>
    </row>
    <row r="4064" spans="1:11" x14ac:dyDescent="0.2">
      <c r="A4064" s="24" t="s">
        <v>9836</v>
      </c>
      <c r="B4064" s="24" t="s">
        <v>9837</v>
      </c>
      <c r="C4064" s="24" t="s">
        <v>9491</v>
      </c>
      <c r="D4064" s="24" t="s">
        <v>17</v>
      </c>
      <c r="E4064" s="24" t="s">
        <v>42</v>
      </c>
      <c r="F4064" s="24" t="s">
        <v>43</v>
      </c>
      <c r="G4064" s="24" t="s">
        <v>44</v>
      </c>
      <c r="H4064" s="26">
        <v>630</v>
      </c>
      <c r="I4064" s="24" t="s">
        <v>29</v>
      </c>
      <c r="J4064" s="36">
        <v>45656</v>
      </c>
      <c r="K4064" s="24" t="s">
        <v>22</v>
      </c>
    </row>
    <row r="4065" spans="1:11" x14ac:dyDescent="0.2">
      <c r="A4065" s="27" t="s">
        <v>9838</v>
      </c>
      <c r="B4065" s="27" t="s">
        <v>9839</v>
      </c>
      <c r="C4065" s="27" t="s">
        <v>2669</v>
      </c>
      <c r="D4065" s="27" t="s">
        <v>17</v>
      </c>
      <c r="E4065" s="27" t="s">
        <v>26</v>
      </c>
      <c r="F4065" s="27" t="s">
        <v>27</v>
      </c>
      <c r="G4065" s="27" t="s">
        <v>28</v>
      </c>
      <c r="H4065" s="29">
        <v>50</v>
      </c>
      <c r="I4065" s="27" t="s">
        <v>29</v>
      </c>
      <c r="J4065" s="37">
        <v>45644</v>
      </c>
      <c r="K4065" s="27" t="s">
        <v>22</v>
      </c>
    </row>
    <row r="4066" spans="1:11" x14ac:dyDescent="0.2">
      <c r="A4066" s="24" t="s">
        <v>9840</v>
      </c>
      <c r="B4066" s="24" t="s">
        <v>9841</v>
      </c>
      <c r="C4066" s="24" t="s">
        <v>915</v>
      </c>
      <c r="D4066" s="24" t="s">
        <v>17</v>
      </c>
      <c r="E4066" s="24" t="s">
        <v>33</v>
      </c>
      <c r="F4066" s="24" t="s">
        <v>34</v>
      </c>
      <c r="G4066" s="24" t="s">
        <v>28</v>
      </c>
      <c r="H4066" s="26">
        <v>150</v>
      </c>
      <c r="I4066" s="24" t="s">
        <v>29</v>
      </c>
      <c r="J4066" s="36">
        <v>45643</v>
      </c>
      <c r="K4066" s="24" t="s">
        <v>22</v>
      </c>
    </row>
    <row r="4067" spans="1:11" x14ac:dyDescent="0.2">
      <c r="A4067" s="27" t="s">
        <v>9842</v>
      </c>
      <c r="B4067" s="27" t="s">
        <v>9843</v>
      </c>
      <c r="C4067" s="27" t="s">
        <v>280</v>
      </c>
      <c r="D4067" s="27" t="s">
        <v>17</v>
      </c>
      <c r="E4067" s="27" t="s">
        <v>48</v>
      </c>
      <c r="F4067" s="27" t="s">
        <v>49</v>
      </c>
      <c r="G4067" s="27" t="s">
        <v>20</v>
      </c>
      <c r="H4067" s="29">
        <v>156</v>
      </c>
      <c r="I4067" s="27" t="s">
        <v>21</v>
      </c>
      <c r="J4067" s="37">
        <v>45629</v>
      </c>
      <c r="K4067" s="27" t="s">
        <v>22</v>
      </c>
    </row>
    <row r="4068" spans="1:11" x14ac:dyDescent="0.2">
      <c r="A4068" s="24" t="s">
        <v>9844</v>
      </c>
      <c r="B4068" s="24" t="s">
        <v>9845</v>
      </c>
      <c r="C4068" s="24" t="s">
        <v>9846</v>
      </c>
      <c r="D4068" s="24" t="s">
        <v>17</v>
      </c>
      <c r="E4068" s="24" t="s">
        <v>42</v>
      </c>
      <c r="F4068" s="24" t="s">
        <v>43</v>
      </c>
      <c r="G4068" s="24" t="s">
        <v>28</v>
      </c>
      <c r="H4068" s="26">
        <v>436</v>
      </c>
      <c r="I4068" s="24" t="s">
        <v>29</v>
      </c>
      <c r="J4068" s="36">
        <v>45650</v>
      </c>
      <c r="K4068" s="24" t="s">
        <v>22</v>
      </c>
    </row>
    <row r="4069" spans="1:11" x14ac:dyDescent="0.2">
      <c r="A4069" s="27" t="s">
        <v>9847</v>
      </c>
      <c r="B4069" s="27" t="s">
        <v>9848</v>
      </c>
      <c r="C4069" s="27" t="s">
        <v>185</v>
      </c>
      <c r="D4069" s="27" t="s">
        <v>17</v>
      </c>
      <c r="E4069" s="27" t="s">
        <v>18</v>
      </c>
      <c r="F4069" s="27" t="s">
        <v>19</v>
      </c>
      <c r="G4069" s="27" t="s">
        <v>28</v>
      </c>
      <c r="H4069" s="29">
        <v>20</v>
      </c>
      <c r="I4069" s="27" t="s">
        <v>29</v>
      </c>
      <c r="J4069" s="37">
        <v>45631</v>
      </c>
      <c r="K4069" s="27" t="s">
        <v>22</v>
      </c>
    </row>
    <row r="4070" spans="1:11" x14ac:dyDescent="0.2">
      <c r="A4070" s="24" t="s">
        <v>9849</v>
      </c>
      <c r="B4070" s="24" t="s">
        <v>9850</v>
      </c>
      <c r="C4070" s="24" t="s">
        <v>251</v>
      </c>
      <c r="D4070" s="24" t="s">
        <v>17</v>
      </c>
      <c r="E4070" s="24" t="s">
        <v>26</v>
      </c>
      <c r="F4070" s="24" t="s">
        <v>27</v>
      </c>
      <c r="G4070" s="24" t="s">
        <v>28</v>
      </c>
      <c r="H4070" s="26">
        <v>28</v>
      </c>
      <c r="I4070" s="24" t="s">
        <v>29</v>
      </c>
      <c r="J4070" s="36">
        <v>45638</v>
      </c>
      <c r="K4070" s="24" t="s">
        <v>22</v>
      </c>
    </row>
    <row r="4071" spans="1:11" x14ac:dyDescent="0.2">
      <c r="A4071" s="27" t="s">
        <v>9851</v>
      </c>
      <c r="B4071" s="27" t="s">
        <v>9852</v>
      </c>
      <c r="C4071" s="27" t="s">
        <v>1444</v>
      </c>
      <c r="D4071" s="27" t="s">
        <v>17</v>
      </c>
      <c r="E4071" s="27" t="s">
        <v>18</v>
      </c>
      <c r="F4071" s="27" t="s">
        <v>19</v>
      </c>
      <c r="G4071" s="27" t="s">
        <v>28</v>
      </c>
      <c r="H4071" s="29">
        <v>138</v>
      </c>
      <c r="I4071" s="27" t="s">
        <v>29</v>
      </c>
      <c r="J4071" s="37">
        <v>45643</v>
      </c>
      <c r="K4071" s="27" t="s">
        <v>22</v>
      </c>
    </row>
    <row r="4072" spans="1:11" x14ac:dyDescent="0.2">
      <c r="A4072" s="24" t="s">
        <v>9853</v>
      </c>
      <c r="B4072" s="24" t="s">
        <v>9854</v>
      </c>
      <c r="C4072" s="24" t="s">
        <v>9855</v>
      </c>
      <c r="D4072" s="24" t="s">
        <v>17</v>
      </c>
      <c r="E4072" s="24" t="s">
        <v>42</v>
      </c>
      <c r="F4072" s="24" t="s">
        <v>43</v>
      </c>
      <c r="G4072" s="24" t="s">
        <v>44</v>
      </c>
      <c r="H4072" s="26">
        <v>840</v>
      </c>
      <c r="I4072" s="24" t="s">
        <v>21</v>
      </c>
      <c r="J4072" s="36">
        <v>45650</v>
      </c>
      <c r="K4072" s="24" t="s">
        <v>22</v>
      </c>
    </row>
    <row r="4073" spans="1:11" x14ac:dyDescent="0.2">
      <c r="A4073" s="27" t="s">
        <v>9856</v>
      </c>
      <c r="B4073" s="27" t="s">
        <v>9857</v>
      </c>
      <c r="C4073" s="27" t="s">
        <v>301</v>
      </c>
      <c r="D4073" s="27" t="s">
        <v>17</v>
      </c>
      <c r="E4073" s="27" t="s">
        <v>42</v>
      </c>
      <c r="F4073" s="27" t="s">
        <v>43</v>
      </c>
      <c r="G4073" s="27" t="s">
        <v>44</v>
      </c>
      <c r="H4073" s="29">
        <v>655</v>
      </c>
      <c r="I4073" s="27" t="s">
        <v>21</v>
      </c>
      <c r="J4073" s="37">
        <v>45630</v>
      </c>
      <c r="K4073" s="27" t="s">
        <v>22</v>
      </c>
    </row>
    <row r="4074" spans="1:11" x14ac:dyDescent="0.2">
      <c r="A4074" s="24" t="s">
        <v>9858</v>
      </c>
      <c r="B4074" s="24" t="s">
        <v>9859</v>
      </c>
      <c r="C4074" s="24" t="s">
        <v>8768</v>
      </c>
      <c r="D4074" s="24" t="s">
        <v>17</v>
      </c>
      <c r="E4074" s="24" t="s">
        <v>18</v>
      </c>
      <c r="F4074" s="24" t="s">
        <v>19</v>
      </c>
      <c r="G4074" s="24" t="s">
        <v>20</v>
      </c>
      <c r="H4074" s="26">
        <v>30</v>
      </c>
      <c r="I4074" s="24" t="s">
        <v>21</v>
      </c>
      <c r="J4074" s="36">
        <v>45649</v>
      </c>
      <c r="K4074" s="24" t="s">
        <v>22</v>
      </c>
    </row>
    <row r="4075" spans="1:11" x14ac:dyDescent="0.2">
      <c r="A4075" s="27" t="s">
        <v>9860</v>
      </c>
      <c r="B4075" s="27" t="s">
        <v>9861</v>
      </c>
      <c r="C4075" s="27" t="s">
        <v>97</v>
      </c>
      <c r="D4075" s="27" t="s">
        <v>17</v>
      </c>
      <c r="E4075" s="27" t="s">
        <v>33</v>
      </c>
      <c r="F4075" s="27" t="s">
        <v>34</v>
      </c>
      <c r="G4075" s="27" t="s">
        <v>28</v>
      </c>
      <c r="H4075" s="29">
        <v>360</v>
      </c>
      <c r="I4075" s="27" t="s">
        <v>29</v>
      </c>
      <c r="J4075" s="37">
        <v>45632</v>
      </c>
      <c r="K4075" s="27" t="s">
        <v>22</v>
      </c>
    </row>
    <row r="4076" spans="1:11" x14ac:dyDescent="0.2">
      <c r="A4076" s="24" t="s">
        <v>9862</v>
      </c>
      <c r="B4076" s="24" t="s">
        <v>9863</v>
      </c>
      <c r="C4076" s="24" t="s">
        <v>827</v>
      </c>
      <c r="D4076" s="24" t="s">
        <v>17</v>
      </c>
      <c r="E4076" s="24" t="s">
        <v>48</v>
      </c>
      <c r="F4076" s="24" t="s">
        <v>49</v>
      </c>
      <c r="G4076" s="24" t="s">
        <v>217</v>
      </c>
      <c r="H4076" s="26">
        <v>24</v>
      </c>
      <c r="I4076" s="24" t="s">
        <v>29</v>
      </c>
      <c r="J4076" s="36">
        <v>45656</v>
      </c>
      <c r="K4076" s="24" t="s">
        <v>22</v>
      </c>
    </row>
    <row r="4077" spans="1:11" x14ac:dyDescent="0.2">
      <c r="A4077" s="27" t="s">
        <v>9864</v>
      </c>
      <c r="B4077" s="27" t="s">
        <v>9865</v>
      </c>
      <c r="C4077" s="27" t="s">
        <v>213</v>
      </c>
      <c r="D4077" s="27" t="s">
        <v>17</v>
      </c>
      <c r="E4077" s="27" t="s">
        <v>18</v>
      </c>
      <c r="F4077" s="27" t="s">
        <v>19</v>
      </c>
      <c r="G4077" s="27" t="s">
        <v>20</v>
      </c>
      <c r="H4077" s="29">
        <v>16</v>
      </c>
      <c r="I4077" s="27" t="s">
        <v>21</v>
      </c>
      <c r="J4077" s="37">
        <v>45649</v>
      </c>
      <c r="K4077" s="27" t="s">
        <v>22</v>
      </c>
    </row>
    <row r="4078" spans="1:11" x14ac:dyDescent="0.2">
      <c r="A4078" s="24" t="s">
        <v>9866</v>
      </c>
      <c r="B4078" s="24" t="s">
        <v>9867</v>
      </c>
      <c r="C4078" s="24" t="s">
        <v>8544</v>
      </c>
      <c r="D4078" s="24" t="s">
        <v>17</v>
      </c>
      <c r="E4078" s="24" t="s">
        <v>48</v>
      </c>
      <c r="F4078" s="24" t="s">
        <v>49</v>
      </c>
      <c r="G4078" s="24" t="s">
        <v>28</v>
      </c>
      <c r="H4078" s="26">
        <v>72</v>
      </c>
      <c r="I4078" s="24" t="s">
        <v>29</v>
      </c>
      <c r="J4078" s="36">
        <v>45646</v>
      </c>
      <c r="K4078" s="24" t="s">
        <v>22</v>
      </c>
    </row>
    <row r="4079" spans="1:11" x14ac:dyDescent="0.2">
      <c r="A4079" s="27" t="s">
        <v>9868</v>
      </c>
      <c r="B4079" s="27" t="s">
        <v>9869</v>
      </c>
      <c r="C4079" s="27" t="s">
        <v>526</v>
      </c>
      <c r="D4079" s="27" t="s">
        <v>17</v>
      </c>
      <c r="E4079" s="27" t="s">
        <v>18</v>
      </c>
      <c r="F4079" s="27" t="s">
        <v>19</v>
      </c>
      <c r="G4079" s="27" t="s">
        <v>20</v>
      </c>
      <c r="H4079" s="29">
        <v>46</v>
      </c>
      <c r="I4079" s="27" t="s">
        <v>21</v>
      </c>
      <c r="J4079" s="37">
        <v>45632</v>
      </c>
      <c r="K4079" s="27" t="s">
        <v>22</v>
      </c>
    </row>
    <row r="4080" spans="1:11" x14ac:dyDescent="0.2">
      <c r="A4080" s="24" t="s">
        <v>9870</v>
      </c>
      <c r="B4080" s="24" t="s">
        <v>9871</v>
      </c>
      <c r="C4080" s="24" t="s">
        <v>4236</v>
      </c>
      <c r="D4080" s="24" t="s">
        <v>17</v>
      </c>
      <c r="E4080" s="24" t="s">
        <v>48</v>
      </c>
      <c r="F4080" s="24" t="s">
        <v>49</v>
      </c>
      <c r="G4080" s="24" t="s">
        <v>28</v>
      </c>
      <c r="H4080" s="26">
        <v>30</v>
      </c>
      <c r="I4080" s="24" t="s">
        <v>29</v>
      </c>
      <c r="J4080" s="36">
        <v>45639</v>
      </c>
      <c r="K4080" s="24" t="s">
        <v>22</v>
      </c>
    </row>
    <row r="4081" spans="1:11" x14ac:dyDescent="0.2">
      <c r="A4081" s="27" t="s">
        <v>9872</v>
      </c>
      <c r="B4081" s="27" t="s">
        <v>9873</v>
      </c>
      <c r="C4081" s="27" t="s">
        <v>1260</v>
      </c>
      <c r="D4081" s="27" t="s">
        <v>17</v>
      </c>
      <c r="E4081" s="27" t="s">
        <v>18</v>
      </c>
      <c r="F4081" s="27" t="s">
        <v>19</v>
      </c>
      <c r="G4081" s="27" t="s">
        <v>28</v>
      </c>
      <c r="H4081" s="29">
        <v>168</v>
      </c>
      <c r="I4081" s="27" t="s">
        <v>29</v>
      </c>
      <c r="J4081" s="37">
        <v>45642</v>
      </c>
      <c r="K4081" s="27" t="s">
        <v>22</v>
      </c>
    </row>
    <row r="4082" spans="1:11" x14ac:dyDescent="0.2">
      <c r="A4082" s="24" t="s">
        <v>9874</v>
      </c>
      <c r="B4082" s="24" t="s">
        <v>9875</v>
      </c>
      <c r="C4082" s="24" t="s">
        <v>3051</v>
      </c>
      <c r="D4082" s="24" t="s">
        <v>17</v>
      </c>
      <c r="E4082" s="24" t="s">
        <v>18</v>
      </c>
      <c r="F4082" s="24" t="s">
        <v>19</v>
      </c>
      <c r="G4082" s="24" t="s">
        <v>44</v>
      </c>
      <c r="H4082" s="26">
        <v>18</v>
      </c>
      <c r="I4082" s="24" t="s">
        <v>29</v>
      </c>
      <c r="J4082" s="36">
        <v>45637</v>
      </c>
      <c r="K4082" s="24" t="s">
        <v>22</v>
      </c>
    </row>
    <row r="4083" spans="1:11" x14ac:dyDescent="0.2">
      <c r="A4083" s="27" t="s">
        <v>9876</v>
      </c>
      <c r="B4083" s="27" t="s">
        <v>9877</v>
      </c>
      <c r="C4083" s="27" t="s">
        <v>208</v>
      </c>
      <c r="D4083" s="27" t="s">
        <v>17</v>
      </c>
      <c r="E4083" s="27" t="s">
        <v>81</v>
      </c>
      <c r="F4083" s="27" t="s">
        <v>82</v>
      </c>
      <c r="G4083" s="27" t="s">
        <v>28</v>
      </c>
      <c r="H4083" s="29">
        <v>678</v>
      </c>
      <c r="I4083" s="27" t="s">
        <v>29</v>
      </c>
      <c r="J4083" s="37">
        <v>45636</v>
      </c>
      <c r="K4083" s="27" t="s">
        <v>22</v>
      </c>
    </row>
    <row r="4084" spans="1:11" x14ac:dyDescent="0.2">
      <c r="A4084" s="24" t="s">
        <v>9878</v>
      </c>
      <c r="B4084" s="24" t="s">
        <v>9879</v>
      </c>
      <c r="C4084" s="24" t="s">
        <v>3878</v>
      </c>
      <c r="D4084" s="24" t="s">
        <v>17</v>
      </c>
      <c r="E4084" s="24" t="s">
        <v>42</v>
      </c>
      <c r="F4084" s="24" t="s">
        <v>43</v>
      </c>
      <c r="G4084" s="24" t="s">
        <v>28</v>
      </c>
      <c r="H4084" s="26">
        <v>220</v>
      </c>
      <c r="I4084" s="24" t="s">
        <v>29</v>
      </c>
      <c r="J4084" s="36">
        <v>45643</v>
      </c>
      <c r="K4084" s="24" t="s">
        <v>22</v>
      </c>
    </row>
    <row r="4085" spans="1:11" x14ac:dyDescent="0.2">
      <c r="A4085" s="27" t="s">
        <v>9880</v>
      </c>
      <c r="B4085" s="27" t="s">
        <v>9881</v>
      </c>
      <c r="C4085" s="27" t="s">
        <v>9882</v>
      </c>
      <c r="D4085" s="27" t="s">
        <v>17</v>
      </c>
      <c r="E4085" s="27" t="s">
        <v>48</v>
      </c>
      <c r="F4085" s="27" t="s">
        <v>49</v>
      </c>
      <c r="G4085" s="27" t="s">
        <v>28</v>
      </c>
      <c r="H4085" s="29">
        <v>106</v>
      </c>
      <c r="I4085" s="27" t="s">
        <v>29</v>
      </c>
      <c r="J4085" s="37">
        <v>45627</v>
      </c>
      <c r="K4085" s="27" t="s">
        <v>22</v>
      </c>
    </row>
    <row r="4086" spans="1:11" x14ac:dyDescent="0.2">
      <c r="A4086" s="24" t="s">
        <v>9883</v>
      </c>
      <c r="B4086" s="24" t="s">
        <v>9884</v>
      </c>
      <c r="C4086" s="24" t="s">
        <v>9885</v>
      </c>
      <c r="D4086" s="24" t="s">
        <v>17</v>
      </c>
      <c r="E4086" s="24" t="s">
        <v>81</v>
      </c>
      <c r="F4086" s="24" t="s">
        <v>82</v>
      </c>
      <c r="G4086" s="24" t="s">
        <v>28</v>
      </c>
      <c r="H4086" s="26">
        <v>60</v>
      </c>
      <c r="I4086" s="24" t="s">
        <v>29</v>
      </c>
      <c r="J4086" s="36">
        <v>45643</v>
      </c>
      <c r="K4086" s="24" t="s">
        <v>22</v>
      </c>
    </row>
    <row r="4087" spans="1:11" x14ac:dyDescent="0.2">
      <c r="A4087" s="27" t="s">
        <v>9886</v>
      </c>
      <c r="B4087" s="27" t="s">
        <v>9887</v>
      </c>
      <c r="C4087" s="27" t="s">
        <v>9888</v>
      </c>
      <c r="D4087" s="27" t="s">
        <v>17</v>
      </c>
      <c r="E4087" s="27" t="s">
        <v>42</v>
      </c>
      <c r="F4087" s="27" t="s">
        <v>43</v>
      </c>
      <c r="G4087" s="27" t="s">
        <v>28</v>
      </c>
      <c r="H4087" s="29">
        <v>420</v>
      </c>
      <c r="I4087" s="27" t="s">
        <v>29</v>
      </c>
      <c r="J4087" s="37">
        <v>45649</v>
      </c>
      <c r="K4087" s="27" t="s">
        <v>22</v>
      </c>
    </row>
    <row r="4088" spans="1:11" x14ac:dyDescent="0.2">
      <c r="A4088" s="24" t="s">
        <v>9889</v>
      </c>
      <c r="B4088" s="24" t="s">
        <v>9890</v>
      </c>
      <c r="C4088" s="24" t="s">
        <v>687</v>
      </c>
      <c r="D4088" s="24" t="s">
        <v>17</v>
      </c>
      <c r="E4088" s="24" t="s">
        <v>18</v>
      </c>
      <c r="F4088" s="24" t="s">
        <v>19</v>
      </c>
      <c r="G4088" s="24" t="s">
        <v>20</v>
      </c>
      <c r="H4088" s="26">
        <v>100</v>
      </c>
      <c r="I4088" s="24" t="s">
        <v>21</v>
      </c>
      <c r="J4088" s="36">
        <v>45644</v>
      </c>
      <c r="K4088" s="24" t="s">
        <v>22</v>
      </c>
    </row>
    <row r="4089" spans="1:11" x14ac:dyDescent="0.2">
      <c r="A4089" s="27" t="s">
        <v>9891</v>
      </c>
      <c r="B4089" s="27" t="s">
        <v>9892</v>
      </c>
      <c r="C4089" s="27" t="s">
        <v>68</v>
      </c>
      <c r="D4089" s="27" t="s">
        <v>17</v>
      </c>
      <c r="E4089" s="27" t="s">
        <v>26</v>
      </c>
      <c r="F4089" s="27" t="s">
        <v>27</v>
      </c>
      <c r="G4089" s="27" t="s">
        <v>28</v>
      </c>
      <c r="H4089" s="29">
        <v>66</v>
      </c>
      <c r="I4089" s="27" t="s">
        <v>29</v>
      </c>
      <c r="J4089" s="37">
        <v>45637</v>
      </c>
      <c r="K4089" s="27" t="s">
        <v>22</v>
      </c>
    </row>
    <row r="4090" spans="1:11" x14ac:dyDescent="0.2">
      <c r="A4090" s="24" t="s">
        <v>9893</v>
      </c>
      <c r="B4090" s="24" t="s">
        <v>9894</v>
      </c>
      <c r="C4090" s="24" t="s">
        <v>140</v>
      </c>
      <c r="D4090" s="24" t="s">
        <v>17</v>
      </c>
      <c r="E4090" s="24" t="s">
        <v>18</v>
      </c>
      <c r="F4090" s="24" t="s">
        <v>19</v>
      </c>
      <c r="G4090" s="24" t="s">
        <v>28</v>
      </c>
      <c r="H4090" s="26">
        <v>90</v>
      </c>
      <c r="I4090" s="24" t="s">
        <v>29</v>
      </c>
      <c r="J4090" s="36">
        <v>45644</v>
      </c>
      <c r="K4090" s="24" t="s">
        <v>22</v>
      </c>
    </row>
    <row r="4091" spans="1:11" x14ac:dyDescent="0.2">
      <c r="A4091" s="27" t="s">
        <v>9895</v>
      </c>
      <c r="B4091" s="27" t="s">
        <v>9896</v>
      </c>
      <c r="C4091" s="27" t="s">
        <v>1518</v>
      </c>
      <c r="D4091" s="27" t="s">
        <v>17</v>
      </c>
      <c r="E4091" s="27" t="s">
        <v>42</v>
      </c>
      <c r="F4091" s="27" t="s">
        <v>43</v>
      </c>
      <c r="G4091" s="27" t="s">
        <v>28</v>
      </c>
      <c r="H4091" s="29">
        <v>400</v>
      </c>
      <c r="I4091" s="27" t="s">
        <v>29</v>
      </c>
      <c r="J4091" s="37">
        <v>45657</v>
      </c>
      <c r="K4091" s="27" t="s">
        <v>22</v>
      </c>
    </row>
    <row r="4092" spans="1:11" x14ac:dyDescent="0.2">
      <c r="A4092" s="24" t="s">
        <v>9897</v>
      </c>
      <c r="B4092" s="24" t="s">
        <v>9898</v>
      </c>
      <c r="C4092" s="24" t="s">
        <v>4367</v>
      </c>
      <c r="D4092" s="24" t="s">
        <v>17</v>
      </c>
      <c r="E4092" s="24" t="s">
        <v>48</v>
      </c>
      <c r="F4092" s="24" t="s">
        <v>49</v>
      </c>
      <c r="G4092" s="24" t="s">
        <v>227</v>
      </c>
      <c r="H4092" s="26">
        <v>252</v>
      </c>
      <c r="I4092" s="24" t="s">
        <v>29</v>
      </c>
      <c r="J4092" s="36">
        <v>45631</v>
      </c>
      <c r="K4092" s="24" t="s">
        <v>22</v>
      </c>
    </row>
    <row r="4093" spans="1:11" x14ac:dyDescent="0.2">
      <c r="A4093" s="27" t="s">
        <v>9899</v>
      </c>
      <c r="B4093" s="27" t="s">
        <v>9900</v>
      </c>
      <c r="C4093" s="27" t="s">
        <v>9901</v>
      </c>
      <c r="D4093" s="27" t="s">
        <v>17</v>
      </c>
      <c r="E4093" s="27" t="s">
        <v>18</v>
      </c>
      <c r="F4093" s="27" t="s">
        <v>19</v>
      </c>
      <c r="G4093" s="27" t="s">
        <v>28</v>
      </c>
      <c r="H4093" s="29">
        <v>102</v>
      </c>
      <c r="I4093" s="27" t="s">
        <v>29</v>
      </c>
      <c r="J4093" s="37">
        <v>45638</v>
      </c>
      <c r="K4093" s="27" t="s">
        <v>22</v>
      </c>
    </row>
    <row r="4094" spans="1:11" x14ac:dyDescent="0.2">
      <c r="A4094" s="24" t="s">
        <v>9902</v>
      </c>
      <c r="B4094" s="24" t="s">
        <v>9903</v>
      </c>
      <c r="C4094" s="24" t="s">
        <v>9904</v>
      </c>
      <c r="D4094" s="24" t="s">
        <v>17</v>
      </c>
      <c r="E4094" s="24" t="s">
        <v>26</v>
      </c>
      <c r="F4094" s="24" t="s">
        <v>27</v>
      </c>
      <c r="G4094" s="24" t="s">
        <v>28</v>
      </c>
      <c r="H4094" s="26">
        <v>24</v>
      </c>
      <c r="I4094" s="24" t="s">
        <v>29</v>
      </c>
      <c r="J4094" s="36">
        <v>45630</v>
      </c>
      <c r="K4094" s="24" t="s">
        <v>22</v>
      </c>
    </row>
    <row r="4095" spans="1:11" x14ac:dyDescent="0.2">
      <c r="A4095" s="27" t="s">
        <v>9905</v>
      </c>
      <c r="B4095" s="27" t="s">
        <v>9906</v>
      </c>
      <c r="C4095" s="27" t="s">
        <v>578</v>
      </c>
      <c r="D4095" s="27" t="s">
        <v>17</v>
      </c>
      <c r="E4095" s="27" t="s">
        <v>48</v>
      </c>
      <c r="F4095" s="27" t="s">
        <v>49</v>
      </c>
      <c r="G4095" s="27" t="s">
        <v>28</v>
      </c>
      <c r="H4095" s="29">
        <v>24</v>
      </c>
      <c r="I4095" s="27" t="s">
        <v>29</v>
      </c>
      <c r="J4095" s="37">
        <v>45636</v>
      </c>
      <c r="K4095" s="27" t="s">
        <v>22</v>
      </c>
    </row>
    <row r="4096" spans="1:11" x14ac:dyDescent="0.2">
      <c r="A4096" s="24" t="s">
        <v>9907</v>
      </c>
      <c r="B4096" s="24" t="s">
        <v>9908</v>
      </c>
      <c r="C4096" s="24" t="s">
        <v>2367</v>
      </c>
      <c r="D4096" s="24" t="s">
        <v>17</v>
      </c>
      <c r="E4096" s="24" t="s">
        <v>18</v>
      </c>
      <c r="F4096" s="24" t="s">
        <v>19</v>
      </c>
      <c r="G4096" s="24" t="s">
        <v>44</v>
      </c>
      <c r="H4096" s="26">
        <v>12</v>
      </c>
      <c r="I4096" s="24" t="s">
        <v>21</v>
      </c>
      <c r="J4096" s="36">
        <v>45646</v>
      </c>
      <c r="K4096" s="24" t="s">
        <v>22</v>
      </c>
    </row>
    <row r="4097" spans="1:11" x14ac:dyDescent="0.2">
      <c r="A4097" s="27" t="s">
        <v>9909</v>
      </c>
      <c r="B4097" s="27" t="s">
        <v>9910</v>
      </c>
      <c r="C4097" s="27" t="s">
        <v>4101</v>
      </c>
      <c r="D4097" s="27" t="s">
        <v>17</v>
      </c>
      <c r="E4097" s="27" t="s">
        <v>81</v>
      </c>
      <c r="F4097" s="27" t="s">
        <v>82</v>
      </c>
      <c r="G4097" s="27" t="s">
        <v>28</v>
      </c>
      <c r="H4097" s="29">
        <v>50</v>
      </c>
      <c r="I4097" s="27" t="s">
        <v>29</v>
      </c>
      <c r="J4097" s="37">
        <v>45638</v>
      </c>
      <c r="K4097" s="27" t="s">
        <v>22</v>
      </c>
    </row>
    <row r="4098" spans="1:11" x14ac:dyDescent="0.2">
      <c r="A4098" s="24" t="s">
        <v>9911</v>
      </c>
      <c r="B4098" s="24" t="s">
        <v>9912</v>
      </c>
      <c r="C4098" s="24" t="s">
        <v>106</v>
      </c>
      <c r="D4098" s="24" t="s">
        <v>17</v>
      </c>
      <c r="E4098" s="24" t="s">
        <v>48</v>
      </c>
      <c r="F4098" s="24" t="s">
        <v>49</v>
      </c>
      <c r="G4098" s="24" t="s">
        <v>44</v>
      </c>
      <c r="H4098" s="26">
        <v>90</v>
      </c>
      <c r="I4098" s="24" t="s">
        <v>21</v>
      </c>
      <c r="J4098" s="36">
        <v>45656</v>
      </c>
      <c r="K4098" s="24" t="s">
        <v>22</v>
      </c>
    </row>
    <row r="4099" spans="1:11" x14ac:dyDescent="0.2">
      <c r="A4099" s="27" t="s">
        <v>9913</v>
      </c>
      <c r="B4099" s="27" t="s">
        <v>9914</v>
      </c>
      <c r="C4099" s="27" t="s">
        <v>9915</v>
      </c>
      <c r="D4099" s="27" t="s">
        <v>17</v>
      </c>
      <c r="E4099" s="27" t="s">
        <v>26</v>
      </c>
      <c r="F4099" s="27" t="s">
        <v>27</v>
      </c>
      <c r="G4099" s="27" t="s">
        <v>44</v>
      </c>
      <c r="H4099" s="29">
        <v>35</v>
      </c>
      <c r="I4099" s="27" t="s">
        <v>29</v>
      </c>
      <c r="J4099" s="37">
        <v>45637</v>
      </c>
      <c r="K4099" s="27" t="s">
        <v>22</v>
      </c>
    </row>
    <row r="4100" spans="1:11" x14ac:dyDescent="0.2">
      <c r="A4100" s="24" t="s">
        <v>9916</v>
      </c>
      <c r="B4100" s="24" t="s">
        <v>9917</v>
      </c>
      <c r="C4100" s="24" t="s">
        <v>55</v>
      </c>
      <c r="D4100" s="24" t="s">
        <v>17</v>
      </c>
      <c r="E4100" s="24" t="s">
        <v>18</v>
      </c>
      <c r="F4100" s="24" t="s">
        <v>19</v>
      </c>
      <c r="G4100" s="24" t="s">
        <v>28</v>
      </c>
      <c r="H4100" s="26">
        <v>200</v>
      </c>
      <c r="I4100" s="24" t="s">
        <v>29</v>
      </c>
      <c r="J4100" s="36">
        <v>45631</v>
      </c>
      <c r="K4100" s="24" t="s">
        <v>22</v>
      </c>
    </row>
    <row r="4101" spans="1:11" x14ac:dyDescent="0.2">
      <c r="A4101" s="27" t="s">
        <v>9918</v>
      </c>
      <c r="B4101" s="27" t="s">
        <v>9919</v>
      </c>
      <c r="C4101" s="27" t="s">
        <v>9920</v>
      </c>
      <c r="D4101" s="27" t="s">
        <v>17</v>
      </c>
      <c r="E4101" s="27" t="s">
        <v>42</v>
      </c>
      <c r="F4101" s="27" t="s">
        <v>43</v>
      </c>
      <c r="G4101" s="27" t="s">
        <v>44</v>
      </c>
      <c r="H4101" s="29">
        <v>250</v>
      </c>
      <c r="I4101" s="27" t="s">
        <v>29</v>
      </c>
      <c r="J4101" s="37">
        <v>45652</v>
      </c>
      <c r="K4101" s="27" t="s">
        <v>22</v>
      </c>
    </row>
    <row r="4102" spans="1:11" x14ac:dyDescent="0.2">
      <c r="A4102" s="24" t="s">
        <v>9921</v>
      </c>
      <c r="B4102" s="24" t="s">
        <v>9922</v>
      </c>
      <c r="C4102" s="24" t="s">
        <v>1038</v>
      </c>
      <c r="D4102" s="24" t="s">
        <v>17</v>
      </c>
      <c r="E4102" s="24" t="s">
        <v>26</v>
      </c>
      <c r="F4102" s="24" t="s">
        <v>27</v>
      </c>
      <c r="G4102" s="24" t="s">
        <v>44</v>
      </c>
      <c r="H4102" s="26">
        <v>12</v>
      </c>
      <c r="I4102" s="24" t="s">
        <v>29</v>
      </c>
      <c r="J4102" s="36">
        <v>45643</v>
      </c>
      <c r="K4102" s="24" t="s">
        <v>22</v>
      </c>
    </row>
    <row r="4103" spans="1:11" x14ac:dyDescent="0.2">
      <c r="A4103" s="27" t="s">
        <v>9923</v>
      </c>
      <c r="B4103" s="27" t="s">
        <v>9924</v>
      </c>
      <c r="C4103" s="27" t="s">
        <v>2484</v>
      </c>
      <c r="D4103" s="27" t="s">
        <v>17</v>
      </c>
      <c r="E4103" s="27" t="s">
        <v>18</v>
      </c>
      <c r="F4103" s="27" t="s">
        <v>19</v>
      </c>
      <c r="G4103" s="27" t="s">
        <v>20</v>
      </c>
      <c r="H4103" s="29">
        <v>32</v>
      </c>
      <c r="I4103" s="27" t="s">
        <v>21</v>
      </c>
      <c r="J4103" s="37">
        <v>45632</v>
      </c>
      <c r="K4103" s="27" t="s">
        <v>22</v>
      </c>
    </row>
    <row r="4104" spans="1:11" x14ac:dyDescent="0.2">
      <c r="A4104" s="24" t="s">
        <v>9925</v>
      </c>
      <c r="B4104" s="24" t="s">
        <v>9926</v>
      </c>
      <c r="C4104" s="24" t="s">
        <v>301</v>
      </c>
      <c r="D4104" s="24" t="s">
        <v>17</v>
      </c>
      <c r="E4104" s="24" t="s">
        <v>48</v>
      </c>
      <c r="F4104" s="24" t="s">
        <v>49</v>
      </c>
      <c r="G4104" s="24" t="s">
        <v>28</v>
      </c>
      <c r="H4104" s="26">
        <v>480</v>
      </c>
      <c r="I4104" s="24" t="s">
        <v>29</v>
      </c>
      <c r="J4104" s="36">
        <v>45642</v>
      </c>
      <c r="K4104" s="24" t="s">
        <v>22</v>
      </c>
    </row>
    <row r="4105" spans="1:11" x14ac:dyDescent="0.2">
      <c r="A4105" s="27" t="s">
        <v>9927</v>
      </c>
      <c r="B4105" s="27" t="s">
        <v>9928</v>
      </c>
      <c r="C4105" s="27" t="s">
        <v>134</v>
      </c>
      <c r="D4105" s="27" t="s">
        <v>17</v>
      </c>
      <c r="E4105" s="27" t="s">
        <v>18</v>
      </c>
      <c r="F4105" s="27" t="s">
        <v>19</v>
      </c>
      <c r="G4105" s="27" t="s">
        <v>20</v>
      </c>
      <c r="H4105" s="29">
        <v>48</v>
      </c>
      <c r="I4105" s="27" t="s">
        <v>21</v>
      </c>
      <c r="J4105" s="37">
        <v>45638</v>
      </c>
      <c r="K4105" s="27" t="s">
        <v>22</v>
      </c>
    </row>
    <row r="4106" spans="1:11" x14ac:dyDescent="0.2">
      <c r="A4106" s="24" t="s">
        <v>9929</v>
      </c>
      <c r="B4106" s="24" t="s">
        <v>9930</v>
      </c>
      <c r="C4106" s="24" t="s">
        <v>55</v>
      </c>
      <c r="D4106" s="24" t="s">
        <v>17</v>
      </c>
      <c r="E4106" s="24" t="s">
        <v>18</v>
      </c>
      <c r="F4106" s="24" t="s">
        <v>19</v>
      </c>
      <c r="G4106" s="24" t="s">
        <v>20</v>
      </c>
      <c r="H4106" s="26">
        <v>14</v>
      </c>
      <c r="I4106" s="24" t="s">
        <v>21</v>
      </c>
      <c r="J4106" s="36">
        <v>45644</v>
      </c>
      <c r="K4106" s="24" t="s">
        <v>22</v>
      </c>
    </row>
    <row r="4107" spans="1:11" x14ac:dyDescent="0.2">
      <c r="A4107" s="27" t="s">
        <v>9931</v>
      </c>
      <c r="B4107" s="27" t="s">
        <v>9932</v>
      </c>
      <c r="C4107" s="27" t="s">
        <v>9933</v>
      </c>
      <c r="D4107" s="27" t="s">
        <v>17</v>
      </c>
      <c r="E4107" s="27" t="s">
        <v>18</v>
      </c>
      <c r="F4107" s="27" t="s">
        <v>19</v>
      </c>
      <c r="G4107" s="27" t="s">
        <v>28</v>
      </c>
      <c r="H4107" s="29">
        <v>50</v>
      </c>
      <c r="I4107" s="27" t="s">
        <v>29</v>
      </c>
      <c r="J4107" s="37">
        <v>45642</v>
      </c>
      <c r="K4107" s="27" t="s">
        <v>22</v>
      </c>
    </row>
    <row r="4108" spans="1:11" x14ac:dyDescent="0.2">
      <c r="A4108" s="24" t="s">
        <v>9934</v>
      </c>
      <c r="B4108" s="24" t="s">
        <v>9935</v>
      </c>
      <c r="C4108" s="24" t="s">
        <v>213</v>
      </c>
      <c r="D4108" s="24" t="s">
        <v>17</v>
      </c>
      <c r="E4108" s="24" t="s">
        <v>18</v>
      </c>
      <c r="F4108" s="24" t="s">
        <v>19</v>
      </c>
      <c r="G4108" s="24" t="s">
        <v>20</v>
      </c>
      <c r="H4108" s="26">
        <v>22</v>
      </c>
      <c r="I4108" s="24" t="s">
        <v>21</v>
      </c>
      <c r="J4108" s="36">
        <v>45646</v>
      </c>
      <c r="K4108" s="24" t="s">
        <v>22</v>
      </c>
    </row>
    <row r="4109" spans="1:11" x14ac:dyDescent="0.2">
      <c r="A4109" s="27" t="s">
        <v>9936</v>
      </c>
      <c r="B4109" s="27" t="s">
        <v>9937</v>
      </c>
      <c r="C4109" s="27" t="s">
        <v>9938</v>
      </c>
      <c r="D4109" s="27" t="s">
        <v>17</v>
      </c>
      <c r="E4109" s="27" t="s">
        <v>42</v>
      </c>
      <c r="F4109" s="27" t="s">
        <v>43</v>
      </c>
      <c r="G4109" s="27" t="s">
        <v>28</v>
      </c>
      <c r="H4109" s="29">
        <v>356</v>
      </c>
      <c r="I4109" s="27" t="s">
        <v>29</v>
      </c>
      <c r="J4109" s="37">
        <v>45631</v>
      </c>
      <c r="K4109" s="27" t="s">
        <v>22</v>
      </c>
    </row>
    <row r="4110" spans="1:11" x14ac:dyDescent="0.2">
      <c r="A4110" s="24" t="s">
        <v>9939</v>
      </c>
      <c r="B4110" s="24" t="s">
        <v>9940</v>
      </c>
      <c r="C4110" s="24" t="s">
        <v>331</v>
      </c>
      <c r="D4110" s="24" t="s">
        <v>17</v>
      </c>
      <c r="E4110" s="24" t="s">
        <v>42</v>
      </c>
      <c r="F4110" s="24" t="s">
        <v>43</v>
      </c>
      <c r="G4110" s="24" t="s">
        <v>28</v>
      </c>
      <c r="H4110" s="26">
        <v>240</v>
      </c>
      <c r="I4110" s="24" t="s">
        <v>29</v>
      </c>
      <c r="J4110" s="36">
        <v>45678</v>
      </c>
      <c r="K4110" s="24" t="s">
        <v>22</v>
      </c>
    </row>
    <row r="4111" spans="1:11" x14ac:dyDescent="0.2">
      <c r="A4111" s="27" t="s">
        <v>9941</v>
      </c>
      <c r="B4111" s="27" t="s">
        <v>9942</v>
      </c>
      <c r="C4111" s="27" t="s">
        <v>106</v>
      </c>
      <c r="D4111" s="27" t="s">
        <v>17</v>
      </c>
      <c r="E4111" s="27" t="s">
        <v>18</v>
      </c>
      <c r="F4111" s="27" t="s">
        <v>19</v>
      </c>
      <c r="G4111" s="27" t="s">
        <v>20</v>
      </c>
      <c r="H4111" s="29">
        <v>29</v>
      </c>
      <c r="I4111" s="27" t="s">
        <v>21</v>
      </c>
      <c r="J4111" s="37">
        <v>45672</v>
      </c>
      <c r="K4111" s="27" t="s">
        <v>22</v>
      </c>
    </row>
    <row r="4112" spans="1:11" x14ac:dyDescent="0.2">
      <c r="A4112" s="24" t="s">
        <v>9943</v>
      </c>
      <c r="B4112" s="24" t="s">
        <v>9944</v>
      </c>
      <c r="C4112" s="24" t="s">
        <v>9667</v>
      </c>
      <c r="D4112" s="24" t="s">
        <v>17</v>
      </c>
      <c r="E4112" s="24" t="s">
        <v>48</v>
      </c>
      <c r="F4112" s="24" t="s">
        <v>49</v>
      </c>
      <c r="G4112" s="24" t="s">
        <v>217</v>
      </c>
      <c r="H4112" s="26">
        <v>86</v>
      </c>
      <c r="I4112" s="24" t="s">
        <v>29</v>
      </c>
      <c r="J4112" s="36">
        <v>45658</v>
      </c>
      <c r="K4112" s="24" t="s">
        <v>22</v>
      </c>
    </row>
    <row r="4113" spans="1:11" x14ac:dyDescent="0.2">
      <c r="A4113" s="27" t="s">
        <v>9945</v>
      </c>
      <c r="B4113" s="27" t="s">
        <v>9946</v>
      </c>
      <c r="C4113" s="27" t="s">
        <v>9947</v>
      </c>
      <c r="D4113" s="27" t="s">
        <v>17</v>
      </c>
      <c r="E4113" s="27" t="s">
        <v>48</v>
      </c>
      <c r="F4113" s="27" t="s">
        <v>49</v>
      </c>
      <c r="G4113" s="27" t="s">
        <v>28</v>
      </c>
      <c r="H4113" s="29">
        <v>59</v>
      </c>
      <c r="I4113" s="27" t="s">
        <v>29</v>
      </c>
      <c r="J4113" s="37">
        <v>45667</v>
      </c>
      <c r="K4113" s="27" t="s">
        <v>22</v>
      </c>
    </row>
    <row r="4114" spans="1:11" x14ac:dyDescent="0.2">
      <c r="A4114" s="24" t="s">
        <v>9948</v>
      </c>
      <c r="B4114" s="24" t="s">
        <v>9949</v>
      </c>
      <c r="C4114" s="24" t="s">
        <v>115</v>
      </c>
      <c r="D4114" s="24" t="s">
        <v>17</v>
      </c>
      <c r="E4114" s="24" t="s">
        <v>33</v>
      </c>
      <c r="F4114" s="24" t="s">
        <v>34</v>
      </c>
      <c r="G4114" s="24" t="s">
        <v>20</v>
      </c>
      <c r="H4114" s="26">
        <v>187</v>
      </c>
      <c r="I4114" s="24" t="s">
        <v>21</v>
      </c>
      <c r="J4114" s="36">
        <v>45688</v>
      </c>
      <c r="K4114" s="24" t="s">
        <v>22</v>
      </c>
    </row>
    <row r="4115" spans="1:11" x14ac:dyDescent="0.2">
      <c r="A4115" s="27" t="s">
        <v>9950</v>
      </c>
      <c r="B4115" s="27" t="s">
        <v>9951</v>
      </c>
      <c r="C4115" s="27" t="s">
        <v>85</v>
      </c>
      <c r="D4115" s="27" t="s">
        <v>17</v>
      </c>
      <c r="E4115" s="27" t="s">
        <v>81</v>
      </c>
      <c r="F4115" s="27" t="s">
        <v>82</v>
      </c>
      <c r="G4115" s="27" t="s">
        <v>44</v>
      </c>
      <c r="H4115" s="29">
        <v>130</v>
      </c>
      <c r="I4115" s="27" t="s">
        <v>21</v>
      </c>
      <c r="J4115" s="37">
        <v>45673</v>
      </c>
      <c r="K4115" s="27" t="s">
        <v>22</v>
      </c>
    </row>
    <row r="4116" spans="1:11" x14ac:dyDescent="0.2">
      <c r="A4116" s="24" t="s">
        <v>9952</v>
      </c>
      <c r="B4116" s="24" t="s">
        <v>9953</v>
      </c>
      <c r="C4116" s="24" t="s">
        <v>9954</v>
      </c>
      <c r="D4116" s="24" t="s">
        <v>17</v>
      </c>
      <c r="E4116" s="24" t="s">
        <v>42</v>
      </c>
      <c r="F4116" s="24" t="s">
        <v>43</v>
      </c>
      <c r="G4116" s="24" t="s">
        <v>28</v>
      </c>
      <c r="H4116" s="26">
        <v>1500</v>
      </c>
      <c r="I4116" s="24" t="s">
        <v>29</v>
      </c>
      <c r="J4116" s="36">
        <v>45670</v>
      </c>
      <c r="K4116" s="24" t="s">
        <v>22</v>
      </c>
    </row>
    <row r="4117" spans="1:11" x14ac:dyDescent="0.2">
      <c r="A4117" s="27" t="s">
        <v>9955</v>
      </c>
      <c r="B4117" s="27" t="s">
        <v>9956</v>
      </c>
      <c r="C4117" s="27" t="s">
        <v>6568</v>
      </c>
      <c r="D4117" s="27" t="s">
        <v>17</v>
      </c>
      <c r="E4117" s="27" t="s">
        <v>48</v>
      </c>
      <c r="F4117" s="27" t="s">
        <v>49</v>
      </c>
      <c r="G4117" s="27" t="s">
        <v>20</v>
      </c>
      <c r="H4117" s="29">
        <v>176</v>
      </c>
      <c r="I4117" s="27" t="s">
        <v>21</v>
      </c>
      <c r="J4117" s="37">
        <v>45664</v>
      </c>
      <c r="K4117" s="27" t="s">
        <v>22</v>
      </c>
    </row>
    <row r="4118" spans="1:11" x14ac:dyDescent="0.2">
      <c r="A4118" s="24" t="s">
        <v>9957</v>
      </c>
      <c r="B4118" s="24" t="s">
        <v>9958</v>
      </c>
      <c r="C4118" s="24" t="s">
        <v>9959</v>
      </c>
      <c r="D4118" s="24" t="s">
        <v>17</v>
      </c>
      <c r="E4118" s="24" t="s">
        <v>48</v>
      </c>
      <c r="F4118" s="24" t="s">
        <v>49</v>
      </c>
      <c r="G4118" s="24" t="s">
        <v>217</v>
      </c>
      <c r="H4118" s="26">
        <v>100</v>
      </c>
      <c r="I4118" s="24" t="s">
        <v>29</v>
      </c>
      <c r="J4118" s="36">
        <v>45658</v>
      </c>
      <c r="K4118" s="24" t="s">
        <v>22</v>
      </c>
    </row>
    <row r="4119" spans="1:11" x14ac:dyDescent="0.2">
      <c r="A4119" s="27" t="s">
        <v>9960</v>
      </c>
      <c r="B4119" s="27" t="s">
        <v>9961</v>
      </c>
      <c r="C4119" s="27" t="s">
        <v>213</v>
      </c>
      <c r="D4119" s="27" t="s">
        <v>17</v>
      </c>
      <c r="E4119" s="27" t="s">
        <v>42</v>
      </c>
      <c r="F4119" s="27" t="s">
        <v>43</v>
      </c>
      <c r="G4119" s="27" t="s">
        <v>28</v>
      </c>
      <c r="H4119" s="29">
        <v>211</v>
      </c>
      <c r="I4119" s="27" t="s">
        <v>29</v>
      </c>
      <c r="J4119" s="37">
        <v>45679</v>
      </c>
      <c r="K4119" s="27" t="s">
        <v>22</v>
      </c>
    </row>
    <row r="4120" spans="1:11" x14ac:dyDescent="0.2">
      <c r="A4120" s="24" t="s">
        <v>9962</v>
      </c>
      <c r="B4120" s="24" t="s">
        <v>9963</v>
      </c>
      <c r="C4120" s="24" t="s">
        <v>140</v>
      </c>
      <c r="D4120" s="24" t="s">
        <v>17</v>
      </c>
      <c r="E4120" s="24" t="s">
        <v>48</v>
      </c>
      <c r="F4120" s="24" t="s">
        <v>49</v>
      </c>
      <c r="G4120" s="24" t="s">
        <v>28</v>
      </c>
      <c r="H4120" s="26">
        <v>47</v>
      </c>
      <c r="I4120" s="24" t="s">
        <v>29</v>
      </c>
      <c r="J4120" s="36">
        <v>45660</v>
      </c>
      <c r="K4120" s="24" t="s">
        <v>22</v>
      </c>
    </row>
    <row r="4121" spans="1:11" x14ac:dyDescent="0.2">
      <c r="A4121" s="27" t="s">
        <v>9964</v>
      </c>
      <c r="B4121" s="27" t="s">
        <v>9965</v>
      </c>
      <c r="C4121" s="27" t="s">
        <v>5393</v>
      </c>
      <c r="D4121" s="27" t="s">
        <v>17</v>
      </c>
      <c r="E4121" s="27" t="s">
        <v>81</v>
      </c>
      <c r="F4121" s="27" t="s">
        <v>82</v>
      </c>
      <c r="G4121" s="27" t="s">
        <v>28</v>
      </c>
      <c r="H4121" s="29">
        <v>50</v>
      </c>
      <c r="I4121" s="27" t="s">
        <v>29</v>
      </c>
      <c r="J4121" s="37">
        <v>45677</v>
      </c>
      <c r="K4121" s="27" t="s">
        <v>22</v>
      </c>
    </row>
    <row r="4122" spans="1:11" x14ac:dyDescent="0.2">
      <c r="A4122" s="24" t="s">
        <v>9966</v>
      </c>
      <c r="B4122" s="24" t="s">
        <v>9967</v>
      </c>
      <c r="C4122" s="24" t="s">
        <v>9968</v>
      </c>
      <c r="D4122" s="24" t="s">
        <v>17</v>
      </c>
      <c r="E4122" s="24" t="s">
        <v>18</v>
      </c>
      <c r="F4122" s="24" t="s">
        <v>19</v>
      </c>
      <c r="G4122" s="24" t="s">
        <v>28</v>
      </c>
      <c r="H4122" s="26">
        <v>145</v>
      </c>
      <c r="I4122" s="24" t="s">
        <v>29</v>
      </c>
      <c r="J4122" s="36">
        <v>45664</v>
      </c>
      <c r="K4122" s="24" t="s">
        <v>22</v>
      </c>
    </row>
    <row r="4123" spans="1:11" x14ac:dyDescent="0.2">
      <c r="A4123" s="27" t="s">
        <v>9969</v>
      </c>
      <c r="B4123" s="27" t="s">
        <v>9970</v>
      </c>
      <c r="C4123" s="27" t="s">
        <v>1931</v>
      </c>
      <c r="D4123" s="27" t="s">
        <v>17</v>
      </c>
      <c r="E4123" s="27" t="s">
        <v>26</v>
      </c>
      <c r="F4123" s="27" t="s">
        <v>27</v>
      </c>
      <c r="G4123" s="27" t="s">
        <v>44</v>
      </c>
      <c r="H4123" s="29">
        <v>56</v>
      </c>
      <c r="I4123" s="27" t="s">
        <v>29</v>
      </c>
      <c r="J4123" s="37">
        <v>45680</v>
      </c>
      <c r="K4123" s="27" t="s">
        <v>22</v>
      </c>
    </row>
    <row r="4124" spans="1:11" x14ac:dyDescent="0.2">
      <c r="A4124" s="24" t="s">
        <v>9971</v>
      </c>
      <c r="B4124" s="24" t="s">
        <v>9972</v>
      </c>
      <c r="C4124" s="24" t="s">
        <v>7072</v>
      </c>
      <c r="D4124" s="24" t="s">
        <v>17</v>
      </c>
      <c r="E4124" s="24" t="s">
        <v>48</v>
      </c>
      <c r="F4124" s="24" t="s">
        <v>49</v>
      </c>
      <c r="G4124" s="24" t="s">
        <v>28</v>
      </c>
      <c r="H4124" s="26">
        <v>83</v>
      </c>
      <c r="I4124" s="24" t="s">
        <v>29</v>
      </c>
      <c r="J4124" s="36">
        <v>45671</v>
      </c>
      <c r="K4124" s="24" t="s">
        <v>22</v>
      </c>
    </row>
    <row r="4125" spans="1:11" x14ac:dyDescent="0.2">
      <c r="A4125" s="27" t="s">
        <v>9973</v>
      </c>
      <c r="B4125" s="27" t="s">
        <v>9974</v>
      </c>
      <c r="C4125" s="27" t="s">
        <v>9975</v>
      </c>
      <c r="D4125" s="27" t="s">
        <v>17</v>
      </c>
      <c r="E4125" s="27" t="s">
        <v>26</v>
      </c>
      <c r="F4125" s="27" t="s">
        <v>27</v>
      </c>
      <c r="G4125" s="27" t="s">
        <v>116</v>
      </c>
      <c r="H4125" s="29">
        <v>0</v>
      </c>
      <c r="I4125" s="27" t="s">
        <v>21</v>
      </c>
      <c r="J4125" s="37">
        <v>45658</v>
      </c>
      <c r="K4125" s="27" t="s">
        <v>22</v>
      </c>
    </row>
    <row r="4126" spans="1:11" x14ac:dyDescent="0.2">
      <c r="A4126" s="24" t="s">
        <v>9976</v>
      </c>
      <c r="B4126" s="24" t="s">
        <v>9977</v>
      </c>
      <c r="C4126" s="24" t="s">
        <v>1227</v>
      </c>
      <c r="D4126" s="24" t="s">
        <v>17</v>
      </c>
      <c r="E4126" s="24" t="s">
        <v>18</v>
      </c>
      <c r="F4126" s="24" t="s">
        <v>19</v>
      </c>
      <c r="G4126" s="24" t="s">
        <v>217</v>
      </c>
      <c r="H4126" s="26">
        <v>94</v>
      </c>
      <c r="I4126" s="24" t="s">
        <v>29</v>
      </c>
      <c r="J4126" s="36">
        <v>45677</v>
      </c>
      <c r="K4126" s="24" t="s">
        <v>22</v>
      </c>
    </row>
    <row r="4127" spans="1:11" x14ac:dyDescent="0.2">
      <c r="A4127" s="27" t="s">
        <v>9978</v>
      </c>
      <c r="B4127" s="27" t="s">
        <v>9979</v>
      </c>
      <c r="C4127" s="27" t="s">
        <v>708</v>
      </c>
      <c r="D4127" s="27" t="s">
        <v>17</v>
      </c>
      <c r="E4127" s="27" t="s">
        <v>18</v>
      </c>
      <c r="F4127" s="27" t="s">
        <v>19</v>
      </c>
      <c r="G4127" s="27" t="s">
        <v>20</v>
      </c>
      <c r="H4127" s="29">
        <v>32</v>
      </c>
      <c r="I4127" s="27" t="s">
        <v>21</v>
      </c>
      <c r="J4127" s="37">
        <v>45684</v>
      </c>
      <c r="K4127" s="27" t="s">
        <v>22</v>
      </c>
    </row>
    <row r="4128" spans="1:11" x14ac:dyDescent="0.2">
      <c r="A4128" s="24" t="s">
        <v>9980</v>
      </c>
      <c r="B4128" s="24" t="s">
        <v>9981</v>
      </c>
      <c r="C4128" s="24" t="s">
        <v>687</v>
      </c>
      <c r="D4128" s="24" t="s">
        <v>17</v>
      </c>
      <c r="E4128" s="24" t="s">
        <v>18</v>
      </c>
      <c r="F4128" s="24" t="s">
        <v>19</v>
      </c>
      <c r="G4128" s="24" t="s">
        <v>20</v>
      </c>
      <c r="H4128" s="26">
        <v>43</v>
      </c>
      <c r="I4128" s="24" t="s">
        <v>21</v>
      </c>
      <c r="J4128" s="36">
        <v>45686</v>
      </c>
      <c r="K4128" s="24" t="s">
        <v>22</v>
      </c>
    </row>
    <row r="4129" spans="1:11" x14ac:dyDescent="0.2">
      <c r="A4129" s="27" t="s">
        <v>9982</v>
      </c>
      <c r="B4129" s="27" t="s">
        <v>9983</v>
      </c>
      <c r="C4129" s="27" t="s">
        <v>9984</v>
      </c>
      <c r="D4129" s="27" t="s">
        <v>17</v>
      </c>
      <c r="E4129" s="27" t="s">
        <v>33</v>
      </c>
      <c r="F4129" s="27" t="s">
        <v>34</v>
      </c>
      <c r="G4129" s="27" t="s">
        <v>28</v>
      </c>
      <c r="H4129" s="29">
        <v>650</v>
      </c>
      <c r="I4129" s="27" t="s">
        <v>29</v>
      </c>
      <c r="J4129" s="37">
        <v>45685</v>
      </c>
      <c r="K4129" s="27" t="s">
        <v>22</v>
      </c>
    </row>
    <row r="4130" spans="1:11" x14ac:dyDescent="0.2">
      <c r="A4130" s="24" t="s">
        <v>9985</v>
      </c>
      <c r="B4130" s="24" t="s">
        <v>9986</v>
      </c>
      <c r="C4130" s="24" t="s">
        <v>9987</v>
      </c>
      <c r="D4130" s="24" t="s">
        <v>17</v>
      </c>
      <c r="E4130" s="24" t="s">
        <v>48</v>
      </c>
      <c r="F4130" s="24" t="s">
        <v>49</v>
      </c>
      <c r="G4130" s="24" t="s">
        <v>28</v>
      </c>
      <c r="H4130" s="26">
        <v>60</v>
      </c>
      <c r="I4130" s="24" t="s">
        <v>29</v>
      </c>
      <c r="J4130" s="36">
        <v>45677</v>
      </c>
      <c r="K4130" s="24" t="s">
        <v>22</v>
      </c>
    </row>
    <row r="4131" spans="1:11" x14ac:dyDescent="0.2">
      <c r="A4131" s="27" t="s">
        <v>9988</v>
      </c>
      <c r="B4131" s="27" t="s">
        <v>9989</v>
      </c>
      <c r="C4131" s="27" t="s">
        <v>208</v>
      </c>
      <c r="D4131" s="27" t="s">
        <v>17</v>
      </c>
      <c r="E4131" s="27" t="s">
        <v>48</v>
      </c>
      <c r="F4131" s="27" t="s">
        <v>49</v>
      </c>
      <c r="G4131" s="27" t="s">
        <v>44</v>
      </c>
      <c r="H4131" s="29">
        <v>150</v>
      </c>
      <c r="I4131" s="27" t="s">
        <v>21</v>
      </c>
      <c r="J4131" s="37">
        <v>45687</v>
      </c>
      <c r="K4131" s="27" t="s">
        <v>22</v>
      </c>
    </row>
    <row r="4132" spans="1:11" x14ac:dyDescent="0.2">
      <c r="A4132" s="24" t="s">
        <v>9990</v>
      </c>
      <c r="B4132" s="24" t="s">
        <v>9991</v>
      </c>
      <c r="C4132" s="24" t="s">
        <v>2331</v>
      </c>
      <c r="D4132" s="24" t="s">
        <v>17</v>
      </c>
      <c r="E4132" s="24" t="s">
        <v>18</v>
      </c>
      <c r="F4132" s="24" t="s">
        <v>19</v>
      </c>
      <c r="G4132" s="24" t="s">
        <v>116</v>
      </c>
      <c r="H4132" s="26">
        <v>0</v>
      </c>
      <c r="I4132" s="24" t="s">
        <v>21</v>
      </c>
      <c r="J4132" s="36">
        <v>45663</v>
      </c>
      <c r="K4132" s="24" t="s">
        <v>22</v>
      </c>
    </row>
    <row r="4133" spans="1:11" x14ac:dyDescent="0.2">
      <c r="A4133" s="27" t="s">
        <v>9992</v>
      </c>
      <c r="B4133" s="27" t="s">
        <v>9993</v>
      </c>
      <c r="C4133" s="27" t="s">
        <v>3601</v>
      </c>
      <c r="D4133" s="27" t="s">
        <v>17</v>
      </c>
      <c r="E4133" s="27" t="s">
        <v>48</v>
      </c>
      <c r="F4133" s="27" t="s">
        <v>49</v>
      </c>
      <c r="G4133" s="27" t="s">
        <v>28</v>
      </c>
      <c r="H4133" s="29">
        <v>249</v>
      </c>
      <c r="I4133" s="27" t="s">
        <v>29</v>
      </c>
      <c r="J4133" s="37">
        <v>45660</v>
      </c>
      <c r="K4133" s="27" t="s">
        <v>22</v>
      </c>
    </row>
    <row r="4134" spans="1:11" x14ac:dyDescent="0.2">
      <c r="A4134" s="24" t="s">
        <v>9994</v>
      </c>
      <c r="B4134" s="24" t="s">
        <v>9995</v>
      </c>
      <c r="C4134" s="24" t="s">
        <v>9996</v>
      </c>
      <c r="D4134" s="24" t="s">
        <v>17</v>
      </c>
      <c r="E4134" s="24" t="s">
        <v>81</v>
      </c>
      <c r="F4134" s="24" t="s">
        <v>82</v>
      </c>
      <c r="G4134" s="24" t="s">
        <v>28</v>
      </c>
      <c r="H4134" s="26">
        <v>132</v>
      </c>
      <c r="I4134" s="24" t="s">
        <v>29</v>
      </c>
      <c r="J4134" s="36">
        <v>45670</v>
      </c>
      <c r="K4134" s="24" t="s">
        <v>22</v>
      </c>
    </row>
    <row r="4135" spans="1:11" x14ac:dyDescent="0.2">
      <c r="A4135" s="27" t="s">
        <v>9997</v>
      </c>
      <c r="B4135" s="27" t="s">
        <v>9998</v>
      </c>
      <c r="C4135" s="27" t="s">
        <v>1307</v>
      </c>
      <c r="D4135" s="27" t="s">
        <v>17</v>
      </c>
      <c r="E4135" s="27" t="s">
        <v>18</v>
      </c>
      <c r="F4135" s="27" t="s">
        <v>19</v>
      </c>
      <c r="G4135" s="27" t="s">
        <v>28</v>
      </c>
      <c r="H4135" s="29">
        <v>100</v>
      </c>
      <c r="I4135" s="27" t="s">
        <v>29</v>
      </c>
      <c r="J4135" s="37">
        <v>45678</v>
      </c>
      <c r="K4135" s="27" t="s">
        <v>22</v>
      </c>
    </row>
    <row r="4136" spans="1:11" x14ac:dyDescent="0.2">
      <c r="A4136" s="24" t="s">
        <v>9999</v>
      </c>
      <c r="B4136" s="24" t="s">
        <v>10000</v>
      </c>
      <c r="C4136" s="24" t="s">
        <v>1588</v>
      </c>
      <c r="D4136" s="24" t="s">
        <v>17</v>
      </c>
      <c r="E4136" s="24" t="s">
        <v>18</v>
      </c>
      <c r="F4136" s="24" t="s">
        <v>19</v>
      </c>
      <c r="G4136" s="24" t="s">
        <v>44</v>
      </c>
      <c r="H4136" s="26">
        <v>237</v>
      </c>
      <c r="I4136" s="24" t="s">
        <v>29</v>
      </c>
      <c r="J4136" s="36">
        <v>45671</v>
      </c>
      <c r="K4136" s="24" t="s">
        <v>22</v>
      </c>
    </row>
    <row r="4137" spans="1:11" x14ac:dyDescent="0.2">
      <c r="A4137" s="27" t="s">
        <v>10001</v>
      </c>
      <c r="B4137" s="27" t="s">
        <v>10002</v>
      </c>
      <c r="C4137" s="27" t="s">
        <v>97</v>
      </c>
      <c r="D4137" s="27" t="s">
        <v>17</v>
      </c>
      <c r="E4137" s="27" t="s">
        <v>26</v>
      </c>
      <c r="F4137" s="27" t="s">
        <v>27</v>
      </c>
      <c r="G4137" s="27" t="s">
        <v>28</v>
      </c>
      <c r="H4137" s="29">
        <v>276</v>
      </c>
      <c r="I4137" s="27" t="s">
        <v>29</v>
      </c>
      <c r="J4137" s="37">
        <v>45687</v>
      </c>
      <c r="K4137" s="27" t="s">
        <v>22</v>
      </c>
    </row>
    <row r="4138" spans="1:11" x14ac:dyDescent="0.2">
      <c r="A4138" s="24" t="s">
        <v>10003</v>
      </c>
      <c r="B4138" s="24" t="s">
        <v>10004</v>
      </c>
      <c r="C4138" s="24" t="s">
        <v>4078</v>
      </c>
      <c r="D4138" s="24" t="s">
        <v>17</v>
      </c>
      <c r="E4138" s="24" t="s">
        <v>48</v>
      </c>
      <c r="F4138" s="24" t="s">
        <v>49</v>
      </c>
      <c r="G4138" s="24" t="s">
        <v>28</v>
      </c>
      <c r="H4138" s="26">
        <v>125</v>
      </c>
      <c r="I4138" s="24" t="s">
        <v>29</v>
      </c>
      <c r="J4138" s="36">
        <v>45688</v>
      </c>
      <c r="K4138" s="24" t="s">
        <v>22</v>
      </c>
    </row>
    <row r="4139" spans="1:11" x14ac:dyDescent="0.2">
      <c r="A4139" s="27" t="s">
        <v>10005</v>
      </c>
      <c r="B4139" s="27" t="s">
        <v>10006</v>
      </c>
      <c r="C4139" s="27" t="s">
        <v>10007</v>
      </c>
      <c r="D4139" s="27" t="s">
        <v>17</v>
      </c>
      <c r="E4139" s="27" t="s">
        <v>18</v>
      </c>
      <c r="F4139" s="27" t="s">
        <v>19</v>
      </c>
      <c r="G4139" s="27" t="s">
        <v>28</v>
      </c>
      <c r="H4139" s="29">
        <v>35</v>
      </c>
      <c r="I4139" s="27" t="s">
        <v>29</v>
      </c>
      <c r="J4139" s="37">
        <v>45658</v>
      </c>
      <c r="K4139" s="27" t="s">
        <v>22</v>
      </c>
    </row>
    <row r="4140" spans="1:11" x14ac:dyDescent="0.2">
      <c r="A4140" s="24" t="s">
        <v>10008</v>
      </c>
      <c r="B4140" s="24" t="s">
        <v>10009</v>
      </c>
      <c r="C4140" s="24" t="s">
        <v>85</v>
      </c>
      <c r="D4140" s="24" t="s">
        <v>17</v>
      </c>
      <c r="E4140" s="24" t="s">
        <v>42</v>
      </c>
      <c r="F4140" s="24" t="s">
        <v>43</v>
      </c>
      <c r="G4140" s="24" t="s">
        <v>44</v>
      </c>
      <c r="H4140" s="26">
        <v>150</v>
      </c>
      <c r="I4140" s="24" t="s">
        <v>21</v>
      </c>
      <c r="J4140" s="36">
        <v>45679</v>
      </c>
      <c r="K4140" s="24" t="s">
        <v>22</v>
      </c>
    </row>
    <row r="4141" spans="1:11" x14ac:dyDescent="0.2">
      <c r="A4141" s="27" t="s">
        <v>10010</v>
      </c>
      <c r="B4141" s="27" t="s">
        <v>10011</v>
      </c>
      <c r="C4141" s="27" t="s">
        <v>10012</v>
      </c>
      <c r="D4141" s="27" t="s">
        <v>17</v>
      </c>
      <c r="E4141" s="27" t="s">
        <v>26</v>
      </c>
      <c r="F4141" s="27" t="s">
        <v>27</v>
      </c>
      <c r="G4141" s="27" t="s">
        <v>28</v>
      </c>
      <c r="H4141" s="29">
        <v>27</v>
      </c>
      <c r="I4141" s="27" t="s">
        <v>29</v>
      </c>
      <c r="J4141" s="37">
        <v>45674</v>
      </c>
      <c r="K4141" s="27" t="s">
        <v>22</v>
      </c>
    </row>
    <row r="4142" spans="1:11" x14ac:dyDescent="0.2">
      <c r="A4142" s="24" t="s">
        <v>10013</v>
      </c>
      <c r="B4142" s="24" t="s">
        <v>10014</v>
      </c>
      <c r="C4142" s="24" t="s">
        <v>3136</v>
      </c>
      <c r="D4142" s="24" t="s">
        <v>17</v>
      </c>
      <c r="E4142" s="24" t="s">
        <v>42</v>
      </c>
      <c r="F4142" s="24" t="s">
        <v>43</v>
      </c>
      <c r="G4142" s="24" t="s">
        <v>44</v>
      </c>
      <c r="H4142" s="26">
        <v>1680</v>
      </c>
      <c r="I4142" s="24" t="s">
        <v>29</v>
      </c>
      <c r="J4142" s="36">
        <v>45665</v>
      </c>
      <c r="K4142" s="24" t="s">
        <v>22</v>
      </c>
    </row>
    <row r="4143" spans="1:11" x14ac:dyDescent="0.2">
      <c r="A4143" s="27" t="s">
        <v>10015</v>
      </c>
      <c r="B4143" s="27" t="s">
        <v>10016</v>
      </c>
      <c r="C4143" s="27" t="s">
        <v>5080</v>
      </c>
      <c r="D4143" s="27" t="s">
        <v>17</v>
      </c>
      <c r="E4143" s="27" t="s">
        <v>48</v>
      </c>
      <c r="F4143" s="27" t="s">
        <v>49</v>
      </c>
      <c r="G4143" s="27" t="s">
        <v>28</v>
      </c>
      <c r="H4143" s="29">
        <v>200</v>
      </c>
      <c r="I4143" s="27" t="s">
        <v>29</v>
      </c>
      <c r="J4143" s="37">
        <v>45671</v>
      </c>
      <c r="K4143" s="27" t="s">
        <v>22</v>
      </c>
    </row>
    <row r="4144" spans="1:11" x14ac:dyDescent="0.2">
      <c r="A4144" s="24" t="s">
        <v>10017</v>
      </c>
      <c r="B4144" s="24" t="s">
        <v>10018</v>
      </c>
      <c r="C4144" s="24" t="s">
        <v>10019</v>
      </c>
      <c r="D4144" s="24" t="s">
        <v>17</v>
      </c>
      <c r="E4144" s="24" t="s">
        <v>42</v>
      </c>
      <c r="F4144" s="24" t="s">
        <v>43</v>
      </c>
      <c r="G4144" s="24" t="s">
        <v>59</v>
      </c>
      <c r="H4144" s="26">
        <v>55</v>
      </c>
      <c r="I4144" s="24" t="s">
        <v>21</v>
      </c>
      <c r="J4144" s="36">
        <v>45663</v>
      </c>
      <c r="K4144" s="24" t="s">
        <v>22</v>
      </c>
    </row>
    <row r="4145" spans="1:11" x14ac:dyDescent="0.2">
      <c r="A4145" s="27" t="s">
        <v>10020</v>
      </c>
      <c r="B4145" s="27" t="s">
        <v>10021</v>
      </c>
      <c r="C4145" s="27" t="s">
        <v>3351</v>
      </c>
      <c r="D4145" s="27" t="s">
        <v>17</v>
      </c>
      <c r="E4145" s="27" t="s">
        <v>18</v>
      </c>
      <c r="F4145" s="27" t="s">
        <v>19</v>
      </c>
      <c r="G4145" s="27" t="s">
        <v>28</v>
      </c>
      <c r="H4145" s="29">
        <v>48</v>
      </c>
      <c r="I4145" s="27" t="s">
        <v>29</v>
      </c>
      <c r="J4145" s="37">
        <v>45667</v>
      </c>
      <c r="K4145" s="27" t="s">
        <v>22</v>
      </c>
    </row>
    <row r="4146" spans="1:11" x14ac:dyDescent="0.2">
      <c r="A4146" s="24" t="s">
        <v>10022</v>
      </c>
      <c r="B4146" s="24" t="s">
        <v>10023</v>
      </c>
      <c r="C4146" s="24" t="s">
        <v>1212</v>
      </c>
      <c r="D4146" s="24" t="s">
        <v>17</v>
      </c>
      <c r="E4146" s="24" t="s">
        <v>18</v>
      </c>
      <c r="F4146" s="24" t="s">
        <v>19</v>
      </c>
      <c r="G4146" s="24" t="s">
        <v>20</v>
      </c>
      <c r="H4146" s="26">
        <v>60</v>
      </c>
      <c r="I4146" s="24" t="s">
        <v>21</v>
      </c>
      <c r="J4146" s="36">
        <v>45661</v>
      </c>
      <c r="K4146" s="24" t="s">
        <v>22</v>
      </c>
    </row>
    <row r="4147" spans="1:11" x14ac:dyDescent="0.2">
      <c r="A4147" s="27" t="s">
        <v>10024</v>
      </c>
      <c r="B4147" s="27" t="s">
        <v>10025</v>
      </c>
      <c r="C4147" s="27" t="s">
        <v>10026</v>
      </c>
      <c r="D4147" s="27" t="s">
        <v>17</v>
      </c>
      <c r="E4147" s="27" t="s">
        <v>18</v>
      </c>
      <c r="F4147" s="27" t="s">
        <v>19</v>
      </c>
      <c r="G4147" s="27" t="s">
        <v>20</v>
      </c>
      <c r="H4147" s="29">
        <v>72</v>
      </c>
      <c r="I4147" s="27" t="s">
        <v>21</v>
      </c>
      <c r="J4147" s="37">
        <v>45679</v>
      </c>
      <c r="K4147" s="27" t="s">
        <v>22</v>
      </c>
    </row>
    <row r="4148" spans="1:11" x14ac:dyDescent="0.2">
      <c r="A4148" s="24" t="s">
        <v>10027</v>
      </c>
      <c r="B4148" s="24" t="s">
        <v>10028</v>
      </c>
      <c r="C4148" s="24" t="s">
        <v>85</v>
      </c>
      <c r="D4148" s="24" t="s">
        <v>17</v>
      </c>
      <c r="E4148" s="24" t="s">
        <v>18</v>
      </c>
      <c r="F4148" s="24" t="s">
        <v>19</v>
      </c>
      <c r="G4148" s="24" t="s">
        <v>28</v>
      </c>
      <c r="H4148" s="26">
        <v>165</v>
      </c>
      <c r="I4148" s="24" t="s">
        <v>29</v>
      </c>
      <c r="J4148" s="36">
        <v>45673</v>
      </c>
      <c r="K4148" s="24" t="s">
        <v>22</v>
      </c>
    </row>
    <row r="4149" spans="1:11" x14ac:dyDescent="0.2">
      <c r="A4149" s="27" t="s">
        <v>10029</v>
      </c>
      <c r="B4149" s="27" t="s">
        <v>10030</v>
      </c>
      <c r="C4149" s="27" t="s">
        <v>500</v>
      </c>
      <c r="D4149" s="27" t="s">
        <v>17</v>
      </c>
      <c r="E4149" s="27" t="s">
        <v>18</v>
      </c>
      <c r="F4149" s="27" t="s">
        <v>19</v>
      </c>
      <c r="G4149" s="27" t="s">
        <v>20</v>
      </c>
      <c r="H4149" s="29">
        <v>14</v>
      </c>
      <c r="I4149" s="27" t="s">
        <v>21</v>
      </c>
      <c r="J4149" s="37">
        <v>45666</v>
      </c>
      <c r="K4149" s="27" t="s">
        <v>22</v>
      </c>
    </row>
    <row r="4150" spans="1:11" x14ac:dyDescent="0.2">
      <c r="A4150" s="24" t="s">
        <v>10031</v>
      </c>
      <c r="B4150" s="24" t="s">
        <v>10032</v>
      </c>
      <c r="C4150" s="24" t="s">
        <v>85</v>
      </c>
      <c r="D4150" s="24" t="s">
        <v>17</v>
      </c>
      <c r="E4150" s="24" t="s">
        <v>48</v>
      </c>
      <c r="F4150" s="24" t="s">
        <v>49</v>
      </c>
      <c r="G4150" s="24" t="s">
        <v>28</v>
      </c>
      <c r="H4150" s="26">
        <v>150</v>
      </c>
      <c r="I4150" s="24" t="s">
        <v>29</v>
      </c>
      <c r="J4150" s="36">
        <v>45677</v>
      </c>
      <c r="K4150" s="24" t="s">
        <v>22</v>
      </c>
    </row>
    <row r="4151" spans="1:11" x14ac:dyDescent="0.2">
      <c r="A4151" s="27" t="s">
        <v>10033</v>
      </c>
      <c r="B4151" s="27" t="s">
        <v>10034</v>
      </c>
      <c r="C4151" s="27" t="s">
        <v>301</v>
      </c>
      <c r="D4151" s="27" t="s">
        <v>17</v>
      </c>
      <c r="E4151" s="27" t="s">
        <v>18</v>
      </c>
      <c r="F4151" s="27" t="s">
        <v>19</v>
      </c>
      <c r="G4151" s="27" t="s">
        <v>28</v>
      </c>
      <c r="H4151" s="29">
        <v>115</v>
      </c>
      <c r="I4151" s="27" t="s">
        <v>29</v>
      </c>
      <c r="J4151" s="37">
        <v>45671</v>
      </c>
      <c r="K4151" s="27" t="s">
        <v>22</v>
      </c>
    </row>
    <row r="4152" spans="1:11" x14ac:dyDescent="0.2">
      <c r="A4152" s="24" t="s">
        <v>10035</v>
      </c>
      <c r="B4152" s="24" t="s">
        <v>10036</v>
      </c>
      <c r="C4152" s="24" t="s">
        <v>10037</v>
      </c>
      <c r="D4152" s="24" t="s">
        <v>17</v>
      </c>
      <c r="E4152" s="24" t="s">
        <v>26</v>
      </c>
      <c r="F4152" s="24" t="s">
        <v>27</v>
      </c>
      <c r="G4152" s="24" t="s">
        <v>44</v>
      </c>
      <c r="H4152" s="26">
        <v>64</v>
      </c>
      <c r="I4152" s="24" t="s">
        <v>29</v>
      </c>
      <c r="J4152" s="36">
        <v>45670</v>
      </c>
      <c r="K4152" s="24" t="s">
        <v>22</v>
      </c>
    </row>
    <row r="4153" spans="1:11" x14ac:dyDescent="0.2">
      <c r="A4153" s="27" t="s">
        <v>10038</v>
      </c>
      <c r="B4153" s="27" t="s">
        <v>10039</v>
      </c>
      <c r="C4153" s="27" t="s">
        <v>213</v>
      </c>
      <c r="D4153" s="27" t="s">
        <v>17</v>
      </c>
      <c r="E4153" s="27" t="s">
        <v>42</v>
      </c>
      <c r="F4153" s="27" t="s">
        <v>43</v>
      </c>
      <c r="G4153" s="27" t="s">
        <v>28</v>
      </c>
      <c r="H4153" s="29">
        <v>1020</v>
      </c>
      <c r="I4153" s="27" t="s">
        <v>29</v>
      </c>
      <c r="J4153" s="37">
        <v>45663</v>
      </c>
      <c r="K4153" s="27" t="s">
        <v>22</v>
      </c>
    </row>
    <row r="4154" spans="1:11" x14ac:dyDescent="0.2">
      <c r="A4154" s="24" t="s">
        <v>10040</v>
      </c>
      <c r="B4154" s="24" t="s">
        <v>10041</v>
      </c>
      <c r="C4154" s="24" t="s">
        <v>301</v>
      </c>
      <c r="D4154" s="24" t="s">
        <v>17</v>
      </c>
      <c r="E4154" s="24" t="s">
        <v>42</v>
      </c>
      <c r="F4154" s="24" t="s">
        <v>43</v>
      </c>
      <c r="G4154" s="24" t="s">
        <v>28</v>
      </c>
      <c r="H4154" s="26">
        <v>750</v>
      </c>
      <c r="I4154" s="24" t="s">
        <v>29</v>
      </c>
      <c r="J4154" s="36">
        <v>45666</v>
      </c>
      <c r="K4154" s="24" t="s">
        <v>22</v>
      </c>
    </row>
    <row r="4155" spans="1:11" x14ac:dyDescent="0.2">
      <c r="A4155" s="27" t="s">
        <v>10042</v>
      </c>
      <c r="B4155" s="27" t="s">
        <v>10043</v>
      </c>
      <c r="C4155" s="27" t="s">
        <v>5786</v>
      </c>
      <c r="D4155" s="27" t="s">
        <v>17</v>
      </c>
      <c r="E4155" s="27" t="s">
        <v>48</v>
      </c>
      <c r="F4155" s="27" t="s">
        <v>49</v>
      </c>
      <c r="G4155" s="27" t="s">
        <v>44</v>
      </c>
      <c r="H4155" s="29">
        <v>24</v>
      </c>
      <c r="I4155" s="27" t="s">
        <v>29</v>
      </c>
      <c r="J4155" s="37">
        <v>45680</v>
      </c>
      <c r="K4155" s="27" t="s">
        <v>22</v>
      </c>
    </row>
    <row r="4156" spans="1:11" x14ac:dyDescent="0.2">
      <c r="A4156" s="24" t="s">
        <v>10044</v>
      </c>
      <c r="B4156" s="24" t="s">
        <v>10045</v>
      </c>
      <c r="C4156" s="24" t="s">
        <v>2679</v>
      </c>
      <c r="D4156" s="24" t="s">
        <v>17</v>
      </c>
      <c r="E4156" s="24" t="s">
        <v>26</v>
      </c>
      <c r="F4156" s="24" t="s">
        <v>27</v>
      </c>
      <c r="G4156" s="24" t="s">
        <v>28</v>
      </c>
      <c r="H4156" s="26">
        <v>24</v>
      </c>
      <c r="I4156" s="24" t="s">
        <v>29</v>
      </c>
      <c r="J4156" s="36">
        <v>45677</v>
      </c>
      <c r="K4156" s="24" t="s">
        <v>22</v>
      </c>
    </row>
    <row r="4157" spans="1:11" x14ac:dyDescent="0.2">
      <c r="A4157" s="27" t="s">
        <v>10046</v>
      </c>
      <c r="B4157" s="27" t="s">
        <v>10047</v>
      </c>
      <c r="C4157" s="27" t="s">
        <v>10048</v>
      </c>
      <c r="D4157" s="27" t="s">
        <v>17</v>
      </c>
      <c r="E4157" s="27" t="s">
        <v>26</v>
      </c>
      <c r="F4157" s="27" t="s">
        <v>27</v>
      </c>
      <c r="G4157" s="27" t="s">
        <v>28</v>
      </c>
      <c r="H4157" s="29">
        <v>71</v>
      </c>
      <c r="I4157" s="27" t="s">
        <v>29</v>
      </c>
      <c r="J4157" s="37">
        <v>45665</v>
      </c>
      <c r="K4157" s="27" t="s">
        <v>22</v>
      </c>
    </row>
    <row r="4158" spans="1:11" x14ac:dyDescent="0.2">
      <c r="A4158" s="24" t="s">
        <v>10049</v>
      </c>
      <c r="B4158" s="24" t="s">
        <v>10050</v>
      </c>
      <c r="C4158" s="24" t="s">
        <v>1283</v>
      </c>
      <c r="D4158" s="24" t="s">
        <v>17</v>
      </c>
      <c r="E4158" s="24" t="s">
        <v>26</v>
      </c>
      <c r="F4158" s="24" t="s">
        <v>27</v>
      </c>
      <c r="G4158" s="24" t="s">
        <v>217</v>
      </c>
      <c r="H4158" s="26">
        <v>99</v>
      </c>
      <c r="I4158" s="24" t="s">
        <v>29</v>
      </c>
      <c r="J4158" s="36">
        <v>45658</v>
      </c>
      <c r="K4158" s="24" t="s">
        <v>22</v>
      </c>
    </row>
    <row r="4159" spans="1:11" x14ac:dyDescent="0.2">
      <c r="A4159" s="27" t="s">
        <v>10051</v>
      </c>
      <c r="B4159" s="27" t="s">
        <v>10052</v>
      </c>
      <c r="C4159" s="27" t="s">
        <v>10053</v>
      </c>
      <c r="D4159" s="27" t="s">
        <v>17</v>
      </c>
      <c r="E4159" s="27" t="s">
        <v>48</v>
      </c>
      <c r="F4159" s="27" t="s">
        <v>49</v>
      </c>
      <c r="G4159" s="27" t="s">
        <v>44</v>
      </c>
      <c r="H4159" s="29">
        <v>10</v>
      </c>
      <c r="I4159" s="27" t="s">
        <v>21</v>
      </c>
      <c r="J4159" s="37">
        <v>45670</v>
      </c>
      <c r="K4159" s="27" t="s">
        <v>22</v>
      </c>
    </row>
    <row r="4160" spans="1:11" x14ac:dyDescent="0.2">
      <c r="A4160" s="24" t="s">
        <v>10054</v>
      </c>
      <c r="B4160" s="24" t="s">
        <v>10055</v>
      </c>
      <c r="C4160" s="24" t="s">
        <v>340</v>
      </c>
      <c r="D4160" s="24" t="s">
        <v>17</v>
      </c>
      <c r="E4160" s="24" t="s">
        <v>26</v>
      </c>
      <c r="F4160" s="24" t="s">
        <v>27</v>
      </c>
      <c r="G4160" s="24" t="s">
        <v>28</v>
      </c>
      <c r="H4160" s="26">
        <v>250</v>
      </c>
      <c r="I4160" s="24" t="s">
        <v>29</v>
      </c>
      <c r="J4160" s="36">
        <v>45686</v>
      </c>
      <c r="K4160" s="24" t="s">
        <v>22</v>
      </c>
    </row>
    <row r="4161" spans="1:11" x14ac:dyDescent="0.2">
      <c r="A4161" s="27" t="s">
        <v>10056</v>
      </c>
      <c r="B4161" s="27" t="s">
        <v>10057</v>
      </c>
      <c r="C4161" s="27" t="s">
        <v>2953</v>
      </c>
      <c r="D4161" s="27" t="s">
        <v>17</v>
      </c>
      <c r="E4161" s="27" t="s">
        <v>18</v>
      </c>
      <c r="F4161" s="27" t="s">
        <v>19</v>
      </c>
      <c r="G4161" s="27" t="s">
        <v>44</v>
      </c>
      <c r="H4161" s="29">
        <v>24</v>
      </c>
      <c r="I4161" s="27" t="s">
        <v>21</v>
      </c>
      <c r="J4161" s="37">
        <v>45666</v>
      </c>
      <c r="K4161" s="27" t="s">
        <v>22</v>
      </c>
    </row>
    <row r="4162" spans="1:11" x14ac:dyDescent="0.2">
      <c r="A4162" s="24" t="s">
        <v>10058</v>
      </c>
      <c r="B4162" s="24" t="s">
        <v>10059</v>
      </c>
      <c r="C4162" s="24" t="s">
        <v>3141</v>
      </c>
      <c r="D4162" s="24" t="s">
        <v>17</v>
      </c>
      <c r="E4162" s="24" t="s">
        <v>18</v>
      </c>
      <c r="F4162" s="24" t="s">
        <v>19</v>
      </c>
      <c r="G4162" s="24" t="s">
        <v>28</v>
      </c>
      <c r="H4162" s="26">
        <v>30</v>
      </c>
      <c r="I4162" s="24" t="s">
        <v>29</v>
      </c>
      <c r="J4162" s="36">
        <v>45671</v>
      </c>
      <c r="K4162" s="24" t="s">
        <v>22</v>
      </c>
    </row>
    <row r="4163" spans="1:11" x14ac:dyDescent="0.2">
      <c r="A4163" s="27" t="s">
        <v>10060</v>
      </c>
      <c r="B4163" s="27" t="s">
        <v>10061</v>
      </c>
      <c r="C4163" s="27" t="s">
        <v>494</v>
      </c>
      <c r="D4163" s="27" t="s">
        <v>17</v>
      </c>
      <c r="E4163" s="27" t="s">
        <v>48</v>
      </c>
      <c r="F4163" s="27" t="s">
        <v>49</v>
      </c>
      <c r="G4163" s="27" t="s">
        <v>217</v>
      </c>
      <c r="H4163" s="29">
        <v>33</v>
      </c>
      <c r="I4163" s="27" t="s">
        <v>29</v>
      </c>
      <c r="J4163" s="37">
        <v>45658</v>
      </c>
      <c r="K4163" s="27" t="s">
        <v>22</v>
      </c>
    </row>
    <row r="4164" spans="1:11" x14ac:dyDescent="0.2">
      <c r="A4164" s="24" t="s">
        <v>10062</v>
      </c>
      <c r="B4164" s="24" t="s">
        <v>10063</v>
      </c>
      <c r="C4164" s="24" t="s">
        <v>3412</v>
      </c>
      <c r="D4164" s="24" t="s">
        <v>17</v>
      </c>
      <c r="E4164" s="24" t="s">
        <v>18</v>
      </c>
      <c r="F4164" s="24" t="s">
        <v>19</v>
      </c>
      <c r="G4164" s="24" t="s">
        <v>20</v>
      </c>
      <c r="H4164" s="26">
        <v>40</v>
      </c>
      <c r="I4164" s="24" t="s">
        <v>21</v>
      </c>
      <c r="J4164" s="36">
        <v>45688</v>
      </c>
      <c r="K4164" s="24" t="s">
        <v>22</v>
      </c>
    </row>
    <row r="4165" spans="1:11" x14ac:dyDescent="0.2">
      <c r="A4165" s="27" t="s">
        <v>10064</v>
      </c>
      <c r="B4165" s="27" t="s">
        <v>10065</v>
      </c>
      <c r="C4165" s="27" t="s">
        <v>1839</v>
      </c>
      <c r="D4165" s="27" t="s">
        <v>17</v>
      </c>
      <c r="E4165" s="27" t="s">
        <v>18</v>
      </c>
      <c r="F4165" s="27" t="s">
        <v>19</v>
      </c>
      <c r="G4165" s="27" t="s">
        <v>20</v>
      </c>
      <c r="H4165" s="29">
        <v>42</v>
      </c>
      <c r="I4165" s="27" t="s">
        <v>21</v>
      </c>
      <c r="J4165" s="37">
        <v>45665</v>
      </c>
      <c r="K4165" s="27" t="s">
        <v>22</v>
      </c>
    </row>
    <row r="4166" spans="1:11" x14ac:dyDescent="0.2">
      <c r="A4166" s="24" t="s">
        <v>10066</v>
      </c>
      <c r="B4166" s="24" t="s">
        <v>10067</v>
      </c>
      <c r="C4166" s="24" t="s">
        <v>437</v>
      </c>
      <c r="D4166" s="24" t="s">
        <v>17</v>
      </c>
      <c r="E4166" s="24" t="s">
        <v>42</v>
      </c>
      <c r="F4166" s="24" t="s">
        <v>43</v>
      </c>
      <c r="G4166" s="24" t="s">
        <v>28</v>
      </c>
      <c r="H4166" s="26">
        <v>444</v>
      </c>
      <c r="I4166" s="24" t="s">
        <v>29</v>
      </c>
      <c r="J4166" s="36">
        <v>45670</v>
      </c>
      <c r="K4166" s="24" t="s">
        <v>22</v>
      </c>
    </row>
    <row r="4167" spans="1:11" x14ac:dyDescent="0.2">
      <c r="A4167" s="27" t="s">
        <v>10068</v>
      </c>
      <c r="B4167" s="27" t="s">
        <v>10069</v>
      </c>
      <c r="C4167" s="27" t="s">
        <v>10070</v>
      </c>
      <c r="D4167" s="27" t="s">
        <v>17</v>
      </c>
      <c r="E4167" s="27" t="s">
        <v>18</v>
      </c>
      <c r="F4167" s="27" t="s">
        <v>19</v>
      </c>
      <c r="G4167" s="27" t="s">
        <v>20</v>
      </c>
      <c r="H4167" s="29">
        <v>19</v>
      </c>
      <c r="I4167" s="27" t="s">
        <v>21</v>
      </c>
      <c r="J4167" s="37">
        <v>45675</v>
      </c>
      <c r="K4167" s="27" t="s">
        <v>22</v>
      </c>
    </row>
    <row r="4168" spans="1:11" x14ac:dyDescent="0.2">
      <c r="A4168" s="24" t="s">
        <v>10071</v>
      </c>
      <c r="B4168" s="24" t="s">
        <v>10072</v>
      </c>
      <c r="C4168" s="24" t="s">
        <v>10073</v>
      </c>
      <c r="D4168" s="24" t="s">
        <v>17</v>
      </c>
      <c r="E4168" s="24" t="s">
        <v>18</v>
      </c>
      <c r="F4168" s="24" t="s">
        <v>19</v>
      </c>
      <c r="G4168" s="24" t="s">
        <v>20</v>
      </c>
      <c r="H4168" s="26">
        <v>26</v>
      </c>
      <c r="I4168" s="24" t="s">
        <v>21</v>
      </c>
      <c r="J4168" s="36">
        <v>45678</v>
      </c>
      <c r="K4168" s="24" t="s">
        <v>22</v>
      </c>
    </row>
    <row r="4169" spans="1:11" x14ac:dyDescent="0.2">
      <c r="A4169" s="27" t="s">
        <v>10074</v>
      </c>
      <c r="B4169" s="27" t="s">
        <v>10075</v>
      </c>
      <c r="C4169" s="27" t="s">
        <v>9491</v>
      </c>
      <c r="D4169" s="27" t="s">
        <v>17</v>
      </c>
      <c r="E4169" s="27" t="s">
        <v>42</v>
      </c>
      <c r="F4169" s="27" t="s">
        <v>43</v>
      </c>
      <c r="G4169" s="27" t="s">
        <v>44</v>
      </c>
      <c r="H4169" s="29">
        <v>274</v>
      </c>
      <c r="I4169" s="27" t="s">
        <v>21</v>
      </c>
      <c r="J4169" s="37">
        <v>45673</v>
      </c>
      <c r="K4169" s="27" t="s">
        <v>22</v>
      </c>
    </row>
    <row r="4170" spans="1:11" x14ac:dyDescent="0.2">
      <c r="A4170" s="24" t="s">
        <v>10076</v>
      </c>
      <c r="B4170" s="24" t="s">
        <v>10077</v>
      </c>
      <c r="C4170" s="24" t="s">
        <v>5978</v>
      </c>
      <c r="D4170" s="24" t="s">
        <v>17</v>
      </c>
      <c r="E4170" s="24" t="s">
        <v>18</v>
      </c>
      <c r="F4170" s="24" t="s">
        <v>19</v>
      </c>
      <c r="G4170" s="24" t="s">
        <v>20</v>
      </c>
      <c r="H4170" s="26">
        <v>38</v>
      </c>
      <c r="I4170" s="24" t="s">
        <v>21</v>
      </c>
      <c r="J4170" s="36">
        <v>45677</v>
      </c>
      <c r="K4170" s="24" t="s">
        <v>22</v>
      </c>
    </row>
    <row r="4171" spans="1:11" x14ac:dyDescent="0.2">
      <c r="A4171" s="27" t="s">
        <v>10078</v>
      </c>
      <c r="B4171" s="27" t="s">
        <v>10079</v>
      </c>
      <c r="C4171" s="27" t="s">
        <v>2235</v>
      </c>
      <c r="D4171" s="27" t="s">
        <v>17</v>
      </c>
      <c r="E4171" s="27" t="s">
        <v>18</v>
      </c>
      <c r="F4171" s="27" t="s">
        <v>19</v>
      </c>
      <c r="G4171" s="27" t="s">
        <v>28</v>
      </c>
      <c r="H4171" s="29">
        <v>145</v>
      </c>
      <c r="I4171" s="27" t="s">
        <v>29</v>
      </c>
      <c r="J4171" s="37">
        <v>45681</v>
      </c>
      <c r="K4171" s="27" t="s">
        <v>22</v>
      </c>
    </row>
    <row r="4172" spans="1:11" x14ac:dyDescent="0.2">
      <c r="A4172" s="24" t="s">
        <v>10080</v>
      </c>
      <c r="B4172" s="24" t="s">
        <v>10081</v>
      </c>
      <c r="C4172" s="24" t="s">
        <v>277</v>
      </c>
      <c r="D4172" s="24" t="s">
        <v>17</v>
      </c>
      <c r="E4172" s="24" t="s">
        <v>18</v>
      </c>
      <c r="F4172" s="24" t="s">
        <v>19</v>
      </c>
      <c r="G4172" s="24" t="s">
        <v>44</v>
      </c>
      <c r="H4172" s="26">
        <v>5</v>
      </c>
      <c r="I4172" s="24" t="s">
        <v>21</v>
      </c>
      <c r="J4172" s="36">
        <v>45687</v>
      </c>
      <c r="K4172" s="24" t="s">
        <v>22</v>
      </c>
    </row>
    <row r="4173" spans="1:11" x14ac:dyDescent="0.2">
      <c r="A4173" s="27" t="s">
        <v>10082</v>
      </c>
      <c r="B4173" s="27" t="s">
        <v>10083</v>
      </c>
      <c r="C4173" s="27" t="s">
        <v>277</v>
      </c>
      <c r="D4173" s="27" t="s">
        <v>17</v>
      </c>
      <c r="E4173" s="27" t="s">
        <v>18</v>
      </c>
      <c r="F4173" s="27" t="s">
        <v>19</v>
      </c>
      <c r="G4173" s="27" t="s">
        <v>28</v>
      </c>
      <c r="H4173" s="29">
        <v>58</v>
      </c>
      <c r="I4173" s="27" t="s">
        <v>29</v>
      </c>
      <c r="J4173" s="37">
        <v>45673</v>
      </c>
      <c r="K4173" s="27" t="s">
        <v>22</v>
      </c>
    </row>
    <row r="4174" spans="1:11" x14ac:dyDescent="0.2">
      <c r="A4174" s="24" t="s">
        <v>10084</v>
      </c>
      <c r="B4174" s="24" t="s">
        <v>10085</v>
      </c>
      <c r="C4174" s="24" t="s">
        <v>10086</v>
      </c>
      <c r="D4174" s="24" t="s">
        <v>17</v>
      </c>
      <c r="E4174" s="24" t="s">
        <v>42</v>
      </c>
      <c r="F4174" s="24" t="s">
        <v>43</v>
      </c>
      <c r="G4174" s="24" t="s">
        <v>20</v>
      </c>
      <c r="H4174" s="26">
        <v>330</v>
      </c>
      <c r="I4174" s="24" t="s">
        <v>21</v>
      </c>
      <c r="J4174" s="36">
        <v>45679</v>
      </c>
      <c r="K4174" s="24" t="s">
        <v>22</v>
      </c>
    </row>
    <row r="4175" spans="1:11" x14ac:dyDescent="0.2">
      <c r="A4175" s="27" t="s">
        <v>10087</v>
      </c>
      <c r="B4175" s="27" t="s">
        <v>10088</v>
      </c>
      <c r="C4175" s="27" t="s">
        <v>602</v>
      </c>
      <c r="D4175" s="27" t="s">
        <v>17</v>
      </c>
      <c r="E4175" s="27" t="s">
        <v>26</v>
      </c>
      <c r="F4175" s="27" t="s">
        <v>27</v>
      </c>
      <c r="G4175" s="27" t="s">
        <v>217</v>
      </c>
      <c r="H4175" s="29">
        <v>430</v>
      </c>
      <c r="I4175" s="27" t="s">
        <v>29</v>
      </c>
      <c r="J4175" s="37">
        <v>45672</v>
      </c>
      <c r="K4175" s="27" t="s">
        <v>22</v>
      </c>
    </row>
    <row r="4176" spans="1:11" x14ac:dyDescent="0.2">
      <c r="A4176" s="24" t="s">
        <v>10089</v>
      </c>
      <c r="B4176" s="24" t="s">
        <v>10090</v>
      </c>
      <c r="C4176" s="24" t="s">
        <v>10091</v>
      </c>
      <c r="D4176" s="24" t="s">
        <v>17</v>
      </c>
      <c r="E4176" s="24" t="s">
        <v>48</v>
      </c>
      <c r="F4176" s="24" t="s">
        <v>49</v>
      </c>
      <c r="G4176" s="24" t="s">
        <v>116</v>
      </c>
      <c r="H4176" s="26">
        <v>0</v>
      </c>
      <c r="I4176" s="24" t="s">
        <v>21</v>
      </c>
      <c r="J4176" s="36">
        <v>45685</v>
      </c>
      <c r="K4176" s="24" t="s">
        <v>22</v>
      </c>
    </row>
    <row r="4177" spans="1:11" x14ac:dyDescent="0.2">
      <c r="A4177" s="27" t="s">
        <v>10092</v>
      </c>
      <c r="B4177" s="27" t="s">
        <v>10093</v>
      </c>
      <c r="C4177" s="27" t="s">
        <v>213</v>
      </c>
      <c r="D4177" s="27" t="s">
        <v>17</v>
      </c>
      <c r="E4177" s="27" t="s">
        <v>18</v>
      </c>
      <c r="F4177" s="27" t="s">
        <v>19</v>
      </c>
      <c r="G4177" s="27" t="s">
        <v>20</v>
      </c>
      <c r="H4177" s="29">
        <v>13</v>
      </c>
      <c r="I4177" s="27" t="s">
        <v>21</v>
      </c>
      <c r="J4177" s="37">
        <v>45663</v>
      </c>
      <c r="K4177" s="27" t="s">
        <v>22</v>
      </c>
    </row>
    <row r="4178" spans="1:11" x14ac:dyDescent="0.2">
      <c r="A4178" s="24" t="s">
        <v>10094</v>
      </c>
      <c r="B4178" s="24" t="s">
        <v>10095</v>
      </c>
      <c r="C4178" s="24" t="s">
        <v>3504</v>
      </c>
      <c r="D4178" s="24" t="s">
        <v>17</v>
      </c>
      <c r="E4178" s="24" t="s">
        <v>26</v>
      </c>
      <c r="F4178" s="24" t="s">
        <v>27</v>
      </c>
      <c r="G4178" s="24" t="s">
        <v>20</v>
      </c>
      <c r="H4178" s="26">
        <v>552</v>
      </c>
      <c r="I4178" s="24" t="s">
        <v>21</v>
      </c>
      <c r="J4178" s="36">
        <v>45672</v>
      </c>
      <c r="K4178" s="24" t="s">
        <v>22</v>
      </c>
    </row>
    <row r="4179" spans="1:11" x14ac:dyDescent="0.2">
      <c r="A4179" s="27" t="s">
        <v>10096</v>
      </c>
      <c r="B4179" s="27" t="s">
        <v>10097</v>
      </c>
      <c r="C4179" s="27" t="s">
        <v>10098</v>
      </c>
      <c r="D4179" s="27" t="s">
        <v>17</v>
      </c>
      <c r="E4179" s="27" t="s">
        <v>26</v>
      </c>
      <c r="F4179" s="27" t="s">
        <v>27</v>
      </c>
      <c r="G4179" s="27" t="s">
        <v>28</v>
      </c>
      <c r="H4179" s="29">
        <v>84</v>
      </c>
      <c r="I4179" s="27" t="s">
        <v>29</v>
      </c>
      <c r="J4179" s="37">
        <v>45680</v>
      </c>
      <c r="K4179" s="27" t="s">
        <v>22</v>
      </c>
    </row>
    <row r="4180" spans="1:11" x14ac:dyDescent="0.2">
      <c r="A4180" s="24" t="s">
        <v>10099</v>
      </c>
      <c r="B4180" s="24" t="s">
        <v>10100</v>
      </c>
      <c r="C4180" s="24" t="s">
        <v>3205</v>
      </c>
      <c r="D4180" s="24" t="s">
        <v>17</v>
      </c>
      <c r="E4180" s="24" t="s">
        <v>42</v>
      </c>
      <c r="F4180" s="24" t="s">
        <v>43</v>
      </c>
      <c r="G4180" s="24" t="s">
        <v>28</v>
      </c>
      <c r="H4180" s="26">
        <v>72</v>
      </c>
      <c r="I4180" s="24" t="s">
        <v>29</v>
      </c>
      <c r="J4180" s="36">
        <v>45684</v>
      </c>
      <c r="K4180" s="24" t="s">
        <v>22</v>
      </c>
    </row>
    <row r="4181" spans="1:11" x14ac:dyDescent="0.2">
      <c r="A4181" s="27" t="s">
        <v>10101</v>
      </c>
      <c r="B4181" s="27" t="s">
        <v>10102</v>
      </c>
      <c r="C4181" s="27" t="s">
        <v>85</v>
      </c>
      <c r="D4181" s="27" t="s">
        <v>17</v>
      </c>
      <c r="E4181" s="27" t="s">
        <v>48</v>
      </c>
      <c r="F4181" s="27" t="s">
        <v>49</v>
      </c>
      <c r="G4181" s="27" t="s">
        <v>44</v>
      </c>
      <c r="H4181" s="29">
        <v>150</v>
      </c>
      <c r="I4181" s="27" t="s">
        <v>29</v>
      </c>
      <c r="J4181" s="37">
        <v>45677</v>
      </c>
      <c r="K4181" s="27" t="s">
        <v>22</v>
      </c>
    </row>
    <row r="4182" spans="1:11" x14ac:dyDescent="0.2">
      <c r="A4182" s="24" t="s">
        <v>10103</v>
      </c>
      <c r="B4182" s="24" t="s">
        <v>10104</v>
      </c>
      <c r="C4182" s="24" t="s">
        <v>68</v>
      </c>
      <c r="D4182" s="24" t="s">
        <v>17</v>
      </c>
      <c r="E4182" s="24" t="s">
        <v>48</v>
      </c>
      <c r="F4182" s="24" t="s">
        <v>49</v>
      </c>
      <c r="G4182" s="24" t="s">
        <v>44</v>
      </c>
      <c r="H4182" s="26">
        <v>275</v>
      </c>
      <c r="I4182" s="24" t="s">
        <v>21</v>
      </c>
      <c r="J4182" s="36">
        <v>45665</v>
      </c>
      <c r="K4182" s="24" t="s">
        <v>22</v>
      </c>
    </row>
    <row r="4183" spans="1:11" x14ac:dyDescent="0.2">
      <c r="A4183" s="27" t="s">
        <v>10105</v>
      </c>
      <c r="B4183" s="27" t="s">
        <v>10106</v>
      </c>
      <c r="C4183" s="27" t="s">
        <v>1110</v>
      </c>
      <c r="D4183" s="27" t="s">
        <v>17</v>
      </c>
      <c r="E4183" s="27" t="s">
        <v>18</v>
      </c>
      <c r="F4183" s="27" t="s">
        <v>19</v>
      </c>
      <c r="G4183" s="27" t="s">
        <v>20</v>
      </c>
      <c r="H4183" s="29">
        <v>8</v>
      </c>
      <c r="I4183" s="27" t="s">
        <v>21</v>
      </c>
      <c r="J4183" s="37">
        <v>45665</v>
      </c>
      <c r="K4183" s="27" t="s">
        <v>22</v>
      </c>
    </row>
    <row r="4184" spans="1:11" x14ac:dyDescent="0.2">
      <c r="A4184" s="24" t="s">
        <v>10107</v>
      </c>
      <c r="B4184" s="24" t="s">
        <v>10108</v>
      </c>
      <c r="C4184" s="24" t="s">
        <v>7763</v>
      </c>
      <c r="D4184" s="24" t="s">
        <v>17</v>
      </c>
      <c r="E4184" s="24" t="s">
        <v>18</v>
      </c>
      <c r="F4184" s="24" t="s">
        <v>19</v>
      </c>
      <c r="G4184" s="24" t="s">
        <v>116</v>
      </c>
      <c r="H4184" s="26">
        <v>0</v>
      </c>
      <c r="I4184" s="24" t="s">
        <v>21</v>
      </c>
      <c r="J4184" s="36">
        <v>45658</v>
      </c>
      <c r="K4184" s="24" t="s">
        <v>22</v>
      </c>
    </row>
    <row r="4185" spans="1:11" x14ac:dyDescent="0.2">
      <c r="A4185" s="27" t="s">
        <v>10109</v>
      </c>
      <c r="B4185" s="27" t="s">
        <v>10110</v>
      </c>
      <c r="C4185" s="27" t="s">
        <v>208</v>
      </c>
      <c r="D4185" s="27" t="s">
        <v>17</v>
      </c>
      <c r="E4185" s="27" t="s">
        <v>42</v>
      </c>
      <c r="F4185" s="27" t="s">
        <v>43</v>
      </c>
      <c r="G4185" s="27" t="s">
        <v>28</v>
      </c>
      <c r="H4185" s="29">
        <v>2250</v>
      </c>
      <c r="I4185" s="27" t="s">
        <v>29</v>
      </c>
      <c r="J4185" s="37">
        <v>45687</v>
      </c>
      <c r="K4185" s="27" t="s">
        <v>22</v>
      </c>
    </row>
    <row r="4186" spans="1:11" x14ac:dyDescent="0.2">
      <c r="A4186" s="24" t="s">
        <v>10111</v>
      </c>
      <c r="B4186" s="24" t="s">
        <v>10112</v>
      </c>
      <c r="C4186" s="24" t="s">
        <v>10113</v>
      </c>
      <c r="D4186" s="24" t="s">
        <v>17</v>
      </c>
      <c r="E4186" s="24" t="s">
        <v>26</v>
      </c>
      <c r="F4186" s="24" t="s">
        <v>27</v>
      </c>
      <c r="G4186" s="24" t="s">
        <v>28</v>
      </c>
      <c r="H4186" s="26">
        <v>1</v>
      </c>
      <c r="I4186" s="24" t="s">
        <v>29</v>
      </c>
      <c r="J4186" s="36">
        <v>45667</v>
      </c>
      <c r="K4186" s="24" t="s">
        <v>22</v>
      </c>
    </row>
    <row r="4187" spans="1:11" x14ac:dyDescent="0.2">
      <c r="A4187" s="27" t="s">
        <v>10114</v>
      </c>
      <c r="B4187" s="27" t="s">
        <v>10115</v>
      </c>
      <c r="C4187" s="27" t="s">
        <v>2287</v>
      </c>
      <c r="D4187" s="27" t="s">
        <v>17</v>
      </c>
      <c r="E4187" s="27" t="s">
        <v>42</v>
      </c>
      <c r="F4187" s="27" t="s">
        <v>43</v>
      </c>
      <c r="G4187" s="27" t="s">
        <v>28</v>
      </c>
      <c r="H4187" s="29">
        <v>200</v>
      </c>
      <c r="I4187" s="27" t="s">
        <v>29</v>
      </c>
      <c r="J4187" s="37">
        <v>45679</v>
      </c>
      <c r="K4187" s="27" t="s">
        <v>22</v>
      </c>
    </row>
    <row r="4188" spans="1:11" x14ac:dyDescent="0.2">
      <c r="A4188" s="24" t="s">
        <v>10116</v>
      </c>
      <c r="B4188" s="24" t="s">
        <v>10117</v>
      </c>
      <c r="C4188" s="24" t="s">
        <v>85</v>
      </c>
      <c r="D4188" s="24" t="s">
        <v>17</v>
      </c>
      <c r="E4188" s="24" t="s">
        <v>18</v>
      </c>
      <c r="F4188" s="24" t="s">
        <v>19</v>
      </c>
      <c r="G4188" s="24" t="s">
        <v>44</v>
      </c>
      <c r="H4188" s="26">
        <v>4</v>
      </c>
      <c r="I4188" s="24" t="s">
        <v>21</v>
      </c>
      <c r="J4188" s="36">
        <v>45684</v>
      </c>
      <c r="K4188" s="24" t="s">
        <v>22</v>
      </c>
    </row>
    <row r="4189" spans="1:11" x14ac:dyDescent="0.2">
      <c r="A4189" s="27" t="s">
        <v>10118</v>
      </c>
      <c r="B4189" s="27" t="s">
        <v>10119</v>
      </c>
      <c r="C4189" s="27" t="s">
        <v>1044</v>
      </c>
      <c r="D4189" s="27" t="s">
        <v>17</v>
      </c>
      <c r="E4189" s="27" t="s">
        <v>42</v>
      </c>
      <c r="F4189" s="27" t="s">
        <v>43</v>
      </c>
      <c r="G4189" s="27" t="s">
        <v>20</v>
      </c>
      <c r="H4189" s="29">
        <v>192</v>
      </c>
      <c r="I4189" s="27" t="s">
        <v>21</v>
      </c>
      <c r="J4189" s="37">
        <v>45658</v>
      </c>
      <c r="K4189" s="27" t="s">
        <v>22</v>
      </c>
    </row>
    <row r="4190" spans="1:11" x14ac:dyDescent="0.2">
      <c r="A4190" s="24" t="s">
        <v>10120</v>
      </c>
      <c r="B4190" s="24" t="s">
        <v>10121</v>
      </c>
      <c r="C4190" s="24" t="s">
        <v>1093</v>
      </c>
      <c r="D4190" s="24" t="s">
        <v>17</v>
      </c>
      <c r="E4190" s="24" t="s">
        <v>48</v>
      </c>
      <c r="F4190" s="24" t="s">
        <v>49</v>
      </c>
      <c r="G4190" s="24" t="s">
        <v>28</v>
      </c>
      <c r="H4190" s="26">
        <v>200</v>
      </c>
      <c r="I4190" s="24" t="s">
        <v>29</v>
      </c>
      <c r="J4190" s="36">
        <v>45679</v>
      </c>
      <c r="K4190" s="24" t="s">
        <v>22</v>
      </c>
    </row>
    <row r="4191" spans="1:11" x14ac:dyDescent="0.2">
      <c r="A4191" s="27" t="s">
        <v>10122</v>
      </c>
      <c r="B4191" s="27" t="s">
        <v>10123</v>
      </c>
      <c r="C4191" s="27" t="s">
        <v>921</v>
      </c>
      <c r="D4191" s="27" t="s">
        <v>17</v>
      </c>
      <c r="E4191" s="27" t="s">
        <v>18</v>
      </c>
      <c r="F4191" s="27" t="s">
        <v>19</v>
      </c>
      <c r="G4191" s="27" t="s">
        <v>217</v>
      </c>
      <c r="H4191" s="29">
        <v>116</v>
      </c>
      <c r="I4191" s="27" t="s">
        <v>29</v>
      </c>
      <c r="J4191" s="37">
        <v>45658</v>
      </c>
      <c r="K4191" s="27" t="s">
        <v>22</v>
      </c>
    </row>
    <row r="4192" spans="1:11" x14ac:dyDescent="0.2">
      <c r="A4192" s="24" t="s">
        <v>10124</v>
      </c>
      <c r="B4192" s="24" t="s">
        <v>10125</v>
      </c>
      <c r="C4192" s="24" t="s">
        <v>10126</v>
      </c>
      <c r="D4192" s="24" t="s">
        <v>17</v>
      </c>
      <c r="E4192" s="24" t="s">
        <v>26</v>
      </c>
      <c r="F4192" s="24" t="s">
        <v>27</v>
      </c>
      <c r="G4192" s="24" t="s">
        <v>28</v>
      </c>
      <c r="H4192" s="26">
        <v>36</v>
      </c>
      <c r="I4192" s="24" t="s">
        <v>29</v>
      </c>
      <c r="J4192" s="36">
        <v>45680</v>
      </c>
      <c r="K4192" s="24" t="s">
        <v>22</v>
      </c>
    </row>
    <row r="4193" spans="1:11" x14ac:dyDescent="0.2">
      <c r="A4193" s="27" t="s">
        <v>10127</v>
      </c>
      <c r="B4193" s="27" t="s">
        <v>10128</v>
      </c>
      <c r="C4193" s="27" t="s">
        <v>1359</v>
      </c>
      <c r="D4193" s="27" t="s">
        <v>17</v>
      </c>
      <c r="E4193" s="27" t="s">
        <v>48</v>
      </c>
      <c r="F4193" s="27" t="s">
        <v>49</v>
      </c>
      <c r="G4193" s="27" t="s">
        <v>28</v>
      </c>
      <c r="H4193" s="29">
        <v>18</v>
      </c>
      <c r="I4193" s="27" t="s">
        <v>29</v>
      </c>
      <c r="J4193" s="37">
        <v>45659</v>
      </c>
      <c r="K4193" s="27" t="s">
        <v>22</v>
      </c>
    </row>
    <row r="4194" spans="1:11" x14ac:dyDescent="0.2">
      <c r="A4194" s="24" t="s">
        <v>10129</v>
      </c>
      <c r="B4194" s="24" t="s">
        <v>10130</v>
      </c>
      <c r="C4194" s="24" t="s">
        <v>8993</v>
      </c>
      <c r="D4194" s="24" t="s">
        <v>17</v>
      </c>
      <c r="E4194" s="24" t="s">
        <v>48</v>
      </c>
      <c r="F4194" s="24" t="s">
        <v>49</v>
      </c>
      <c r="G4194" s="24" t="s">
        <v>44</v>
      </c>
      <c r="H4194" s="26">
        <v>421</v>
      </c>
      <c r="I4194" s="24" t="s">
        <v>21</v>
      </c>
      <c r="J4194" s="36">
        <v>45684</v>
      </c>
      <c r="K4194" s="24" t="s">
        <v>22</v>
      </c>
    </row>
    <row r="4195" spans="1:11" x14ac:dyDescent="0.2">
      <c r="A4195" s="27" t="s">
        <v>10131</v>
      </c>
      <c r="B4195" s="27" t="s">
        <v>10132</v>
      </c>
      <c r="C4195" s="27" t="s">
        <v>10133</v>
      </c>
      <c r="D4195" s="27" t="s">
        <v>17</v>
      </c>
      <c r="E4195" s="27" t="s">
        <v>42</v>
      </c>
      <c r="F4195" s="27" t="s">
        <v>43</v>
      </c>
      <c r="G4195" s="27" t="s">
        <v>227</v>
      </c>
      <c r="H4195" s="29">
        <v>260</v>
      </c>
      <c r="I4195" s="27" t="s">
        <v>29</v>
      </c>
      <c r="J4195" s="37">
        <v>45665</v>
      </c>
      <c r="K4195" s="27" t="s">
        <v>22</v>
      </c>
    </row>
    <row r="4196" spans="1:11" x14ac:dyDescent="0.2">
      <c r="A4196" s="24" t="s">
        <v>10134</v>
      </c>
      <c r="B4196" s="24" t="s">
        <v>10135</v>
      </c>
      <c r="C4196" s="24" t="s">
        <v>194</v>
      </c>
      <c r="D4196" s="24" t="s">
        <v>17</v>
      </c>
      <c r="E4196" s="24" t="s">
        <v>18</v>
      </c>
      <c r="F4196" s="24" t="s">
        <v>19</v>
      </c>
      <c r="G4196" s="24" t="s">
        <v>28</v>
      </c>
      <c r="H4196" s="26">
        <v>22</v>
      </c>
      <c r="I4196" s="24" t="s">
        <v>29</v>
      </c>
      <c r="J4196" s="36">
        <v>45659</v>
      </c>
      <c r="K4196" s="24" t="s">
        <v>22</v>
      </c>
    </row>
    <row r="4197" spans="1:11" x14ac:dyDescent="0.2">
      <c r="A4197" s="27" t="s">
        <v>10136</v>
      </c>
      <c r="B4197" s="27" t="s">
        <v>10137</v>
      </c>
      <c r="C4197" s="27" t="s">
        <v>10138</v>
      </c>
      <c r="D4197" s="27" t="s">
        <v>17</v>
      </c>
      <c r="E4197" s="27" t="s">
        <v>42</v>
      </c>
      <c r="F4197" s="27" t="s">
        <v>43</v>
      </c>
      <c r="G4197" s="27" t="s">
        <v>116</v>
      </c>
      <c r="H4197" s="29">
        <v>0</v>
      </c>
      <c r="I4197" s="27" t="s">
        <v>21</v>
      </c>
      <c r="J4197" s="37">
        <v>45658</v>
      </c>
      <c r="K4197" s="27" t="s">
        <v>22</v>
      </c>
    </row>
    <row r="4198" spans="1:11" x14ac:dyDescent="0.2">
      <c r="A4198" s="24" t="s">
        <v>10139</v>
      </c>
      <c r="B4198" s="24" t="s">
        <v>10140</v>
      </c>
      <c r="C4198" s="24" t="s">
        <v>41</v>
      </c>
      <c r="D4198" s="24" t="s">
        <v>17</v>
      </c>
      <c r="E4198" s="24" t="s">
        <v>42</v>
      </c>
      <c r="F4198" s="24" t="s">
        <v>43</v>
      </c>
      <c r="G4198" s="24" t="s">
        <v>20</v>
      </c>
      <c r="H4198" s="26">
        <v>15</v>
      </c>
      <c r="I4198" s="24" t="s">
        <v>21</v>
      </c>
      <c r="J4198" s="36">
        <v>45663</v>
      </c>
      <c r="K4198" s="24" t="s">
        <v>22</v>
      </c>
    </row>
    <row r="4199" spans="1:11" x14ac:dyDescent="0.2">
      <c r="A4199" s="27" t="s">
        <v>10141</v>
      </c>
      <c r="B4199" s="27" t="s">
        <v>10142</v>
      </c>
      <c r="C4199" s="27" t="s">
        <v>7226</v>
      </c>
      <c r="D4199" s="27" t="s">
        <v>17</v>
      </c>
      <c r="E4199" s="27" t="s">
        <v>42</v>
      </c>
      <c r="F4199" s="27" t="s">
        <v>43</v>
      </c>
      <c r="G4199" s="27" t="s">
        <v>217</v>
      </c>
      <c r="H4199" s="29">
        <v>516</v>
      </c>
      <c r="I4199" s="27" t="s">
        <v>29</v>
      </c>
      <c r="J4199" s="37">
        <v>45672</v>
      </c>
      <c r="K4199" s="27" t="s">
        <v>22</v>
      </c>
    </row>
    <row r="4200" spans="1:11" x14ac:dyDescent="0.2">
      <c r="A4200" s="24" t="s">
        <v>10143</v>
      </c>
      <c r="B4200" s="24" t="s">
        <v>10144</v>
      </c>
      <c r="C4200" s="24" t="s">
        <v>1199</v>
      </c>
      <c r="D4200" s="24" t="s">
        <v>17</v>
      </c>
      <c r="E4200" s="24" t="s">
        <v>26</v>
      </c>
      <c r="F4200" s="24" t="s">
        <v>27</v>
      </c>
      <c r="G4200" s="24" t="s">
        <v>28</v>
      </c>
      <c r="H4200" s="26">
        <v>208</v>
      </c>
      <c r="I4200" s="24" t="s">
        <v>29</v>
      </c>
      <c r="J4200" s="36">
        <v>45666</v>
      </c>
      <c r="K4200" s="24" t="s">
        <v>22</v>
      </c>
    </row>
    <row r="4201" spans="1:11" x14ac:dyDescent="0.2">
      <c r="A4201" s="27" t="s">
        <v>10145</v>
      </c>
      <c r="B4201" s="27" t="s">
        <v>10146</v>
      </c>
      <c r="C4201" s="27" t="s">
        <v>10147</v>
      </c>
      <c r="D4201" s="27" t="s">
        <v>17</v>
      </c>
      <c r="E4201" s="27" t="s">
        <v>163</v>
      </c>
      <c r="F4201" s="27" t="s">
        <v>164</v>
      </c>
      <c r="G4201" s="27" t="s">
        <v>44</v>
      </c>
      <c r="H4201" s="29">
        <v>60</v>
      </c>
      <c r="I4201" s="27" t="s">
        <v>29</v>
      </c>
      <c r="J4201" s="37">
        <v>45686</v>
      </c>
      <c r="K4201" s="27" t="s">
        <v>22</v>
      </c>
    </row>
    <row r="4202" spans="1:11" x14ac:dyDescent="0.2">
      <c r="A4202" s="24" t="s">
        <v>10148</v>
      </c>
      <c r="B4202" s="24" t="s">
        <v>10149</v>
      </c>
      <c r="C4202" s="24" t="s">
        <v>1883</v>
      </c>
      <c r="D4202" s="24" t="s">
        <v>17</v>
      </c>
      <c r="E4202" s="24" t="s">
        <v>42</v>
      </c>
      <c r="F4202" s="24" t="s">
        <v>43</v>
      </c>
      <c r="G4202" s="24" t="s">
        <v>28</v>
      </c>
      <c r="H4202" s="26">
        <v>460</v>
      </c>
      <c r="I4202" s="24" t="s">
        <v>29</v>
      </c>
      <c r="J4202" s="36">
        <v>45660</v>
      </c>
      <c r="K4202" s="24" t="s">
        <v>22</v>
      </c>
    </row>
    <row r="4203" spans="1:11" x14ac:dyDescent="0.2">
      <c r="A4203" s="27" t="s">
        <v>10150</v>
      </c>
      <c r="B4203" s="27" t="s">
        <v>10151</v>
      </c>
      <c r="C4203" s="27" t="s">
        <v>2048</v>
      </c>
      <c r="D4203" s="27" t="s">
        <v>17</v>
      </c>
      <c r="E4203" s="27" t="s">
        <v>48</v>
      </c>
      <c r="F4203" s="27" t="s">
        <v>49</v>
      </c>
      <c r="G4203" s="27" t="s">
        <v>28</v>
      </c>
      <c r="H4203" s="29">
        <v>216</v>
      </c>
      <c r="I4203" s="27" t="s">
        <v>29</v>
      </c>
      <c r="J4203" s="37">
        <v>45664</v>
      </c>
      <c r="K4203" s="27" t="s">
        <v>22</v>
      </c>
    </row>
    <row r="4204" spans="1:11" x14ac:dyDescent="0.2">
      <c r="A4204" s="24" t="s">
        <v>10152</v>
      </c>
      <c r="B4204" s="24" t="s">
        <v>10153</v>
      </c>
      <c r="C4204" s="24" t="s">
        <v>5746</v>
      </c>
      <c r="D4204" s="24" t="s">
        <v>17</v>
      </c>
      <c r="E4204" s="24" t="s">
        <v>18</v>
      </c>
      <c r="F4204" s="24" t="s">
        <v>19</v>
      </c>
      <c r="G4204" s="24" t="s">
        <v>217</v>
      </c>
      <c r="H4204" s="26">
        <v>48</v>
      </c>
      <c r="I4204" s="24" t="s">
        <v>29</v>
      </c>
      <c r="J4204" s="36">
        <v>45658</v>
      </c>
      <c r="K4204" s="24" t="s">
        <v>22</v>
      </c>
    </row>
    <row r="4205" spans="1:11" x14ac:dyDescent="0.2">
      <c r="A4205" s="27" t="s">
        <v>10154</v>
      </c>
      <c r="B4205" s="27" t="s">
        <v>10155</v>
      </c>
      <c r="C4205" s="27" t="s">
        <v>10156</v>
      </c>
      <c r="D4205" s="27" t="s">
        <v>17</v>
      </c>
      <c r="E4205" s="27" t="s">
        <v>18</v>
      </c>
      <c r="F4205" s="27" t="s">
        <v>19</v>
      </c>
      <c r="G4205" s="27" t="s">
        <v>217</v>
      </c>
      <c r="H4205" s="29">
        <v>69</v>
      </c>
      <c r="I4205" s="27" t="s">
        <v>29</v>
      </c>
      <c r="J4205" s="37">
        <v>45658</v>
      </c>
      <c r="K4205" s="27" t="s">
        <v>22</v>
      </c>
    </row>
    <row r="4206" spans="1:11" x14ac:dyDescent="0.2">
      <c r="A4206" s="24" t="s">
        <v>10157</v>
      </c>
      <c r="B4206" s="24" t="s">
        <v>10158</v>
      </c>
      <c r="C4206" s="24" t="s">
        <v>8674</v>
      </c>
      <c r="D4206" s="24" t="s">
        <v>17</v>
      </c>
      <c r="E4206" s="24" t="s">
        <v>42</v>
      </c>
      <c r="F4206" s="24" t="s">
        <v>43</v>
      </c>
      <c r="G4206" s="24" t="s">
        <v>28</v>
      </c>
      <c r="H4206" s="26">
        <v>80</v>
      </c>
      <c r="I4206" s="24" t="s">
        <v>29</v>
      </c>
      <c r="J4206" s="36">
        <v>45664</v>
      </c>
      <c r="K4206" s="24" t="s">
        <v>22</v>
      </c>
    </row>
    <row r="4207" spans="1:11" x14ac:dyDescent="0.2">
      <c r="A4207" s="27" t="s">
        <v>10159</v>
      </c>
      <c r="B4207" s="27" t="s">
        <v>10160</v>
      </c>
      <c r="C4207" s="27" t="s">
        <v>8608</v>
      </c>
      <c r="D4207" s="27" t="s">
        <v>17</v>
      </c>
      <c r="E4207" s="27" t="s">
        <v>18</v>
      </c>
      <c r="F4207" s="27" t="s">
        <v>19</v>
      </c>
      <c r="G4207" s="27" t="s">
        <v>44</v>
      </c>
      <c r="H4207" s="29">
        <v>129</v>
      </c>
      <c r="I4207" s="27" t="s">
        <v>29</v>
      </c>
      <c r="J4207" s="37">
        <v>45664</v>
      </c>
      <c r="K4207" s="27" t="s">
        <v>22</v>
      </c>
    </row>
    <row r="4208" spans="1:11" x14ac:dyDescent="0.2">
      <c r="A4208" s="24" t="s">
        <v>10161</v>
      </c>
      <c r="B4208" s="24" t="s">
        <v>10162</v>
      </c>
      <c r="C4208" s="24" t="s">
        <v>5689</v>
      </c>
      <c r="D4208" s="24" t="s">
        <v>17</v>
      </c>
      <c r="E4208" s="24" t="s">
        <v>18</v>
      </c>
      <c r="F4208" s="24" t="s">
        <v>19</v>
      </c>
      <c r="G4208" s="24" t="s">
        <v>20</v>
      </c>
      <c r="H4208" s="26">
        <v>8</v>
      </c>
      <c r="I4208" s="24" t="s">
        <v>21</v>
      </c>
      <c r="J4208" s="36">
        <v>45659</v>
      </c>
      <c r="K4208" s="24" t="s">
        <v>22</v>
      </c>
    </row>
    <row r="4209" spans="1:11" x14ac:dyDescent="0.2">
      <c r="A4209" s="27" t="s">
        <v>10163</v>
      </c>
      <c r="B4209" s="27" t="s">
        <v>10164</v>
      </c>
      <c r="C4209" s="27" t="s">
        <v>4269</v>
      </c>
      <c r="D4209" s="27" t="s">
        <v>17</v>
      </c>
      <c r="E4209" s="27" t="s">
        <v>18</v>
      </c>
      <c r="F4209" s="27" t="s">
        <v>19</v>
      </c>
      <c r="G4209" s="27" t="s">
        <v>20</v>
      </c>
      <c r="H4209" s="29">
        <v>60</v>
      </c>
      <c r="I4209" s="27" t="s">
        <v>21</v>
      </c>
      <c r="J4209" s="37">
        <v>45668</v>
      </c>
      <c r="K4209" s="27" t="s">
        <v>22</v>
      </c>
    </row>
    <row r="4210" spans="1:11" x14ac:dyDescent="0.2">
      <c r="A4210" s="24" t="s">
        <v>10165</v>
      </c>
      <c r="B4210" s="24" t="s">
        <v>10166</v>
      </c>
      <c r="C4210" s="24" t="s">
        <v>8379</v>
      </c>
      <c r="D4210" s="24" t="s">
        <v>17</v>
      </c>
      <c r="E4210" s="24" t="s">
        <v>18</v>
      </c>
      <c r="F4210" s="24" t="s">
        <v>19</v>
      </c>
      <c r="G4210" s="24" t="s">
        <v>20</v>
      </c>
      <c r="H4210" s="26">
        <v>12</v>
      </c>
      <c r="I4210" s="24" t="s">
        <v>21</v>
      </c>
      <c r="J4210" s="36">
        <v>45674</v>
      </c>
      <c r="K4210" s="24" t="s">
        <v>22</v>
      </c>
    </row>
    <row r="4211" spans="1:11" x14ac:dyDescent="0.2">
      <c r="A4211" s="27" t="s">
        <v>10167</v>
      </c>
      <c r="B4211" s="27" t="s">
        <v>10168</v>
      </c>
      <c r="C4211" s="27" t="s">
        <v>106</v>
      </c>
      <c r="D4211" s="27" t="s">
        <v>17</v>
      </c>
      <c r="E4211" s="27" t="s">
        <v>18</v>
      </c>
      <c r="F4211" s="27" t="s">
        <v>19</v>
      </c>
      <c r="G4211" s="27" t="s">
        <v>28</v>
      </c>
      <c r="H4211" s="29">
        <v>60</v>
      </c>
      <c r="I4211" s="27" t="s">
        <v>29</v>
      </c>
      <c r="J4211" s="37">
        <v>45684</v>
      </c>
      <c r="K4211" s="27" t="s">
        <v>22</v>
      </c>
    </row>
    <row r="4212" spans="1:11" x14ac:dyDescent="0.2">
      <c r="A4212" s="24" t="s">
        <v>10169</v>
      </c>
      <c r="B4212" s="24" t="s">
        <v>10170</v>
      </c>
      <c r="C4212" s="24" t="s">
        <v>801</v>
      </c>
      <c r="D4212" s="24" t="s">
        <v>17</v>
      </c>
      <c r="E4212" s="24" t="s">
        <v>18</v>
      </c>
      <c r="F4212" s="24" t="s">
        <v>19</v>
      </c>
      <c r="G4212" s="24" t="s">
        <v>20</v>
      </c>
      <c r="H4212" s="26">
        <v>31</v>
      </c>
      <c r="I4212" s="24" t="s">
        <v>21</v>
      </c>
      <c r="J4212" s="36">
        <v>45688</v>
      </c>
      <c r="K4212" s="24" t="s">
        <v>22</v>
      </c>
    </row>
    <row r="4213" spans="1:11" x14ac:dyDescent="0.2">
      <c r="A4213" s="27" t="s">
        <v>10171</v>
      </c>
      <c r="B4213" s="27" t="s">
        <v>10172</v>
      </c>
      <c r="C4213" s="27" t="s">
        <v>2378</v>
      </c>
      <c r="D4213" s="27" t="s">
        <v>17</v>
      </c>
      <c r="E4213" s="27" t="s">
        <v>48</v>
      </c>
      <c r="F4213" s="27" t="s">
        <v>49</v>
      </c>
      <c r="G4213" s="27" t="s">
        <v>28</v>
      </c>
      <c r="H4213" s="29">
        <v>60</v>
      </c>
      <c r="I4213" s="27" t="s">
        <v>29</v>
      </c>
      <c r="J4213" s="37">
        <v>45666</v>
      </c>
      <c r="K4213" s="27" t="s">
        <v>22</v>
      </c>
    </row>
    <row r="4214" spans="1:11" x14ac:dyDescent="0.2">
      <c r="A4214" s="24" t="s">
        <v>10173</v>
      </c>
      <c r="B4214" s="24" t="s">
        <v>10174</v>
      </c>
      <c r="C4214" s="24" t="s">
        <v>146</v>
      </c>
      <c r="D4214" s="24" t="s">
        <v>17</v>
      </c>
      <c r="E4214" s="24" t="s">
        <v>42</v>
      </c>
      <c r="F4214" s="24" t="s">
        <v>43</v>
      </c>
      <c r="G4214" s="24" t="s">
        <v>28</v>
      </c>
      <c r="H4214" s="26">
        <v>1840</v>
      </c>
      <c r="I4214" s="24" t="s">
        <v>29</v>
      </c>
      <c r="J4214" s="36">
        <v>45667</v>
      </c>
      <c r="K4214" s="24" t="s">
        <v>22</v>
      </c>
    </row>
    <row r="4215" spans="1:11" x14ac:dyDescent="0.2">
      <c r="A4215" s="27" t="s">
        <v>10175</v>
      </c>
      <c r="B4215" s="27" t="s">
        <v>10176</v>
      </c>
      <c r="C4215" s="27" t="s">
        <v>8379</v>
      </c>
      <c r="D4215" s="27" t="s">
        <v>17</v>
      </c>
      <c r="E4215" s="27" t="s">
        <v>18</v>
      </c>
      <c r="F4215" s="27" t="s">
        <v>19</v>
      </c>
      <c r="G4215" s="27" t="s">
        <v>28</v>
      </c>
      <c r="H4215" s="29">
        <v>46</v>
      </c>
      <c r="I4215" s="27" t="s">
        <v>29</v>
      </c>
      <c r="J4215" s="37">
        <v>45664</v>
      </c>
      <c r="K4215" s="27" t="s">
        <v>22</v>
      </c>
    </row>
    <row r="4216" spans="1:11" x14ac:dyDescent="0.2">
      <c r="A4216" s="24" t="s">
        <v>10177</v>
      </c>
      <c r="B4216" s="24" t="s">
        <v>10178</v>
      </c>
      <c r="C4216" s="24" t="s">
        <v>100</v>
      </c>
      <c r="D4216" s="24" t="s">
        <v>17</v>
      </c>
      <c r="E4216" s="24" t="s">
        <v>18</v>
      </c>
      <c r="F4216" s="24" t="s">
        <v>19</v>
      </c>
      <c r="G4216" s="24" t="s">
        <v>20</v>
      </c>
      <c r="H4216" s="26">
        <v>30</v>
      </c>
      <c r="I4216" s="24" t="s">
        <v>21</v>
      </c>
      <c r="J4216" s="36">
        <v>45678</v>
      </c>
      <c r="K4216" s="24" t="s">
        <v>22</v>
      </c>
    </row>
    <row r="4217" spans="1:11" x14ac:dyDescent="0.2">
      <c r="A4217" s="27" t="s">
        <v>10179</v>
      </c>
      <c r="B4217" s="27" t="s">
        <v>10180</v>
      </c>
      <c r="C4217" s="27" t="s">
        <v>10181</v>
      </c>
      <c r="D4217" s="27" t="s">
        <v>17</v>
      </c>
      <c r="E4217" s="27" t="s">
        <v>18</v>
      </c>
      <c r="F4217" s="27" t="s">
        <v>19</v>
      </c>
      <c r="G4217" s="27" t="s">
        <v>28</v>
      </c>
      <c r="H4217" s="29">
        <v>52</v>
      </c>
      <c r="I4217" s="27" t="s">
        <v>29</v>
      </c>
      <c r="J4217" s="37">
        <v>45663</v>
      </c>
      <c r="K4217" s="27" t="s">
        <v>22</v>
      </c>
    </row>
    <row r="4218" spans="1:11" x14ac:dyDescent="0.2">
      <c r="A4218" s="24" t="s">
        <v>10182</v>
      </c>
      <c r="B4218" s="24" t="s">
        <v>10183</v>
      </c>
      <c r="C4218" s="24" t="s">
        <v>10184</v>
      </c>
      <c r="D4218" s="24" t="s">
        <v>17</v>
      </c>
      <c r="E4218" s="24" t="s">
        <v>48</v>
      </c>
      <c r="F4218" s="24" t="s">
        <v>49</v>
      </c>
      <c r="G4218" s="24" t="s">
        <v>28</v>
      </c>
      <c r="H4218" s="26">
        <v>600</v>
      </c>
      <c r="I4218" s="24" t="s">
        <v>29</v>
      </c>
      <c r="J4218" s="36">
        <v>45685</v>
      </c>
      <c r="K4218" s="24" t="s">
        <v>22</v>
      </c>
    </row>
    <row r="4219" spans="1:11" x14ac:dyDescent="0.2">
      <c r="A4219" s="27" t="s">
        <v>10185</v>
      </c>
      <c r="B4219" s="27" t="s">
        <v>10186</v>
      </c>
      <c r="C4219" s="27" t="s">
        <v>10187</v>
      </c>
      <c r="D4219" s="27" t="s">
        <v>17</v>
      </c>
      <c r="E4219" s="27" t="s">
        <v>48</v>
      </c>
      <c r="F4219" s="27" t="s">
        <v>49</v>
      </c>
      <c r="G4219" s="27" t="s">
        <v>116</v>
      </c>
      <c r="H4219" s="29">
        <v>0</v>
      </c>
      <c r="I4219" s="27" t="s">
        <v>21</v>
      </c>
      <c r="J4219" s="37">
        <v>45688</v>
      </c>
      <c r="K4219" s="27" t="s">
        <v>22</v>
      </c>
    </row>
    <row r="4220" spans="1:11" x14ac:dyDescent="0.2">
      <c r="A4220" s="24" t="s">
        <v>10188</v>
      </c>
      <c r="B4220" s="24" t="s">
        <v>10189</v>
      </c>
      <c r="C4220" s="24" t="s">
        <v>534</v>
      </c>
      <c r="D4220" s="24" t="s">
        <v>17</v>
      </c>
      <c r="E4220" s="24" t="s">
        <v>18</v>
      </c>
      <c r="F4220" s="24" t="s">
        <v>19</v>
      </c>
      <c r="G4220" s="24" t="s">
        <v>59</v>
      </c>
      <c r="H4220" s="26">
        <v>4</v>
      </c>
      <c r="I4220" s="24" t="s">
        <v>21</v>
      </c>
      <c r="J4220" s="36">
        <v>45666</v>
      </c>
      <c r="K4220" s="24" t="s">
        <v>22</v>
      </c>
    </row>
    <row r="4221" spans="1:11" x14ac:dyDescent="0.2">
      <c r="A4221" s="27" t="s">
        <v>10190</v>
      </c>
      <c r="B4221" s="27" t="s">
        <v>10191</v>
      </c>
      <c r="C4221" s="27" t="s">
        <v>1761</v>
      </c>
      <c r="D4221" s="27" t="s">
        <v>17</v>
      </c>
      <c r="E4221" s="27" t="s">
        <v>42</v>
      </c>
      <c r="F4221" s="27" t="s">
        <v>43</v>
      </c>
      <c r="G4221" s="27" t="s">
        <v>44</v>
      </c>
      <c r="H4221" s="29">
        <v>250</v>
      </c>
      <c r="I4221" s="27" t="s">
        <v>29</v>
      </c>
      <c r="J4221" s="37">
        <v>45666</v>
      </c>
      <c r="K4221" s="27" t="s">
        <v>22</v>
      </c>
    </row>
    <row r="4222" spans="1:11" x14ac:dyDescent="0.2">
      <c r="A4222" s="24" t="s">
        <v>10192</v>
      </c>
      <c r="B4222" s="24" t="s">
        <v>10193</v>
      </c>
      <c r="C4222" s="24" t="s">
        <v>2246</v>
      </c>
      <c r="D4222" s="24" t="s">
        <v>17</v>
      </c>
      <c r="E4222" s="24" t="s">
        <v>26</v>
      </c>
      <c r="F4222" s="24" t="s">
        <v>27</v>
      </c>
      <c r="G4222" s="24" t="s">
        <v>116</v>
      </c>
      <c r="H4222" s="26">
        <v>0</v>
      </c>
      <c r="I4222" s="24" t="s">
        <v>21</v>
      </c>
      <c r="J4222" s="36">
        <v>45688</v>
      </c>
      <c r="K4222" s="24" t="s">
        <v>22</v>
      </c>
    </row>
    <row r="4223" spans="1:11" x14ac:dyDescent="0.2">
      <c r="A4223" s="27" t="s">
        <v>10194</v>
      </c>
      <c r="B4223" s="27" t="s">
        <v>10195</v>
      </c>
      <c r="C4223" s="27" t="s">
        <v>7320</v>
      </c>
      <c r="D4223" s="27" t="s">
        <v>17</v>
      </c>
      <c r="E4223" s="27" t="s">
        <v>48</v>
      </c>
      <c r="F4223" s="27" t="s">
        <v>49</v>
      </c>
      <c r="G4223" s="27" t="s">
        <v>20</v>
      </c>
      <c r="H4223" s="29">
        <v>62</v>
      </c>
      <c r="I4223" s="27" t="s">
        <v>21</v>
      </c>
      <c r="J4223" s="37">
        <v>45663</v>
      </c>
      <c r="K4223" s="27" t="s">
        <v>22</v>
      </c>
    </row>
    <row r="4224" spans="1:11" x14ac:dyDescent="0.2">
      <c r="A4224" s="24" t="s">
        <v>10196</v>
      </c>
      <c r="B4224" s="24" t="s">
        <v>10197</v>
      </c>
      <c r="C4224" s="24" t="s">
        <v>10198</v>
      </c>
      <c r="D4224" s="24" t="s">
        <v>17</v>
      </c>
      <c r="E4224" s="24" t="s">
        <v>48</v>
      </c>
      <c r="F4224" s="24" t="s">
        <v>49</v>
      </c>
      <c r="G4224" s="24" t="s">
        <v>28</v>
      </c>
      <c r="H4224" s="26">
        <v>30</v>
      </c>
      <c r="I4224" s="24" t="s">
        <v>29</v>
      </c>
      <c r="J4224" s="36">
        <v>45684</v>
      </c>
      <c r="K4224" s="24" t="s">
        <v>22</v>
      </c>
    </row>
    <row r="4225" spans="1:11" x14ac:dyDescent="0.2">
      <c r="A4225" s="27" t="s">
        <v>10199</v>
      </c>
      <c r="B4225" s="27" t="s">
        <v>10200</v>
      </c>
      <c r="C4225" s="27" t="s">
        <v>9576</v>
      </c>
      <c r="D4225" s="27" t="s">
        <v>17</v>
      </c>
      <c r="E4225" s="27" t="s">
        <v>48</v>
      </c>
      <c r="F4225" s="27" t="s">
        <v>49</v>
      </c>
      <c r="G4225" s="27" t="s">
        <v>28</v>
      </c>
      <c r="H4225" s="29">
        <v>50</v>
      </c>
      <c r="I4225" s="27" t="s">
        <v>29</v>
      </c>
      <c r="J4225" s="37">
        <v>45667</v>
      </c>
      <c r="K4225" s="27" t="s">
        <v>22</v>
      </c>
    </row>
    <row r="4226" spans="1:11" x14ac:dyDescent="0.2">
      <c r="A4226" s="24" t="s">
        <v>10201</v>
      </c>
      <c r="B4226" s="24" t="s">
        <v>10202</v>
      </c>
      <c r="C4226" s="24" t="s">
        <v>10203</v>
      </c>
      <c r="D4226" s="24" t="s">
        <v>17</v>
      </c>
      <c r="E4226" s="24" t="s">
        <v>18</v>
      </c>
      <c r="F4226" s="24" t="s">
        <v>19</v>
      </c>
      <c r="G4226" s="24" t="s">
        <v>28</v>
      </c>
      <c r="H4226" s="26">
        <v>166</v>
      </c>
      <c r="I4226" s="24" t="s">
        <v>29</v>
      </c>
      <c r="J4226" s="36">
        <v>45680</v>
      </c>
      <c r="K4226" s="24" t="s">
        <v>22</v>
      </c>
    </row>
    <row r="4227" spans="1:11" x14ac:dyDescent="0.2">
      <c r="A4227" s="27" t="s">
        <v>10204</v>
      </c>
      <c r="B4227" s="27" t="s">
        <v>10205</v>
      </c>
      <c r="C4227" s="27" t="s">
        <v>106</v>
      </c>
      <c r="D4227" s="27" t="s">
        <v>17</v>
      </c>
      <c r="E4227" s="27" t="s">
        <v>18</v>
      </c>
      <c r="F4227" s="27" t="s">
        <v>19</v>
      </c>
      <c r="G4227" s="27" t="s">
        <v>28</v>
      </c>
      <c r="H4227" s="29">
        <v>142</v>
      </c>
      <c r="I4227" s="27" t="s">
        <v>29</v>
      </c>
      <c r="J4227" s="37">
        <v>45680</v>
      </c>
      <c r="K4227" s="27" t="s">
        <v>22</v>
      </c>
    </row>
    <row r="4228" spans="1:11" x14ac:dyDescent="0.2">
      <c r="A4228" s="24" t="s">
        <v>10206</v>
      </c>
      <c r="B4228" s="24" t="s">
        <v>10207</v>
      </c>
      <c r="C4228" s="24" t="s">
        <v>10208</v>
      </c>
      <c r="D4228" s="24" t="s">
        <v>17</v>
      </c>
      <c r="E4228" s="24" t="s">
        <v>33</v>
      </c>
      <c r="F4228" s="24" t="s">
        <v>34</v>
      </c>
      <c r="G4228" s="24" t="s">
        <v>28</v>
      </c>
      <c r="H4228" s="26">
        <v>41</v>
      </c>
      <c r="I4228" s="24" t="s">
        <v>29</v>
      </c>
      <c r="J4228" s="36">
        <v>45659</v>
      </c>
      <c r="K4228" s="24" t="s">
        <v>22</v>
      </c>
    </row>
    <row r="4229" spans="1:11" x14ac:dyDescent="0.2">
      <c r="A4229" s="27" t="s">
        <v>10209</v>
      </c>
      <c r="B4229" s="27" t="s">
        <v>10210</v>
      </c>
      <c r="C4229" s="27" t="s">
        <v>1608</v>
      </c>
      <c r="D4229" s="27" t="s">
        <v>17</v>
      </c>
      <c r="E4229" s="27" t="s">
        <v>33</v>
      </c>
      <c r="F4229" s="27" t="s">
        <v>34</v>
      </c>
      <c r="G4229" s="27" t="s">
        <v>217</v>
      </c>
      <c r="H4229" s="29">
        <v>60</v>
      </c>
      <c r="I4229" s="27" t="s">
        <v>29</v>
      </c>
      <c r="J4229" s="37">
        <v>45658</v>
      </c>
      <c r="K4229" s="27" t="s">
        <v>22</v>
      </c>
    </row>
    <row r="4230" spans="1:11" x14ac:dyDescent="0.2">
      <c r="A4230" s="24" t="s">
        <v>10211</v>
      </c>
      <c r="B4230" s="24" t="s">
        <v>10212</v>
      </c>
      <c r="C4230" s="24" t="s">
        <v>602</v>
      </c>
      <c r="D4230" s="24" t="s">
        <v>17</v>
      </c>
      <c r="E4230" s="24" t="s">
        <v>48</v>
      </c>
      <c r="F4230" s="24" t="s">
        <v>49</v>
      </c>
      <c r="G4230" s="24" t="s">
        <v>217</v>
      </c>
      <c r="H4230" s="26">
        <v>220</v>
      </c>
      <c r="I4230" s="24" t="s">
        <v>29</v>
      </c>
      <c r="J4230" s="36">
        <v>45674</v>
      </c>
      <c r="K4230" s="24" t="s">
        <v>22</v>
      </c>
    </row>
    <row r="4231" spans="1:11" x14ac:dyDescent="0.2">
      <c r="A4231" s="27" t="s">
        <v>10213</v>
      </c>
      <c r="B4231" s="27" t="s">
        <v>10214</v>
      </c>
      <c r="C4231" s="27" t="s">
        <v>489</v>
      </c>
      <c r="D4231" s="27" t="s">
        <v>17</v>
      </c>
      <c r="E4231" s="27" t="s">
        <v>48</v>
      </c>
      <c r="F4231" s="27" t="s">
        <v>49</v>
      </c>
      <c r="G4231" s="27" t="s">
        <v>44</v>
      </c>
      <c r="H4231" s="29">
        <v>48</v>
      </c>
      <c r="I4231" s="27" t="s">
        <v>29</v>
      </c>
      <c r="J4231" s="37">
        <v>45679</v>
      </c>
      <c r="K4231" s="27" t="s">
        <v>22</v>
      </c>
    </row>
    <row r="4232" spans="1:11" x14ac:dyDescent="0.2">
      <c r="A4232" s="24" t="s">
        <v>10215</v>
      </c>
      <c r="B4232" s="24" t="s">
        <v>10216</v>
      </c>
      <c r="C4232" s="24" t="s">
        <v>5417</v>
      </c>
      <c r="D4232" s="24" t="s">
        <v>17</v>
      </c>
      <c r="E4232" s="24" t="s">
        <v>18</v>
      </c>
      <c r="F4232" s="24" t="s">
        <v>19</v>
      </c>
      <c r="G4232" s="24" t="s">
        <v>28</v>
      </c>
      <c r="H4232" s="26">
        <v>168</v>
      </c>
      <c r="I4232" s="24" t="s">
        <v>29</v>
      </c>
      <c r="J4232" s="36">
        <v>45671</v>
      </c>
      <c r="K4232" s="24" t="s">
        <v>22</v>
      </c>
    </row>
    <row r="4233" spans="1:11" x14ac:dyDescent="0.2">
      <c r="A4233" s="27" t="s">
        <v>10217</v>
      </c>
      <c r="B4233" s="27" t="s">
        <v>10218</v>
      </c>
      <c r="C4233" s="27" t="s">
        <v>827</v>
      </c>
      <c r="D4233" s="27" t="s">
        <v>17</v>
      </c>
      <c r="E4233" s="27" t="s">
        <v>26</v>
      </c>
      <c r="F4233" s="27" t="s">
        <v>27</v>
      </c>
      <c r="G4233" s="27" t="s">
        <v>44</v>
      </c>
      <c r="H4233" s="29">
        <v>110</v>
      </c>
      <c r="I4233" s="27" t="s">
        <v>29</v>
      </c>
      <c r="J4233" s="37">
        <v>45678</v>
      </c>
      <c r="K4233" s="27" t="s">
        <v>22</v>
      </c>
    </row>
    <row r="4234" spans="1:11" x14ac:dyDescent="0.2">
      <c r="A4234" s="24" t="s">
        <v>10219</v>
      </c>
      <c r="B4234" s="24" t="s">
        <v>10220</v>
      </c>
      <c r="C4234" s="24" t="s">
        <v>10221</v>
      </c>
      <c r="D4234" s="24" t="s">
        <v>17</v>
      </c>
      <c r="E4234" s="24" t="s">
        <v>48</v>
      </c>
      <c r="F4234" s="24" t="s">
        <v>49</v>
      </c>
      <c r="G4234" s="24" t="s">
        <v>28</v>
      </c>
      <c r="H4234" s="26">
        <v>50</v>
      </c>
      <c r="I4234" s="24" t="s">
        <v>29</v>
      </c>
      <c r="J4234" s="36">
        <v>45678</v>
      </c>
      <c r="K4234" s="24" t="s">
        <v>22</v>
      </c>
    </row>
    <row r="4235" spans="1:11" x14ac:dyDescent="0.2">
      <c r="A4235" s="27" t="s">
        <v>10222</v>
      </c>
      <c r="B4235" s="27" t="s">
        <v>10223</v>
      </c>
      <c r="C4235" s="27" t="s">
        <v>106</v>
      </c>
      <c r="D4235" s="27" t="s">
        <v>17</v>
      </c>
      <c r="E4235" s="27" t="s">
        <v>18</v>
      </c>
      <c r="F4235" s="27" t="s">
        <v>19</v>
      </c>
      <c r="G4235" s="27" t="s">
        <v>20</v>
      </c>
      <c r="H4235" s="29">
        <v>14</v>
      </c>
      <c r="I4235" s="27" t="s">
        <v>21</v>
      </c>
      <c r="J4235" s="37">
        <v>45680</v>
      </c>
      <c r="K4235" s="27" t="s">
        <v>22</v>
      </c>
    </row>
    <row r="4236" spans="1:11" x14ac:dyDescent="0.2">
      <c r="A4236" s="24" t="s">
        <v>10224</v>
      </c>
      <c r="B4236" s="24" t="s">
        <v>10225</v>
      </c>
      <c r="C4236" s="24" t="s">
        <v>10226</v>
      </c>
      <c r="D4236" s="24" t="s">
        <v>17</v>
      </c>
      <c r="E4236" s="24" t="s">
        <v>48</v>
      </c>
      <c r="F4236" s="24" t="s">
        <v>49</v>
      </c>
      <c r="G4236" s="24" t="s">
        <v>116</v>
      </c>
      <c r="H4236" s="26">
        <v>0</v>
      </c>
      <c r="I4236" s="24" t="s">
        <v>21</v>
      </c>
      <c r="J4236" s="36">
        <v>45658</v>
      </c>
      <c r="K4236" s="24" t="s">
        <v>22</v>
      </c>
    </row>
    <row r="4237" spans="1:11" x14ac:dyDescent="0.2">
      <c r="A4237" s="27" t="s">
        <v>10227</v>
      </c>
      <c r="B4237" s="27" t="s">
        <v>10228</v>
      </c>
      <c r="C4237" s="27" t="s">
        <v>115</v>
      </c>
      <c r="D4237" s="27" t="s">
        <v>17</v>
      </c>
      <c r="E4237" s="27" t="s">
        <v>42</v>
      </c>
      <c r="F4237" s="27" t="s">
        <v>43</v>
      </c>
      <c r="G4237" s="27" t="s">
        <v>28</v>
      </c>
      <c r="H4237" s="29">
        <v>396</v>
      </c>
      <c r="I4237" s="27" t="s">
        <v>29</v>
      </c>
      <c r="J4237" s="37">
        <v>45659</v>
      </c>
      <c r="K4237" s="27" t="s">
        <v>22</v>
      </c>
    </row>
    <row r="4238" spans="1:11" x14ac:dyDescent="0.2">
      <c r="A4238" s="24" t="s">
        <v>10229</v>
      </c>
      <c r="B4238" s="24" t="s">
        <v>10230</v>
      </c>
      <c r="C4238" s="24" t="s">
        <v>5041</v>
      </c>
      <c r="D4238" s="24" t="s">
        <v>17</v>
      </c>
      <c r="E4238" s="24" t="s">
        <v>18</v>
      </c>
      <c r="F4238" s="24" t="s">
        <v>19</v>
      </c>
      <c r="G4238" s="24" t="s">
        <v>20</v>
      </c>
      <c r="H4238" s="26">
        <v>150</v>
      </c>
      <c r="I4238" s="24" t="s">
        <v>21</v>
      </c>
      <c r="J4238" s="36">
        <v>45686</v>
      </c>
      <c r="K4238" s="24" t="s">
        <v>22</v>
      </c>
    </row>
    <row r="4239" spans="1:11" x14ac:dyDescent="0.2">
      <c r="A4239" s="27" t="s">
        <v>10231</v>
      </c>
      <c r="B4239" s="27" t="s">
        <v>10232</v>
      </c>
      <c r="C4239" s="27" t="s">
        <v>97</v>
      </c>
      <c r="D4239" s="27" t="s">
        <v>17</v>
      </c>
      <c r="E4239" s="27" t="s">
        <v>18</v>
      </c>
      <c r="F4239" s="27" t="s">
        <v>19</v>
      </c>
      <c r="G4239" s="27" t="s">
        <v>20</v>
      </c>
      <c r="H4239" s="29">
        <v>24</v>
      </c>
      <c r="I4239" s="27" t="s">
        <v>21</v>
      </c>
      <c r="J4239" s="37">
        <v>45685</v>
      </c>
      <c r="K4239" s="27" t="s">
        <v>22</v>
      </c>
    </row>
    <row r="4240" spans="1:11" x14ac:dyDescent="0.2">
      <c r="A4240" s="24" t="s">
        <v>10233</v>
      </c>
      <c r="B4240" s="24" t="s">
        <v>10234</v>
      </c>
      <c r="C4240" s="24" t="s">
        <v>1212</v>
      </c>
      <c r="D4240" s="24" t="s">
        <v>17</v>
      </c>
      <c r="E4240" s="24" t="s">
        <v>18</v>
      </c>
      <c r="F4240" s="24" t="s">
        <v>19</v>
      </c>
      <c r="G4240" s="24" t="s">
        <v>20</v>
      </c>
      <c r="H4240" s="26">
        <v>49</v>
      </c>
      <c r="I4240" s="24" t="s">
        <v>21</v>
      </c>
      <c r="J4240" s="36">
        <v>45666</v>
      </c>
      <c r="K4240" s="24" t="s">
        <v>22</v>
      </c>
    </row>
    <row r="4241" spans="1:11" x14ac:dyDescent="0.2">
      <c r="A4241" s="27" t="s">
        <v>10235</v>
      </c>
      <c r="B4241" s="27" t="s">
        <v>10236</v>
      </c>
      <c r="C4241" s="27" t="s">
        <v>10237</v>
      </c>
      <c r="D4241" s="27" t="s">
        <v>17</v>
      </c>
      <c r="E4241" s="27" t="s">
        <v>18</v>
      </c>
      <c r="F4241" s="27" t="s">
        <v>19</v>
      </c>
      <c r="G4241" s="27" t="s">
        <v>20</v>
      </c>
      <c r="H4241" s="29">
        <v>40</v>
      </c>
      <c r="I4241" s="27" t="s">
        <v>21</v>
      </c>
      <c r="J4241" s="37">
        <v>45678</v>
      </c>
      <c r="K4241" s="27" t="s">
        <v>22</v>
      </c>
    </row>
    <row r="4242" spans="1:11" x14ac:dyDescent="0.2">
      <c r="A4242" s="24" t="s">
        <v>10238</v>
      </c>
      <c r="B4242" s="24" t="s">
        <v>10239</v>
      </c>
      <c r="C4242" s="24" t="s">
        <v>1435</v>
      </c>
      <c r="D4242" s="24" t="s">
        <v>17</v>
      </c>
      <c r="E4242" s="24" t="s">
        <v>18</v>
      </c>
      <c r="F4242" s="24" t="s">
        <v>19</v>
      </c>
      <c r="G4242" s="24" t="s">
        <v>28</v>
      </c>
      <c r="H4242" s="26">
        <v>18</v>
      </c>
      <c r="I4242" s="24" t="s">
        <v>29</v>
      </c>
      <c r="J4242" s="36">
        <v>45658</v>
      </c>
      <c r="K4242" s="24" t="s">
        <v>22</v>
      </c>
    </row>
    <row r="4243" spans="1:11" x14ac:dyDescent="0.2">
      <c r="A4243" s="27" t="s">
        <v>10240</v>
      </c>
      <c r="B4243" s="27" t="s">
        <v>10241</v>
      </c>
      <c r="C4243" s="27" t="s">
        <v>115</v>
      </c>
      <c r="D4243" s="27" t="s">
        <v>17</v>
      </c>
      <c r="E4243" s="27" t="s">
        <v>81</v>
      </c>
      <c r="F4243" s="27" t="s">
        <v>82</v>
      </c>
      <c r="G4243" s="27" t="s">
        <v>28</v>
      </c>
      <c r="H4243" s="29">
        <v>78</v>
      </c>
      <c r="I4243" s="27" t="s">
        <v>29</v>
      </c>
      <c r="J4243" s="37">
        <v>45671</v>
      </c>
      <c r="K4243" s="27" t="s">
        <v>22</v>
      </c>
    </row>
    <row r="4244" spans="1:11" x14ac:dyDescent="0.2">
      <c r="A4244" s="24" t="s">
        <v>10242</v>
      </c>
      <c r="B4244" s="24" t="s">
        <v>10243</v>
      </c>
      <c r="C4244" s="24" t="s">
        <v>106</v>
      </c>
      <c r="D4244" s="24" t="s">
        <v>17</v>
      </c>
      <c r="E4244" s="24" t="s">
        <v>48</v>
      </c>
      <c r="F4244" s="24" t="s">
        <v>49</v>
      </c>
      <c r="G4244" s="24" t="s">
        <v>44</v>
      </c>
      <c r="H4244" s="26">
        <v>150</v>
      </c>
      <c r="I4244" s="24" t="s">
        <v>21</v>
      </c>
      <c r="J4244" s="36">
        <v>45688</v>
      </c>
      <c r="K4244" s="24" t="s">
        <v>22</v>
      </c>
    </row>
    <row r="4245" spans="1:11" x14ac:dyDescent="0.2">
      <c r="A4245" s="27" t="s">
        <v>10244</v>
      </c>
      <c r="B4245" s="27" t="s">
        <v>10245</v>
      </c>
      <c r="C4245" s="27" t="s">
        <v>1158</v>
      </c>
      <c r="D4245" s="27" t="s">
        <v>17</v>
      </c>
      <c r="E4245" s="27" t="s">
        <v>42</v>
      </c>
      <c r="F4245" s="27" t="s">
        <v>43</v>
      </c>
      <c r="G4245" s="27" t="s">
        <v>28</v>
      </c>
      <c r="H4245" s="29">
        <v>580</v>
      </c>
      <c r="I4245" s="27" t="s">
        <v>29</v>
      </c>
      <c r="J4245" s="37">
        <v>45672</v>
      </c>
      <c r="K4245" s="27" t="s">
        <v>22</v>
      </c>
    </row>
    <row r="4246" spans="1:11" x14ac:dyDescent="0.2">
      <c r="A4246" s="24" t="s">
        <v>10246</v>
      </c>
      <c r="B4246" s="24" t="s">
        <v>10247</v>
      </c>
      <c r="C4246" s="24" t="s">
        <v>2429</v>
      </c>
      <c r="D4246" s="24" t="s">
        <v>17</v>
      </c>
      <c r="E4246" s="24" t="s">
        <v>48</v>
      </c>
      <c r="F4246" s="24" t="s">
        <v>49</v>
      </c>
      <c r="G4246" s="24" t="s">
        <v>44</v>
      </c>
      <c r="H4246" s="26">
        <v>236</v>
      </c>
      <c r="I4246" s="24" t="s">
        <v>29</v>
      </c>
      <c r="J4246" s="36">
        <v>45681</v>
      </c>
      <c r="K4246" s="24" t="s">
        <v>22</v>
      </c>
    </row>
    <row r="4247" spans="1:11" x14ac:dyDescent="0.2">
      <c r="A4247" s="27" t="s">
        <v>10248</v>
      </c>
      <c r="B4247" s="27" t="s">
        <v>10249</v>
      </c>
      <c r="C4247" s="27" t="s">
        <v>708</v>
      </c>
      <c r="D4247" s="27" t="s">
        <v>17</v>
      </c>
      <c r="E4247" s="27" t="s">
        <v>42</v>
      </c>
      <c r="F4247" s="27" t="s">
        <v>43</v>
      </c>
      <c r="G4247" s="27" t="s">
        <v>28</v>
      </c>
      <c r="H4247" s="29">
        <v>369</v>
      </c>
      <c r="I4247" s="27" t="s">
        <v>29</v>
      </c>
      <c r="J4247" s="37">
        <v>45659</v>
      </c>
      <c r="K4247" s="27" t="s">
        <v>22</v>
      </c>
    </row>
    <row r="4248" spans="1:11" x14ac:dyDescent="0.2">
      <c r="A4248" s="24" t="s">
        <v>10250</v>
      </c>
      <c r="B4248" s="24" t="s">
        <v>10251</v>
      </c>
      <c r="C4248" s="24" t="s">
        <v>10252</v>
      </c>
      <c r="D4248" s="24" t="s">
        <v>17</v>
      </c>
      <c r="E4248" s="24" t="s">
        <v>81</v>
      </c>
      <c r="F4248" s="24" t="s">
        <v>82</v>
      </c>
      <c r="G4248" s="24" t="s">
        <v>28</v>
      </c>
      <c r="H4248" s="26">
        <v>212</v>
      </c>
      <c r="I4248" s="24" t="s">
        <v>29</v>
      </c>
      <c r="J4248" s="36">
        <v>45672</v>
      </c>
      <c r="K4248" s="24" t="s">
        <v>22</v>
      </c>
    </row>
    <row r="4249" spans="1:11" x14ac:dyDescent="0.2">
      <c r="A4249" s="27" t="s">
        <v>10253</v>
      </c>
      <c r="B4249" s="27" t="s">
        <v>10254</v>
      </c>
      <c r="C4249" s="27" t="s">
        <v>450</v>
      </c>
      <c r="D4249" s="27" t="s">
        <v>17</v>
      </c>
      <c r="E4249" s="27" t="s">
        <v>18</v>
      </c>
      <c r="F4249" s="27" t="s">
        <v>19</v>
      </c>
      <c r="G4249" s="27" t="s">
        <v>20</v>
      </c>
      <c r="H4249" s="29">
        <v>8</v>
      </c>
      <c r="I4249" s="27" t="s">
        <v>21</v>
      </c>
      <c r="J4249" s="37">
        <v>45685</v>
      </c>
      <c r="K4249" s="27" t="s">
        <v>22</v>
      </c>
    </row>
    <row r="4250" spans="1:11" x14ac:dyDescent="0.2">
      <c r="A4250" s="24" t="s">
        <v>10255</v>
      </c>
      <c r="B4250" s="24" t="s">
        <v>10256</v>
      </c>
      <c r="C4250" s="24" t="s">
        <v>10019</v>
      </c>
      <c r="D4250" s="24" t="s">
        <v>17</v>
      </c>
      <c r="E4250" s="24" t="s">
        <v>18</v>
      </c>
      <c r="F4250" s="24" t="s">
        <v>19</v>
      </c>
      <c r="G4250" s="24" t="s">
        <v>20</v>
      </c>
      <c r="H4250" s="26">
        <v>186</v>
      </c>
      <c r="I4250" s="24" t="s">
        <v>21</v>
      </c>
      <c r="J4250" s="36">
        <v>45666</v>
      </c>
      <c r="K4250" s="24" t="s">
        <v>22</v>
      </c>
    </row>
    <row r="4251" spans="1:11" x14ac:dyDescent="0.2">
      <c r="A4251" s="27" t="s">
        <v>10257</v>
      </c>
      <c r="B4251" s="27" t="s">
        <v>10258</v>
      </c>
      <c r="C4251" s="27" t="s">
        <v>5719</v>
      </c>
      <c r="D4251" s="27" t="s">
        <v>17</v>
      </c>
      <c r="E4251" s="27" t="s">
        <v>42</v>
      </c>
      <c r="F4251" s="27" t="s">
        <v>43</v>
      </c>
      <c r="G4251" s="27" t="s">
        <v>28</v>
      </c>
      <c r="H4251" s="29">
        <v>416</v>
      </c>
      <c r="I4251" s="27" t="s">
        <v>29</v>
      </c>
      <c r="J4251" s="37">
        <v>45663</v>
      </c>
      <c r="K4251" s="27" t="s">
        <v>22</v>
      </c>
    </row>
    <row r="4252" spans="1:11" x14ac:dyDescent="0.2">
      <c r="A4252" s="24" t="s">
        <v>10259</v>
      </c>
      <c r="B4252" s="24" t="s">
        <v>10260</v>
      </c>
      <c r="C4252" s="24" t="s">
        <v>7320</v>
      </c>
      <c r="D4252" s="24" t="s">
        <v>17</v>
      </c>
      <c r="E4252" s="24" t="s">
        <v>42</v>
      </c>
      <c r="F4252" s="24" t="s">
        <v>43</v>
      </c>
      <c r="G4252" s="24" t="s">
        <v>20</v>
      </c>
      <c r="H4252" s="26">
        <v>101</v>
      </c>
      <c r="I4252" s="24" t="s">
        <v>21</v>
      </c>
      <c r="J4252" s="36">
        <v>45663</v>
      </c>
      <c r="K4252" s="24" t="s">
        <v>22</v>
      </c>
    </row>
    <row r="4253" spans="1:11" x14ac:dyDescent="0.2">
      <c r="A4253" s="27" t="s">
        <v>10261</v>
      </c>
      <c r="B4253" s="27" t="s">
        <v>10262</v>
      </c>
      <c r="C4253" s="27" t="s">
        <v>97</v>
      </c>
      <c r="D4253" s="27" t="s">
        <v>17</v>
      </c>
      <c r="E4253" s="27" t="s">
        <v>18</v>
      </c>
      <c r="F4253" s="27" t="s">
        <v>19</v>
      </c>
      <c r="G4253" s="27" t="s">
        <v>20</v>
      </c>
      <c r="H4253" s="29">
        <v>105</v>
      </c>
      <c r="I4253" s="27" t="s">
        <v>21</v>
      </c>
      <c r="J4253" s="37">
        <v>45680</v>
      </c>
      <c r="K4253" s="27" t="s">
        <v>22</v>
      </c>
    </row>
    <row r="4254" spans="1:11" x14ac:dyDescent="0.2">
      <c r="A4254" s="24" t="s">
        <v>10263</v>
      </c>
      <c r="B4254" s="24" t="s">
        <v>10264</v>
      </c>
      <c r="C4254" s="24" t="s">
        <v>106</v>
      </c>
      <c r="D4254" s="24" t="s">
        <v>17</v>
      </c>
      <c r="E4254" s="24" t="s">
        <v>48</v>
      </c>
      <c r="F4254" s="24" t="s">
        <v>49</v>
      </c>
      <c r="G4254" s="24" t="s">
        <v>44</v>
      </c>
      <c r="H4254" s="26">
        <v>202</v>
      </c>
      <c r="I4254" s="24" t="s">
        <v>21</v>
      </c>
      <c r="J4254" s="36">
        <v>45663</v>
      </c>
      <c r="K4254" s="24" t="s">
        <v>22</v>
      </c>
    </row>
    <row r="4255" spans="1:11" x14ac:dyDescent="0.2">
      <c r="A4255" s="27" t="s">
        <v>10265</v>
      </c>
      <c r="B4255" s="27" t="s">
        <v>10266</v>
      </c>
      <c r="C4255" s="27" t="s">
        <v>1041</v>
      </c>
      <c r="D4255" s="27" t="s">
        <v>17</v>
      </c>
      <c r="E4255" s="27" t="s">
        <v>18</v>
      </c>
      <c r="F4255" s="27" t="s">
        <v>19</v>
      </c>
      <c r="G4255" s="27" t="s">
        <v>28</v>
      </c>
      <c r="H4255" s="29">
        <v>64</v>
      </c>
      <c r="I4255" s="27" t="s">
        <v>29</v>
      </c>
      <c r="J4255" s="37">
        <v>45664</v>
      </c>
      <c r="K4255" s="27" t="s">
        <v>22</v>
      </c>
    </row>
    <row r="4256" spans="1:11" x14ac:dyDescent="0.2">
      <c r="A4256" s="24" t="s">
        <v>10267</v>
      </c>
      <c r="B4256" s="24" t="s">
        <v>10268</v>
      </c>
      <c r="C4256" s="24" t="s">
        <v>429</v>
      </c>
      <c r="D4256" s="24" t="s">
        <v>17</v>
      </c>
      <c r="E4256" s="24" t="s">
        <v>18</v>
      </c>
      <c r="F4256" s="24" t="s">
        <v>19</v>
      </c>
      <c r="G4256" s="24" t="s">
        <v>28</v>
      </c>
      <c r="H4256" s="26">
        <v>198</v>
      </c>
      <c r="I4256" s="24" t="s">
        <v>29</v>
      </c>
      <c r="J4256" s="36">
        <v>45665</v>
      </c>
      <c r="K4256" s="24" t="s">
        <v>22</v>
      </c>
    </row>
    <row r="4257" spans="1:11" x14ac:dyDescent="0.2">
      <c r="A4257" s="27" t="s">
        <v>10269</v>
      </c>
      <c r="B4257" s="27" t="s">
        <v>10270</v>
      </c>
      <c r="C4257" s="27" t="s">
        <v>331</v>
      </c>
      <c r="D4257" s="27" t="s">
        <v>17</v>
      </c>
      <c r="E4257" s="27" t="s">
        <v>18</v>
      </c>
      <c r="F4257" s="27" t="s">
        <v>19</v>
      </c>
      <c r="G4257" s="27" t="s">
        <v>20</v>
      </c>
      <c r="H4257" s="29">
        <v>72</v>
      </c>
      <c r="I4257" s="27" t="s">
        <v>21</v>
      </c>
      <c r="J4257" s="37">
        <v>45671</v>
      </c>
      <c r="K4257" s="27" t="s">
        <v>22</v>
      </c>
    </row>
    <row r="4258" spans="1:11" x14ac:dyDescent="0.2">
      <c r="A4258" s="24" t="s">
        <v>10271</v>
      </c>
      <c r="B4258" s="24" t="s">
        <v>10272</v>
      </c>
      <c r="C4258" s="24" t="s">
        <v>10273</v>
      </c>
      <c r="D4258" s="24" t="s">
        <v>17</v>
      </c>
      <c r="E4258" s="24" t="s">
        <v>26</v>
      </c>
      <c r="F4258" s="24" t="s">
        <v>27</v>
      </c>
      <c r="G4258" s="24" t="s">
        <v>28</v>
      </c>
      <c r="H4258" s="26">
        <v>75</v>
      </c>
      <c r="I4258" s="24" t="s">
        <v>29</v>
      </c>
      <c r="J4258" s="36">
        <v>45660</v>
      </c>
      <c r="K4258" s="24" t="s">
        <v>22</v>
      </c>
    </row>
    <row r="4259" spans="1:11" x14ac:dyDescent="0.2">
      <c r="A4259" s="27" t="s">
        <v>10274</v>
      </c>
      <c r="B4259" s="27" t="s">
        <v>10275</v>
      </c>
      <c r="C4259" s="27" t="s">
        <v>930</v>
      </c>
      <c r="D4259" s="27" t="s">
        <v>17</v>
      </c>
      <c r="E4259" s="27" t="s">
        <v>48</v>
      </c>
      <c r="F4259" s="27" t="s">
        <v>49</v>
      </c>
      <c r="G4259" s="27" t="s">
        <v>116</v>
      </c>
      <c r="H4259" s="29">
        <v>0</v>
      </c>
      <c r="I4259" s="27" t="s">
        <v>21</v>
      </c>
      <c r="J4259" s="37">
        <v>45688</v>
      </c>
      <c r="K4259" s="27" t="s">
        <v>22</v>
      </c>
    </row>
    <row r="4260" spans="1:11" x14ac:dyDescent="0.2">
      <c r="A4260" s="24" t="s">
        <v>10276</v>
      </c>
      <c r="B4260" s="24" t="s">
        <v>10277</v>
      </c>
      <c r="C4260" s="24" t="s">
        <v>10278</v>
      </c>
      <c r="D4260" s="24" t="s">
        <v>17</v>
      </c>
      <c r="E4260" s="24" t="s">
        <v>18</v>
      </c>
      <c r="F4260" s="24" t="s">
        <v>19</v>
      </c>
      <c r="G4260" s="24" t="s">
        <v>28</v>
      </c>
      <c r="H4260" s="26">
        <v>18</v>
      </c>
      <c r="I4260" s="24" t="s">
        <v>29</v>
      </c>
      <c r="J4260" s="36">
        <v>45680</v>
      </c>
      <c r="K4260" s="24" t="s">
        <v>22</v>
      </c>
    </row>
    <row r="4261" spans="1:11" x14ac:dyDescent="0.2">
      <c r="A4261" s="27" t="s">
        <v>10279</v>
      </c>
      <c r="B4261" s="27" t="s">
        <v>10280</v>
      </c>
      <c r="C4261" s="27" t="s">
        <v>71</v>
      </c>
      <c r="D4261" s="27" t="s">
        <v>17</v>
      </c>
      <c r="E4261" s="27" t="s">
        <v>42</v>
      </c>
      <c r="F4261" s="27" t="s">
        <v>43</v>
      </c>
      <c r="G4261" s="27" t="s">
        <v>28</v>
      </c>
      <c r="H4261" s="29">
        <v>808</v>
      </c>
      <c r="I4261" s="27" t="s">
        <v>29</v>
      </c>
      <c r="J4261" s="37">
        <v>45672</v>
      </c>
      <c r="K4261" s="27" t="s">
        <v>22</v>
      </c>
    </row>
    <row r="4262" spans="1:11" x14ac:dyDescent="0.2">
      <c r="A4262" s="24" t="s">
        <v>10281</v>
      </c>
      <c r="B4262" s="24" t="s">
        <v>10282</v>
      </c>
      <c r="C4262" s="24" t="s">
        <v>10283</v>
      </c>
      <c r="D4262" s="24" t="s">
        <v>17</v>
      </c>
      <c r="E4262" s="24" t="s">
        <v>26</v>
      </c>
      <c r="F4262" s="24" t="s">
        <v>27</v>
      </c>
      <c r="G4262" s="24" t="s">
        <v>217</v>
      </c>
      <c r="H4262" s="26">
        <v>204</v>
      </c>
      <c r="I4262" s="24" t="s">
        <v>29</v>
      </c>
      <c r="J4262" s="36">
        <v>45664</v>
      </c>
      <c r="K4262" s="24" t="s">
        <v>22</v>
      </c>
    </row>
    <row r="4263" spans="1:11" x14ac:dyDescent="0.2">
      <c r="A4263" s="27" t="s">
        <v>10284</v>
      </c>
      <c r="B4263" s="27" t="s">
        <v>10285</v>
      </c>
      <c r="C4263" s="27" t="s">
        <v>10286</v>
      </c>
      <c r="D4263" s="27" t="s">
        <v>17</v>
      </c>
      <c r="E4263" s="27" t="s">
        <v>18</v>
      </c>
      <c r="F4263" s="27" t="s">
        <v>19</v>
      </c>
      <c r="G4263" s="27" t="s">
        <v>20</v>
      </c>
      <c r="H4263" s="29">
        <v>24</v>
      </c>
      <c r="I4263" s="27" t="s">
        <v>21</v>
      </c>
      <c r="J4263" s="37">
        <v>45685</v>
      </c>
      <c r="K4263" s="27" t="s">
        <v>22</v>
      </c>
    </row>
    <row r="4264" spans="1:11" x14ac:dyDescent="0.2">
      <c r="A4264" s="24" t="s">
        <v>10287</v>
      </c>
      <c r="B4264" s="24" t="s">
        <v>10288</v>
      </c>
      <c r="C4264" s="24" t="s">
        <v>10289</v>
      </c>
      <c r="D4264" s="24" t="s">
        <v>17</v>
      </c>
      <c r="E4264" s="24" t="s">
        <v>48</v>
      </c>
      <c r="F4264" s="24" t="s">
        <v>49</v>
      </c>
      <c r="G4264" s="24" t="s">
        <v>20</v>
      </c>
      <c r="H4264" s="26">
        <v>40</v>
      </c>
      <c r="I4264" s="24" t="s">
        <v>21</v>
      </c>
      <c r="J4264" s="36">
        <v>45680</v>
      </c>
      <c r="K4264" s="24" t="s">
        <v>22</v>
      </c>
    </row>
    <row r="4265" spans="1:11" x14ac:dyDescent="0.2">
      <c r="A4265" s="27" t="s">
        <v>10290</v>
      </c>
      <c r="B4265" s="27" t="s">
        <v>10291</v>
      </c>
      <c r="C4265" s="27" t="s">
        <v>277</v>
      </c>
      <c r="D4265" s="27" t="s">
        <v>17</v>
      </c>
      <c r="E4265" s="27" t="s">
        <v>18</v>
      </c>
      <c r="F4265" s="27" t="s">
        <v>19</v>
      </c>
      <c r="G4265" s="27" t="s">
        <v>44</v>
      </c>
      <c r="H4265" s="29">
        <v>404</v>
      </c>
      <c r="I4265" s="27" t="s">
        <v>21</v>
      </c>
      <c r="J4265" s="37">
        <v>45659</v>
      </c>
      <c r="K4265" s="27" t="s">
        <v>22</v>
      </c>
    </row>
    <row r="4266" spans="1:11" x14ac:dyDescent="0.2">
      <c r="A4266" s="24" t="s">
        <v>10292</v>
      </c>
      <c r="B4266" s="24" t="s">
        <v>10293</v>
      </c>
      <c r="C4266" s="24" t="s">
        <v>140</v>
      </c>
      <c r="D4266" s="24" t="s">
        <v>17</v>
      </c>
      <c r="E4266" s="24" t="s">
        <v>81</v>
      </c>
      <c r="F4266" s="24" t="s">
        <v>82</v>
      </c>
      <c r="G4266" s="24" t="s">
        <v>28</v>
      </c>
      <c r="H4266" s="26">
        <v>40</v>
      </c>
      <c r="I4266" s="24" t="s">
        <v>29</v>
      </c>
      <c r="J4266" s="36">
        <v>45663</v>
      </c>
      <c r="K4266" s="24" t="s">
        <v>22</v>
      </c>
    </row>
    <row r="4267" spans="1:11" x14ac:dyDescent="0.2">
      <c r="A4267" s="27" t="s">
        <v>10294</v>
      </c>
      <c r="B4267" s="27" t="s">
        <v>10295</v>
      </c>
      <c r="C4267" s="27" t="s">
        <v>1895</v>
      </c>
      <c r="D4267" s="27" t="s">
        <v>17</v>
      </c>
      <c r="E4267" s="27" t="s">
        <v>18</v>
      </c>
      <c r="F4267" s="27" t="s">
        <v>19</v>
      </c>
      <c r="G4267" s="27" t="s">
        <v>28</v>
      </c>
      <c r="H4267" s="29">
        <v>120</v>
      </c>
      <c r="I4267" s="27" t="s">
        <v>29</v>
      </c>
      <c r="J4267" s="37">
        <v>45679</v>
      </c>
      <c r="K4267" s="27" t="s">
        <v>22</v>
      </c>
    </row>
    <row r="4268" spans="1:11" x14ac:dyDescent="0.2">
      <c r="A4268" s="24" t="s">
        <v>10296</v>
      </c>
      <c r="B4268" s="24" t="s">
        <v>10297</v>
      </c>
      <c r="C4268" s="24" t="s">
        <v>2331</v>
      </c>
      <c r="D4268" s="24" t="s">
        <v>17</v>
      </c>
      <c r="E4268" s="24" t="s">
        <v>33</v>
      </c>
      <c r="F4268" s="24" t="s">
        <v>34</v>
      </c>
      <c r="G4268" s="24" t="s">
        <v>28</v>
      </c>
      <c r="H4268" s="26">
        <v>1260</v>
      </c>
      <c r="I4268" s="24" t="s">
        <v>29</v>
      </c>
      <c r="J4268" s="36">
        <v>45664</v>
      </c>
      <c r="K4268" s="24" t="s">
        <v>22</v>
      </c>
    </row>
    <row r="4269" spans="1:11" x14ac:dyDescent="0.2">
      <c r="A4269" s="27" t="s">
        <v>10298</v>
      </c>
      <c r="B4269" s="27" t="s">
        <v>10299</v>
      </c>
      <c r="C4269" s="27" t="s">
        <v>10300</v>
      </c>
      <c r="D4269" s="27" t="s">
        <v>17</v>
      </c>
      <c r="E4269" s="27" t="s">
        <v>48</v>
      </c>
      <c r="F4269" s="27" t="s">
        <v>49</v>
      </c>
      <c r="G4269" s="27" t="s">
        <v>28</v>
      </c>
      <c r="H4269" s="29">
        <v>150</v>
      </c>
      <c r="I4269" s="27" t="s">
        <v>29</v>
      </c>
      <c r="J4269" s="37">
        <v>45674</v>
      </c>
      <c r="K4269" s="27" t="s">
        <v>22</v>
      </c>
    </row>
    <row r="4270" spans="1:11" x14ac:dyDescent="0.2">
      <c r="A4270" s="24" t="s">
        <v>10301</v>
      </c>
      <c r="B4270" s="24" t="s">
        <v>10302</v>
      </c>
      <c r="C4270" s="24" t="s">
        <v>10303</v>
      </c>
      <c r="D4270" s="24" t="s">
        <v>17</v>
      </c>
      <c r="E4270" s="24" t="s">
        <v>42</v>
      </c>
      <c r="F4270" s="24" t="s">
        <v>43</v>
      </c>
      <c r="G4270" s="24" t="s">
        <v>28</v>
      </c>
      <c r="H4270" s="26">
        <v>360</v>
      </c>
      <c r="I4270" s="24" t="s">
        <v>29</v>
      </c>
      <c r="J4270" s="36">
        <v>45671</v>
      </c>
      <c r="K4270" s="24" t="s">
        <v>22</v>
      </c>
    </row>
    <row r="4271" spans="1:11" x14ac:dyDescent="0.2">
      <c r="A4271" s="27" t="s">
        <v>10304</v>
      </c>
      <c r="B4271" s="27" t="s">
        <v>10305</v>
      </c>
      <c r="C4271" s="27" t="s">
        <v>2527</v>
      </c>
      <c r="D4271" s="27" t="s">
        <v>17</v>
      </c>
      <c r="E4271" s="27" t="s">
        <v>18</v>
      </c>
      <c r="F4271" s="27" t="s">
        <v>19</v>
      </c>
      <c r="G4271" s="27" t="s">
        <v>217</v>
      </c>
      <c r="H4271" s="29">
        <v>32</v>
      </c>
      <c r="I4271" s="27" t="s">
        <v>29</v>
      </c>
      <c r="J4271" s="37">
        <v>45658</v>
      </c>
      <c r="K4271" s="27" t="s">
        <v>22</v>
      </c>
    </row>
    <row r="4272" spans="1:11" x14ac:dyDescent="0.2">
      <c r="A4272" s="24" t="s">
        <v>10306</v>
      </c>
      <c r="B4272" s="24" t="s">
        <v>10307</v>
      </c>
      <c r="C4272" s="24" t="s">
        <v>203</v>
      </c>
      <c r="D4272" s="24" t="s">
        <v>17</v>
      </c>
      <c r="E4272" s="24" t="s">
        <v>48</v>
      </c>
      <c r="F4272" s="24" t="s">
        <v>49</v>
      </c>
      <c r="G4272" s="24" t="s">
        <v>44</v>
      </c>
      <c r="H4272" s="26">
        <v>100</v>
      </c>
      <c r="I4272" s="24" t="s">
        <v>29</v>
      </c>
      <c r="J4272" s="36">
        <v>45673</v>
      </c>
      <c r="K4272" s="24" t="s">
        <v>22</v>
      </c>
    </row>
    <row r="4273" spans="1:11" x14ac:dyDescent="0.2">
      <c r="A4273" s="27" t="s">
        <v>10308</v>
      </c>
      <c r="B4273" s="27" t="s">
        <v>10309</v>
      </c>
      <c r="C4273" s="27" t="s">
        <v>2953</v>
      </c>
      <c r="D4273" s="27" t="s">
        <v>17</v>
      </c>
      <c r="E4273" s="27" t="s">
        <v>18</v>
      </c>
      <c r="F4273" s="27" t="s">
        <v>19</v>
      </c>
      <c r="G4273" s="27" t="s">
        <v>20</v>
      </c>
      <c r="H4273" s="29">
        <v>16</v>
      </c>
      <c r="I4273" s="27" t="s">
        <v>21</v>
      </c>
      <c r="J4273" s="37">
        <v>45671</v>
      </c>
      <c r="K4273" s="27" t="s">
        <v>22</v>
      </c>
    </row>
    <row r="4274" spans="1:11" x14ac:dyDescent="0.2">
      <c r="A4274" s="24" t="s">
        <v>10310</v>
      </c>
      <c r="B4274" s="24" t="s">
        <v>10311</v>
      </c>
      <c r="C4274" s="24" t="s">
        <v>2586</v>
      </c>
      <c r="D4274" s="24" t="s">
        <v>17</v>
      </c>
      <c r="E4274" s="24" t="s">
        <v>18</v>
      </c>
      <c r="F4274" s="24" t="s">
        <v>19</v>
      </c>
      <c r="G4274" s="24" t="s">
        <v>20</v>
      </c>
      <c r="H4274" s="26">
        <v>54</v>
      </c>
      <c r="I4274" s="24" t="s">
        <v>21</v>
      </c>
      <c r="J4274" s="36">
        <v>45688</v>
      </c>
      <c r="K4274" s="24" t="s">
        <v>22</v>
      </c>
    </row>
    <row r="4275" spans="1:11" x14ac:dyDescent="0.2">
      <c r="A4275" s="27" t="s">
        <v>10312</v>
      </c>
      <c r="B4275" s="27" t="s">
        <v>10313</v>
      </c>
      <c r="C4275" s="27" t="s">
        <v>8467</v>
      </c>
      <c r="D4275" s="27" t="s">
        <v>17</v>
      </c>
      <c r="E4275" s="27" t="s">
        <v>42</v>
      </c>
      <c r="F4275" s="27" t="s">
        <v>43</v>
      </c>
      <c r="G4275" s="27" t="s">
        <v>44</v>
      </c>
      <c r="H4275" s="29">
        <v>60</v>
      </c>
      <c r="I4275" s="27" t="s">
        <v>29</v>
      </c>
      <c r="J4275" s="37">
        <v>45672</v>
      </c>
      <c r="K4275" s="27" t="s">
        <v>22</v>
      </c>
    </row>
    <row r="4276" spans="1:11" x14ac:dyDescent="0.2">
      <c r="A4276" s="24" t="s">
        <v>10314</v>
      </c>
      <c r="B4276" s="24" t="s">
        <v>10315</v>
      </c>
      <c r="C4276" s="24" t="s">
        <v>2657</v>
      </c>
      <c r="D4276" s="24" t="s">
        <v>17</v>
      </c>
      <c r="E4276" s="24" t="s">
        <v>48</v>
      </c>
      <c r="F4276" s="24" t="s">
        <v>49</v>
      </c>
      <c r="G4276" s="24" t="s">
        <v>217</v>
      </c>
      <c r="H4276" s="26">
        <v>288</v>
      </c>
      <c r="I4276" s="24" t="s">
        <v>29</v>
      </c>
      <c r="J4276" s="36">
        <v>45688</v>
      </c>
      <c r="K4276" s="24" t="s">
        <v>22</v>
      </c>
    </row>
    <row r="4277" spans="1:11" x14ac:dyDescent="0.2">
      <c r="A4277" s="27" t="s">
        <v>10316</v>
      </c>
      <c r="B4277" s="27" t="s">
        <v>10317</v>
      </c>
      <c r="C4277" s="27" t="s">
        <v>208</v>
      </c>
      <c r="D4277" s="27" t="s">
        <v>17</v>
      </c>
      <c r="E4277" s="27" t="s">
        <v>81</v>
      </c>
      <c r="F4277" s="27" t="s">
        <v>82</v>
      </c>
      <c r="G4277" s="27" t="s">
        <v>44</v>
      </c>
      <c r="H4277" s="29">
        <v>105</v>
      </c>
      <c r="I4277" s="27" t="s">
        <v>21</v>
      </c>
      <c r="J4277" s="37">
        <v>45663</v>
      </c>
      <c r="K4277" s="27" t="s">
        <v>22</v>
      </c>
    </row>
    <row r="4278" spans="1:11" x14ac:dyDescent="0.2">
      <c r="A4278" s="24" t="s">
        <v>10318</v>
      </c>
      <c r="B4278" s="24" t="s">
        <v>10319</v>
      </c>
      <c r="C4278" s="24" t="s">
        <v>7356</v>
      </c>
      <c r="D4278" s="24" t="s">
        <v>17</v>
      </c>
      <c r="E4278" s="24" t="s">
        <v>18</v>
      </c>
      <c r="F4278" s="24" t="s">
        <v>19</v>
      </c>
      <c r="G4278" s="24" t="s">
        <v>28</v>
      </c>
      <c r="H4278" s="26">
        <v>24</v>
      </c>
      <c r="I4278" s="24" t="s">
        <v>29</v>
      </c>
      <c r="J4278" s="36">
        <v>45678</v>
      </c>
      <c r="K4278" s="24" t="s">
        <v>22</v>
      </c>
    </row>
    <row r="4279" spans="1:11" x14ac:dyDescent="0.2">
      <c r="A4279" s="27" t="s">
        <v>10320</v>
      </c>
      <c r="B4279" s="27" t="s">
        <v>10321</v>
      </c>
      <c r="C4279" s="27" t="s">
        <v>10322</v>
      </c>
      <c r="D4279" s="27" t="s">
        <v>17</v>
      </c>
      <c r="E4279" s="27" t="s">
        <v>48</v>
      </c>
      <c r="F4279" s="27" t="s">
        <v>49</v>
      </c>
      <c r="G4279" s="27" t="s">
        <v>28</v>
      </c>
      <c r="H4279" s="29">
        <v>108</v>
      </c>
      <c r="I4279" s="27" t="s">
        <v>29</v>
      </c>
      <c r="J4279" s="37">
        <v>45670</v>
      </c>
      <c r="K4279" s="27" t="s">
        <v>22</v>
      </c>
    </row>
    <row r="4280" spans="1:11" x14ac:dyDescent="0.2">
      <c r="A4280" s="24" t="s">
        <v>10323</v>
      </c>
      <c r="B4280" s="24" t="s">
        <v>10324</v>
      </c>
      <c r="C4280" s="24" t="s">
        <v>4547</v>
      </c>
      <c r="D4280" s="24" t="s">
        <v>17</v>
      </c>
      <c r="E4280" s="24" t="s">
        <v>48</v>
      </c>
      <c r="F4280" s="24" t="s">
        <v>49</v>
      </c>
      <c r="G4280" s="24" t="s">
        <v>44</v>
      </c>
      <c r="H4280" s="26">
        <v>140</v>
      </c>
      <c r="I4280" s="24" t="s">
        <v>21</v>
      </c>
      <c r="J4280" s="36">
        <v>45679</v>
      </c>
      <c r="K4280" s="24" t="s">
        <v>22</v>
      </c>
    </row>
    <row r="4281" spans="1:11" x14ac:dyDescent="0.2">
      <c r="A4281" s="27" t="s">
        <v>10325</v>
      </c>
      <c r="B4281" s="27" t="s">
        <v>10326</v>
      </c>
      <c r="C4281" s="27" t="s">
        <v>1260</v>
      </c>
      <c r="D4281" s="27" t="s">
        <v>17</v>
      </c>
      <c r="E4281" s="27" t="s">
        <v>18</v>
      </c>
      <c r="F4281" s="27" t="s">
        <v>19</v>
      </c>
      <c r="G4281" s="27" t="s">
        <v>44</v>
      </c>
      <c r="H4281" s="29">
        <v>69</v>
      </c>
      <c r="I4281" s="27" t="s">
        <v>21</v>
      </c>
      <c r="J4281" s="37">
        <v>45674</v>
      </c>
      <c r="K4281" s="27" t="s">
        <v>22</v>
      </c>
    </row>
    <row r="4282" spans="1:11" x14ac:dyDescent="0.2">
      <c r="A4282" s="24" t="s">
        <v>10327</v>
      </c>
      <c r="B4282" s="24" t="s">
        <v>10328</v>
      </c>
      <c r="C4282" s="24" t="s">
        <v>10329</v>
      </c>
      <c r="D4282" s="24" t="s">
        <v>17</v>
      </c>
      <c r="E4282" s="24" t="s">
        <v>81</v>
      </c>
      <c r="F4282" s="24" t="s">
        <v>82</v>
      </c>
      <c r="G4282" s="24" t="s">
        <v>20</v>
      </c>
      <c r="H4282" s="26">
        <v>12</v>
      </c>
      <c r="I4282" s="24" t="s">
        <v>21</v>
      </c>
      <c r="J4282" s="36">
        <v>45680</v>
      </c>
      <c r="K4282" s="24" t="s">
        <v>22</v>
      </c>
    </row>
    <row r="4283" spans="1:11" x14ac:dyDescent="0.2">
      <c r="A4283" s="27" t="s">
        <v>10330</v>
      </c>
      <c r="B4283" s="27" t="s">
        <v>10331</v>
      </c>
      <c r="C4283" s="27" t="s">
        <v>1050</v>
      </c>
      <c r="D4283" s="27" t="s">
        <v>17</v>
      </c>
      <c r="E4283" s="27" t="s">
        <v>42</v>
      </c>
      <c r="F4283" s="27" t="s">
        <v>43</v>
      </c>
      <c r="G4283" s="27" t="s">
        <v>217</v>
      </c>
      <c r="H4283" s="29">
        <v>606</v>
      </c>
      <c r="I4283" s="27" t="s">
        <v>29</v>
      </c>
      <c r="J4283" s="37">
        <v>45681</v>
      </c>
      <c r="K4283" s="27" t="s">
        <v>22</v>
      </c>
    </row>
    <row r="4284" spans="1:11" x14ac:dyDescent="0.2">
      <c r="A4284" s="24" t="s">
        <v>10332</v>
      </c>
      <c r="B4284" s="24" t="s">
        <v>10333</v>
      </c>
      <c r="C4284" s="24" t="s">
        <v>7628</v>
      </c>
      <c r="D4284" s="24" t="s">
        <v>17</v>
      </c>
      <c r="E4284" s="24" t="s">
        <v>48</v>
      </c>
      <c r="F4284" s="24" t="s">
        <v>49</v>
      </c>
      <c r="G4284" s="24" t="s">
        <v>20</v>
      </c>
      <c r="H4284" s="26">
        <v>40</v>
      </c>
      <c r="I4284" s="24" t="s">
        <v>21</v>
      </c>
      <c r="J4284" s="36">
        <v>45685</v>
      </c>
      <c r="K4284" s="24" t="s">
        <v>22</v>
      </c>
    </row>
    <row r="4285" spans="1:11" x14ac:dyDescent="0.2">
      <c r="A4285" s="27" t="s">
        <v>10334</v>
      </c>
      <c r="B4285" s="27" t="s">
        <v>10335</v>
      </c>
      <c r="C4285" s="27" t="s">
        <v>3809</v>
      </c>
      <c r="D4285" s="27" t="s">
        <v>17</v>
      </c>
      <c r="E4285" s="27" t="s">
        <v>18</v>
      </c>
      <c r="F4285" s="27" t="s">
        <v>19</v>
      </c>
      <c r="G4285" s="27" t="s">
        <v>217</v>
      </c>
      <c r="H4285" s="29">
        <v>12</v>
      </c>
      <c r="I4285" s="27" t="s">
        <v>29</v>
      </c>
      <c r="J4285" s="37">
        <v>45658</v>
      </c>
      <c r="K4285" s="27" t="s">
        <v>22</v>
      </c>
    </row>
    <row r="4286" spans="1:11" x14ac:dyDescent="0.2">
      <c r="A4286" s="24" t="s">
        <v>10336</v>
      </c>
      <c r="B4286" s="24" t="s">
        <v>10337</v>
      </c>
      <c r="C4286" s="24" t="s">
        <v>10338</v>
      </c>
      <c r="D4286" s="24" t="s">
        <v>17</v>
      </c>
      <c r="E4286" s="24" t="s">
        <v>42</v>
      </c>
      <c r="F4286" s="24" t="s">
        <v>43</v>
      </c>
      <c r="G4286" s="24" t="s">
        <v>116</v>
      </c>
      <c r="H4286" s="26">
        <v>0</v>
      </c>
      <c r="I4286" s="24" t="s">
        <v>21</v>
      </c>
      <c r="J4286" s="36">
        <v>45658</v>
      </c>
      <c r="K4286" s="24" t="s">
        <v>22</v>
      </c>
    </row>
    <row r="4287" spans="1:11" x14ac:dyDescent="0.2">
      <c r="A4287" s="27" t="s">
        <v>10339</v>
      </c>
      <c r="B4287" s="27" t="s">
        <v>10340</v>
      </c>
      <c r="C4287" s="27" t="s">
        <v>10341</v>
      </c>
      <c r="D4287" s="27" t="s">
        <v>17</v>
      </c>
      <c r="E4287" s="27" t="s">
        <v>48</v>
      </c>
      <c r="F4287" s="27" t="s">
        <v>49</v>
      </c>
      <c r="G4287" s="27" t="s">
        <v>28</v>
      </c>
      <c r="H4287" s="29">
        <v>110</v>
      </c>
      <c r="I4287" s="27" t="s">
        <v>29</v>
      </c>
      <c r="J4287" s="37">
        <v>45667</v>
      </c>
      <c r="K4287" s="27" t="s">
        <v>22</v>
      </c>
    </row>
    <row r="4288" spans="1:11" x14ac:dyDescent="0.2">
      <c r="A4288" s="24" t="s">
        <v>10342</v>
      </c>
      <c r="B4288" s="24" t="s">
        <v>10343</v>
      </c>
      <c r="C4288" s="24" t="s">
        <v>55</v>
      </c>
      <c r="D4288" s="24" t="s">
        <v>17</v>
      </c>
      <c r="E4288" s="24" t="s">
        <v>18</v>
      </c>
      <c r="F4288" s="24" t="s">
        <v>19</v>
      </c>
      <c r="G4288" s="24" t="s">
        <v>20</v>
      </c>
      <c r="H4288" s="26">
        <v>16</v>
      </c>
      <c r="I4288" s="24" t="s">
        <v>21</v>
      </c>
      <c r="J4288" s="36">
        <v>45659</v>
      </c>
      <c r="K4288" s="24" t="s">
        <v>22</v>
      </c>
    </row>
    <row r="4289" spans="1:11" x14ac:dyDescent="0.2">
      <c r="A4289" s="27" t="s">
        <v>10344</v>
      </c>
      <c r="B4289" s="27" t="s">
        <v>10345</v>
      </c>
      <c r="C4289" s="27" t="s">
        <v>602</v>
      </c>
      <c r="D4289" s="27" t="s">
        <v>17</v>
      </c>
      <c r="E4289" s="27" t="s">
        <v>42</v>
      </c>
      <c r="F4289" s="27" t="s">
        <v>43</v>
      </c>
      <c r="G4289" s="27" t="s">
        <v>217</v>
      </c>
      <c r="H4289" s="29">
        <v>430</v>
      </c>
      <c r="I4289" s="27" t="s">
        <v>29</v>
      </c>
      <c r="J4289" s="37">
        <v>45672</v>
      </c>
      <c r="K4289" s="27" t="s">
        <v>22</v>
      </c>
    </row>
    <row r="4290" spans="1:11" x14ac:dyDescent="0.2">
      <c r="A4290" s="24" t="s">
        <v>10346</v>
      </c>
      <c r="B4290" s="24" t="s">
        <v>10347</v>
      </c>
      <c r="C4290" s="24" t="s">
        <v>10348</v>
      </c>
      <c r="D4290" s="24" t="s">
        <v>17</v>
      </c>
      <c r="E4290" s="24" t="s">
        <v>48</v>
      </c>
      <c r="F4290" s="24" t="s">
        <v>49</v>
      </c>
      <c r="G4290" s="24" t="s">
        <v>59</v>
      </c>
      <c r="H4290" s="26">
        <v>73</v>
      </c>
      <c r="I4290" s="24" t="s">
        <v>21</v>
      </c>
      <c r="J4290" s="36">
        <v>45659</v>
      </c>
      <c r="K4290" s="24" t="s">
        <v>22</v>
      </c>
    </row>
    <row r="4291" spans="1:11" x14ac:dyDescent="0.2">
      <c r="A4291" s="27" t="s">
        <v>10349</v>
      </c>
      <c r="B4291" s="27" t="s">
        <v>10350</v>
      </c>
      <c r="C4291" s="27" t="s">
        <v>10351</v>
      </c>
      <c r="D4291" s="27" t="s">
        <v>17</v>
      </c>
      <c r="E4291" s="27" t="s">
        <v>48</v>
      </c>
      <c r="F4291" s="27" t="s">
        <v>49</v>
      </c>
      <c r="G4291" s="27" t="s">
        <v>116</v>
      </c>
      <c r="H4291" s="29">
        <v>0</v>
      </c>
      <c r="I4291" s="27" t="s">
        <v>21</v>
      </c>
      <c r="J4291" s="37">
        <v>45684</v>
      </c>
      <c r="K4291" s="27" t="s">
        <v>22</v>
      </c>
    </row>
    <row r="4292" spans="1:11" x14ac:dyDescent="0.2">
      <c r="A4292" s="24" t="s">
        <v>10352</v>
      </c>
      <c r="B4292" s="24" t="s">
        <v>10353</v>
      </c>
      <c r="C4292" s="24" t="s">
        <v>2123</v>
      </c>
      <c r="D4292" s="24" t="s">
        <v>17</v>
      </c>
      <c r="E4292" s="24" t="s">
        <v>48</v>
      </c>
      <c r="F4292" s="24" t="s">
        <v>49</v>
      </c>
      <c r="G4292" s="24" t="s">
        <v>44</v>
      </c>
      <c r="H4292" s="26">
        <v>150</v>
      </c>
      <c r="I4292" s="24" t="s">
        <v>29</v>
      </c>
      <c r="J4292" s="36">
        <v>45666</v>
      </c>
      <c r="K4292" s="24" t="s">
        <v>22</v>
      </c>
    </row>
    <row r="4293" spans="1:11" x14ac:dyDescent="0.2">
      <c r="A4293" s="27" t="s">
        <v>10354</v>
      </c>
      <c r="B4293" s="27" t="s">
        <v>10355</v>
      </c>
      <c r="C4293" s="27" t="s">
        <v>595</v>
      </c>
      <c r="D4293" s="27" t="s">
        <v>17</v>
      </c>
      <c r="E4293" s="27" t="s">
        <v>42</v>
      </c>
      <c r="F4293" s="27" t="s">
        <v>43</v>
      </c>
      <c r="G4293" s="27" t="s">
        <v>217</v>
      </c>
      <c r="H4293" s="29">
        <v>96</v>
      </c>
      <c r="I4293" s="27" t="s">
        <v>29</v>
      </c>
      <c r="J4293" s="37">
        <v>45658</v>
      </c>
      <c r="K4293" s="27" t="s">
        <v>22</v>
      </c>
    </row>
    <row r="4294" spans="1:11" x14ac:dyDescent="0.2">
      <c r="A4294" s="24" t="s">
        <v>10356</v>
      </c>
      <c r="B4294" s="24" t="s">
        <v>10357</v>
      </c>
      <c r="C4294" s="24" t="s">
        <v>687</v>
      </c>
      <c r="D4294" s="24" t="s">
        <v>17</v>
      </c>
      <c r="E4294" s="24" t="s">
        <v>48</v>
      </c>
      <c r="F4294" s="24" t="s">
        <v>49</v>
      </c>
      <c r="G4294" s="24" t="s">
        <v>44</v>
      </c>
      <c r="H4294" s="26">
        <v>142</v>
      </c>
      <c r="I4294" s="24" t="s">
        <v>21</v>
      </c>
      <c r="J4294" s="36">
        <v>45686</v>
      </c>
      <c r="K4294" s="24" t="s">
        <v>22</v>
      </c>
    </row>
    <row r="4295" spans="1:11" x14ac:dyDescent="0.2">
      <c r="A4295" s="27" t="s">
        <v>10358</v>
      </c>
      <c r="B4295" s="27" t="s">
        <v>10359</v>
      </c>
      <c r="C4295" s="27" t="s">
        <v>827</v>
      </c>
      <c r="D4295" s="27" t="s">
        <v>17</v>
      </c>
      <c r="E4295" s="27" t="s">
        <v>26</v>
      </c>
      <c r="F4295" s="27" t="s">
        <v>27</v>
      </c>
      <c r="G4295" s="27" t="s">
        <v>28</v>
      </c>
      <c r="H4295" s="29">
        <v>280</v>
      </c>
      <c r="I4295" s="27" t="s">
        <v>29</v>
      </c>
      <c r="J4295" s="37">
        <v>45674</v>
      </c>
      <c r="K4295" s="27" t="s">
        <v>22</v>
      </c>
    </row>
    <row r="4296" spans="1:11" x14ac:dyDescent="0.2">
      <c r="A4296" s="24" t="s">
        <v>10360</v>
      </c>
      <c r="B4296" s="24" t="s">
        <v>10361</v>
      </c>
      <c r="C4296" s="24" t="s">
        <v>1663</v>
      </c>
      <c r="D4296" s="24" t="s">
        <v>17</v>
      </c>
      <c r="E4296" s="24" t="s">
        <v>48</v>
      </c>
      <c r="F4296" s="24" t="s">
        <v>49</v>
      </c>
      <c r="G4296" s="24" t="s">
        <v>28</v>
      </c>
      <c r="H4296" s="26">
        <v>72</v>
      </c>
      <c r="I4296" s="24" t="s">
        <v>29</v>
      </c>
      <c r="J4296" s="36">
        <v>45683</v>
      </c>
      <c r="K4296" s="24" t="s">
        <v>22</v>
      </c>
    </row>
    <row r="4297" spans="1:11" x14ac:dyDescent="0.2">
      <c r="A4297" s="27" t="s">
        <v>10362</v>
      </c>
      <c r="B4297" s="27" t="s">
        <v>10363</v>
      </c>
      <c r="C4297" s="27" t="s">
        <v>10364</v>
      </c>
      <c r="D4297" s="27" t="s">
        <v>17</v>
      </c>
      <c r="E4297" s="27" t="s">
        <v>26</v>
      </c>
      <c r="F4297" s="27" t="s">
        <v>27</v>
      </c>
      <c r="G4297" s="27" t="s">
        <v>28</v>
      </c>
      <c r="H4297" s="29">
        <v>43</v>
      </c>
      <c r="I4297" s="27" t="s">
        <v>29</v>
      </c>
      <c r="J4297" s="37">
        <v>45663</v>
      </c>
      <c r="K4297" s="27" t="s">
        <v>22</v>
      </c>
    </row>
    <row r="4298" spans="1:11" x14ac:dyDescent="0.2">
      <c r="A4298" s="24" t="s">
        <v>10365</v>
      </c>
      <c r="B4298" s="24" t="s">
        <v>10366</v>
      </c>
      <c r="C4298" s="24" t="s">
        <v>55</v>
      </c>
      <c r="D4298" s="24" t="s">
        <v>17</v>
      </c>
      <c r="E4298" s="24" t="s">
        <v>42</v>
      </c>
      <c r="F4298" s="24" t="s">
        <v>43</v>
      </c>
      <c r="G4298" s="24" t="s">
        <v>28</v>
      </c>
      <c r="H4298" s="26">
        <v>1046</v>
      </c>
      <c r="I4298" s="24" t="s">
        <v>29</v>
      </c>
      <c r="J4298" s="36">
        <v>45684</v>
      </c>
      <c r="K4298" s="24" t="s">
        <v>22</v>
      </c>
    </row>
    <row r="4299" spans="1:11" x14ac:dyDescent="0.2">
      <c r="A4299" s="27" t="s">
        <v>10367</v>
      </c>
      <c r="B4299" s="27" t="s">
        <v>10368</v>
      </c>
      <c r="C4299" s="27" t="s">
        <v>10369</v>
      </c>
      <c r="D4299" s="27" t="s">
        <v>17</v>
      </c>
      <c r="E4299" s="27" t="s">
        <v>18</v>
      </c>
      <c r="F4299" s="27" t="s">
        <v>19</v>
      </c>
      <c r="G4299" s="27" t="s">
        <v>20</v>
      </c>
      <c r="H4299" s="29">
        <v>16</v>
      </c>
      <c r="I4299" s="27" t="s">
        <v>21</v>
      </c>
      <c r="J4299" s="37">
        <v>45669</v>
      </c>
      <c r="K4299" s="27" t="s">
        <v>22</v>
      </c>
    </row>
    <row r="4300" spans="1:11" x14ac:dyDescent="0.2">
      <c r="A4300" s="24" t="s">
        <v>10370</v>
      </c>
      <c r="B4300" s="24" t="s">
        <v>10371</v>
      </c>
      <c r="C4300" s="24" t="s">
        <v>109</v>
      </c>
      <c r="D4300" s="24" t="s">
        <v>17</v>
      </c>
      <c r="E4300" s="24" t="s">
        <v>26</v>
      </c>
      <c r="F4300" s="24" t="s">
        <v>27</v>
      </c>
      <c r="G4300" s="24" t="s">
        <v>59</v>
      </c>
      <c r="H4300" s="26">
        <v>3</v>
      </c>
      <c r="I4300" s="24" t="s">
        <v>21</v>
      </c>
      <c r="J4300" s="36">
        <v>45686</v>
      </c>
      <c r="K4300" s="24" t="s">
        <v>22</v>
      </c>
    </row>
    <row r="4301" spans="1:11" x14ac:dyDescent="0.2">
      <c r="A4301" s="27" t="s">
        <v>10372</v>
      </c>
      <c r="B4301" s="27" t="s">
        <v>10373</v>
      </c>
      <c r="C4301" s="27" t="s">
        <v>134</v>
      </c>
      <c r="D4301" s="27" t="s">
        <v>17</v>
      </c>
      <c r="E4301" s="27" t="s">
        <v>18</v>
      </c>
      <c r="F4301" s="27" t="s">
        <v>19</v>
      </c>
      <c r="G4301" s="27" t="s">
        <v>20</v>
      </c>
      <c r="H4301" s="29">
        <v>26</v>
      </c>
      <c r="I4301" s="27" t="s">
        <v>21</v>
      </c>
      <c r="J4301" s="37">
        <v>45680</v>
      </c>
      <c r="K4301" s="27" t="s">
        <v>22</v>
      </c>
    </row>
    <row r="4302" spans="1:11" x14ac:dyDescent="0.2">
      <c r="A4302" s="24" t="s">
        <v>10374</v>
      </c>
      <c r="B4302" s="24" t="s">
        <v>10375</v>
      </c>
      <c r="C4302" s="24" t="s">
        <v>10376</v>
      </c>
      <c r="D4302" s="24" t="s">
        <v>17</v>
      </c>
      <c r="E4302" s="24" t="s">
        <v>26</v>
      </c>
      <c r="F4302" s="24" t="s">
        <v>27</v>
      </c>
      <c r="G4302" s="24" t="s">
        <v>217</v>
      </c>
      <c r="H4302" s="26">
        <v>40</v>
      </c>
      <c r="I4302" s="24" t="s">
        <v>29</v>
      </c>
      <c r="J4302" s="36">
        <v>45658</v>
      </c>
      <c r="K4302" s="24" t="s">
        <v>22</v>
      </c>
    </row>
    <row r="4303" spans="1:11" x14ac:dyDescent="0.2">
      <c r="A4303" s="27" t="s">
        <v>10377</v>
      </c>
      <c r="B4303" s="27" t="s">
        <v>10378</v>
      </c>
      <c r="C4303" s="27" t="s">
        <v>827</v>
      </c>
      <c r="D4303" s="27" t="s">
        <v>17</v>
      </c>
      <c r="E4303" s="27" t="s">
        <v>42</v>
      </c>
      <c r="F4303" s="27" t="s">
        <v>43</v>
      </c>
      <c r="G4303" s="27" t="s">
        <v>217</v>
      </c>
      <c r="H4303" s="29">
        <v>198</v>
      </c>
      <c r="I4303" s="27" t="s">
        <v>29</v>
      </c>
      <c r="J4303" s="37">
        <v>45680</v>
      </c>
      <c r="K4303" s="27" t="s">
        <v>22</v>
      </c>
    </row>
    <row r="4304" spans="1:11" x14ac:dyDescent="0.2">
      <c r="A4304" s="24" t="s">
        <v>10379</v>
      </c>
      <c r="B4304" s="24" t="s">
        <v>10380</v>
      </c>
      <c r="C4304" s="24" t="s">
        <v>363</v>
      </c>
      <c r="D4304" s="24" t="s">
        <v>17</v>
      </c>
      <c r="E4304" s="24" t="s">
        <v>26</v>
      </c>
      <c r="F4304" s="24" t="s">
        <v>27</v>
      </c>
      <c r="G4304" s="24" t="s">
        <v>28</v>
      </c>
      <c r="H4304" s="26">
        <v>120</v>
      </c>
      <c r="I4304" s="24" t="s">
        <v>29</v>
      </c>
      <c r="J4304" s="36">
        <v>45671</v>
      </c>
      <c r="K4304" s="24" t="s">
        <v>22</v>
      </c>
    </row>
    <row r="4305" spans="1:11" x14ac:dyDescent="0.2">
      <c r="A4305" s="27" t="s">
        <v>10381</v>
      </c>
      <c r="B4305" s="27" t="s">
        <v>10382</v>
      </c>
      <c r="C4305" s="27" t="s">
        <v>10383</v>
      </c>
      <c r="D4305" s="27" t="s">
        <v>17</v>
      </c>
      <c r="E4305" s="27" t="s">
        <v>42</v>
      </c>
      <c r="F4305" s="27" t="s">
        <v>43</v>
      </c>
      <c r="G4305" s="27" t="s">
        <v>28</v>
      </c>
      <c r="H4305" s="29">
        <v>312</v>
      </c>
      <c r="I4305" s="27" t="s">
        <v>29</v>
      </c>
      <c r="J4305" s="37">
        <v>45685</v>
      </c>
      <c r="K4305" s="27" t="s">
        <v>22</v>
      </c>
    </row>
    <row r="4306" spans="1:11" x14ac:dyDescent="0.2">
      <c r="A4306" s="24" t="s">
        <v>10384</v>
      </c>
      <c r="B4306" s="24" t="s">
        <v>10385</v>
      </c>
      <c r="C4306" s="24" t="s">
        <v>115</v>
      </c>
      <c r="D4306" s="24" t="s">
        <v>17</v>
      </c>
      <c r="E4306" s="24" t="s">
        <v>42</v>
      </c>
      <c r="F4306" s="24" t="s">
        <v>43</v>
      </c>
      <c r="G4306" s="24" t="s">
        <v>28</v>
      </c>
      <c r="H4306" s="26">
        <v>70</v>
      </c>
      <c r="I4306" s="24" t="s">
        <v>29</v>
      </c>
      <c r="J4306" s="36">
        <v>45679</v>
      </c>
      <c r="K4306" s="24" t="s">
        <v>22</v>
      </c>
    </row>
    <row r="4307" spans="1:11" x14ac:dyDescent="0.2">
      <c r="A4307" s="27" t="s">
        <v>10386</v>
      </c>
      <c r="B4307" s="27" t="s">
        <v>10387</v>
      </c>
      <c r="C4307" s="27" t="s">
        <v>194</v>
      </c>
      <c r="D4307" s="27" t="s">
        <v>17</v>
      </c>
      <c r="E4307" s="27" t="s">
        <v>18</v>
      </c>
      <c r="F4307" s="27" t="s">
        <v>19</v>
      </c>
      <c r="G4307" s="27" t="s">
        <v>217</v>
      </c>
      <c r="H4307" s="29">
        <v>20</v>
      </c>
      <c r="I4307" s="27" t="s">
        <v>29</v>
      </c>
      <c r="J4307" s="37">
        <v>45658</v>
      </c>
      <c r="K4307" s="27" t="s">
        <v>22</v>
      </c>
    </row>
    <row r="4308" spans="1:11" x14ac:dyDescent="0.2">
      <c r="A4308" s="24" t="s">
        <v>10388</v>
      </c>
      <c r="B4308" s="24" t="s">
        <v>10389</v>
      </c>
      <c r="C4308" s="24" t="s">
        <v>10390</v>
      </c>
      <c r="D4308" s="24" t="s">
        <v>17</v>
      </c>
      <c r="E4308" s="24" t="s">
        <v>26</v>
      </c>
      <c r="F4308" s="24" t="s">
        <v>27</v>
      </c>
      <c r="G4308" s="24" t="s">
        <v>28</v>
      </c>
      <c r="H4308" s="26">
        <v>32</v>
      </c>
      <c r="I4308" s="24" t="s">
        <v>29</v>
      </c>
      <c r="J4308" s="36">
        <v>45658</v>
      </c>
      <c r="K4308" s="24" t="s">
        <v>22</v>
      </c>
    </row>
    <row r="4309" spans="1:11" x14ac:dyDescent="0.2">
      <c r="A4309" s="27" t="s">
        <v>10391</v>
      </c>
      <c r="B4309" s="27" t="s">
        <v>10392</v>
      </c>
      <c r="C4309" s="27" t="s">
        <v>621</v>
      </c>
      <c r="D4309" s="27" t="s">
        <v>17</v>
      </c>
      <c r="E4309" s="27" t="s">
        <v>81</v>
      </c>
      <c r="F4309" s="27" t="s">
        <v>82</v>
      </c>
      <c r="G4309" s="27" t="s">
        <v>28</v>
      </c>
      <c r="H4309" s="29">
        <v>250</v>
      </c>
      <c r="I4309" s="27" t="s">
        <v>29</v>
      </c>
      <c r="J4309" s="37">
        <v>45670</v>
      </c>
      <c r="K4309" s="27" t="s">
        <v>22</v>
      </c>
    </row>
    <row r="4310" spans="1:11" x14ac:dyDescent="0.2">
      <c r="A4310" s="24" t="s">
        <v>10393</v>
      </c>
      <c r="B4310" s="24" t="s">
        <v>10394</v>
      </c>
      <c r="C4310" s="24" t="s">
        <v>10395</v>
      </c>
      <c r="D4310" s="24" t="s">
        <v>17</v>
      </c>
      <c r="E4310" s="24" t="s">
        <v>18</v>
      </c>
      <c r="F4310" s="24" t="s">
        <v>19</v>
      </c>
      <c r="G4310" s="24" t="s">
        <v>28</v>
      </c>
      <c r="H4310" s="26">
        <v>200</v>
      </c>
      <c r="I4310" s="24" t="s">
        <v>29</v>
      </c>
      <c r="J4310" s="36">
        <v>45664</v>
      </c>
      <c r="K4310" s="24" t="s">
        <v>22</v>
      </c>
    </row>
    <row r="4311" spans="1:11" x14ac:dyDescent="0.2">
      <c r="A4311" s="27" t="s">
        <v>10396</v>
      </c>
      <c r="B4311" s="27" t="s">
        <v>10397</v>
      </c>
      <c r="C4311" s="27" t="s">
        <v>10398</v>
      </c>
      <c r="D4311" s="27" t="s">
        <v>17</v>
      </c>
      <c r="E4311" s="27" t="s">
        <v>18</v>
      </c>
      <c r="F4311" s="27" t="s">
        <v>19</v>
      </c>
      <c r="G4311" s="27" t="s">
        <v>20</v>
      </c>
      <c r="H4311" s="29">
        <v>7</v>
      </c>
      <c r="I4311" s="27" t="s">
        <v>21</v>
      </c>
      <c r="J4311" s="37">
        <v>45672</v>
      </c>
      <c r="K4311" s="27" t="s">
        <v>22</v>
      </c>
    </row>
    <row r="4312" spans="1:11" x14ac:dyDescent="0.2">
      <c r="A4312" s="24" t="s">
        <v>10399</v>
      </c>
      <c r="B4312" s="24" t="s">
        <v>10400</v>
      </c>
      <c r="C4312" s="24" t="s">
        <v>801</v>
      </c>
      <c r="D4312" s="24" t="s">
        <v>17</v>
      </c>
      <c r="E4312" s="24" t="s">
        <v>48</v>
      </c>
      <c r="F4312" s="24" t="s">
        <v>49</v>
      </c>
      <c r="G4312" s="24" t="s">
        <v>59</v>
      </c>
      <c r="H4312" s="26">
        <v>67</v>
      </c>
      <c r="I4312" s="24" t="s">
        <v>21</v>
      </c>
      <c r="J4312" s="36">
        <v>45674</v>
      </c>
      <c r="K4312" s="24" t="s">
        <v>22</v>
      </c>
    </row>
    <row r="4313" spans="1:11" x14ac:dyDescent="0.2">
      <c r="A4313" s="27" t="s">
        <v>10401</v>
      </c>
      <c r="B4313" s="27" t="s">
        <v>10402</v>
      </c>
      <c r="C4313" s="27" t="s">
        <v>97</v>
      </c>
      <c r="D4313" s="27" t="s">
        <v>17</v>
      </c>
      <c r="E4313" s="27" t="s">
        <v>42</v>
      </c>
      <c r="F4313" s="27" t="s">
        <v>43</v>
      </c>
      <c r="G4313" s="27" t="s">
        <v>44</v>
      </c>
      <c r="H4313" s="29">
        <v>101</v>
      </c>
      <c r="I4313" s="27" t="s">
        <v>21</v>
      </c>
      <c r="J4313" s="37">
        <v>45664</v>
      </c>
      <c r="K4313" s="27" t="s">
        <v>22</v>
      </c>
    </row>
    <row r="4314" spans="1:11" x14ac:dyDescent="0.2">
      <c r="A4314" s="24" t="s">
        <v>10403</v>
      </c>
      <c r="B4314" s="24" t="s">
        <v>10404</v>
      </c>
      <c r="C4314" s="24" t="s">
        <v>5729</v>
      </c>
      <c r="D4314" s="24" t="s">
        <v>17</v>
      </c>
      <c r="E4314" s="24" t="s">
        <v>48</v>
      </c>
      <c r="F4314" s="24" t="s">
        <v>49</v>
      </c>
      <c r="G4314" s="24" t="s">
        <v>28</v>
      </c>
      <c r="H4314" s="26">
        <v>120</v>
      </c>
      <c r="I4314" s="24" t="s">
        <v>29</v>
      </c>
      <c r="J4314" s="36">
        <v>45685</v>
      </c>
      <c r="K4314" s="24" t="s">
        <v>22</v>
      </c>
    </row>
    <row r="4315" spans="1:11" x14ac:dyDescent="0.2">
      <c r="A4315" s="27" t="s">
        <v>10405</v>
      </c>
      <c r="B4315" s="27" t="s">
        <v>10406</v>
      </c>
      <c r="C4315" s="27" t="s">
        <v>6735</v>
      </c>
      <c r="D4315" s="27" t="s">
        <v>17</v>
      </c>
      <c r="E4315" s="27" t="s">
        <v>48</v>
      </c>
      <c r="F4315" s="27" t="s">
        <v>49</v>
      </c>
      <c r="G4315" s="27" t="s">
        <v>28</v>
      </c>
      <c r="H4315" s="29">
        <v>150</v>
      </c>
      <c r="I4315" s="27" t="s">
        <v>29</v>
      </c>
      <c r="J4315" s="37">
        <v>45674</v>
      </c>
      <c r="K4315" s="27" t="s">
        <v>22</v>
      </c>
    </row>
    <row r="4316" spans="1:11" x14ac:dyDescent="0.2">
      <c r="A4316" s="24" t="s">
        <v>10407</v>
      </c>
      <c r="B4316" s="24" t="s">
        <v>10408</v>
      </c>
      <c r="C4316" s="24" t="s">
        <v>203</v>
      </c>
      <c r="D4316" s="24" t="s">
        <v>17</v>
      </c>
      <c r="E4316" s="24" t="s">
        <v>48</v>
      </c>
      <c r="F4316" s="24" t="s">
        <v>49</v>
      </c>
      <c r="G4316" s="24" t="s">
        <v>44</v>
      </c>
      <c r="H4316" s="26">
        <v>100</v>
      </c>
      <c r="I4316" s="24" t="s">
        <v>29</v>
      </c>
      <c r="J4316" s="36">
        <v>45673</v>
      </c>
      <c r="K4316" s="24" t="s">
        <v>22</v>
      </c>
    </row>
    <row r="4317" spans="1:11" x14ac:dyDescent="0.2">
      <c r="A4317" s="27" t="s">
        <v>10409</v>
      </c>
      <c r="B4317" s="27" t="s">
        <v>10410</v>
      </c>
      <c r="C4317" s="27" t="s">
        <v>1158</v>
      </c>
      <c r="D4317" s="27" t="s">
        <v>17</v>
      </c>
      <c r="E4317" s="27" t="s">
        <v>18</v>
      </c>
      <c r="F4317" s="27" t="s">
        <v>19</v>
      </c>
      <c r="G4317" s="27" t="s">
        <v>20</v>
      </c>
      <c r="H4317" s="29">
        <v>40</v>
      </c>
      <c r="I4317" s="27" t="s">
        <v>21</v>
      </c>
      <c r="J4317" s="37">
        <v>45671</v>
      </c>
      <c r="K4317" s="27" t="s">
        <v>22</v>
      </c>
    </row>
    <row r="4318" spans="1:11" x14ac:dyDescent="0.2">
      <c r="A4318" s="24" t="s">
        <v>10411</v>
      </c>
      <c r="B4318" s="24" t="s">
        <v>10412</v>
      </c>
      <c r="C4318" s="24" t="s">
        <v>2669</v>
      </c>
      <c r="D4318" s="24" t="s">
        <v>17</v>
      </c>
      <c r="E4318" s="24" t="s">
        <v>48</v>
      </c>
      <c r="F4318" s="24" t="s">
        <v>49</v>
      </c>
      <c r="G4318" s="24" t="s">
        <v>20</v>
      </c>
      <c r="H4318" s="26">
        <v>9</v>
      </c>
      <c r="I4318" s="24" t="s">
        <v>21</v>
      </c>
      <c r="J4318" s="36">
        <v>45680</v>
      </c>
      <c r="K4318" s="24" t="s">
        <v>22</v>
      </c>
    </row>
    <row r="4319" spans="1:11" x14ac:dyDescent="0.2">
      <c r="A4319" s="27" t="s">
        <v>10413</v>
      </c>
      <c r="B4319" s="27" t="s">
        <v>10414</v>
      </c>
      <c r="C4319" s="27" t="s">
        <v>981</v>
      </c>
      <c r="D4319" s="27" t="s">
        <v>17</v>
      </c>
      <c r="E4319" s="27" t="s">
        <v>26</v>
      </c>
      <c r="F4319" s="27" t="s">
        <v>27</v>
      </c>
      <c r="G4319" s="27" t="s">
        <v>217</v>
      </c>
      <c r="H4319" s="29">
        <v>149</v>
      </c>
      <c r="I4319" s="27" t="s">
        <v>29</v>
      </c>
      <c r="J4319" s="37">
        <v>45658</v>
      </c>
      <c r="K4319" s="27" t="s">
        <v>22</v>
      </c>
    </row>
    <row r="4320" spans="1:11" x14ac:dyDescent="0.2">
      <c r="A4320" s="24" t="s">
        <v>10415</v>
      </c>
      <c r="B4320" s="24" t="s">
        <v>10416</v>
      </c>
      <c r="C4320" s="24" t="s">
        <v>437</v>
      </c>
      <c r="D4320" s="24" t="s">
        <v>17</v>
      </c>
      <c r="E4320" s="24" t="s">
        <v>18</v>
      </c>
      <c r="F4320" s="24" t="s">
        <v>19</v>
      </c>
      <c r="G4320" s="24" t="s">
        <v>20</v>
      </c>
      <c r="H4320" s="26">
        <v>6</v>
      </c>
      <c r="I4320" s="24" t="s">
        <v>21</v>
      </c>
      <c r="J4320" s="36">
        <v>45665</v>
      </c>
      <c r="K4320" s="24" t="s">
        <v>22</v>
      </c>
    </row>
    <row r="4321" spans="1:11" x14ac:dyDescent="0.2">
      <c r="A4321" s="27" t="s">
        <v>10417</v>
      </c>
      <c r="B4321" s="27" t="s">
        <v>10418</v>
      </c>
      <c r="C4321" s="27" t="s">
        <v>2355</v>
      </c>
      <c r="D4321" s="27" t="s">
        <v>17</v>
      </c>
      <c r="E4321" s="27" t="s">
        <v>18</v>
      </c>
      <c r="F4321" s="27" t="s">
        <v>19</v>
      </c>
      <c r="G4321" s="27" t="s">
        <v>20</v>
      </c>
      <c r="H4321" s="29">
        <v>155</v>
      </c>
      <c r="I4321" s="27" t="s">
        <v>21</v>
      </c>
      <c r="J4321" s="37">
        <v>45670</v>
      </c>
      <c r="K4321" s="27" t="s">
        <v>22</v>
      </c>
    </row>
    <row r="4322" spans="1:11" x14ac:dyDescent="0.2">
      <c r="A4322" s="24" t="s">
        <v>10419</v>
      </c>
      <c r="B4322" s="24" t="s">
        <v>10420</v>
      </c>
      <c r="C4322" s="24" t="s">
        <v>10421</v>
      </c>
      <c r="D4322" s="24" t="s">
        <v>17</v>
      </c>
      <c r="E4322" s="24" t="s">
        <v>18</v>
      </c>
      <c r="F4322" s="24" t="s">
        <v>19</v>
      </c>
      <c r="G4322" s="24" t="s">
        <v>20</v>
      </c>
      <c r="H4322" s="26">
        <v>42</v>
      </c>
      <c r="I4322" s="24" t="s">
        <v>21</v>
      </c>
      <c r="J4322" s="36">
        <v>45684</v>
      </c>
      <c r="K4322" s="24" t="s">
        <v>22</v>
      </c>
    </row>
    <row r="4323" spans="1:11" x14ac:dyDescent="0.2">
      <c r="A4323" s="27" t="s">
        <v>10422</v>
      </c>
      <c r="B4323" s="27" t="s">
        <v>10423</v>
      </c>
      <c r="C4323" s="27" t="s">
        <v>71</v>
      </c>
      <c r="D4323" s="27" t="s">
        <v>17</v>
      </c>
      <c r="E4323" s="27" t="s">
        <v>42</v>
      </c>
      <c r="F4323" s="27" t="s">
        <v>43</v>
      </c>
      <c r="G4323" s="27" t="s">
        <v>20</v>
      </c>
      <c r="H4323" s="29">
        <v>665</v>
      </c>
      <c r="I4323" s="27" t="s">
        <v>21</v>
      </c>
      <c r="J4323" s="37">
        <v>45660</v>
      </c>
      <c r="K4323" s="27" t="s">
        <v>22</v>
      </c>
    </row>
    <row r="4324" spans="1:11" x14ac:dyDescent="0.2">
      <c r="A4324" s="24" t="s">
        <v>10424</v>
      </c>
      <c r="B4324" s="24" t="s">
        <v>10425</v>
      </c>
      <c r="C4324" s="24" t="s">
        <v>41</v>
      </c>
      <c r="D4324" s="24" t="s">
        <v>17</v>
      </c>
      <c r="E4324" s="24" t="s">
        <v>42</v>
      </c>
      <c r="F4324" s="24" t="s">
        <v>43</v>
      </c>
      <c r="G4324" s="24" t="s">
        <v>44</v>
      </c>
      <c r="H4324" s="26">
        <v>21</v>
      </c>
      <c r="I4324" s="24" t="s">
        <v>21</v>
      </c>
      <c r="J4324" s="36">
        <v>45673</v>
      </c>
      <c r="K4324" s="24" t="s">
        <v>22</v>
      </c>
    </row>
    <row r="4325" spans="1:11" x14ac:dyDescent="0.2">
      <c r="A4325" s="27" t="s">
        <v>10426</v>
      </c>
      <c r="B4325" s="27" t="s">
        <v>10427</v>
      </c>
      <c r="C4325" s="27" t="s">
        <v>10428</v>
      </c>
      <c r="D4325" s="27" t="s">
        <v>17</v>
      </c>
      <c r="E4325" s="27" t="s">
        <v>26</v>
      </c>
      <c r="F4325" s="27" t="s">
        <v>27</v>
      </c>
      <c r="G4325" s="27" t="s">
        <v>217</v>
      </c>
      <c r="H4325" s="29">
        <v>12</v>
      </c>
      <c r="I4325" s="27" t="s">
        <v>29</v>
      </c>
      <c r="J4325" s="37">
        <v>45658</v>
      </c>
      <c r="K4325" s="27" t="s">
        <v>22</v>
      </c>
    </row>
    <row r="4326" spans="1:11" x14ac:dyDescent="0.2">
      <c r="A4326" s="24" t="s">
        <v>10429</v>
      </c>
      <c r="B4326" s="24" t="s">
        <v>10430</v>
      </c>
      <c r="C4326" s="24" t="s">
        <v>10431</v>
      </c>
      <c r="D4326" s="24" t="s">
        <v>17</v>
      </c>
      <c r="E4326" s="24" t="s">
        <v>18</v>
      </c>
      <c r="F4326" s="24" t="s">
        <v>19</v>
      </c>
      <c r="G4326" s="24" t="s">
        <v>20</v>
      </c>
      <c r="H4326" s="26">
        <v>64</v>
      </c>
      <c r="I4326" s="24" t="s">
        <v>21</v>
      </c>
      <c r="J4326" s="36">
        <v>45677</v>
      </c>
      <c r="K4326" s="24" t="s">
        <v>22</v>
      </c>
    </row>
    <row r="4327" spans="1:11" x14ac:dyDescent="0.2">
      <c r="A4327" s="27" t="s">
        <v>10432</v>
      </c>
      <c r="B4327" s="27" t="s">
        <v>10433</v>
      </c>
      <c r="C4327" s="27" t="s">
        <v>10434</v>
      </c>
      <c r="D4327" s="27" t="s">
        <v>17</v>
      </c>
      <c r="E4327" s="27" t="s">
        <v>18</v>
      </c>
      <c r="F4327" s="27" t="s">
        <v>19</v>
      </c>
      <c r="G4327" s="27" t="s">
        <v>44</v>
      </c>
      <c r="H4327" s="29">
        <v>40</v>
      </c>
      <c r="I4327" s="27" t="s">
        <v>29</v>
      </c>
      <c r="J4327" s="37">
        <v>45664</v>
      </c>
      <c r="K4327" s="27" t="s">
        <v>22</v>
      </c>
    </row>
    <row r="4328" spans="1:11" x14ac:dyDescent="0.2">
      <c r="A4328" s="24" t="s">
        <v>10435</v>
      </c>
      <c r="B4328" s="24" t="s">
        <v>10436</v>
      </c>
      <c r="C4328" s="24" t="s">
        <v>85</v>
      </c>
      <c r="D4328" s="24" t="s">
        <v>17</v>
      </c>
      <c r="E4328" s="24" t="s">
        <v>18</v>
      </c>
      <c r="F4328" s="24" t="s">
        <v>19</v>
      </c>
      <c r="G4328" s="24" t="s">
        <v>44</v>
      </c>
      <c r="H4328" s="26">
        <v>73</v>
      </c>
      <c r="I4328" s="24" t="s">
        <v>21</v>
      </c>
      <c r="J4328" s="36">
        <v>45679</v>
      </c>
      <c r="K4328" s="24" t="s">
        <v>22</v>
      </c>
    </row>
    <row r="4329" spans="1:11" x14ac:dyDescent="0.2">
      <c r="A4329" s="27" t="s">
        <v>10437</v>
      </c>
      <c r="B4329" s="27" t="s">
        <v>10438</v>
      </c>
      <c r="C4329" s="27" t="s">
        <v>10439</v>
      </c>
      <c r="D4329" s="27" t="s">
        <v>17</v>
      </c>
      <c r="E4329" s="27" t="s">
        <v>163</v>
      </c>
      <c r="F4329" s="27" t="s">
        <v>164</v>
      </c>
      <c r="G4329" s="27" t="s">
        <v>20</v>
      </c>
      <c r="H4329" s="29">
        <v>55</v>
      </c>
      <c r="I4329" s="27" t="s">
        <v>21</v>
      </c>
      <c r="J4329" s="37">
        <v>45687</v>
      </c>
      <c r="K4329" s="27" t="s">
        <v>22</v>
      </c>
    </row>
    <row r="4330" spans="1:11" x14ac:dyDescent="0.2">
      <c r="A4330" s="24" t="s">
        <v>10440</v>
      </c>
      <c r="B4330" s="24" t="s">
        <v>10441</v>
      </c>
      <c r="C4330" s="24" t="s">
        <v>3253</v>
      </c>
      <c r="D4330" s="24" t="s">
        <v>17</v>
      </c>
      <c r="E4330" s="24" t="s">
        <v>42</v>
      </c>
      <c r="F4330" s="24" t="s">
        <v>43</v>
      </c>
      <c r="G4330" s="24" t="s">
        <v>44</v>
      </c>
      <c r="H4330" s="26">
        <v>18</v>
      </c>
      <c r="I4330" s="24" t="s">
        <v>21</v>
      </c>
      <c r="J4330" s="36">
        <v>45673</v>
      </c>
      <c r="K4330" s="24" t="s">
        <v>22</v>
      </c>
    </row>
    <row r="4331" spans="1:11" x14ac:dyDescent="0.2">
      <c r="A4331" s="27" t="s">
        <v>10442</v>
      </c>
      <c r="B4331" s="27" t="s">
        <v>10443</v>
      </c>
      <c r="C4331" s="27" t="s">
        <v>6568</v>
      </c>
      <c r="D4331" s="27" t="s">
        <v>17</v>
      </c>
      <c r="E4331" s="27" t="s">
        <v>48</v>
      </c>
      <c r="F4331" s="27" t="s">
        <v>49</v>
      </c>
      <c r="G4331" s="27" t="s">
        <v>28</v>
      </c>
      <c r="H4331" s="29">
        <v>50</v>
      </c>
      <c r="I4331" s="27" t="s">
        <v>29</v>
      </c>
      <c r="J4331" s="37">
        <v>45685</v>
      </c>
      <c r="K4331" s="27" t="s">
        <v>22</v>
      </c>
    </row>
    <row r="4332" spans="1:11" x14ac:dyDescent="0.2">
      <c r="A4332" s="24" t="s">
        <v>10444</v>
      </c>
      <c r="B4332" s="24" t="s">
        <v>10445</v>
      </c>
      <c r="C4332" s="24" t="s">
        <v>9361</v>
      </c>
      <c r="D4332" s="24" t="s">
        <v>17</v>
      </c>
      <c r="E4332" s="24" t="s">
        <v>42</v>
      </c>
      <c r="F4332" s="24" t="s">
        <v>43</v>
      </c>
      <c r="G4332" s="24" t="s">
        <v>28</v>
      </c>
      <c r="H4332" s="26">
        <v>250</v>
      </c>
      <c r="I4332" s="24" t="s">
        <v>29</v>
      </c>
      <c r="J4332" s="36">
        <v>45686</v>
      </c>
      <c r="K4332" s="24" t="s">
        <v>22</v>
      </c>
    </row>
    <row r="4333" spans="1:11" x14ac:dyDescent="0.2">
      <c r="A4333" s="27" t="s">
        <v>10446</v>
      </c>
      <c r="B4333" s="27" t="s">
        <v>10447</v>
      </c>
      <c r="C4333" s="27" t="s">
        <v>4501</v>
      </c>
      <c r="D4333" s="27" t="s">
        <v>17</v>
      </c>
      <c r="E4333" s="27" t="s">
        <v>18</v>
      </c>
      <c r="F4333" s="27" t="s">
        <v>19</v>
      </c>
      <c r="G4333" s="27" t="s">
        <v>20</v>
      </c>
      <c r="H4333" s="29">
        <v>48</v>
      </c>
      <c r="I4333" s="27" t="s">
        <v>21</v>
      </c>
      <c r="J4333" s="37">
        <v>45670</v>
      </c>
      <c r="K4333" s="27" t="s">
        <v>22</v>
      </c>
    </row>
    <row r="4334" spans="1:11" x14ac:dyDescent="0.2">
      <c r="A4334" s="24" t="s">
        <v>10448</v>
      </c>
      <c r="B4334" s="24" t="s">
        <v>10449</v>
      </c>
      <c r="C4334" s="24" t="s">
        <v>8402</v>
      </c>
      <c r="D4334" s="24" t="s">
        <v>17</v>
      </c>
      <c r="E4334" s="24" t="s">
        <v>18</v>
      </c>
      <c r="F4334" s="24" t="s">
        <v>19</v>
      </c>
      <c r="G4334" s="24" t="s">
        <v>20</v>
      </c>
      <c r="H4334" s="26">
        <v>18</v>
      </c>
      <c r="I4334" s="24" t="s">
        <v>21</v>
      </c>
      <c r="J4334" s="36">
        <v>45661</v>
      </c>
      <c r="K4334" s="24" t="s">
        <v>22</v>
      </c>
    </row>
    <row r="4335" spans="1:11" x14ac:dyDescent="0.2">
      <c r="A4335" s="27" t="s">
        <v>10450</v>
      </c>
      <c r="B4335" s="27" t="s">
        <v>10451</v>
      </c>
      <c r="C4335" s="27" t="s">
        <v>68</v>
      </c>
      <c r="D4335" s="27" t="s">
        <v>17</v>
      </c>
      <c r="E4335" s="27" t="s">
        <v>48</v>
      </c>
      <c r="F4335" s="27" t="s">
        <v>49</v>
      </c>
      <c r="G4335" s="27" t="s">
        <v>28</v>
      </c>
      <c r="H4335" s="29">
        <v>252</v>
      </c>
      <c r="I4335" s="27" t="s">
        <v>29</v>
      </c>
      <c r="J4335" s="37">
        <v>45679</v>
      </c>
      <c r="K4335" s="27" t="s">
        <v>22</v>
      </c>
    </row>
    <row r="4336" spans="1:11" x14ac:dyDescent="0.2">
      <c r="A4336" s="24" t="s">
        <v>10452</v>
      </c>
      <c r="B4336" s="24" t="s">
        <v>10453</v>
      </c>
      <c r="C4336" s="24" t="s">
        <v>1912</v>
      </c>
      <c r="D4336" s="24" t="s">
        <v>17</v>
      </c>
      <c r="E4336" s="24" t="s">
        <v>48</v>
      </c>
      <c r="F4336" s="24" t="s">
        <v>49</v>
      </c>
      <c r="G4336" s="24" t="s">
        <v>28</v>
      </c>
      <c r="H4336" s="26">
        <v>400</v>
      </c>
      <c r="I4336" s="24" t="s">
        <v>29</v>
      </c>
      <c r="J4336" s="36">
        <v>45677</v>
      </c>
      <c r="K4336" s="24" t="s">
        <v>22</v>
      </c>
    </row>
    <row r="4337" spans="1:11" x14ac:dyDescent="0.2">
      <c r="A4337" s="27" t="s">
        <v>10454</v>
      </c>
      <c r="B4337" s="27" t="s">
        <v>10455</v>
      </c>
      <c r="C4337" s="27" t="s">
        <v>2638</v>
      </c>
      <c r="D4337" s="27" t="s">
        <v>17</v>
      </c>
      <c r="E4337" s="27" t="s">
        <v>18</v>
      </c>
      <c r="F4337" s="27" t="s">
        <v>19</v>
      </c>
      <c r="G4337" s="27" t="s">
        <v>28</v>
      </c>
      <c r="H4337" s="29">
        <v>30</v>
      </c>
      <c r="I4337" s="27" t="s">
        <v>29</v>
      </c>
      <c r="J4337" s="37">
        <v>45680</v>
      </c>
      <c r="K4337" s="27" t="s">
        <v>22</v>
      </c>
    </row>
    <row r="4338" spans="1:11" x14ac:dyDescent="0.2">
      <c r="A4338" s="24" t="s">
        <v>10456</v>
      </c>
      <c r="B4338" s="24" t="s">
        <v>10457</v>
      </c>
      <c r="C4338" s="24" t="s">
        <v>97</v>
      </c>
      <c r="D4338" s="24" t="s">
        <v>17</v>
      </c>
      <c r="E4338" s="24" t="s">
        <v>81</v>
      </c>
      <c r="F4338" s="24" t="s">
        <v>82</v>
      </c>
      <c r="G4338" s="24" t="s">
        <v>28</v>
      </c>
      <c r="H4338" s="26">
        <v>100</v>
      </c>
      <c r="I4338" s="24" t="s">
        <v>29</v>
      </c>
      <c r="J4338" s="36">
        <v>45659</v>
      </c>
      <c r="K4338" s="24" t="s">
        <v>22</v>
      </c>
    </row>
    <row r="4339" spans="1:11" x14ac:dyDescent="0.2">
      <c r="A4339" s="27" t="s">
        <v>10458</v>
      </c>
      <c r="B4339" s="27" t="s">
        <v>10459</v>
      </c>
      <c r="C4339" s="27" t="s">
        <v>1147</v>
      </c>
      <c r="D4339" s="27" t="s">
        <v>17</v>
      </c>
      <c r="E4339" s="27" t="s">
        <v>18</v>
      </c>
      <c r="F4339" s="27" t="s">
        <v>19</v>
      </c>
      <c r="G4339" s="27" t="s">
        <v>28</v>
      </c>
      <c r="H4339" s="29">
        <v>103</v>
      </c>
      <c r="I4339" s="27" t="s">
        <v>29</v>
      </c>
      <c r="J4339" s="37">
        <v>45673</v>
      </c>
      <c r="K4339" s="27" t="s">
        <v>22</v>
      </c>
    </row>
    <row r="4340" spans="1:11" x14ac:dyDescent="0.2">
      <c r="A4340" s="24" t="s">
        <v>10460</v>
      </c>
      <c r="B4340" s="24" t="s">
        <v>10461</v>
      </c>
      <c r="C4340" s="24" t="s">
        <v>154</v>
      </c>
      <c r="D4340" s="24" t="s">
        <v>17</v>
      </c>
      <c r="E4340" s="24" t="s">
        <v>81</v>
      </c>
      <c r="F4340" s="24" t="s">
        <v>82</v>
      </c>
      <c r="G4340" s="24" t="s">
        <v>28</v>
      </c>
      <c r="H4340" s="26">
        <v>10</v>
      </c>
      <c r="I4340" s="24" t="s">
        <v>29</v>
      </c>
      <c r="J4340" s="36">
        <v>45658</v>
      </c>
      <c r="K4340" s="24" t="s">
        <v>22</v>
      </c>
    </row>
    <row r="4341" spans="1:11" x14ac:dyDescent="0.2">
      <c r="A4341" s="27" t="s">
        <v>10462</v>
      </c>
      <c r="B4341" s="27" t="s">
        <v>10463</v>
      </c>
      <c r="C4341" s="27" t="s">
        <v>71</v>
      </c>
      <c r="D4341" s="27" t="s">
        <v>17</v>
      </c>
      <c r="E4341" s="27" t="s">
        <v>42</v>
      </c>
      <c r="F4341" s="27" t="s">
        <v>43</v>
      </c>
      <c r="G4341" s="27" t="s">
        <v>217</v>
      </c>
      <c r="H4341" s="29">
        <v>284</v>
      </c>
      <c r="I4341" s="27" t="s">
        <v>29</v>
      </c>
      <c r="J4341" s="37">
        <v>45658</v>
      </c>
      <c r="K4341" s="27" t="s">
        <v>22</v>
      </c>
    </row>
    <row r="4342" spans="1:11" x14ac:dyDescent="0.2">
      <c r="A4342" s="24" t="s">
        <v>10464</v>
      </c>
      <c r="B4342" s="24" t="s">
        <v>10465</v>
      </c>
      <c r="C4342" s="24" t="s">
        <v>10466</v>
      </c>
      <c r="D4342" s="24" t="s">
        <v>17</v>
      </c>
      <c r="E4342" s="24" t="s">
        <v>42</v>
      </c>
      <c r="F4342" s="24" t="s">
        <v>43</v>
      </c>
      <c r="G4342" s="24" t="s">
        <v>44</v>
      </c>
      <c r="H4342" s="26">
        <v>162</v>
      </c>
      <c r="I4342" s="24" t="s">
        <v>21</v>
      </c>
      <c r="J4342" s="36">
        <v>45677</v>
      </c>
      <c r="K4342" s="24" t="s">
        <v>22</v>
      </c>
    </row>
    <row r="4343" spans="1:11" x14ac:dyDescent="0.2">
      <c r="A4343" s="27" t="s">
        <v>10467</v>
      </c>
      <c r="B4343" s="27" t="s">
        <v>10468</v>
      </c>
      <c r="C4343" s="27" t="s">
        <v>4925</v>
      </c>
      <c r="D4343" s="27" t="s">
        <v>17</v>
      </c>
      <c r="E4343" s="27" t="s">
        <v>18</v>
      </c>
      <c r="F4343" s="27" t="s">
        <v>19</v>
      </c>
      <c r="G4343" s="27" t="s">
        <v>28</v>
      </c>
      <c r="H4343" s="29">
        <v>72</v>
      </c>
      <c r="I4343" s="27" t="s">
        <v>29</v>
      </c>
      <c r="J4343" s="37">
        <v>45663</v>
      </c>
      <c r="K4343" s="27" t="s">
        <v>22</v>
      </c>
    </row>
    <row r="4344" spans="1:11" x14ac:dyDescent="0.2">
      <c r="A4344" s="24" t="s">
        <v>10469</v>
      </c>
      <c r="B4344" s="24" t="s">
        <v>10470</v>
      </c>
      <c r="C4344" s="24" t="s">
        <v>251</v>
      </c>
      <c r="D4344" s="24" t="s">
        <v>17</v>
      </c>
      <c r="E4344" s="24" t="s">
        <v>42</v>
      </c>
      <c r="F4344" s="24" t="s">
        <v>43</v>
      </c>
      <c r="G4344" s="24" t="s">
        <v>28</v>
      </c>
      <c r="H4344" s="26">
        <v>555</v>
      </c>
      <c r="I4344" s="24" t="s">
        <v>29</v>
      </c>
      <c r="J4344" s="36">
        <v>45688</v>
      </c>
      <c r="K4344" s="24" t="s">
        <v>22</v>
      </c>
    </row>
    <row r="4345" spans="1:11" x14ac:dyDescent="0.2">
      <c r="A4345" s="27" t="s">
        <v>10471</v>
      </c>
      <c r="B4345" s="27" t="s">
        <v>10472</v>
      </c>
      <c r="C4345" s="27" t="s">
        <v>10421</v>
      </c>
      <c r="D4345" s="27" t="s">
        <v>17</v>
      </c>
      <c r="E4345" s="27" t="s">
        <v>18</v>
      </c>
      <c r="F4345" s="27" t="s">
        <v>19</v>
      </c>
      <c r="G4345" s="27" t="s">
        <v>20</v>
      </c>
      <c r="H4345" s="29">
        <v>16</v>
      </c>
      <c r="I4345" s="27" t="s">
        <v>21</v>
      </c>
      <c r="J4345" s="37">
        <v>45684</v>
      </c>
      <c r="K4345" s="27" t="s">
        <v>22</v>
      </c>
    </row>
    <row r="4346" spans="1:11" x14ac:dyDescent="0.2">
      <c r="A4346" s="24" t="s">
        <v>10473</v>
      </c>
      <c r="B4346" s="24" t="s">
        <v>10474</v>
      </c>
      <c r="C4346" s="24" t="s">
        <v>10475</v>
      </c>
      <c r="D4346" s="24" t="s">
        <v>17</v>
      </c>
      <c r="E4346" s="24" t="s">
        <v>48</v>
      </c>
      <c r="F4346" s="24" t="s">
        <v>49</v>
      </c>
      <c r="G4346" s="24" t="s">
        <v>28</v>
      </c>
      <c r="H4346" s="26">
        <v>150</v>
      </c>
      <c r="I4346" s="24" t="s">
        <v>29</v>
      </c>
      <c r="J4346" s="36">
        <v>45670</v>
      </c>
      <c r="K4346" s="24" t="s">
        <v>22</v>
      </c>
    </row>
    <row r="4347" spans="1:11" x14ac:dyDescent="0.2">
      <c r="A4347" s="27" t="s">
        <v>10476</v>
      </c>
      <c r="B4347" s="27" t="s">
        <v>10477</v>
      </c>
      <c r="C4347" s="27" t="s">
        <v>1931</v>
      </c>
      <c r="D4347" s="27" t="s">
        <v>17</v>
      </c>
      <c r="E4347" s="27" t="s">
        <v>18</v>
      </c>
      <c r="F4347" s="27" t="s">
        <v>19</v>
      </c>
      <c r="G4347" s="27" t="s">
        <v>20</v>
      </c>
      <c r="H4347" s="29">
        <v>51</v>
      </c>
      <c r="I4347" s="27" t="s">
        <v>21</v>
      </c>
      <c r="J4347" s="37">
        <v>45671</v>
      </c>
      <c r="K4347" s="27" t="s">
        <v>22</v>
      </c>
    </row>
    <row r="4348" spans="1:11" x14ac:dyDescent="0.2">
      <c r="A4348" s="24" t="s">
        <v>10478</v>
      </c>
      <c r="B4348" s="24" t="s">
        <v>10479</v>
      </c>
      <c r="C4348" s="24" t="s">
        <v>5493</v>
      </c>
      <c r="D4348" s="24" t="s">
        <v>17</v>
      </c>
      <c r="E4348" s="24" t="s">
        <v>48</v>
      </c>
      <c r="F4348" s="24" t="s">
        <v>49</v>
      </c>
      <c r="G4348" s="24" t="s">
        <v>28</v>
      </c>
      <c r="H4348" s="26">
        <v>330</v>
      </c>
      <c r="I4348" s="24" t="s">
        <v>29</v>
      </c>
      <c r="J4348" s="36">
        <v>45672</v>
      </c>
      <c r="K4348" s="24" t="s">
        <v>22</v>
      </c>
    </row>
    <row r="4349" spans="1:11" x14ac:dyDescent="0.2">
      <c r="A4349" s="27" t="s">
        <v>10480</v>
      </c>
      <c r="B4349" s="27" t="s">
        <v>10481</v>
      </c>
      <c r="C4349" s="27" t="s">
        <v>10482</v>
      </c>
      <c r="D4349" s="27" t="s">
        <v>17</v>
      </c>
      <c r="E4349" s="27" t="s">
        <v>42</v>
      </c>
      <c r="F4349" s="27" t="s">
        <v>43</v>
      </c>
      <c r="G4349" s="27" t="s">
        <v>257</v>
      </c>
      <c r="H4349" s="29">
        <v>260</v>
      </c>
      <c r="I4349" s="27" t="s">
        <v>29</v>
      </c>
      <c r="J4349" s="37">
        <v>45658</v>
      </c>
      <c r="K4349" s="27" t="s">
        <v>22</v>
      </c>
    </row>
    <row r="4350" spans="1:11" x14ac:dyDescent="0.2">
      <c r="A4350" s="24" t="s">
        <v>10483</v>
      </c>
      <c r="B4350" s="24" t="s">
        <v>10484</v>
      </c>
      <c r="C4350" s="24" t="s">
        <v>10485</v>
      </c>
      <c r="D4350" s="24" t="s">
        <v>17</v>
      </c>
      <c r="E4350" s="24" t="s">
        <v>26</v>
      </c>
      <c r="F4350" s="24" t="s">
        <v>27</v>
      </c>
      <c r="G4350" s="24" t="s">
        <v>28</v>
      </c>
      <c r="H4350" s="26">
        <v>16</v>
      </c>
      <c r="I4350" s="24" t="s">
        <v>29</v>
      </c>
      <c r="J4350" s="36">
        <v>45665</v>
      </c>
      <c r="K4350" s="24" t="s">
        <v>22</v>
      </c>
    </row>
    <row r="4351" spans="1:11" x14ac:dyDescent="0.2">
      <c r="A4351" s="27" t="s">
        <v>10486</v>
      </c>
      <c r="B4351" s="27" t="s">
        <v>10487</v>
      </c>
      <c r="C4351" s="27" t="s">
        <v>4925</v>
      </c>
      <c r="D4351" s="27" t="s">
        <v>17</v>
      </c>
      <c r="E4351" s="27" t="s">
        <v>18</v>
      </c>
      <c r="F4351" s="27" t="s">
        <v>19</v>
      </c>
      <c r="G4351" s="27" t="s">
        <v>20</v>
      </c>
      <c r="H4351" s="29">
        <v>60</v>
      </c>
      <c r="I4351" s="27" t="s">
        <v>21</v>
      </c>
      <c r="J4351" s="37">
        <v>45674</v>
      </c>
      <c r="K4351" s="27" t="s">
        <v>22</v>
      </c>
    </row>
    <row r="4352" spans="1:11" x14ac:dyDescent="0.2">
      <c r="A4352" s="24" t="s">
        <v>10488</v>
      </c>
      <c r="B4352" s="24" t="s">
        <v>10489</v>
      </c>
      <c r="C4352" s="24" t="s">
        <v>68</v>
      </c>
      <c r="D4352" s="24" t="s">
        <v>17</v>
      </c>
      <c r="E4352" s="24" t="s">
        <v>18</v>
      </c>
      <c r="F4352" s="24" t="s">
        <v>19</v>
      </c>
      <c r="G4352" s="24" t="s">
        <v>28</v>
      </c>
      <c r="H4352" s="26">
        <v>240</v>
      </c>
      <c r="I4352" s="24" t="s">
        <v>29</v>
      </c>
      <c r="J4352" s="36">
        <v>45679</v>
      </c>
      <c r="K4352" s="24" t="s">
        <v>22</v>
      </c>
    </row>
    <row r="4353" spans="1:11" x14ac:dyDescent="0.2">
      <c r="A4353" s="27" t="s">
        <v>10490</v>
      </c>
      <c r="B4353" s="27" t="s">
        <v>10491</v>
      </c>
      <c r="C4353" s="27" t="s">
        <v>5810</v>
      </c>
      <c r="D4353" s="27" t="s">
        <v>17</v>
      </c>
      <c r="E4353" s="27" t="s">
        <v>163</v>
      </c>
      <c r="F4353" s="27" t="s">
        <v>164</v>
      </c>
      <c r="G4353" s="27" t="s">
        <v>28</v>
      </c>
      <c r="H4353" s="29">
        <v>18</v>
      </c>
      <c r="I4353" s="27" t="s">
        <v>29</v>
      </c>
      <c r="J4353" s="37">
        <v>45660</v>
      </c>
      <c r="K4353" s="27" t="s">
        <v>22</v>
      </c>
    </row>
    <row r="4354" spans="1:11" x14ac:dyDescent="0.2">
      <c r="A4354" s="24" t="s">
        <v>10492</v>
      </c>
      <c r="B4354" s="24" t="s">
        <v>10493</v>
      </c>
      <c r="C4354" s="24" t="s">
        <v>230</v>
      </c>
      <c r="D4354" s="24" t="s">
        <v>17</v>
      </c>
      <c r="E4354" s="24" t="s">
        <v>42</v>
      </c>
      <c r="F4354" s="24" t="s">
        <v>43</v>
      </c>
      <c r="G4354" s="24" t="s">
        <v>44</v>
      </c>
      <c r="H4354" s="26">
        <v>192</v>
      </c>
      <c r="I4354" s="24" t="s">
        <v>21</v>
      </c>
      <c r="J4354" s="36">
        <v>45660</v>
      </c>
      <c r="K4354" s="24" t="s">
        <v>22</v>
      </c>
    </row>
    <row r="4355" spans="1:11" x14ac:dyDescent="0.2">
      <c r="A4355" s="27" t="s">
        <v>10494</v>
      </c>
      <c r="B4355" s="27" t="s">
        <v>10495</v>
      </c>
      <c r="C4355" s="27" t="s">
        <v>2331</v>
      </c>
      <c r="D4355" s="27" t="s">
        <v>17</v>
      </c>
      <c r="E4355" s="27" t="s">
        <v>18</v>
      </c>
      <c r="F4355" s="27" t="s">
        <v>19</v>
      </c>
      <c r="G4355" s="27" t="s">
        <v>28</v>
      </c>
      <c r="H4355" s="29">
        <v>39</v>
      </c>
      <c r="I4355" s="27" t="s">
        <v>29</v>
      </c>
      <c r="J4355" s="37">
        <v>45670</v>
      </c>
      <c r="K4355" s="27" t="s">
        <v>22</v>
      </c>
    </row>
    <row r="4356" spans="1:11" x14ac:dyDescent="0.2">
      <c r="A4356" s="24" t="s">
        <v>10496</v>
      </c>
      <c r="B4356" s="24" t="s">
        <v>10497</v>
      </c>
      <c r="C4356" s="24" t="s">
        <v>3770</v>
      </c>
      <c r="D4356" s="24" t="s">
        <v>17</v>
      </c>
      <c r="E4356" s="24" t="s">
        <v>18</v>
      </c>
      <c r="F4356" s="24" t="s">
        <v>19</v>
      </c>
      <c r="G4356" s="24" t="s">
        <v>28</v>
      </c>
      <c r="H4356" s="26">
        <v>21</v>
      </c>
      <c r="I4356" s="24" t="s">
        <v>29</v>
      </c>
      <c r="J4356" s="36">
        <v>45680</v>
      </c>
      <c r="K4356" s="24" t="s">
        <v>22</v>
      </c>
    </row>
    <row r="4357" spans="1:11" x14ac:dyDescent="0.2">
      <c r="A4357" s="27" t="s">
        <v>10498</v>
      </c>
      <c r="B4357" s="27" t="s">
        <v>10499</v>
      </c>
      <c r="C4357" s="27" t="s">
        <v>106</v>
      </c>
      <c r="D4357" s="27" t="s">
        <v>17</v>
      </c>
      <c r="E4357" s="27" t="s">
        <v>48</v>
      </c>
      <c r="F4357" s="27" t="s">
        <v>49</v>
      </c>
      <c r="G4357" s="27" t="s">
        <v>20</v>
      </c>
      <c r="H4357" s="29">
        <v>28</v>
      </c>
      <c r="I4357" s="27" t="s">
        <v>21</v>
      </c>
      <c r="J4357" s="37">
        <v>45677</v>
      </c>
      <c r="K4357" s="27" t="s">
        <v>22</v>
      </c>
    </row>
    <row r="4358" spans="1:11" x14ac:dyDescent="0.2">
      <c r="A4358" s="24" t="s">
        <v>10500</v>
      </c>
      <c r="B4358" s="24" t="s">
        <v>10501</v>
      </c>
      <c r="C4358" s="24" t="s">
        <v>3371</v>
      </c>
      <c r="D4358" s="24" t="s">
        <v>17</v>
      </c>
      <c r="E4358" s="24" t="s">
        <v>48</v>
      </c>
      <c r="F4358" s="24" t="s">
        <v>49</v>
      </c>
      <c r="G4358" s="24" t="s">
        <v>28</v>
      </c>
      <c r="H4358" s="26">
        <v>276</v>
      </c>
      <c r="I4358" s="24" t="s">
        <v>29</v>
      </c>
      <c r="J4358" s="36">
        <v>45663</v>
      </c>
      <c r="K4358" s="24" t="s">
        <v>22</v>
      </c>
    </row>
    <row r="4359" spans="1:11" x14ac:dyDescent="0.2">
      <c r="A4359" s="27" t="s">
        <v>10502</v>
      </c>
      <c r="B4359" s="27" t="s">
        <v>10503</v>
      </c>
      <c r="C4359" s="27" t="s">
        <v>2426</v>
      </c>
      <c r="D4359" s="27" t="s">
        <v>17</v>
      </c>
      <c r="E4359" s="27" t="s">
        <v>33</v>
      </c>
      <c r="F4359" s="27" t="s">
        <v>34</v>
      </c>
      <c r="G4359" s="27" t="s">
        <v>28</v>
      </c>
      <c r="H4359" s="29">
        <v>256</v>
      </c>
      <c r="I4359" s="27" t="s">
        <v>29</v>
      </c>
      <c r="J4359" s="37">
        <v>45684</v>
      </c>
      <c r="K4359" s="27" t="s">
        <v>22</v>
      </c>
    </row>
    <row r="4360" spans="1:11" x14ac:dyDescent="0.2">
      <c r="A4360" s="24" t="s">
        <v>10504</v>
      </c>
      <c r="B4360" s="24" t="s">
        <v>10505</v>
      </c>
      <c r="C4360" s="24" t="s">
        <v>10506</v>
      </c>
      <c r="D4360" s="24" t="s">
        <v>17</v>
      </c>
      <c r="E4360" s="24" t="s">
        <v>42</v>
      </c>
      <c r="F4360" s="24" t="s">
        <v>43</v>
      </c>
      <c r="G4360" s="24" t="s">
        <v>28</v>
      </c>
      <c r="H4360" s="26">
        <v>220</v>
      </c>
      <c r="I4360" s="24" t="s">
        <v>29</v>
      </c>
      <c r="J4360" s="36">
        <v>45658</v>
      </c>
      <c r="K4360" s="24" t="s">
        <v>22</v>
      </c>
    </row>
    <row r="4361" spans="1:11" x14ac:dyDescent="0.2">
      <c r="A4361" s="27" t="s">
        <v>10507</v>
      </c>
      <c r="B4361" s="27" t="s">
        <v>10508</v>
      </c>
      <c r="C4361" s="27" t="s">
        <v>1199</v>
      </c>
      <c r="D4361" s="27" t="s">
        <v>17</v>
      </c>
      <c r="E4361" s="27" t="s">
        <v>26</v>
      </c>
      <c r="F4361" s="27" t="s">
        <v>27</v>
      </c>
      <c r="G4361" s="27" t="s">
        <v>28</v>
      </c>
      <c r="H4361" s="29">
        <v>300</v>
      </c>
      <c r="I4361" s="27" t="s">
        <v>29</v>
      </c>
      <c r="J4361" s="37">
        <v>45678</v>
      </c>
      <c r="K4361" s="27" t="s">
        <v>22</v>
      </c>
    </row>
    <row r="4362" spans="1:11" x14ac:dyDescent="0.2">
      <c r="A4362" s="24" t="s">
        <v>10509</v>
      </c>
      <c r="B4362" s="24" t="s">
        <v>10510</v>
      </c>
      <c r="C4362" s="24" t="s">
        <v>526</v>
      </c>
      <c r="D4362" s="24" t="s">
        <v>17</v>
      </c>
      <c r="E4362" s="24" t="s">
        <v>42</v>
      </c>
      <c r="F4362" s="24" t="s">
        <v>43</v>
      </c>
      <c r="G4362" s="24" t="s">
        <v>28</v>
      </c>
      <c r="H4362" s="26">
        <v>55</v>
      </c>
      <c r="I4362" s="24" t="s">
        <v>29</v>
      </c>
      <c r="J4362" s="36">
        <v>45667</v>
      </c>
      <c r="K4362" s="24" t="s">
        <v>22</v>
      </c>
    </row>
    <row r="4363" spans="1:11" x14ac:dyDescent="0.2">
      <c r="A4363" s="27" t="s">
        <v>10511</v>
      </c>
      <c r="B4363" s="27" t="s">
        <v>10512</v>
      </c>
      <c r="C4363" s="27" t="s">
        <v>10513</v>
      </c>
      <c r="D4363" s="27" t="s">
        <v>17</v>
      </c>
      <c r="E4363" s="27" t="s">
        <v>18</v>
      </c>
      <c r="F4363" s="27" t="s">
        <v>19</v>
      </c>
      <c r="G4363" s="27" t="s">
        <v>217</v>
      </c>
      <c r="H4363" s="29">
        <v>35</v>
      </c>
      <c r="I4363" s="27" t="s">
        <v>29</v>
      </c>
      <c r="J4363" s="37">
        <v>45658</v>
      </c>
      <c r="K4363" s="27" t="s">
        <v>22</v>
      </c>
    </row>
    <row r="4364" spans="1:11" x14ac:dyDescent="0.2">
      <c r="A4364" s="24" t="s">
        <v>10514</v>
      </c>
      <c r="B4364" s="24" t="s">
        <v>10515</v>
      </c>
      <c r="C4364" s="24" t="s">
        <v>230</v>
      </c>
      <c r="D4364" s="24" t="s">
        <v>17</v>
      </c>
      <c r="E4364" s="24" t="s">
        <v>42</v>
      </c>
      <c r="F4364" s="24" t="s">
        <v>43</v>
      </c>
      <c r="G4364" s="24" t="s">
        <v>28</v>
      </c>
      <c r="H4364" s="26">
        <v>606</v>
      </c>
      <c r="I4364" s="24" t="s">
        <v>29</v>
      </c>
      <c r="J4364" s="36">
        <v>45687</v>
      </c>
      <c r="K4364" s="24" t="s">
        <v>22</v>
      </c>
    </row>
    <row r="4365" spans="1:11" x14ac:dyDescent="0.2">
      <c r="A4365" s="27" t="s">
        <v>10516</v>
      </c>
      <c r="B4365" s="27" t="s">
        <v>10517</v>
      </c>
      <c r="C4365" s="27" t="s">
        <v>10518</v>
      </c>
      <c r="D4365" s="27" t="s">
        <v>17</v>
      </c>
      <c r="E4365" s="27" t="s">
        <v>163</v>
      </c>
      <c r="F4365" s="27" t="s">
        <v>164</v>
      </c>
      <c r="G4365" s="27" t="s">
        <v>28</v>
      </c>
      <c r="H4365" s="29">
        <v>45</v>
      </c>
      <c r="I4365" s="27" t="s">
        <v>29</v>
      </c>
      <c r="J4365" s="37">
        <v>45678</v>
      </c>
      <c r="K4365" s="27" t="s">
        <v>22</v>
      </c>
    </row>
    <row r="4366" spans="1:11" x14ac:dyDescent="0.2">
      <c r="A4366" s="24" t="s">
        <v>10519</v>
      </c>
      <c r="B4366" s="24" t="s">
        <v>10520</v>
      </c>
      <c r="C4366" s="24" t="s">
        <v>331</v>
      </c>
      <c r="D4366" s="24" t="s">
        <v>17</v>
      </c>
      <c r="E4366" s="24" t="s">
        <v>42</v>
      </c>
      <c r="F4366" s="24" t="s">
        <v>43</v>
      </c>
      <c r="G4366" s="24" t="s">
        <v>28</v>
      </c>
      <c r="H4366" s="26">
        <v>180</v>
      </c>
      <c r="I4366" s="24" t="s">
        <v>29</v>
      </c>
      <c r="J4366" s="36">
        <v>45681</v>
      </c>
      <c r="K4366" s="24" t="s">
        <v>22</v>
      </c>
    </row>
    <row r="4367" spans="1:11" x14ac:dyDescent="0.2">
      <c r="A4367" s="27" t="s">
        <v>10521</v>
      </c>
      <c r="B4367" s="27" t="s">
        <v>10522</v>
      </c>
      <c r="C4367" s="27" t="s">
        <v>9938</v>
      </c>
      <c r="D4367" s="27" t="s">
        <v>17</v>
      </c>
      <c r="E4367" s="27" t="s">
        <v>48</v>
      </c>
      <c r="F4367" s="27" t="s">
        <v>49</v>
      </c>
      <c r="G4367" s="27" t="s">
        <v>28</v>
      </c>
      <c r="H4367" s="29">
        <v>320</v>
      </c>
      <c r="I4367" s="27" t="s">
        <v>29</v>
      </c>
      <c r="J4367" s="37">
        <v>45677</v>
      </c>
      <c r="K4367" s="27" t="s">
        <v>22</v>
      </c>
    </row>
    <row r="4368" spans="1:11" x14ac:dyDescent="0.2">
      <c r="A4368" s="24" t="s">
        <v>10523</v>
      </c>
      <c r="B4368" s="24" t="s">
        <v>10524</v>
      </c>
      <c r="C4368" s="24" t="s">
        <v>10525</v>
      </c>
      <c r="D4368" s="24" t="s">
        <v>17</v>
      </c>
      <c r="E4368" s="24" t="s">
        <v>48</v>
      </c>
      <c r="F4368" s="24" t="s">
        <v>49</v>
      </c>
      <c r="G4368" s="24" t="s">
        <v>116</v>
      </c>
      <c r="H4368" s="26">
        <v>0</v>
      </c>
      <c r="I4368" s="24" t="s">
        <v>21</v>
      </c>
      <c r="J4368" s="36">
        <v>45658</v>
      </c>
      <c r="K4368" s="24" t="s">
        <v>22</v>
      </c>
    </row>
    <row r="4369" spans="1:11" x14ac:dyDescent="0.2">
      <c r="A4369" s="27" t="s">
        <v>10526</v>
      </c>
      <c r="B4369" s="27" t="s">
        <v>10527</v>
      </c>
      <c r="C4369" s="27" t="s">
        <v>1938</v>
      </c>
      <c r="D4369" s="27" t="s">
        <v>17</v>
      </c>
      <c r="E4369" s="27" t="s">
        <v>48</v>
      </c>
      <c r="F4369" s="27" t="s">
        <v>49</v>
      </c>
      <c r="G4369" s="27" t="s">
        <v>28</v>
      </c>
      <c r="H4369" s="29">
        <v>60</v>
      </c>
      <c r="I4369" s="27" t="s">
        <v>29</v>
      </c>
      <c r="J4369" s="37">
        <v>45674</v>
      </c>
      <c r="K4369" s="27" t="s">
        <v>22</v>
      </c>
    </row>
    <row r="4370" spans="1:11" x14ac:dyDescent="0.2">
      <c r="A4370" s="24" t="s">
        <v>10528</v>
      </c>
      <c r="B4370" s="24" t="s">
        <v>10529</v>
      </c>
      <c r="C4370" s="24" t="s">
        <v>10530</v>
      </c>
      <c r="D4370" s="24" t="s">
        <v>17</v>
      </c>
      <c r="E4370" s="24" t="s">
        <v>18</v>
      </c>
      <c r="F4370" s="24" t="s">
        <v>19</v>
      </c>
      <c r="G4370" s="24" t="s">
        <v>28</v>
      </c>
      <c r="H4370" s="26">
        <v>10</v>
      </c>
      <c r="I4370" s="24" t="s">
        <v>29</v>
      </c>
      <c r="J4370" s="36">
        <v>45664</v>
      </c>
      <c r="K4370" s="24" t="s">
        <v>22</v>
      </c>
    </row>
    <row r="4371" spans="1:11" x14ac:dyDescent="0.2">
      <c r="A4371" s="27" t="s">
        <v>10531</v>
      </c>
      <c r="B4371" s="27" t="s">
        <v>10532</v>
      </c>
      <c r="C4371" s="27" t="s">
        <v>10533</v>
      </c>
      <c r="D4371" s="27" t="s">
        <v>17</v>
      </c>
      <c r="E4371" s="27" t="s">
        <v>81</v>
      </c>
      <c r="F4371" s="27" t="s">
        <v>82</v>
      </c>
      <c r="G4371" s="27" t="s">
        <v>28</v>
      </c>
      <c r="H4371" s="29">
        <v>48</v>
      </c>
      <c r="I4371" s="27" t="s">
        <v>29</v>
      </c>
      <c r="J4371" s="37">
        <v>45680</v>
      </c>
      <c r="K4371" s="27" t="s">
        <v>22</v>
      </c>
    </row>
    <row r="4372" spans="1:11" x14ac:dyDescent="0.2">
      <c r="A4372" s="24" t="s">
        <v>10534</v>
      </c>
      <c r="B4372" s="24" t="s">
        <v>10535</v>
      </c>
      <c r="C4372" s="24" t="s">
        <v>667</v>
      </c>
      <c r="D4372" s="24" t="s">
        <v>17</v>
      </c>
      <c r="E4372" s="24" t="s">
        <v>48</v>
      </c>
      <c r="F4372" s="24" t="s">
        <v>49</v>
      </c>
      <c r="G4372" s="24" t="s">
        <v>28</v>
      </c>
      <c r="H4372" s="26">
        <v>200</v>
      </c>
      <c r="I4372" s="24" t="s">
        <v>29</v>
      </c>
      <c r="J4372" s="36">
        <v>45682</v>
      </c>
      <c r="K4372" s="24" t="s">
        <v>22</v>
      </c>
    </row>
    <row r="4373" spans="1:11" x14ac:dyDescent="0.2">
      <c r="A4373" s="27" t="s">
        <v>10536</v>
      </c>
      <c r="B4373" s="27" t="s">
        <v>10537</v>
      </c>
      <c r="C4373" s="27" t="s">
        <v>7989</v>
      </c>
      <c r="D4373" s="27" t="s">
        <v>17</v>
      </c>
      <c r="E4373" s="27" t="s">
        <v>18</v>
      </c>
      <c r="F4373" s="27" t="s">
        <v>19</v>
      </c>
      <c r="G4373" s="27" t="s">
        <v>59</v>
      </c>
      <c r="H4373" s="29">
        <v>4</v>
      </c>
      <c r="I4373" s="27" t="s">
        <v>21</v>
      </c>
      <c r="J4373" s="37">
        <v>45680</v>
      </c>
      <c r="K4373" s="27" t="s">
        <v>22</v>
      </c>
    </row>
    <row r="4374" spans="1:11" x14ac:dyDescent="0.2">
      <c r="A4374" s="24" t="s">
        <v>10538</v>
      </c>
      <c r="B4374" s="24" t="s">
        <v>10539</v>
      </c>
      <c r="C4374" s="24" t="s">
        <v>1617</v>
      </c>
      <c r="D4374" s="24" t="s">
        <v>17</v>
      </c>
      <c r="E4374" s="24" t="s">
        <v>42</v>
      </c>
      <c r="F4374" s="24" t="s">
        <v>43</v>
      </c>
      <c r="G4374" s="24" t="s">
        <v>217</v>
      </c>
      <c r="H4374" s="26">
        <v>504</v>
      </c>
      <c r="I4374" s="24" t="s">
        <v>29</v>
      </c>
      <c r="J4374" s="36">
        <v>45658</v>
      </c>
      <c r="K4374" s="24" t="s">
        <v>22</v>
      </c>
    </row>
    <row r="4375" spans="1:11" x14ac:dyDescent="0.2">
      <c r="A4375" s="27" t="s">
        <v>10540</v>
      </c>
      <c r="B4375" s="27" t="s">
        <v>10541</v>
      </c>
      <c r="C4375" s="27" t="s">
        <v>3205</v>
      </c>
      <c r="D4375" s="27" t="s">
        <v>17</v>
      </c>
      <c r="E4375" s="27" t="s">
        <v>18</v>
      </c>
      <c r="F4375" s="27" t="s">
        <v>19</v>
      </c>
      <c r="G4375" s="27" t="s">
        <v>20</v>
      </c>
      <c r="H4375" s="29">
        <v>24</v>
      </c>
      <c r="I4375" s="27" t="s">
        <v>21</v>
      </c>
      <c r="J4375" s="37">
        <v>45670</v>
      </c>
      <c r="K4375" s="27" t="s">
        <v>22</v>
      </c>
    </row>
    <row r="4376" spans="1:11" x14ac:dyDescent="0.2">
      <c r="A4376" s="24" t="s">
        <v>10542</v>
      </c>
      <c r="B4376" s="24" t="s">
        <v>10543</v>
      </c>
      <c r="C4376" s="24" t="s">
        <v>10544</v>
      </c>
      <c r="D4376" s="24" t="s">
        <v>17</v>
      </c>
      <c r="E4376" s="24" t="s">
        <v>48</v>
      </c>
      <c r="F4376" s="24" t="s">
        <v>49</v>
      </c>
      <c r="G4376" s="24" t="s">
        <v>28</v>
      </c>
      <c r="H4376" s="26">
        <v>20</v>
      </c>
      <c r="I4376" s="24" t="s">
        <v>29</v>
      </c>
      <c r="J4376" s="36">
        <v>45687</v>
      </c>
      <c r="K4376" s="24" t="s">
        <v>22</v>
      </c>
    </row>
    <row r="4377" spans="1:11" x14ac:dyDescent="0.2">
      <c r="A4377" s="27" t="s">
        <v>10545</v>
      </c>
      <c r="B4377" s="27" t="s">
        <v>10546</v>
      </c>
      <c r="C4377" s="27" t="s">
        <v>10547</v>
      </c>
      <c r="D4377" s="27" t="s">
        <v>17</v>
      </c>
      <c r="E4377" s="27" t="s">
        <v>18</v>
      </c>
      <c r="F4377" s="27" t="s">
        <v>19</v>
      </c>
      <c r="G4377" s="27" t="s">
        <v>28</v>
      </c>
      <c r="H4377" s="29">
        <v>134</v>
      </c>
      <c r="I4377" s="27" t="s">
        <v>29</v>
      </c>
      <c r="J4377" s="37">
        <v>45687</v>
      </c>
      <c r="K4377" s="27" t="s">
        <v>22</v>
      </c>
    </row>
    <row r="4378" spans="1:11" x14ac:dyDescent="0.2">
      <c r="A4378" s="24" t="s">
        <v>10548</v>
      </c>
      <c r="B4378" s="24" t="s">
        <v>10549</v>
      </c>
      <c r="C4378" s="24" t="s">
        <v>140</v>
      </c>
      <c r="D4378" s="24" t="s">
        <v>17</v>
      </c>
      <c r="E4378" s="24" t="s">
        <v>48</v>
      </c>
      <c r="F4378" s="24" t="s">
        <v>49</v>
      </c>
      <c r="G4378" s="24" t="s">
        <v>217</v>
      </c>
      <c r="H4378" s="26">
        <v>120</v>
      </c>
      <c r="I4378" s="24" t="s">
        <v>29</v>
      </c>
      <c r="J4378" s="36">
        <v>45684</v>
      </c>
      <c r="K4378" s="24" t="s">
        <v>22</v>
      </c>
    </row>
    <row r="4379" spans="1:11" x14ac:dyDescent="0.2">
      <c r="A4379" s="27" t="s">
        <v>10550</v>
      </c>
      <c r="B4379" s="27" t="s">
        <v>10551</v>
      </c>
      <c r="C4379" s="27" t="s">
        <v>223</v>
      </c>
      <c r="D4379" s="27" t="s">
        <v>17</v>
      </c>
      <c r="E4379" s="27" t="s">
        <v>48</v>
      </c>
      <c r="F4379" s="27" t="s">
        <v>49</v>
      </c>
      <c r="G4379" s="27" t="s">
        <v>217</v>
      </c>
      <c r="H4379" s="29">
        <v>56</v>
      </c>
      <c r="I4379" s="27" t="s">
        <v>29</v>
      </c>
      <c r="J4379" s="37">
        <v>45688</v>
      </c>
      <c r="K4379" s="27" t="s">
        <v>22</v>
      </c>
    </row>
    <row r="4380" spans="1:11" x14ac:dyDescent="0.2">
      <c r="A4380" s="24" t="s">
        <v>10552</v>
      </c>
      <c r="B4380" s="24" t="s">
        <v>10553</v>
      </c>
      <c r="C4380" s="24" t="s">
        <v>10554</v>
      </c>
      <c r="D4380" s="24" t="s">
        <v>17</v>
      </c>
      <c r="E4380" s="24" t="s">
        <v>18</v>
      </c>
      <c r="F4380" s="24" t="s">
        <v>19</v>
      </c>
      <c r="G4380" s="24" t="s">
        <v>217</v>
      </c>
      <c r="H4380" s="26">
        <v>60</v>
      </c>
      <c r="I4380" s="24" t="s">
        <v>29</v>
      </c>
      <c r="J4380" s="36">
        <v>45672</v>
      </c>
      <c r="K4380" s="24" t="s">
        <v>22</v>
      </c>
    </row>
    <row r="4381" spans="1:11" x14ac:dyDescent="0.2">
      <c r="A4381" s="27" t="s">
        <v>10555</v>
      </c>
      <c r="B4381" s="27" t="s">
        <v>10556</v>
      </c>
      <c r="C4381" s="27" t="s">
        <v>10557</v>
      </c>
      <c r="D4381" s="27" t="s">
        <v>17</v>
      </c>
      <c r="E4381" s="27" t="s">
        <v>42</v>
      </c>
      <c r="F4381" s="27" t="s">
        <v>43</v>
      </c>
      <c r="G4381" s="27" t="s">
        <v>116</v>
      </c>
      <c r="H4381" s="29">
        <v>0</v>
      </c>
      <c r="I4381" s="27" t="s">
        <v>21</v>
      </c>
      <c r="J4381" s="37">
        <v>45658</v>
      </c>
      <c r="K4381" s="27" t="s">
        <v>22</v>
      </c>
    </row>
    <row r="4382" spans="1:11" x14ac:dyDescent="0.2">
      <c r="A4382" s="24" t="s">
        <v>10558</v>
      </c>
      <c r="B4382" s="24" t="s">
        <v>10559</v>
      </c>
      <c r="C4382" s="24" t="s">
        <v>1438</v>
      </c>
      <c r="D4382" s="24" t="s">
        <v>17</v>
      </c>
      <c r="E4382" s="24" t="s">
        <v>42</v>
      </c>
      <c r="F4382" s="24" t="s">
        <v>43</v>
      </c>
      <c r="G4382" s="24" t="s">
        <v>20</v>
      </c>
      <c r="H4382" s="26">
        <v>39</v>
      </c>
      <c r="I4382" s="24" t="s">
        <v>21</v>
      </c>
      <c r="J4382" s="36">
        <v>45664</v>
      </c>
      <c r="K4382" s="24" t="s">
        <v>22</v>
      </c>
    </row>
    <row r="4383" spans="1:11" x14ac:dyDescent="0.2">
      <c r="A4383" s="27" t="s">
        <v>10560</v>
      </c>
      <c r="B4383" s="27" t="s">
        <v>10561</v>
      </c>
      <c r="C4383" s="27" t="s">
        <v>429</v>
      </c>
      <c r="D4383" s="27" t="s">
        <v>17</v>
      </c>
      <c r="E4383" s="27" t="s">
        <v>18</v>
      </c>
      <c r="F4383" s="27" t="s">
        <v>19</v>
      </c>
      <c r="G4383" s="27" t="s">
        <v>28</v>
      </c>
      <c r="H4383" s="29">
        <v>250</v>
      </c>
      <c r="I4383" s="27" t="s">
        <v>29</v>
      </c>
      <c r="J4383" s="37">
        <v>45667</v>
      </c>
      <c r="K4383" s="27" t="s">
        <v>22</v>
      </c>
    </row>
    <row r="4384" spans="1:11" x14ac:dyDescent="0.2">
      <c r="A4384" s="24" t="s">
        <v>10562</v>
      </c>
      <c r="B4384" s="24" t="s">
        <v>10563</v>
      </c>
      <c r="C4384" s="24" t="s">
        <v>220</v>
      </c>
      <c r="D4384" s="24" t="s">
        <v>17</v>
      </c>
      <c r="E4384" s="24" t="s">
        <v>42</v>
      </c>
      <c r="F4384" s="24" t="s">
        <v>43</v>
      </c>
      <c r="G4384" s="24" t="s">
        <v>28</v>
      </c>
      <c r="H4384" s="26">
        <v>60</v>
      </c>
      <c r="I4384" s="24" t="s">
        <v>29</v>
      </c>
      <c r="J4384" s="36">
        <v>45666</v>
      </c>
      <c r="K4384" s="24" t="s">
        <v>22</v>
      </c>
    </row>
    <row r="4385" spans="1:11" x14ac:dyDescent="0.2">
      <c r="A4385" s="27" t="s">
        <v>10564</v>
      </c>
      <c r="B4385" s="27" t="s">
        <v>10565</v>
      </c>
      <c r="C4385" s="27" t="s">
        <v>3809</v>
      </c>
      <c r="D4385" s="27" t="s">
        <v>17</v>
      </c>
      <c r="E4385" s="27" t="s">
        <v>18</v>
      </c>
      <c r="F4385" s="27" t="s">
        <v>19</v>
      </c>
      <c r="G4385" s="27" t="s">
        <v>217</v>
      </c>
      <c r="H4385" s="29">
        <v>12</v>
      </c>
      <c r="I4385" s="27" t="s">
        <v>29</v>
      </c>
      <c r="J4385" s="37">
        <v>45658</v>
      </c>
      <c r="K4385" s="27" t="s">
        <v>22</v>
      </c>
    </row>
    <row r="4386" spans="1:11" x14ac:dyDescent="0.2">
      <c r="A4386" s="24" t="s">
        <v>10566</v>
      </c>
      <c r="B4386" s="24" t="s">
        <v>10567</v>
      </c>
      <c r="C4386" s="24" t="s">
        <v>10568</v>
      </c>
      <c r="D4386" s="24" t="s">
        <v>17</v>
      </c>
      <c r="E4386" s="24" t="s">
        <v>42</v>
      </c>
      <c r="F4386" s="24" t="s">
        <v>43</v>
      </c>
      <c r="G4386" s="24" t="s">
        <v>217</v>
      </c>
      <c r="H4386" s="26">
        <v>228</v>
      </c>
      <c r="I4386" s="24" t="s">
        <v>29</v>
      </c>
      <c r="J4386" s="36">
        <v>45658</v>
      </c>
      <c r="K4386" s="24" t="s">
        <v>22</v>
      </c>
    </row>
    <row r="4387" spans="1:11" x14ac:dyDescent="0.2">
      <c r="A4387" s="27" t="s">
        <v>10569</v>
      </c>
      <c r="B4387" s="27" t="s">
        <v>10570</v>
      </c>
      <c r="C4387" s="27" t="s">
        <v>97</v>
      </c>
      <c r="D4387" s="27" t="s">
        <v>17</v>
      </c>
      <c r="E4387" s="27" t="s">
        <v>18</v>
      </c>
      <c r="F4387" s="27" t="s">
        <v>19</v>
      </c>
      <c r="G4387" s="27" t="s">
        <v>217</v>
      </c>
      <c r="H4387" s="29">
        <v>8</v>
      </c>
      <c r="I4387" s="27" t="s">
        <v>29</v>
      </c>
      <c r="J4387" s="37">
        <v>45674</v>
      </c>
      <c r="K4387" s="27" t="s">
        <v>22</v>
      </c>
    </row>
    <row r="4388" spans="1:11" x14ac:dyDescent="0.2">
      <c r="A4388" s="24" t="s">
        <v>10571</v>
      </c>
      <c r="B4388" s="24" t="s">
        <v>10572</v>
      </c>
      <c r="C4388" s="24" t="s">
        <v>10573</v>
      </c>
      <c r="D4388" s="24" t="s">
        <v>17</v>
      </c>
      <c r="E4388" s="24" t="s">
        <v>48</v>
      </c>
      <c r="F4388" s="24" t="s">
        <v>49</v>
      </c>
      <c r="G4388" s="24" t="s">
        <v>28</v>
      </c>
      <c r="H4388" s="26">
        <v>30</v>
      </c>
      <c r="I4388" s="24" t="s">
        <v>29</v>
      </c>
      <c r="J4388" s="36">
        <v>45670</v>
      </c>
      <c r="K4388" s="24" t="s">
        <v>22</v>
      </c>
    </row>
    <row r="4389" spans="1:11" x14ac:dyDescent="0.2">
      <c r="A4389" s="27" t="s">
        <v>10574</v>
      </c>
      <c r="B4389" s="27" t="s">
        <v>10575</v>
      </c>
      <c r="C4389" s="27" t="s">
        <v>10576</v>
      </c>
      <c r="D4389" s="27" t="s">
        <v>17</v>
      </c>
      <c r="E4389" s="27" t="s">
        <v>48</v>
      </c>
      <c r="F4389" s="27" t="s">
        <v>49</v>
      </c>
      <c r="G4389" s="27" t="s">
        <v>44</v>
      </c>
      <c r="H4389" s="29">
        <v>416</v>
      </c>
      <c r="I4389" s="27" t="s">
        <v>21</v>
      </c>
      <c r="J4389" s="37">
        <v>45686</v>
      </c>
      <c r="K4389" s="27" t="s">
        <v>22</v>
      </c>
    </row>
    <row r="4390" spans="1:11" x14ac:dyDescent="0.2">
      <c r="A4390" s="24" t="s">
        <v>10577</v>
      </c>
      <c r="B4390" s="24" t="s">
        <v>10578</v>
      </c>
      <c r="C4390" s="24" t="s">
        <v>55</v>
      </c>
      <c r="D4390" s="24" t="s">
        <v>17</v>
      </c>
      <c r="E4390" s="24" t="s">
        <v>26</v>
      </c>
      <c r="F4390" s="24" t="s">
        <v>27</v>
      </c>
      <c r="G4390" s="24" t="s">
        <v>116</v>
      </c>
      <c r="H4390" s="26">
        <v>0</v>
      </c>
      <c r="I4390" s="24" t="s">
        <v>21</v>
      </c>
      <c r="J4390" s="36">
        <v>45672</v>
      </c>
      <c r="K4390" s="24" t="s">
        <v>22</v>
      </c>
    </row>
    <row r="4391" spans="1:11" x14ac:dyDescent="0.2">
      <c r="A4391" s="27" t="s">
        <v>10579</v>
      </c>
      <c r="B4391" s="27" t="s">
        <v>10580</v>
      </c>
      <c r="C4391" s="27" t="s">
        <v>5474</v>
      </c>
      <c r="D4391" s="27" t="s">
        <v>17</v>
      </c>
      <c r="E4391" s="27" t="s">
        <v>18</v>
      </c>
      <c r="F4391" s="27" t="s">
        <v>19</v>
      </c>
      <c r="G4391" s="27" t="s">
        <v>20</v>
      </c>
      <c r="H4391" s="29">
        <v>48</v>
      </c>
      <c r="I4391" s="27" t="s">
        <v>21</v>
      </c>
      <c r="J4391" s="37">
        <v>45684</v>
      </c>
      <c r="K4391" s="27" t="s">
        <v>22</v>
      </c>
    </row>
    <row r="4392" spans="1:11" x14ac:dyDescent="0.2">
      <c r="A4392" s="24" t="s">
        <v>10581</v>
      </c>
      <c r="B4392" s="24" t="s">
        <v>10582</v>
      </c>
      <c r="C4392" s="24" t="s">
        <v>792</v>
      </c>
      <c r="D4392" s="24" t="s">
        <v>17</v>
      </c>
      <c r="E4392" s="24" t="s">
        <v>48</v>
      </c>
      <c r="F4392" s="24" t="s">
        <v>49</v>
      </c>
      <c r="G4392" s="24" t="s">
        <v>28</v>
      </c>
      <c r="H4392" s="26">
        <v>200</v>
      </c>
      <c r="I4392" s="24" t="s">
        <v>29</v>
      </c>
      <c r="J4392" s="36">
        <v>45663</v>
      </c>
      <c r="K4392" s="24" t="s">
        <v>22</v>
      </c>
    </row>
    <row r="4393" spans="1:11" x14ac:dyDescent="0.2">
      <c r="A4393" s="27" t="s">
        <v>10583</v>
      </c>
      <c r="B4393" s="27" t="s">
        <v>10584</v>
      </c>
      <c r="C4393" s="27" t="s">
        <v>1307</v>
      </c>
      <c r="D4393" s="27" t="s">
        <v>17</v>
      </c>
      <c r="E4393" s="27" t="s">
        <v>26</v>
      </c>
      <c r="F4393" s="27" t="s">
        <v>27</v>
      </c>
      <c r="G4393" s="27" t="s">
        <v>28</v>
      </c>
      <c r="H4393" s="29">
        <v>300</v>
      </c>
      <c r="I4393" s="27" t="s">
        <v>29</v>
      </c>
      <c r="J4393" s="37">
        <v>45678</v>
      </c>
      <c r="K4393" s="27" t="s">
        <v>22</v>
      </c>
    </row>
    <row r="4394" spans="1:11" x14ac:dyDescent="0.2">
      <c r="A4394" s="24" t="s">
        <v>10585</v>
      </c>
      <c r="B4394" s="24" t="s">
        <v>10586</v>
      </c>
      <c r="C4394" s="24" t="s">
        <v>10338</v>
      </c>
      <c r="D4394" s="24" t="s">
        <v>17</v>
      </c>
      <c r="E4394" s="24" t="s">
        <v>42</v>
      </c>
      <c r="F4394" s="24" t="s">
        <v>43</v>
      </c>
      <c r="G4394" s="24" t="s">
        <v>116</v>
      </c>
      <c r="H4394" s="26">
        <v>0</v>
      </c>
      <c r="I4394" s="24" t="s">
        <v>21</v>
      </c>
      <c r="J4394" s="36">
        <v>45658</v>
      </c>
      <c r="K4394" s="24" t="s">
        <v>22</v>
      </c>
    </row>
    <row r="4395" spans="1:11" x14ac:dyDescent="0.2">
      <c r="A4395" s="27" t="s">
        <v>10587</v>
      </c>
      <c r="B4395" s="27" t="s">
        <v>10588</v>
      </c>
      <c r="C4395" s="27" t="s">
        <v>10589</v>
      </c>
      <c r="D4395" s="27" t="s">
        <v>17</v>
      </c>
      <c r="E4395" s="27" t="s">
        <v>26</v>
      </c>
      <c r="F4395" s="27" t="s">
        <v>27</v>
      </c>
      <c r="G4395" s="27" t="s">
        <v>28</v>
      </c>
      <c r="H4395" s="29">
        <v>124</v>
      </c>
      <c r="I4395" s="27" t="s">
        <v>29</v>
      </c>
      <c r="J4395" s="37">
        <v>45674</v>
      </c>
      <c r="K4395" s="27" t="s">
        <v>22</v>
      </c>
    </row>
    <row r="4396" spans="1:11" x14ac:dyDescent="0.2">
      <c r="A4396" s="24" t="s">
        <v>10590</v>
      </c>
      <c r="B4396" s="24" t="s">
        <v>10591</v>
      </c>
      <c r="C4396" s="24" t="s">
        <v>1050</v>
      </c>
      <c r="D4396" s="24" t="s">
        <v>17</v>
      </c>
      <c r="E4396" s="24" t="s">
        <v>18</v>
      </c>
      <c r="F4396" s="24" t="s">
        <v>19</v>
      </c>
      <c r="G4396" s="24" t="s">
        <v>28</v>
      </c>
      <c r="H4396" s="26">
        <v>50</v>
      </c>
      <c r="I4396" s="24" t="s">
        <v>29</v>
      </c>
      <c r="J4396" s="36">
        <v>45665</v>
      </c>
      <c r="K4396" s="24" t="s">
        <v>22</v>
      </c>
    </row>
    <row r="4397" spans="1:11" x14ac:dyDescent="0.2">
      <c r="A4397" s="27" t="s">
        <v>10592</v>
      </c>
      <c r="B4397" s="27" t="s">
        <v>10593</v>
      </c>
      <c r="C4397" s="27" t="s">
        <v>10594</v>
      </c>
      <c r="D4397" s="27" t="s">
        <v>17</v>
      </c>
      <c r="E4397" s="27" t="s">
        <v>26</v>
      </c>
      <c r="F4397" s="27" t="s">
        <v>27</v>
      </c>
      <c r="G4397" s="27" t="s">
        <v>20</v>
      </c>
      <c r="H4397" s="29">
        <v>24</v>
      </c>
      <c r="I4397" s="27" t="s">
        <v>21</v>
      </c>
      <c r="J4397" s="37">
        <v>45672</v>
      </c>
      <c r="K4397" s="27" t="s">
        <v>22</v>
      </c>
    </row>
    <row r="4398" spans="1:11" x14ac:dyDescent="0.2">
      <c r="A4398" s="24" t="s">
        <v>10595</v>
      </c>
      <c r="B4398" s="24" t="s">
        <v>10596</v>
      </c>
      <c r="C4398" s="24" t="s">
        <v>621</v>
      </c>
      <c r="D4398" s="24" t="s">
        <v>17</v>
      </c>
      <c r="E4398" s="24" t="s">
        <v>18</v>
      </c>
      <c r="F4398" s="24" t="s">
        <v>19</v>
      </c>
      <c r="G4398" s="24" t="s">
        <v>28</v>
      </c>
      <c r="H4398" s="26">
        <v>36</v>
      </c>
      <c r="I4398" s="24" t="s">
        <v>29</v>
      </c>
      <c r="J4398" s="36">
        <v>45670</v>
      </c>
      <c r="K4398" s="24" t="s">
        <v>22</v>
      </c>
    </row>
    <row r="4399" spans="1:11" x14ac:dyDescent="0.2">
      <c r="A4399" s="27" t="s">
        <v>10597</v>
      </c>
      <c r="B4399" s="27" t="s">
        <v>10598</v>
      </c>
      <c r="C4399" s="27" t="s">
        <v>10599</v>
      </c>
      <c r="D4399" s="27" t="s">
        <v>17</v>
      </c>
      <c r="E4399" s="27" t="s">
        <v>33</v>
      </c>
      <c r="F4399" s="27" t="s">
        <v>34</v>
      </c>
      <c r="G4399" s="27" t="s">
        <v>217</v>
      </c>
      <c r="H4399" s="29">
        <v>540</v>
      </c>
      <c r="I4399" s="27" t="s">
        <v>29</v>
      </c>
      <c r="J4399" s="37">
        <v>45658</v>
      </c>
      <c r="K4399" s="27" t="s">
        <v>22</v>
      </c>
    </row>
    <row r="4400" spans="1:11" x14ac:dyDescent="0.2">
      <c r="A4400" s="24" t="s">
        <v>10600</v>
      </c>
      <c r="B4400" s="24" t="s">
        <v>10601</v>
      </c>
      <c r="C4400" s="24" t="s">
        <v>4448</v>
      </c>
      <c r="D4400" s="24" t="s">
        <v>17</v>
      </c>
      <c r="E4400" s="24" t="s">
        <v>81</v>
      </c>
      <c r="F4400" s="24" t="s">
        <v>82</v>
      </c>
      <c r="G4400" s="24" t="s">
        <v>59</v>
      </c>
      <c r="H4400" s="26">
        <v>5</v>
      </c>
      <c r="I4400" s="24" t="s">
        <v>21</v>
      </c>
      <c r="J4400" s="36">
        <v>45672</v>
      </c>
      <c r="K4400" s="24" t="s">
        <v>22</v>
      </c>
    </row>
    <row r="4401" spans="1:11" x14ac:dyDescent="0.2">
      <c r="A4401" s="27" t="s">
        <v>10602</v>
      </c>
      <c r="B4401" s="27" t="s">
        <v>10603</v>
      </c>
      <c r="C4401" s="27" t="s">
        <v>194</v>
      </c>
      <c r="D4401" s="27" t="s">
        <v>17</v>
      </c>
      <c r="E4401" s="27" t="s">
        <v>48</v>
      </c>
      <c r="F4401" s="27" t="s">
        <v>49</v>
      </c>
      <c r="G4401" s="27" t="s">
        <v>28</v>
      </c>
      <c r="H4401" s="29">
        <v>40</v>
      </c>
      <c r="I4401" s="27" t="s">
        <v>29</v>
      </c>
      <c r="J4401" s="37">
        <v>45673</v>
      </c>
      <c r="K4401" s="27" t="s">
        <v>22</v>
      </c>
    </row>
    <row r="4402" spans="1:11" x14ac:dyDescent="0.2">
      <c r="A4402" s="24" t="s">
        <v>10604</v>
      </c>
      <c r="B4402" s="24" t="s">
        <v>10605</v>
      </c>
      <c r="C4402" s="24" t="s">
        <v>10606</v>
      </c>
      <c r="D4402" s="24" t="s">
        <v>17</v>
      </c>
      <c r="E4402" s="24" t="s">
        <v>48</v>
      </c>
      <c r="F4402" s="24" t="s">
        <v>49</v>
      </c>
      <c r="G4402" s="24" t="s">
        <v>44</v>
      </c>
      <c r="H4402" s="26">
        <v>85</v>
      </c>
      <c r="I4402" s="24" t="s">
        <v>21</v>
      </c>
      <c r="J4402" s="36">
        <v>45664</v>
      </c>
      <c r="K4402" s="24" t="s">
        <v>22</v>
      </c>
    </row>
    <row r="4403" spans="1:11" x14ac:dyDescent="0.2">
      <c r="A4403" s="27" t="s">
        <v>10607</v>
      </c>
      <c r="B4403" s="27" t="s">
        <v>10608</v>
      </c>
      <c r="C4403" s="27" t="s">
        <v>6439</v>
      </c>
      <c r="D4403" s="27" t="s">
        <v>17</v>
      </c>
      <c r="E4403" s="27" t="s">
        <v>42</v>
      </c>
      <c r="F4403" s="27" t="s">
        <v>43</v>
      </c>
      <c r="G4403" s="27" t="s">
        <v>20</v>
      </c>
      <c r="H4403" s="29">
        <v>55</v>
      </c>
      <c r="I4403" s="27" t="s">
        <v>21</v>
      </c>
      <c r="J4403" s="37">
        <v>45672</v>
      </c>
      <c r="K4403" s="27" t="s">
        <v>22</v>
      </c>
    </row>
    <row r="4404" spans="1:11" x14ac:dyDescent="0.2">
      <c r="A4404" s="24" t="s">
        <v>10609</v>
      </c>
      <c r="B4404" s="24" t="s">
        <v>10610</v>
      </c>
      <c r="C4404" s="24" t="s">
        <v>10589</v>
      </c>
      <c r="D4404" s="24" t="s">
        <v>17</v>
      </c>
      <c r="E4404" s="24" t="s">
        <v>26</v>
      </c>
      <c r="F4404" s="24" t="s">
        <v>27</v>
      </c>
      <c r="G4404" s="24" t="s">
        <v>28</v>
      </c>
      <c r="H4404" s="26">
        <v>72</v>
      </c>
      <c r="I4404" s="24" t="s">
        <v>29</v>
      </c>
      <c r="J4404" s="36">
        <v>45665</v>
      </c>
      <c r="K4404" s="24" t="s">
        <v>22</v>
      </c>
    </row>
    <row r="4405" spans="1:11" x14ac:dyDescent="0.2">
      <c r="A4405" s="27" t="s">
        <v>10611</v>
      </c>
      <c r="B4405" s="27" t="s">
        <v>10612</v>
      </c>
      <c r="C4405" s="27" t="s">
        <v>5239</v>
      </c>
      <c r="D4405" s="27" t="s">
        <v>17</v>
      </c>
      <c r="E4405" s="27" t="s">
        <v>18</v>
      </c>
      <c r="F4405" s="27" t="s">
        <v>19</v>
      </c>
      <c r="G4405" s="27" t="s">
        <v>28</v>
      </c>
      <c r="H4405" s="29">
        <v>48</v>
      </c>
      <c r="I4405" s="27" t="s">
        <v>29</v>
      </c>
      <c r="J4405" s="37">
        <v>45664</v>
      </c>
      <c r="K4405" s="27" t="s">
        <v>22</v>
      </c>
    </row>
    <row r="4406" spans="1:11" x14ac:dyDescent="0.2">
      <c r="A4406" s="24" t="s">
        <v>10613</v>
      </c>
      <c r="B4406" s="24" t="s">
        <v>10614</v>
      </c>
      <c r="C4406" s="24" t="s">
        <v>4662</v>
      </c>
      <c r="D4406" s="24" t="s">
        <v>17</v>
      </c>
      <c r="E4406" s="24" t="s">
        <v>26</v>
      </c>
      <c r="F4406" s="24" t="s">
        <v>27</v>
      </c>
      <c r="G4406" s="24" t="s">
        <v>28</v>
      </c>
      <c r="H4406" s="26">
        <v>266</v>
      </c>
      <c r="I4406" s="24" t="s">
        <v>29</v>
      </c>
      <c r="J4406" s="36">
        <v>45666</v>
      </c>
      <c r="K4406" s="24" t="s">
        <v>22</v>
      </c>
    </row>
    <row r="4407" spans="1:11" x14ac:dyDescent="0.2">
      <c r="A4407" s="27" t="s">
        <v>10615</v>
      </c>
      <c r="B4407" s="27" t="s">
        <v>10616</v>
      </c>
      <c r="C4407" s="27" t="s">
        <v>8313</v>
      </c>
      <c r="D4407" s="27" t="s">
        <v>17</v>
      </c>
      <c r="E4407" s="27" t="s">
        <v>18</v>
      </c>
      <c r="F4407" s="27" t="s">
        <v>19</v>
      </c>
      <c r="G4407" s="27" t="s">
        <v>28</v>
      </c>
      <c r="H4407" s="29">
        <v>40</v>
      </c>
      <c r="I4407" s="27" t="s">
        <v>29</v>
      </c>
      <c r="J4407" s="37">
        <v>45672</v>
      </c>
      <c r="K4407" s="27" t="s">
        <v>22</v>
      </c>
    </row>
    <row r="4408" spans="1:11" x14ac:dyDescent="0.2">
      <c r="A4408" s="24" t="s">
        <v>10617</v>
      </c>
      <c r="B4408" s="24" t="s">
        <v>10618</v>
      </c>
      <c r="C4408" s="24" t="s">
        <v>595</v>
      </c>
      <c r="D4408" s="24" t="s">
        <v>17</v>
      </c>
      <c r="E4408" s="24" t="s">
        <v>18</v>
      </c>
      <c r="F4408" s="24" t="s">
        <v>19</v>
      </c>
      <c r="G4408" s="24" t="s">
        <v>28</v>
      </c>
      <c r="H4408" s="26">
        <v>163</v>
      </c>
      <c r="I4408" s="24" t="s">
        <v>29</v>
      </c>
      <c r="J4408" s="36">
        <v>45665</v>
      </c>
      <c r="K4408" s="24" t="s">
        <v>22</v>
      </c>
    </row>
    <row r="4409" spans="1:11" x14ac:dyDescent="0.2">
      <c r="A4409" s="27" t="s">
        <v>10619</v>
      </c>
      <c r="B4409" s="27" t="s">
        <v>10620</v>
      </c>
      <c r="C4409" s="27" t="s">
        <v>10621</v>
      </c>
      <c r="D4409" s="27" t="s">
        <v>17</v>
      </c>
      <c r="E4409" s="27" t="s">
        <v>18</v>
      </c>
      <c r="F4409" s="27" t="s">
        <v>19</v>
      </c>
      <c r="G4409" s="27" t="s">
        <v>217</v>
      </c>
      <c r="H4409" s="29">
        <v>56</v>
      </c>
      <c r="I4409" s="27" t="s">
        <v>29</v>
      </c>
      <c r="J4409" s="37">
        <v>45658</v>
      </c>
      <c r="K4409" s="27" t="s">
        <v>22</v>
      </c>
    </row>
    <row r="4410" spans="1:11" x14ac:dyDescent="0.2">
      <c r="A4410" s="24" t="s">
        <v>10622</v>
      </c>
      <c r="B4410" s="24" t="s">
        <v>10623</v>
      </c>
      <c r="C4410" s="24" t="s">
        <v>687</v>
      </c>
      <c r="D4410" s="24" t="s">
        <v>17</v>
      </c>
      <c r="E4410" s="24" t="s">
        <v>42</v>
      </c>
      <c r="F4410" s="24" t="s">
        <v>43</v>
      </c>
      <c r="G4410" s="24" t="s">
        <v>28</v>
      </c>
      <c r="H4410" s="26">
        <v>480</v>
      </c>
      <c r="I4410" s="24" t="s">
        <v>29</v>
      </c>
      <c r="J4410" s="36">
        <v>45667</v>
      </c>
      <c r="K4410" s="24" t="s">
        <v>22</v>
      </c>
    </row>
    <row r="4411" spans="1:11" x14ac:dyDescent="0.2">
      <c r="A4411" s="27" t="s">
        <v>10624</v>
      </c>
      <c r="B4411" s="27" t="s">
        <v>10625</v>
      </c>
      <c r="C4411" s="27" t="s">
        <v>2304</v>
      </c>
      <c r="D4411" s="27" t="s">
        <v>17</v>
      </c>
      <c r="E4411" s="27" t="s">
        <v>48</v>
      </c>
      <c r="F4411" s="27" t="s">
        <v>49</v>
      </c>
      <c r="G4411" s="27" t="s">
        <v>28</v>
      </c>
      <c r="H4411" s="29">
        <v>174</v>
      </c>
      <c r="I4411" s="27" t="s">
        <v>29</v>
      </c>
      <c r="J4411" s="37">
        <v>45666</v>
      </c>
      <c r="K4411" s="27" t="s">
        <v>22</v>
      </c>
    </row>
    <row r="4412" spans="1:11" x14ac:dyDescent="0.2">
      <c r="A4412" s="24" t="s">
        <v>10626</v>
      </c>
      <c r="B4412" s="24" t="s">
        <v>10627</v>
      </c>
      <c r="C4412" s="24" t="s">
        <v>10628</v>
      </c>
      <c r="D4412" s="24" t="s">
        <v>17</v>
      </c>
      <c r="E4412" s="24" t="s">
        <v>26</v>
      </c>
      <c r="F4412" s="24" t="s">
        <v>27</v>
      </c>
      <c r="G4412" s="24" t="s">
        <v>28</v>
      </c>
      <c r="H4412" s="26">
        <v>12</v>
      </c>
      <c r="I4412" s="24" t="s">
        <v>29</v>
      </c>
      <c r="J4412" s="36">
        <v>45667</v>
      </c>
      <c r="K4412" s="24" t="s">
        <v>22</v>
      </c>
    </row>
    <row r="4413" spans="1:11" x14ac:dyDescent="0.2">
      <c r="A4413" s="27" t="s">
        <v>10629</v>
      </c>
      <c r="B4413" s="27" t="s">
        <v>10630</v>
      </c>
      <c r="C4413" s="27" t="s">
        <v>3637</v>
      </c>
      <c r="D4413" s="27" t="s">
        <v>17</v>
      </c>
      <c r="E4413" s="27" t="s">
        <v>18</v>
      </c>
      <c r="F4413" s="27" t="s">
        <v>19</v>
      </c>
      <c r="G4413" s="27" t="s">
        <v>28</v>
      </c>
      <c r="H4413" s="29">
        <v>54</v>
      </c>
      <c r="I4413" s="27" t="s">
        <v>29</v>
      </c>
      <c r="J4413" s="37">
        <v>45659</v>
      </c>
      <c r="K4413" s="27" t="s">
        <v>22</v>
      </c>
    </row>
    <row r="4414" spans="1:11" x14ac:dyDescent="0.2">
      <c r="A4414" s="24" t="s">
        <v>10631</v>
      </c>
      <c r="B4414" s="24" t="s">
        <v>10632</v>
      </c>
      <c r="C4414" s="24" t="s">
        <v>1535</v>
      </c>
      <c r="D4414" s="24" t="s">
        <v>17</v>
      </c>
      <c r="E4414" s="24" t="s">
        <v>42</v>
      </c>
      <c r="F4414" s="24" t="s">
        <v>43</v>
      </c>
      <c r="G4414" s="24" t="s">
        <v>28</v>
      </c>
      <c r="H4414" s="26">
        <v>490</v>
      </c>
      <c r="I4414" s="24" t="s">
        <v>29</v>
      </c>
      <c r="J4414" s="36">
        <v>45679</v>
      </c>
      <c r="K4414" s="24" t="s">
        <v>22</v>
      </c>
    </row>
    <row r="4415" spans="1:11" x14ac:dyDescent="0.2">
      <c r="A4415" s="27" t="s">
        <v>10633</v>
      </c>
      <c r="B4415" s="27" t="s">
        <v>10634</v>
      </c>
      <c r="C4415" s="27" t="s">
        <v>115</v>
      </c>
      <c r="D4415" s="27" t="s">
        <v>17</v>
      </c>
      <c r="E4415" s="27" t="s">
        <v>18</v>
      </c>
      <c r="F4415" s="27" t="s">
        <v>19</v>
      </c>
      <c r="G4415" s="27" t="s">
        <v>20</v>
      </c>
      <c r="H4415" s="29">
        <v>78</v>
      </c>
      <c r="I4415" s="27" t="s">
        <v>21</v>
      </c>
      <c r="J4415" s="37">
        <v>45680</v>
      </c>
      <c r="K4415" s="27" t="s">
        <v>22</v>
      </c>
    </row>
    <row r="4416" spans="1:11" x14ac:dyDescent="0.2">
      <c r="A4416" s="24" t="s">
        <v>10635</v>
      </c>
      <c r="B4416" s="24" t="s">
        <v>10636</v>
      </c>
      <c r="C4416" s="24" t="s">
        <v>10637</v>
      </c>
      <c r="D4416" s="24" t="s">
        <v>17</v>
      </c>
      <c r="E4416" s="24" t="s">
        <v>26</v>
      </c>
      <c r="F4416" s="24" t="s">
        <v>27</v>
      </c>
      <c r="G4416" s="24" t="s">
        <v>28</v>
      </c>
      <c r="H4416" s="26">
        <v>110</v>
      </c>
      <c r="I4416" s="24" t="s">
        <v>29</v>
      </c>
      <c r="J4416" s="36">
        <v>45679</v>
      </c>
      <c r="K4416" s="24" t="s">
        <v>22</v>
      </c>
    </row>
    <row r="4417" spans="1:11" x14ac:dyDescent="0.2">
      <c r="A4417" s="27" t="s">
        <v>10638</v>
      </c>
      <c r="B4417" s="27" t="s">
        <v>10639</v>
      </c>
      <c r="C4417" s="27" t="s">
        <v>9151</v>
      </c>
      <c r="D4417" s="27" t="s">
        <v>17</v>
      </c>
      <c r="E4417" s="27" t="s">
        <v>48</v>
      </c>
      <c r="F4417" s="27" t="s">
        <v>49</v>
      </c>
      <c r="G4417" s="27" t="s">
        <v>44</v>
      </c>
      <c r="H4417" s="29">
        <v>120</v>
      </c>
      <c r="I4417" s="27" t="s">
        <v>29</v>
      </c>
      <c r="J4417" s="37">
        <v>45667</v>
      </c>
      <c r="K4417" s="27" t="s">
        <v>22</v>
      </c>
    </row>
    <row r="4418" spans="1:11" x14ac:dyDescent="0.2">
      <c r="A4418" s="24" t="s">
        <v>10640</v>
      </c>
      <c r="B4418" s="24" t="s">
        <v>10641</v>
      </c>
      <c r="C4418" s="24" t="s">
        <v>1212</v>
      </c>
      <c r="D4418" s="24" t="s">
        <v>17</v>
      </c>
      <c r="E4418" s="24" t="s">
        <v>18</v>
      </c>
      <c r="F4418" s="24" t="s">
        <v>19</v>
      </c>
      <c r="G4418" s="24" t="s">
        <v>20</v>
      </c>
      <c r="H4418" s="26">
        <v>58</v>
      </c>
      <c r="I4418" s="24" t="s">
        <v>21</v>
      </c>
      <c r="J4418" s="36">
        <v>45660</v>
      </c>
      <c r="K4418" s="24" t="s">
        <v>22</v>
      </c>
    </row>
    <row r="4419" spans="1:11" x14ac:dyDescent="0.2">
      <c r="A4419" s="27" t="s">
        <v>10642</v>
      </c>
      <c r="B4419" s="27" t="s">
        <v>10643</v>
      </c>
      <c r="C4419" s="27" t="s">
        <v>1931</v>
      </c>
      <c r="D4419" s="27" t="s">
        <v>17</v>
      </c>
      <c r="E4419" s="27" t="s">
        <v>18</v>
      </c>
      <c r="F4419" s="27" t="s">
        <v>19</v>
      </c>
      <c r="G4419" s="27" t="s">
        <v>20</v>
      </c>
      <c r="H4419" s="29">
        <v>8</v>
      </c>
      <c r="I4419" s="27" t="s">
        <v>21</v>
      </c>
      <c r="J4419" s="37">
        <v>45681</v>
      </c>
      <c r="K4419" s="27" t="s">
        <v>22</v>
      </c>
    </row>
    <row r="4420" spans="1:11" x14ac:dyDescent="0.2">
      <c r="A4420" s="24" t="s">
        <v>10644</v>
      </c>
      <c r="B4420" s="24" t="s">
        <v>10645</v>
      </c>
      <c r="C4420" s="24" t="s">
        <v>260</v>
      </c>
      <c r="D4420" s="24" t="s">
        <v>17</v>
      </c>
      <c r="E4420" s="24" t="s">
        <v>26</v>
      </c>
      <c r="F4420" s="24" t="s">
        <v>27</v>
      </c>
      <c r="G4420" s="24" t="s">
        <v>44</v>
      </c>
      <c r="H4420" s="26">
        <v>1162</v>
      </c>
      <c r="I4420" s="24" t="s">
        <v>21</v>
      </c>
      <c r="J4420" s="36">
        <v>45663</v>
      </c>
      <c r="K4420" s="24" t="s">
        <v>22</v>
      </c>
    </row>
    <row r="4421" spans="1:11" x14ac:dyDescent="0.2">
      <c r="A4421" s="27" t="s">
        <v>10646</v>
      </c>
      <c r="B4421" s="27" t="s">
        <v>10647</v>
      </c>
      <c r="C4421" s="27" t="s">
        <v>1212</v>
      </c>
      <c r="D4421" s="27" t="s">
        <v>17</v>
      </c>
      <c r="E4421" s="27" t="s">
        <v>18</v>
      </c>
      <c r="F4421" s="27" t="s">
        <v>19</v>
      </c>
      <c r="G4421" s="27" t="s">
        <v>20</v>
      </c>
      <c r="H4421" s="29">
        <v>48</v>
      </c>
      <c r="I4421" s="27" t="s">
        <v>21</v>
      </c>
      <c r="J4421" s="37">
        <v>45662</v>
      </c>
      <c r="K4421" s="27" t="s">
        <v>22</v>
      </c>
    </row>
    <row r="4422" spans="1:11" x14ac:dyDescent="0.2">
      <c r="A4422" s="24" t="s">
        <v>10648</v>
      </c>
      <c r="B4422" s="24" t="s">
        <v>10649</v>
      </c>
      <c r="C4422" s="24" t="s">
        <v>10650</v>
      </c>
      <c r="D4422" s="24" t="s">
        <v>17</v>
      </c>
      <c r="E4422" s="24" t="s">
        <v>18</v>
      </c>
      <c r="F4422" s="24" t="s">
        <v>19</v>
      </c>
      <c r="G4422" s="24" t="s">
        <v>44</v>
      </c>
      <c r="H4422" s="26">
        <v>108</v>
      </c>
      <c r="I4422" s="24" t="s">
        <v>21</v>
      </c>
      <c r="J4422" s="36">
        <v>45671</v>
      </c>
      <c r="K4422" s="24" t="s">
        <v>22</v>
      </c>
    </row>
    <row r="4423" spans="1:11" x14ac:dyDescent="0.2">
      <c r="A4423" s="27" t="s">
        <v>10651</v>
      </c>
      <c r="B4423" s="27" t="s">
        <v>10652</v>
      </c>
      <c r="C4423" s="27" t="s">
        <v>10653</v>
      </c>
      <c r="D4423" s="27" t="s">
        <v>17</v>
      </c>
      <c r="E4423" s="27" t="s">
        <v>26</v>
      </c>
      <c r="F4423" s="27" t="s">
        <v>27</v>
      </c>
      <c r="G4423" s="27" t="s">
        <v>20</v>
      </c>
      <c r="H4423" s="29">
        <v>40</v>
      </c>
      <c r="I4423" s="27" t="s">
        <v>21</v>
      </c>
      <c r="J4423" s="37">
        <v>45677</v>
      </c>
      <c r="K4423" s="27" t="s">
        <v>22</v>
      </c>
    </row>
    <row r="4424" spans="1:11" x14ac:dyDescent="0.2">
      <c r="A4424" s="24" t="s">
        <v>10654</v>
      </c>
      <c r="B4424" s="24" t="s">
        <v>10655</v>
      </c>
      <c r="C4424" s="24" t="s">
        <v>5409</v>
      </c>
      <c r="D4424" s="24" t="s">
        <v>17</v>
      </c>
      <c r="E4424" s="24" t="s">
        <v>18</v>
      </c>
      <c r="F4424" s="24" t="s">
        <v>19</v>
      </c>
      <c r="G4424" s="24" t="s">
        <v>20</v>
      </c>
      <c r="H4424" s="26">
        <v>25</v>
      </c>
      <c r="I4424" s="24" t="s">
        <v>21</v>
      </c>
      <c r="J4424" s="36">
        <v>45667</v>
      </c>
      <c r="K4424" s="24" t="s">
        <v>22</v>
      </c>
    </row>
    <row r="4425" spans="1:11" x14ac:dyDescent="0.2">
      <c r="A4425" s="27" t="s">
        <v>10656</v>
      </c>
      <c r="B4425" s="27" t="s">
        <v>10657</v>
      </c>
      <c r="C4425" s="27" t="s">
        <v>5439</v>
      </c>
      <c r="D4425" s="27" t="s">
        <v>17</v>
      </c>
      <c r="E4425" s="27" t="s">
        <v>18</v>
      </c>
      <c r="F4425" s="27" t="s">
        <v>19</v>
      </c>
      <c r="G4425" s="27" t="s">
        <v>28</v>
      </c>
      <c r="H4425" s="29">
        <v>136</v>
      </c>
      <c r="I4425" s="27" t="s">
        <v>29</v>
      </c>
      <c r="J4425" s="37">
        <v>45688</v>
      </c>
      <c r="K4425" s="27" t="s">
        <v>22</v>
      </c>
    </row>
    <row r="4426" spans="1:11" x14ac:dyDescent="0.2">
      <c r="A4426" s="24" t="s">
        <v>10658</v>
      </c>
      <c r="B4426" s="24" t="s">
        <v>10659</v>
      </c>
      <c r="C4426" s="24" t="s">
        <v>140</v>
      </c>
      <c r="D4426" s="24" t="s">
        <v>17</v>
      </c>
      <c r="E4426" s="24" t="s">
        <v>42</v>
      </c>
      <c r="F4426" s="24" t="s">
        <v>43</v>
      </c>
      <c r="G4426" s="24" t="s">
        <v>20</v>
      </c>
      <c r="H4426" s="26">
        <v>73</v>
      </c>
      <c r="I4426" s="24" t="s">
        <v>21</v>
      </c>
      <c r="J4426" s="36">
        <v>45701</v>
      </c>
      <c r="K4426" s="24" t="s">
        <v>22</v>
      </c>
    </row>
    <row r="4427" spans="1:11" x14ac:dyDescent="0.2">
      <c r="A4427" s="27" t="s">
        <v>10660</v>
      </c>
      <c r="B4427" s="27" t="s">
        <v>10661</v>
      </c>
      <c r="C4427" s="27" t="s">
        <v>1014</v>
      </c>
      <c r="D4427" s="27" t="s">
        <v>17</v>
      </c>
      <c r="E4427" s="27" t="s">
        <v>18</v>
      </c>
      <c r="F4427" s="27" t="s">
        <v>19</v>
      </c>
      <c r="G4427" s="27" t="s">
        <v>38</v>
      </c>
      <c r="H4427" s="29">
        <v>36</v>
      </c>
      <c r="I4427" s="27" t="s">
        <v>29</v>
      </c>
      <c r="J4427" s="37">
        <v>45692</v>
      </c>
      <c r="K4427" s="27" t="s">
        <v>22</v>
      </c>
    </row>
    <row r="4428" spans="1:11" x14ac:dyDescent="0.2">
      <c r="A4428" s="24" t="s">
        <v>10662</v>
      </c>
      <c r="B4428" s="24" t="s">
        <v>10663</v>
      </c>
      <c r="C4428" s="24" t="s">
        <v>801</v>
      </c>
      <c r="D4428" s="24" t="s">
        <v>17</v>
      </c>
      <c r="E4428" s="24" t="s">
        <v>18</v>
      </c>
      <c r="F4428" s="24" t="s">
        <v>19</v>
      </c>
      <c r="G4428" s="24" t="s">
        <v>20</v>
      </c>
      <c r="H4428" s="26">
        <v>18</v>
      </c>
      <c r="I4428" s="24" t="s">
        <v>21</v>
      </c>
      <c r="J4428" s="36">
        <v>45709</v>
      </c>
      <c r="K4428" s="24" t="s">
        <v>22</v>
      </c>
    </row>
    <row r="4429" spans="1:11" x14ac:dyDescent="0.2">
      <c r="A4429" s="27" t="s">
        <v>10664</v>
      </c>
      <c r="B4429" s="27" t="s">
        <v>10665</v>
      </c>
      <c r="C4429" s="27" t="s">
        <v>2702</v>
      </c>
      <c r="D4429" s="27" t="s">
        <v>17</v>
      </c>
      <c r="E4429" s="27" t="s">
        <v>18</v>
      </c>
      <c r="F4429" s="27" t="s">
        <v>19</v>
      </c>
      <c r="G4429" s="27" t="s">
        <v>44</v>
      </c>
      <c r="H4429" s="29">
        <v>8</v>
      </c>
      <c r="I4429" s="27" t="s">
        <v>21</v>
      </c>
      <c r="J4429" s="37">
        <v>45706</v>
      </c>
      <c r="K4429" s="27" t="s">
        <v>22</v>
      </c>
    </row>
    <row r="4430" spans="1:11" x14ac:dyDescent="0.2">
      <c r="A4430" s="24" t="s">
        <v>10666</v>
      </c>
      <c r="B4430" s="24" t="s">
        <v>10667</v>
      </c>
      <c r="C4430" s="24" t="s">
        <v>1617</v>
      </c>
      <c r="D4430" s="24" t="s">
        <v>17</v>
      </c>
      <c r="E4430" s="24" t="s">
        <v>42</v>
      </c>
      <c r="F4430" s="24" t="s">
        <v>43</v>
      </c>
      <c r="G4430" s="24" t="s">
        <v>217</v>
      </c>
      <c r="H4430" s="26">
        <v>252</v>
      </c>
      <c r="I4430" s="24" t="s">
        <v>29</v>
      </c>
      <c r="J4430" s="36">
        <v>45703</v>
      </c>
      <c r="K4430" s="24" t="s">
        <v>22</v>
      </c>
    </row>
    <row r="4431" spans="1:11" x14ac:dyDescent="0.2">
      <c r="A4431" s="27" t="s">
        <v>10668</v>
      </c>
      <c r="B4431" s="27" t="s">
        <v>10669</v>
      </c>
      <c r="C4431" s="27" t="s">
        <v>10670</v>
      </c>
      <c r="D4431" s="27" t="s">
        <v>17</v>
      </c>
      <c r="E4431" s="27" t="s">
        <v>163</v>
      </c>
      <c r="F4431" s="27" t="s">
        <v>164</v>
      </c>
      <c r="G4431" s="27" t="s">
        <v>20</v>
      </c>
      <c r="H4431" s="29">
        <v>12</v>
      </c>
      <c r="I4431" s="27" t="s">
        <v>21</v>
      </c>
      <c r="J4431" s="37">
        <v>45698</v>
      </c>
      <c r="K4431" s="27" t="s">
        <v>22</v>
      </c>
    </row>
    <row r="4432" spans="1:11" x14ac:dyDescent="0.2">
      <c r="A4432" s="24" t="s">
        <v>10671</v>
      </c>
      <c r="B4432" s="24" t="s">
        <v>10672</v>
      </c>
      <c r="C4432" s="24" t="s">
        <v>595</v>
      </c>
      <c r="D4432" s="24" t="s">
        <v>17</v>
      </c>
      <c r="E4432" s="24" t="s">
        <v>18</v>
      </c>
      <c r="F4432" s="24" t="s">
        <v>19</v>
      </c>
      <c r="G4432" s="24" t="s">
        <v>20</v>
      </c>
      <c r="H4432" s="26">
        <v>87</v>
      </c>
      <c r="I4432" s="24" t="s">
        <v>21</v>
      </c>
      <c r="J4432" s="36">
        <v>45698</v>
      </c>
      <c r="K4432" s="24" t="s">
        <v>22</v>
      </c>
    </row>
    <row r="4433" spans="1:11" x14ac:dyDescent="0.2">
      <c r="A4433" s="27" t="s">
        <v>10673</v>
      </c>
      <c r="B4433" s="27" t="s">
        <v>10674</v>
      </c>
      <c r="C4433" s="27" t="s">
        <v>973</v>
      </c>
      <c r="D4433" s="27" t="s">
        <v>17</v>
      </c>
      <c r="E4433" s="27" t="s">
        <v>48</v>
      </c>
      <c r="F4433" s="27" t="s">
        <v>49</v>
      </c>
      <c r="G4433" s="27" t="s">
        <v>44</v>
      </c>
      <c r="H4433" s="29">
        <v>25</v>
      </c>
      <c r="I4433" s="27" t="s">
        <v>21</v>
      </c>
      <c r="J4433" s="37">
        <v>45716</v>
      </c>
      <c r="K4433" s="27" t="s">
        <v>22</v>
      </c>
    </row>
    <row r="4434" spans="1:11" x14ac:dyDescent="0.2">
      <c r="A4434" s="24" t="s">
        <v>10675</v>
      </c>
      <c r="B4434" s="24" t="s">
        <v>10676</v>
      </c>
      <c r="C4434" s="24" t="s">
        <v>1199</v>
      </c>
      <c r="D4434" s="24" t="s">
        <v>17</v>
      </c>
      <c r="E4434" s="24" t="s">
        <v>81</v>
      </c>
      <c r="F4434" s="24" t="s">
        <v>82</v>
      </c>
      <c r="G4434" s="24" t="s">
        <v>217</v>
      </c>
      <c r="H4434" s="26">
        <v>1564</v>
      </c>
      <c r="I4434" s="24" t="s">
        <v>29</v>
      </c>
      <c r="J4434" s="36">
        <v>45689</v>
      </c>
      <c r="K4434" s="24" t="s">
        <v>22</v>
      </c>
    </row>
    <row r="4435" spans="1:11" x14ac:dyDescent="0.2">
      <c r="A4435" s="27" t="s">
        <v>10677</v>
      </c>
      <c r="B4435" s="27" t="s">
        <v>10678</v>
      </c>
      <c r="C4435" s="27" t="s">
        <v>827</v>
      </c>
      <c r="D4435" s="27" t="s">
        <v>17</v>
      </c>
      <c r="E4435" s="27" t="s">
        <v>18</v>
      </c>
      <c r="F4435" s="27" t="s">
        <v>19</v>
      </c>
      <c r="G4435" s="27" t="s">
        <v>28</v>
      </c>
      <c r="H4435" s="29">
        <v>100</v>
      </c>
      <c r="I4435" s="27" t="s">
        <v>29</v>
      </c>
      <c r="J4435" s="37">
        <v>45712</v>
      </c>
      <c r="K4435" s="27" t="s">
        <v>22</v>
      </c>
    </row>
    <row r="4436" spans="1:11" x14ac:dyDescent="0.2">
      <c r="A4436" s="24" t="s">
        <v>10679</v>
      </c>
      <c r="B4436" s="24" t="s">
        <v>10680</v>
      </c>
      <c r="C4436" s="24" t="s">
        <v>301</v>
      </c>
      <c r="D4436" s="24" t="s">
        <v>17</v>
      </c>
      <c r="E4436" s="24" t="s">
        <v>42</v>
      </c>
      <c r="F4436" s="24" t="s">
        <v>43</v>
      </c>
      <c r="G4436" s="24" t="s">
        <v>28</v>
      </c>
      <c r="H4436" s="26">
        <v>50</v>
      </c>
      <c r="I4436" s="24" t="s">
        <v>29</v>
      </c>
      <c r="J4436" s="36">
        <v>45698</v>
      </c>
      <c r="K4436" s="24" t="s">
        <v>22</v>
      </c>
    </row>
    <row r="4437" spans="1:11" x14ac:dyDescent="0.2">
      <c r="A4437" s="27" t="s">
        <v>10681</v>
      </c>
      <c r="B4437" s="27" t="s">
        <v>10682</v>
      </c>
      <c r="C4437" s="27" t="s">
        <v>10683</v>
      </c>
      <c r="D4437" s="27" t="s">
        <v>17</v>
      </c>
      <c r="E4437" s="27" t="s">
        <v>18</v>
      </c>
      <c r="F4437" s="27" t="s">
        <v>19</v>
      </c>
      <c r="G4437" s="27" t="s">
        <v>28</v>
      </c>
      <c r="H4437" s="29">
        <v>24</v>
      </c>
      <c r="I4437" s="27" t="s">
        <v>29</v>
      </c>
      <c r="J4437" s="37">
        <v>45706</v>
      </c>
      <c r="K4437" s="27" t="s">
        <v>22</v>
      </c>
    </row>
    <row r="4438" spans="1:11" x14ac:dyDescent="0.2">
      <c r="A4438" s="24" t="s">
        <v>10684</v>
      </c>
      <c r="B4438" s="24" t="s">
        <v>10685</v>
      </c>
      <c r="C4438" s="24" t="s">
        <v>1110</v>
      </c>
      <c r="D4438" s="24" t="s">
        <v>17</v>
      </c>
      <c r="E4438" s="24" t="s">
        <v>26</v>
      </c>
      <c r="F4438" s="24" t="s">
        <v>27</v>
      </c>
      <c r="G4438" s="24" t="s">
        <v>28</v>
      </c>
      <c r="H4438" s="26">
        <v>53</v>
      </c>
      <c r="I4438" s="24" t="s">
        <v>29</v>
      </c>
      <c r="J4438" s="36">
        <v>45709</v>
      </c>
      <c r="K4438" s="24" t="s">
        <v>22</v>
      </c>
    </row>
    <row r="4439" spans="1:11" x14ac:dyDescent="0.2">
      <c r="A4439" s="27" t="s">
        <v>10686</v>
      </c>
      <c r="B4439" s="27" t="s">
        <v>10687</v>
      </c>
      <c r="C4439" s="27" t="s">
        <v>912</v>
      </c>
      <c r="D4439" s="27" t="s">
        <v>17</v>
      </c>
      <c r="E4439" s="27" t="s">
        <v>48</v>
      </c>
      <c r="F4439" s="27" t="s">
        <v>49</v>
      </c>
      <c r="G4439" s="27" t="s">
        <v>28</v>
      </c>
      <c r="H4439" s="29">
        <v>135</v>
      </c>
      <c r="I4439" s="27" t="s">
        <v>29</v>
      </c>
      <c r="J4439" s="37">
        <v>45714</v>
      </c>
      <c r="K4439" s="27" t="s">
        <v>22</v>
      </c>
    </row>
    <row r="4440" spans="1:11" x14ac:dyDescent="0.2">
      <c r="A4440" s="24" t="s">
        <v>10688</v>
      </c>
      <c r="B4440" s="24" t="s">
        <v>10689</v>
      </c>
      <c r="C4440" s="24" t="s">
        <v>4367</v>
      </c>
      <c r="D4440" s="24" t="s">
        <v>17</v>
      </c>
      <c r="E4440" s="24" t="s">
        <v>42</v>
      </c>
      <c r="F4440" s="24" t="s">
        <v>43</v>
      </c>
      <c r="G4440" s="24" t="s">
        <v>28</v>
      </c>
      <c r="H4440" s="26">
        <v>852</v>
      </c>
      <c r="I4440" s="24" t="s">
        <v>29</v>
      </c>
      <c r="J4440" s="36">
        <v>45702</v>
      </c>
      <c r="K4440" s="24" t="s">
        <v>22</v>
      </c>
    </row>
    <row r="4441" spans="1:11" x14ac:dyDescent="0.2">
      <c r="A4441" s="27" t="s">
        <v>10690</v>
      </c>
      <c r="B4441" s="27" t="s">
        <v>10691</v>
      </c>
      <c r="C4441" s="27" t="s">
        <v>10692</v>
      </c>
      <c r="D4441" s="27" t="s">
        <v>17</v>
      </c>
      <c r="E4441" s="27" t="s">
        <v>26</v>
      </c>
      <c r="F4441" s="27" t="s">
        <v>27</v>
      </c>
      <c r="G4441" s="27" t="s">
        <v>28</v>
      </c>
      <c r="H4441" s="29">
        <v>252</v>
      </c>
      <c r="I4441" s="27" t="s">
        <v>29</v>
      </c>
      <c r="J4441" s="37">
        <v>45695</v>
      </c>
      <c r="K4441" s="27" t="s">
        <v>22</v>
      </c>
    </row>
    <row r="4442" spans="1:11" x14ac:dyDescent="0.2">
      <c r="A4442" s="24" t="s">
        <v>10693</v>
      </c>
      <c r="B4442" s="24" t="s">
        <v>10694</v>
      </c>
      <c r="C4442" s="24" t="s">
        <v>208</v>
      </c>
      <c r="D4442" s="24" t="s">
        <v>17</v>
      </c>
      <c r="E4442" s="24" t="s">
        <v>42</v>
      </c>
      <c r="F4442" s="24" t="s">
        <v>43</v>
      </c>
      <c r="G4442" s="24" t="s">
        <v>28</v>
      </c>
      <c r="H4442" s="26">
        <v>210</v>
      </c>
      <c r="I4442" s="24" t="s">
        <v>29</v>
      </c>
      <c r="J4442" s="36">
        <v>45700</v>
      </c>
      <c r="K4442" s="24" t="s">
        <v>22</v>
      </c>
    </row>
    <row r="4443" spans="1:11" x14ac:dyDescent="0.2">
      <c r="A4443" s="27" t="s">
        <v>10695</v>
      </c>
      <c r="B4443" s="27" t="s">
        <v>10696</v>
      </c>
      <c r="C4443" s="27" t="s">
        <v>251</v>
      </c>
      <c r="D4443" s="27" t="s">
        <v>17</v>
      </c>
      <c r="E4443" s="27" t="s">
        <v>26</v>
      </c>
      <c r="F4443" s="27" t="s">
        <v>27</v>
      </c>
      <c r="G4443" s="27" t="s">
        <v>28</v>
      </c>
      <c r="H4443" s="29">
        <v>28</v>
      </c>
      <c r="I4443" s="27" t="s">
        <v>29</v>
      </c>
      <c r="J4443" s="37">
        <v>45712</v>
      </c>
      <c r="K4443" s="27" t="s">
        <v>22</v>
      </c>
    </row>
    <row r="4444" spans="1:11" x14ac:dyDescent="0.2">
      <c r="A4444" s="24" t="s">
        <v>10697</v>
      </c>
      <c r="B4444" s="24" t="s">
        <v>10698</v>
      </c>
      <c r="C4444" s="24" t="s">
        <v>185</v>
      </c>
      <c r="D4444" s="24" t="s">
        <v>17</v>
      </c>
      <c r="E4444" s="24" t="s">
        <v>18</v>
      </c>
      <c r="F4444" s="24" t="s">
        <v>19</v>
      </c>
      <c r="G4444" s="24" t="s">
        <v>217</v>
      </c>
      <c r="H4444" s="26">
        <v>32</v>
      </c>
      <c r="I4444" s="24" t="s">
        <v>29</v>
      </c>
      <c r="J4444" s="36">
        <v>45716</v>
      </c>
      <c r="K4444" s="24" t="s">
        <v>22</v>
      </c>
    </row>
    <row r="4445" spans="1:11" x14ac:dyDescent="0.2">
      <c r="A4445" s="27" t="s">
        <v>10699</v>
      </c>
      <c r="B4445" s="27" t="s">
        <v>10700</v>
      </c>
      <c r="C4445" s="27" t="s">
        <v>10701</v>
      </c>
      <c r="D4445" s="27" t="s">
        <v>17</v>
      </c>
      <c r="E4445" s="27" t="s">
        <v>48</v>
      </c>
      <c r="F4445" s="27" t="s">
        <v>49</v>
      </c>
      <c r="G4445" s="27" t="s">
        <v>44</v>
      </c>
      <c r="H4445" s="29">
        <v>85</v>
      </c>
      <c r="I4445" s="27" t="s">
        <v>29</v>
      </c>
      <c r="J4445" s="37">
        <v>45715</v>
      </c>
      <c r="K4445" s="27" t="s">
        <v>22</v>
      </c>
    </row>
    <row r="4446" spans="1:11" x14ac:dyDescent="0.2">
      <c r="A4446" s="24" t="s">
        <v>10702</v>
      </c>
      <c r="B4446" s="24" t="s">
        <v>10703</v>
      </c>
      <c r="C4446" s="24" t="s">
        <v>134</v>
      </c>
      <c r="D4446" s="24" t="s">
        <v>17</v>
      </c>
      <c r="E4446" s="24" t="s">
        <v>42</v>
      </c>
      <c r="F4446" s="24" t="s">
        <v>43</v>
      </c>
      <c r="G4446" s="24" t="s">
        <v>28</v>
      </c>
      <c r="H4446" s="26">
        <v>530</v>
      </c>
      <c r="I4446" s="24" t="s">
        <v>29</v>
      </c>
      <c r="J4446" s="36">
        <v>45713</v>
      </c>
      <c r="K4446" s="24" t="s">
        <v>22</v>
      </c>
    </row>
    <row r="4447" spans="1:11" x14ac:dyDescent="0.2">
      <c r="A4447" s="27" t="s">
        <v>10704</v>
      </c>
      <c r="B4447" s="27" t="s">
        <v>10705</v>
      </c>
      <c r="C4447" s="27" t="s">
        <v>968</v>
      </c>
      <c r="D4447" s="27" t="s">
        <v>17</v>
      </c>
      <c r="E4447" s="27" t="s">
        <v>18</v>
      </c>
      <c r="F4447" s="27" t="s">
        <v>19</v>
      </c>
      <c r="G4447" s="27" t="s">
        <v>20</v>
      </c>
      <c r="H4447" s="29">
        <v>385</v>
      </c>
      <c r="I4447" s="27" t="s">
        <v>21</v>
      </c>
      <c r="J4447" s="37">
        <v>45699</v>
      </c>
      <c r="K4447" s="27" t="s">
        <v>22</v>
      </c>
    </row>
    <row r="4448" spans="1:11" x14ac:dyDescent="0.2">
      <c r="A4448" s="24" t="s">
        <v>10706</v>
      </c>
      <c r="B4448" s="24" t="s">
        <v>10707</v>
      </c>
      <c r="C4448" s="24" t="s">
        <v>260</v>
      </c>
      <c r="D4448" s="24" t="s">
        <v>17</v>
      </c>
      <c r="E4448" s="24" t="s">
        <v>42</v>
      </c>
      <c r="F4448" s="24" t="s">
        <v>43</v>
      </c>
      <c r="G4448" s="24" t="s">
        <v>44</v>
      </c>
      <c r="H4448" s="26">
        <v>1268</v>
      </c>
      <c r="I4448" s="24" t="s">
        <v>21</v>
      </c>
      <c r="J4448" s="36">
        <v>45716</v>
      </c>
      <c r="K4448" s="24" t="s">
        <v>22</v>
      </c>
    </row>
    <row r="4449" spans="1:11" x14ac:dyDescent="0.2">
      <c r="A4449" s="27" t="s">
        <v>10708</v>
      </c>
      <c r="B4449" s="27" t="s">
        <v>10709</v>
      </c>
      <c r="C4449" s="27" t="s">
        <v>595</v>
      </c>
      <c r="D4449" s="27" t="s">
        <v>17</v>
      </c>
      <c r="E4449" s="27" t="s">
        <v>18</v>
      </c>
      <c r="F4449" s="27" t="s">
        <v>19</v>
      </c>
      <c r="G4449" s="27" t="s">
        <v>20</v>
      </c>
      <c r="H4449" s="29">
        <v>58</v>
      </c>
      <c r="I4449" s="27" t="s">
        <v>21</v>
      </c>
      <c r="J4449" s="37">
        <v>45708</v>
      </c>
      <c r="K4449" s="27" t="s">
        <v>22</v>
      </c>
    </row>
    <row r="4450" spans="1:11" x14ac:dyDescent="0.2">
      <c r="A4450" s="24" t="s">
        <v>10710</v>
      </c>
      <c r="B4450" s="24" t="s">
        <v>10711</v>
      </c>
      <c r="C4450" s="24" t="s">
        <v>4498</v>
      </c>
      <c r="D4450" s="24" t="s">
        <v>17</v>
      </c>
      <c r="E4450" s="24" t="s">
        <v>26</v>
      </c>
      <c r="F4450" s="24" t="s">
        <v>27</v>
      </c>
      <c r="G4450" s="24" t="s">
        <v>44</v>
      </c>
      <c r="H4450" s="26">
        <v>27</v>
      </c>
      <c r="I4450" s="24" t="s">
        <v>29</v>
      </c>
      <c r="J4450" s="36">
        <v>45699</v>
      </c>
      <c r="K4450" s="24" t="s">
        <v>22</v>
      </c>
    </row>
    <row r="4451" spans="1:11" x14ac:dyDescent="0.2">
      <c r="A4451" s="27" t="s">
        <v>10712</v>
      </c>
      <c r="B4451" s="27" t="s">
        <v>10713</v>
      </c>
      <c r="C4451" s="27" t="s">
        <v>10714</v>
      </c>
      <c r="D4451" s="27" t="s">
        <v>17</v>
      </c>
      <c r="E4451" s="27" t="s">
        <v>48</v>
      </c>
      <c r="F4451" s="27" t="s">
        <v>49</v>
      </c>
      <c r="G4451" s="27" t="s">
        <v>28</v>
      </c>
      <c r="H4451" s="29">
        <v>44</v>
      </c>
      <c r="I4451" s="27" t="s">
        <v>29</v>
      </c>
      <c r="J4451" s="37">
        <v>45706</v>
      </c>
      <c r="K4451" s="27" t="s">
        <v>22</v>
      </c>
    </row>
    <row r="4452" spans="1:11" x14ac:dyDescent="0.2">
      <c r="A4452" s="24" t="s">
        <v>10715</v>
      </c>
      <c r="B4452" s="24" t="s">
        <v>10716</v>
      </c>
      <c r="C4452" s="24" t="s">
        <v>1470</v>
      </c>
      <c r="D4452" s="24" t="s">
        <v>17</v>
      </c>
      <c r="E4452" s="24" t="s">
        <v>33</v>
      </c>
      <c r="F4452" s="24" t="s">
        <v>34</v>
      </c>
      <c r="G4452" s="24" t="s">
        <v>28</v>
      </c>
      <c r="H4452" s="26">
        <v>725</v>
      </c>
      <c r="I4452" s="24" t="s">
        <v>29</v>
      </c>
      <c r="J4452" s="36">
        <v>45695</v>
      </c>
      <c r="K4452" s="24" t="s">
        <v>22</v>
      </c>
    </row>
    <row r="4453" spans="1:11" x14ac:dyDescent="0.2">
      <c r="A4453" s="27" t="s">
        <v>10717</v>
      </c>
      <c r="B4453" s="27" t="s">
        <v>10718</v>
      </c>
      <c r="C4453" s="27" t="s">
        <v>68</v>
      </c>
      <c r="D4453" s="27" t="s">
        <v>17</v>
      </c>
      <c r="E4453" s="27" t="s">
        <v>18</v>
      </c>
      <c r="F4453" s="27" t="s">
        <v>19</v>
      </c>
      <c r="G4453" s="27" t="s">
        <v>28</v>
      </c>
      <c r="H4453" s="29">
        <v>32</v>
      </c>
      <c r="I4453" s="27" t="s">
        <v>29</v>
      </c>
      <c r="J4453" s="37">
        <v>45705</v>
      </c>
      <c r="K4453" s="27" t="s">
        <v>22</v>
      </c>
    </row>
    <row r="4454" spans="1:11" x14ac:dyDescent="0.2">
      <c r="A4454" s="24" t="s">
        <v>10719</v>
      </c>
      <c r="B4454" s="24" t="s">
        <v>10720</v>
      </c>
      <c r="C4454" s="24" t="s">
        <v>1687</v>
      </c>
      <c r="D4454" s="24" t="s">
        <v>17</v>
      </c>
      <c r="E4454" s="24" t="s">
        <v>42</v>
      </c>
      <c r="F4454" s="24" t="s">
        <v>43</v>
      </c>
      <c r="G4454" s="24" t="s">
        <v>227</v>
      </c>
      <c r="H4454" s="26">
        <v>300</v>
      </c>
      <c r="I4454" s="24" t="s">
        <v>29</v>
      </c>
      <c r="J4454" s="36">
        <v>45708</v>
      </c>
      <c r="K4454" s="24" t="s">
        <v>22</v>
      </c>
    </row>
    <row r="4455" spans="1:11" x14ac:dyDescent="0.2">
      <c r="A4455" s="27" t="s">
        <v>10721</v>
      </c>
      <c r="B4455" s="27" t="s">
        <v>10722</v>
      </c>
      <c r="C4455" s="27" t="s">
        <v>10723</v>
      </c>
      <c r="D4455" s="27" t="s">
        <v>17</v>
      </c>
      <c r="E4455" s="27" t="s">
        <v>18</v>
      </c>
      <c r="F4455" s="27" t="s">
        <v>19</v>
      </c>
      <c r="G4455" s="27" t="s">
        <v>44</v>
      </c>
      <c r="H4455" s="29">
        <v>16</v>
      </c>
      <c r="I4455" s="27" t="s">
        <v>29</v>
      </c>
      <c r="J4455" s="37">
        <v>45703</v>
      </c>
      <c r="K4455" s="27" t="s">
        <v>22</v>
      </c>
    </row>
    <row r="4456" spans="1:11" x14ac:dyDescent="0.2">
      <c r="A4456" s="24" t="s">
        <v>10724</v>
      </c>
      <c r="B4456" s="24" t="s">
        <v>10725</v>
      </c>
      <c r="C4456" s="24" t="s">
        <v>140</v>
      </c>
      <c r="D4456" s="24" t="s">
        <v>17</v>
      </c>
      <c r="E4456" s="24" t="s">
        <v>18</v>
      </c>
      <c r="F4456" s="24" t="s">
        <v>19</v>
      </c>
      <c r="G4456" s="24" t="s">
        <v>20</v>
      </c>
      <c r="H4456" s="26">
        <v>26</v>
      </c>
      <c r="I4456" s="24" t="s">
        <v>21</v>
      </c>
      <c r="J4456" s="36">
        <v>45698</v>
      </c>
      <c r="K4456" s="24" t="s">
        <v>22</v>
      </c>
    </row>
    <row r="4457" spans="1:11" x14ac:dyDescent="0.2">
      <c r="A4457" s="27" t="s">
        <v>10726</v>
      </c>
      <c r="B4457" s="27" t="s">
        <v>10727</v>
      </c>
      <c r="C4457" s="27" t="s">
        <v>134</v>
      </c>
      <c r="D4457" s="27" t="s">
        <v>17</v>
      </c>
      <c r="E4457" s="27" t="s">
        <v>26</v>
      </c>
      <c r="F4457" s="27" t="s">
        <v>27</v>
      </c>
      <c r="G4457" s="27" t="s">
        <v>28</v>
      </c>
      <c r="H4457" s="29">
        <v>416</v>
      </c>
      <c r="I4457" s="27" t="s">
        <v>29</v>
      </c>
      <c r="J4457" s="37">
        <v>45692</v>
      </c>
      <c r="K4457" s="27" t="s">
        <v>22</v>
      </c>
    </row>
    <row r="4458" spans="1:11" x14ac:dyDescent="0.2">
      <c r="A4458" s="24" t="s">
        <v>10728</v>
      </c>
      <c r="B4458" s="24" t="s">
        <v>10729</v>
      </c>
      <c r="C4458" s="24" t="s">
        <v>71</v>
      </c>
      <c r="D4458" s="24" t="s">
        <v>17</v>
      </c>
      <c r="E4458" s="24" t="s">
        <v>48</v>
      </c>
      <c r="F4458" s="24" t="s">
        <v>49</v>
      </c>
      <c r="G4458" s="24" t="s">
        <v>217</v>
      </c>
      <c r="H4458" s="26">
        <v>156</v>
      </c>
      <c r="I4458" s="24" t="s">
        <v>29</v>
      </c>
      <c r="J4458" s="36">
        <v>45689</v>
      </c>
      <c r="K4458" s="24" t="s">
        <v>22</v>
      </c>
    </row>
    <row r="4459" spans="1:11" x14ac:dyDescent="0.2">
      <c r="A4459" s="27" t="s">
        <v>10730</v>
      </c>
      <c r="B4459" s="27" t="s">
        <v>10731</v>
      </c>
      <c r="C4459" s="27" t="s">
        <v>2547</v>
      </c>
      <c r="D4459" s="27" t="s">
        <v>17</v>
      </c>
      <c r="E4459" s="27" t="s">
        <v>18</v>
      </c>
      <c r="F4459" s="27" t="s">
        <v>19</v>
      </c>
      <c r="G4459" s="27" t="s">
        <v>28</v>
      </c>
      <c r="H4459" s="29">
        <v>32</v>
      </c>
      <c r="I4459" s="27" t="s">
        <v>29</v>
      </c>
      <c r="J4459" s="37">
        <v>45714</v>
      </c>
      <c r="K4459" s="27" t="s">
        <v>22</v>
      </c>
    </row>
    <row r="4460" spans="1:11" x14ac:dyDescent="0.2">
      <c r="A4460" s="24" t="s">
        <v>10732</v>
      </c>
      <c r="B4460" s="24" t="s">
        <v>10733</v>
      </c>
      <c r="C4460" s="24" t="s">
        <v>3008</v>
      </c>
      <c r="D4460" s="24" t="s">
        <v>17</v>
      </c>
      <c r="E4460" s="24" t="s">
        <v>18</v>
      </c>
      <c r="F4460" s="24" t="s">
        <v>19</v>
      </c>
      <c r="G4460" s="24" t="s">
        <v>44</v>
      </c>
      <c r="H4460" s="26">
        <v>32</v>
      </c>
      <c r="I4460" s="24" t="s">
        <v>29</v>
      </c>
      <c r="J4460" s="36">
        <v>45716</v>
      </c>
      <c r="K4460" s="24" t="s">
        <v>22</v>
      </c>
    </row>
    <row r="4461" spans="1:11" x14ac:dyDescent="0.2">
      <c r="A4461" s="27" t="s">
        <v>10734</v>
      </c>
      <c r="B4461" s="27" t="s">
        <v>10735</v>
      </c>
      <c r="C4461" s="27" t="s">
        <v>251</v>
      </c>
      <c r="D4461" s="27" t="s">
        <v>17</v>
      </c>
      <c r="E4461" s="27" t="s">
        <v>48</v>
      </c>
      <c r="F4461" s="27" t="s">
        <v>49</v>
      </c>
      <c r="G4461" s="27" t="s">
        <v>28</v>
      </c>
      <c r="H4461" s="29">
        <v>20</v>
      </c>
      <c r="I4461" s="27" t="s">
        <v>29</v>
      </c>
      <c r="J4461" s="37">
        <v>45709</v>
      </c>
      <c r="K4461" s="27" t="s">
        <v>22</v>
      </c>
    </row>
    <row r="4462" spans="1:11" x14ac:dyDescent="0.2">
      <c r="A4462" s="24" t="s">
        <v>10736</v>
      </c>
      <c r="B4462" s="24" t="s">
        <v>10737</v>
      </c>
      <c r="C4462" s="24" t="s">
        <v>10738</v>
      </c>
      <c r="D4462" s="24" t="s">
        <v>17</v>
      </c>
      <c r="E4462" s="24" t="s">
        <v>81</v>
      </c>
      <c r="F4462" s="24" t="s">
        <v>82</v>
      </c>
      <c r="G4462" s="24" t="s">
        <v>28</v>
      </c>
      <c r="H4462" s="26">
        <v>220</v>
      </c>
      <c r="I4462" s="24" t="s">
        <v>29</v>
      </c>
      <c r="J4462" s="36">
        <v>45700</v>
      </c>
      <c r="K4462" s="24" t="s">
        <v>22</v>
      </c>
    </row>
    <row r="4463" spans="1:11" x14ac:dyDescent="0.2">
      <c r="A4463" s="27" t="s">
        <v>10739</v>
      </c>
      <c r="B4463" s="27" t="s">
        <v>10740</v>
      </c>
      <c r="C4463" s="27" t="s">
        <v>213</v>
      </c>
      <c r="D4463" s="27" t="s">
        <v>17</v>
      </c>
      <c r="E4463" s="27" t="s">
        <v>18</v>
      </c>
      <c r="F4463" s="27" t="s">
        <v>19</v>
      </c>
      <c r="G4463" s="27" t="s">
        <v>20</v>
      </c>
      <c r="H4463" s="29">
        <v>12</v>
      </c>
      <c r="I4463" s="27" t="s">
        <v>21</v>
      </c>
      <c r="J4463" s="37">
        <v>45712</v>
      </c>
      <c r="K4463" s="27" t="s">
        <v>22</v>
      </c>
    </row>
    <row r="4464" spans="1:11" x14ac:dyDescent="0.2">
      <c r="A4464" s="24" t="s">
        <v>10741</v>
      </c>
      <c r="B4464" s="24" t="s">
        <v>10742</v>
      </c>
      <c r="C4464" s="24" t="s">
        <v>10743</v>
      </c>
      <c r="D4464" s="24" t="s">
        <v>17</v>
      </c>
      <c r="E4464" s="24" t="s">
        <v>18</v>
      </c>
      <c r="F4464" s="24" t="s">
        <v>19</v>
      </c>
      <c r="G4464" s="24" t="s">
        <v>28</v>
      </c>
      <c r="H4464" s="26">
        <v>102</v>
      </c>
      <c r="I4464" s="24" t="s">
        <v>29</v>
      </c>
      <c r="J4464" s="36">
        <v>45701</v>
      </c>
      <c r="K4464" s="24" t="s">
        <v>22</v>
      </c>
    </row>
    <row r="4465" spans="1:11" x14ac:dyDescent="0.2">
      <c r="A4465" s="27" t="s">
        <v>10744</v>
      </c>
      <c r="B4465" s="27" t="s">
        <v>10745</v>
      </c>
      <c r="C4465" s="27" t="s">
        <v>251</v>
      </c>
      <c r="D4465" s="27" t="s">
        <v>17</v>
      </c>
      <c r="E4465" s="27" t="s">
        <v>33</v>
      </c>
      <c r="F4465" s="27" t="s">
        <v>34</v>
      </c>
      <c r="G4465" s="27" t="s">
        <v>28</v>
      </c>
      <c r="H4465" s="29">
        <v>443</v>
      </c>
      <c r="I4465" s="27" t="s">
        <v>29</v>
      </c>
      <c r="J4465" s="37">
        <v>45715</v>
      </c>
      <c r="K4465" s="27" t="s">
        <v>22</v>
      </c>
    </row>
    <row r="4466" spans="1:11" x14ac:dyDescent="0.2">
      <c r="A4466" s="24" t="s">
        <v>10746</v>
      </c>
      <c r="B4466" s="24" t="s">
        <v>10747</v>
      </c>
      <c r="C4466" s="24" t="s">
        <v>68</v>
      </c>
      <c r="D4466" s="24" t="s">
        <v>17</v>
      </c>
      <c r="E4466" s="24" t="s">
        <v>48</v>
      </c>
      <c r="F4466" s="24" t="s">
        <v>49</v>
      </c>
      <c r="G4466" s="24" t="s">
        <v>44</v>
      </c>
      <c r="H4466" s="26">
        <v>155</v>
      </c>
      <c r="I4466" s="24" t="s">
        <v>21</v>
      </c>
      <c r="J4466" s="36">
        <v>45701</v>
      </c>
      <c r="K4466" s="24" t="s">
        <v>22</v>
      </c>
    </row>
    <row r="4467" spans="1:11" x14ac:dyDescent="0.2">
      <c r="A4467" s="27" t="s">
        <v>10748</v>
      </c>
      <c r="B4467" s="27" t="s">
        <v>10749</v>
      </c>
      <c r="C4467" s="27" t="s">
        <v>9491</v>
      </c>
      <c r="D4467" s="27" t="s">
        <v>17</v>
      </c>
      <c r="E4467" s="27" t="s">
        <v>42</v>
      </c>
      <c r="F4467" s="27" t="s">
        <v>43</v>
      </c>
      <c r="G4467" s="27" t="s">
        <v>44</v>
      </c>
      <c r="H4467" s="29">
        <v>580</v>
      </c>
      <c r="I4467" s="27" t="s">
        <v>29</v>
      </c>
      <c r="J4467" s="37">
        <v>45706</v>
      </c>
      <c r="K4467" s="27" t="s">
        <v>22</v>
      </c>
    </row>
    <row r="4468" spans="1:11" x14ac:dyDescent="0.2">
      <c r="A4468" s="24" t="s">
        <v>10750</v>
      </c>
      <c r="B4468" s="24" t="s">
        <v>10751</v>
      </c>
      <c r="C4468" s="24" t="s">
        <v>1307</v>
      </c>
      <c r="D4468" s="24" t="s">
        <v>17</v>
      </c>
      <c r="E4468" s="24" t="s">
        <v>48</v>
      </c>
      <c r="F4468" s="24" t="s">
        <v>49</v>
      </c>
      <c r="G4468" s="24" t="s">
        <v>28</v>
      </c>
      <c r="H4468" s="26">
        <v>84</v>
      </c>
      <c r="I4468" s="24" t="s">
        <v>29</v>
      </c>
      <c r="J4468" s="36">
        <v>45713</v>
      </c>
      <c r="K4468" s="24" t="s">
        <v>22</v>
      </c>
    </row>
    <row r="4469" spans="1:11" x14ac:dyDescent="0.2">
      <c r="A4469" s="27" t="s">
        <v>10752</v>
      </c>
      <c r="B4469" s="27" t="s">
        <v>10753</v>
      </c>
      <c r="C4469" s="27" t="s">
        <v>349</v>
      </c>
      <c r="D4469" s="27" t="s">
        <v>17</v>
      </c>
      <c r="E4469" s="27" t="s">
        <v>81</v>
      </c>
      <c r="F4469" s="27" t="s">
        <v>82</v>
      </c>
      <c r="G4469" s="27" t="s">
        <v>116</v>
      </c>
      <c r="H4469" s="29">
        <v>0</v>
      </c>
      <c r="I4469" s="27" t="s">
        <v>21</v>
      </c>
      <c r="J4469" s="37">
        <v>45699</v>
      </c>
      <c r="K4469" s="27" t="s">
        <v>22</v>
      </c>
    </row>
    <row r="4470" spans="1:11" x14ac:dyDescent="0.2">
      <c r="A4470" s="24" t="s">
        <v>10754</v>
      </c>
      <c r="B4470" s="24" t="s">
        <v>10755</v>
      </c>
      <c r="C4470" s="24" t="s">
        <v>1147</v>
      </c>
      <c r="D4470" s="24" t="s">
        <v>17</v>
      </c>
      <c r="E4470" s="24" t="s">
        <v>18</v>
      </c>
      <c r="F4470" s="24" t="s">
        <v>19</v>
      </c>
      <c r="G4470" s="24" t="s">
        <v>20</v>
      </c>
      <c r="H4470" s="26">
        <v>120</v>
      </c>
      <c r="I4470" s="24" t="s">
        <v>21</v>
      </c>
      <c r="J4470" s="36">
        <v>45699</v>
      </c>
      <c r="K4470" s="24" t="s">
        <v>22</v>
      </c>
    </row>
    <row r="4471" spans="1:11" x14ac:dyDescent="0.2">
      <c r="A4471" s="27" t="s">
        <v>10756</v>
      </c>
      <c r="B4471" s="27" t="s">
        <v>10757</v>
      </c>
      <c r="C4471" s="27" t="s">
        <v>1283</v>
      </c>
      <c r="D4471" s="27" t="s">
        <v>17</v>
      </c>
      <c r="E4471" s="27" t="s">
        <v>26</v>
      </c>
      <c r="F4471" s="27" t="s">
        <v>27</v>
      </c>
      <c r="G4471" s="27" t="s">
        <v>217</v>
      </c>
      <c r="H4471" s="29">
        <v>100</v>
      </c>
      <c r="I4471" s="27" t="s">
        <v>29</v>
      </c>
      <c r="J4471" s="37">
        <v>45707</v>
      </c>
      <c r="K4471" s="27" t="s">
        <v>22</v>
      </c>
    </row>
    <row r="4472" spans="1:11" x14ac:dyDescent="0.2">
      <c r="A4472" s="24" t="s">
        <v>10758</v>
      </c>
      <c r="B4472" s="24" t="s">
        <v>10759</v>
      </c>
      <c r="C4472" s="24" t="s">
        <v>203</v>
      </c>
      <c r="D4472" s="24" t="s">
        <v>17</v>
      </c>
      <c r="E4472" s="24" t="s">
        <v>48</v>
      </c>
      <c r="F4472" s="24" t="s">
        <v>49</v>
      </c>
      <c r="G4472" s="24" t="s">
        <v>44</v>
      </c>
      <c r="H4472" s="26">
        <v>140</v>
      </c>
      <c r="I4472" s="24" t="s">
        <v>29</v>
      </c>
      <c r="J4472" s="36">
        <v>45700</v>
      </c>
      <c r="K4472" s="24" t="s">
        <v>22</v>
      </c>
    </row>
    <row r="4473" spans="1:11" x14ac:dyDescent="0.2">
      <c r="A4473" s="27" t="s">
        <v>10760</v>
      </c>
      <c r="B4473" s="27" t="s">
        <v>10761</v>
      </c>
      <c r="C4473" s="27" t="s">
        <v>10762</v>
      </c>
      <c r="D4473" s="27" t="s">
        <v>17</v>
      </c>
      <c r="E4473" s="27" t="s">
        <v>48</v>
      </c>
      <c r="F4473" s="27" t="s">
        <v>49</v>
      </c>
      <c r="G4473" s="27" t="s">
        <v>20</v>
      </c>
      <c r="H4473" s="29">
        <v>370</v>
      </c>
      <c r="I4473" s="27" t="s">
        <v>21</v>
      </c>
      <c r="J4473" s="37">
        <v>45712</v>
      </c>
      <c r="K4473" s="27" t="s">
        <v>22</v>
      </c>
    </row>
    <row r="4474" spans="1:11" x14ac:dyDescent="0.2">
      <c r="A4474" s="24" t="s">
        <v>10763</v>
      </c>
      <c r="B4474" s="24" t="s">
        <v>10764</v>
      </c>
      <c r="C4474" s="24" t="s">
        <v>10765</v>
      </c>
      <c r="D4474" s="24" t="s">
        <v>17</v>
      </c>
      <c r="E4474" s="24" t="s">
        <v>48</v>
      </c>
      <c r="F4474" s="24" t="s">
        <v>49</v>
      </c>
      <c r="G4474" s="24" t="s">
        <v>20</v>
      </c>
      <c r="H4474" s="26">
        <v>226</v>
      </c>
      <c r="I4474" s="24" t="s">
        <v>21</v>
      </c>
      <c r="J4474" s="36">
        <v>45691</v>
      </c>
      <c r="K4474" s="24" t="s">
        <v>22</v>
      </c>
    </row>
    <row r="4475" spans="1:11" x14ac:dyDescent="0.2">
      <c r="A4475" s="27" t="s">
        <v>10766</v>
      </c>
      <c r="B4475" s="27" t="s">
        <v>10767</v>
      </c>
      <c r="C4475" s="27" t="s">
        <v>10073</v>
      </c>
      <c r="D4475" s="27" t="s">
        <v>17</v>
      </c>
      <c r="E4475" s="27" t="s">
        <v>18</v>
      </c>
      <c r="F4475" s="27" t="s">
        <v>19</v>
      </c>
      <c r="G4475" s="27" t="s">
        <v>20</v>
      </c>
      <c r="H4475" s="29">
        <v>28</v>
      </c>
      <c r="I4475" s="27" t="s">
        <v>21</v>
      </c>
      <c r="J4475" s="37">
        <v>45716</v>
      </c>
      <c r="K4475" s="27" t="s">
        <v>22</v>
      </c>
    </row>
    <row r="4476" spans="1:11" x14ac:dyDescent="0.2">
      <c r="A4476" s="24" t="s">
        <v>10768</v>
      </c>
      <c r="B4476" s="24" t="s">
        <v>10769</v>
      </c>
      <c r="C4476" s="24" t="s">
        <v>185</v>
      </c>
      <c r="D4476" s="24" t="s">
        <v>17</v>
      </c>
      <c r="E4476" s="24" t="s">
        <v>18</v>
      </c>
      <c r="F4476" s="24" t="s">
        <v>19</v>
      </c>
      <c r="G4476" s="24" t="s">
        <v>217</v>
      </c>
      <c r="H4476" s="26">
        <v>32</v>
      </c>
      <c r="I4476" s="24" t="s">
        <v>29</v>
      </c>
      <c r="J4476" s="36">
        <v>45716</v>
      </c>
      <c r="K4476" s="24" t="s">
        <v>22</v>
      </c>
    </row>
    <row r="4477" spans="1:11" x14ac:dyDescent="0.2">
      <c r="A4477" s="27" t="s">
        <v>10770</v>
      </c>
      <c r="B4477" s="27" t="s">
        <v>10771</v>
      </c>
      <c r="C4477" s="27" t="s">
        <v>4236</v>
      </c>
      <c r="D4477" s="27" t="s">
        <v>17</v>
      </c>
      <c r="E4477" s="27" t="s">
        <v>163</v>
      </c>
      <c r="F4477" s="27" t="s">
        <v>164</v>
      </c>
      <c r="G4477" s="27" t="s">
        <v>28</v>
      </c>
      <c r="H4477" s="29">
        <v>30</v>
      </c>
      <c r="I4477" s="27" t="s">
        <v>29</v>
      </c>
      <c r="J4477" s="37">
        <v>45700</v>
      </c>
      <c r="K4477" s="27" t="s">
        <v>22</v>
      </c>
    </row>
    <row r="4478" spans="1:11" x14ac:dyDescent="0.2">
      <c r="A4478" s="24" t="s">
        <v>10772</v>
      </c>
      <c r="B4478" s="24" t="s">
        <v>10773</v>
      </c>
      <c r="C4478" s="24" t="s">
        <v>10774</v>
      </c>
      <c r="D4478" s="24" t="s">
        <v>17</v>
      </c>
      <c r="E4478" s="24" t="s">
        <v>18</v>
      </c>
      <c r="F4478" s="24" t="s">
        <v>19</v>
      </c>
      <c r="G4478" s="24" t="s">
        <v>28</v>
      </c>
      <c r="H4478" s="26">
        <v>67</v>
      </c>
      <c r="I4478" s="24" t="s">
        <v>29</v>
      </c>
      <c r="J4478" s="36">
        <v>45691</v>
      </c>
      <c r="K4478" s="24" t="s">
        <v>22</v>
      </c>
    </row>
    <row r="4479" spans="1:11" x14ac:dyDescent="0.2">
      <c r="A4479" s="27" t="s">
        <v>10775</v>
      </c>
      <c r="B4479" s="27" t="s">
        <v>10776</v>
      </c>
      <c r="C4479" s="27" t="s">
        <v>363</v>
      </c>
      <c r="D4479" s="27" t="s">
        <v>17</v>
      </c>
      <c r="E4479" s="27" t="s">
        <v>18</v>
      </c>
      <c r="F4479" s="27" t="s">
        <v>19</v>
      </c>
      <c r="G4479" s="27" t="s">
        <v>217</v>
      </c>
      <c r="H4479" s="29">
        <v>26</v>
      </c>
      <c r="I4479" s="27" t="s">
        <v>29</v>
      </c>
      <c r="J4479" s="37">
        <v>45689</v>
      </c>
      <c r="K4479" s="27" t="s">
        <v>22</v>
      </c>
    </row>
    <row r="4480" spans="1:11" x14ac:dyDescent="0.2">
      <c r="A4480" s="24" t="s">
        <v>10777</v>
      </c>
      <c r="B4480" s="24" t="s">
        <v>10778</v>
      </c>
      <c r="C4480" s="24" t="s">
        <v>10779</v>
      </c>
      <c r="D4480" s="24" t="s">
        <v>17</v>
      </c>
      <c r="E4480" s="24" t="s">
        <v>18</v>
      </c>
      <c r="F4480" s="24" t="s">
        <v>19</v>
      </c>
      <c r="G4480" s="24" t="s">
        <v>28</v>
      </c>
      <c r="H4480" s="26">
        <v>34</v>
      </c>
      <c r="I4480" s="24" t="s">
        <v>29</v>
      </c>
      <c r="J4480" s="36">
        <v>45689</v>
      </c>
      <c r="K4480" s="24" t="s">
        <v>22</v>
      </c>
    </row>
    <row r="4481" spans="1:11" x14ac:dyDescent="0.2">
      <c r="A4481" s="27" t="s">
        <v>10780</v>
      </c>
      <c r="B4481" s="27" t="s">
        <v>10781</v>
      </c>
      <c r="C4481" s="27" t="s">
        <v>325</v>
      </c>
      <c r="D4481" s="27" t="s">
        <v>17</v>
      </c>
      <c r="E4481" s="27" t="s">
        <v>48</v>
      </c>
      <c r="F4481" s="27" t="s">
        <v>49</v>
      </c>
      <c r="G4481" s="27" t="s">
        <v>28</v>
      </c>
      <c r="H4481" s="29">
        <v>111</v>
      </c>
      <c r="I4481" s="27" t="s">
        <v>29</v>
      </c>
      <c r="J4481" s="37">
        <v>45701</v>
      </c>
      <c r="K4481" s="27" t="s">
        <v>22</v>
      </c>
    </row>
    <row r="4482" spans="1:11" x14ac:dyDescent="0.2">
      <c r="A4482" s="24" t="s">
        <v>10782</v>
      </c>
      <c r="B4482" s="24" t="s">
        <v>10783</v>
      </c>
      <c r="C4482" s="24" t="s">
        <v>10784</v>
      </c>
      <c r="D4482" s="24" t="s">
        <v>17</v>
      </c>
      <c r="E4482" s="24" t="s">
        <v>18</v>
      </c>
      <c r="F4482" s="24" t="s">
        <v>19</v>
      </c>
      <c r="G4482" s="24" t="s">
        <v>28</v>
      </c>
      <c r="H4482" s="26">
        <v>10</v>
      </c>
      <c r="I4482" s="24" t="s">
        <v>29</v>
      </c>
      <c r="J4482" s="36">
        <v>45705</v>
      </c>
      <c r="K4482" s="24" t="s">
        <v>22</v>
      </c>
    </row>
    <row r="4483" spans="1:11" x14ac:dyDescent="0.2">
      <c r="A4483" s="27" t="s">
        <v>10785</v>
      </c>
      <c r="B4483" s="27" t="s">
        <v>10786</v>
      </c>
      <c r="C4483" s="27" t="s">
        <v>10787</v>
      </c>
      <c r="D4483" s="27" t="s">
        <v>17</v>
      </c>
      <c r="E4483" s="27" t="s">
        <v>18</v>
      </c>
      <c r="F4483" s="27" t="s">
        <v>19</v>
      </c>
      <c r="G4483" s="27" t="s">
        <v>28</v>
      </c>
      <c r="H4483" s="29">
        <v>32</v>
      </c>
      <c r="I4483" s="27" t="s">
        <v>29</v>
      </c>
      <c r="J4483" s="37">
        <v>45699</v>
      </c>
      <c r="K4483" s="27" t="s">
        <v>22</v>
      </c>
    </row>
    <row r="4484" spans="1:11" x14ac:dyDescent="0.2">
      <c r="A4484" s="24" t="s">
        <v>10788</v>
      </c>
      <c r="B4484" s="24" t="s">
        <v>10789</v>
      </c>
      <c r="C4484" s="24" t="s">
        <v>1227</v>
      </c>
      <c r="D4484" s="24" t="s">
        <v>17</v>
      </c>
      <c r="E4484" s="24" t="s">
        <v>42</v>
      </c>
      <c r="F4484" s="24" t="s">
        <v>43</v>
      </c>
      <c r="G4484" s="24" t="s">
        <v>227</v>
      </c>
      <c r="H4484" s="26">
        <v>342</v>
      </c>
      <c r="I4484" s="24" t="s">
        <v>29</v>
      </c>
      <c r="J4484" s="36">
        <v>45693</v>
      </c>
      <c r="K4484" s="24" t="s">
        <v>22</v>
      </c>
    </row>
    <row r="4485" spans="1:11" x14ac:dyDescent="0.2">
      <c r="A4485" s="27" t="s">
        <v>10790</v>
      </c>
      <c r="B4485" s="27" t="s">
        <v>10791</v>
      </c>
      <c r="C4485" s="27" t="s">
        <v>2383</v>
      </c>
      <c r="D4485" s="27" t="s">
        <v>17</v>
      </c>
      <c r="E4485" s="27" t="s">
        <v>48</v>
      </c>
      <c r="F4485" s="27" t="s">
        <v>49</v>
      </c>
      <c r="G4485" s="27" t="s">
        <v>44</v>
      </c>
      <c r="H4485" s="29">
        <v>85</v>
      </c>
      <c r="I4485" s="27" t="s">
        <v>29</v>
      </c>
      <c r="J4485" s="37">
        <v>45714</v>
      </c>
      <c r="K4485" s="27" t="s">
        <v>22</v>
      </c>
    </row>
    <row r="4486" spans="1:11" x14ac:dyDescent="0.2">
      <c r="A4486" s="24" t="s">
        <v>10792</v>
      </c>
      <c r="B4486" s="24" t="s">
        <v>10793</v>
      </c>
      <c r="C4486" s="24" t="s">
        <v>9968</v>
      </c>
      <c r="D4486" s="24" t="s">
        <v>17</v>
      </c>
      <c r="E4486" s="24" t="s">
        <v>18</v>
      </c>
      <c r="F4486" s="24" t="s">
        <v>19</v>
      </c>
      <c r="G4486" s="24" t="s">
        <v>28</v>
      </c>
      <c r="H4486" s="26">
        <v>414</v>
      </c>
      <c r="I4486" s="24" t="s">
        <v>29</v>
      </c>
      <c r="J4486" s="36">
        <v>45714</v>
      </c>
      <c r="K4486" s="24" t="s">
        <v>22</v>
      </c>
    </row>
    <row r="4487" spans="1:11" x14ac:dyDescent="0.2">
      <c r="A4487" s="27" t="s">
        <v>10794</v>
      </c>
      <c r="B4487" s="27" t="s">
        <v>10795</v>
      </c>
      <c r="C4487" s="27" t="s">
        <v>746</v>
      </c>
      <c r="D4487" s="27" t="s">
        <v>17</v>
      </c>
      <c r="E4487" s="27" t="s">
        <v>42</v>
      </c>
      <c r="F4487" s="27" t="s">
        <v>43</v>
      </c>
      <c r="G4487" s="27" t="s">
        <v>44</v>
      </c>
      <c r="H4487" s="29">
        <v>321</v>
      </c>
      <c r="I4487" s="27" t="s">
        <v>21</v>
      </c>
      <c r="J4487" s="37">
        <v>45691</v>
      </c>
      <c r="K4487" s="27" t="s">
        <v>22</v>
      </c>
    </row>
    <row r="4488" spans="1:11" x14ac:dyDescent="0.2">
      <c r="A4488" s="24" t="s">
        <v>10796</v>
      </c>
      <c r="B4488" s="24" t="s">
        <v>10797</v>
      </c>
      <c r="C4488" s="24" t="s">
        <v>7471</v>
      </c>
      <c r="D4488" s="24" t="s">
        <v>17</v>
      </c>
      <c r="E4488" s="24" t="s">
        <v>48</v>
      </c>
      <c r="F4488" s="24" t="s">
        <v>49</v>
      </c>
      <c r="G4488" s="24" t="s">
        <v>44</v>
      </c>
      <c r="H4488" s="26">
        <v>20</v>
      </c>
      <c r="I4488" s="24" t="s">
        <v>29</v>
      </c>
      <c r="J4488" s="36">
        <v>45700</v>
      </c>
      <c r="K4488" s="24" t="s">
        <v>22</v>
      </c>
    </row>
    <row r="4489" spans="1:11" x14ac:dyDescent="0.2">
      <c r="A4489" s="27" t="s">
        <v>10798</v>
      </c>
      <c r="B4489" s="27" t="s">
        <v>10799</v>
      </c>
      <c r="C4489" s="27" t="s">
        <v>792</v>
      </c>
      <c r="D4489" s="27" t="s">
        <v>17</v>
      </c>
      <c r="E4489" s="27" t="s">
        <v>42</v>
      </c>
      <c r="F4489" s="27" t="s">
        <v>43</v>
      </c>
      <c r="G4489" s="27" t="s">
        <v>28</v>
      </c>
      <c r="H4489" s="29">
        <v>726</v>
      </c>
      <c r="I4489" s="27" t="s">
        <v>29</v>
      </c>
      <c r="J4489" s="37">
        <v>45715</v>
      </c>
      <c r="K4489" s="27" t="s">
        <v>22</v>
      </c>
    </row>
    <row r="4490" spans="1:11" x14ac:dyDescent="0.2">
      <c r="A4490" s="24" t="s">
        <v>10800</v>
      </c>
      <c r="B4490" s="24" t="s">
        <v>10801</v>
      </c>
      <c r="C4490" s="24" t="s">
        <v>85</v>
      </c>
      <c r="D4490" s="24" t="s">
        <v>17</v>
      </c>
      <c r="E4490" s="24" t="s">
        <v>42</v>
      </c>
      <c r="F4490" s="24" t="s">
        <v>43</v>
      </c>
      <c r="G4490" s="24" t="s">
        <v>28</v>
      </c>
      <c r="H4490" s="26">
        <v>430</v>
      </c>
      <c r="I4490" s="24" t="s">
        <v>29</v>
      </c>
      <c r="J4490" s="36">
        <v>45698</v>
      </c>
      <c r="K4490" s="24" t="s">
        <v>22</v>
      </c>
    </row>
    <row r="4491" spans="1:11" x14ac:dyDescent="0.2">
      <c r="A4491" s="27" t="s">
        <v>10802</v>
      </c>
      <c r="B4491" s="27" t="s">
        <v>10803</v>
      </c>
      <c r="C4491" s="27" t="s">
        <v>154</v>
      </c>
      <c r="D4491" s="27" t="s">
        <v>17</v>
      </c>
      <c r="E4491" s="27" t="s">
        <v>18</v>
      </c>
      <c r="F4491" s="27" t="s">
        <v>19</v>
      </c>
      <c r="G4491" s="27" t="s">
        <v>28</v>
      </c>
      <c r="H4491" s="29">
        <v>12</v>
      </c>
      <c r="I4491" s="27" t="s">
        <v>29</v>
      </c>
      <c r="J4491" s="37">
        <v>45709</v>
      </c>
      <c r="K4491" s="27" t="s">
        <v>22</v>
      </c>
    </row>
    <row r="4492" spans="1:11" x14ac:dyDescent="0.2">
      <c r="A4492" s="24" t="s">
        <v>10804</v>
      </c>
      <c r="B4492" s="24" t="s">
        <v>10805</v>
      </c>
      <c r="C4492" s="24" t="s">
        <v>475</v>
      </c>
      <c r="D4492" s="24" t="s">
        <v>17</v>
      </c>
      <c r="E4492" s="24" t="s">
        <v>48</v>
      </c>
      <c r="F4492" s="24" t="s">
        <v>49</v>
      </c>
      <c r="G4492" s="24" t="s">
        <v>217</v>
      </c>
      <c r="H4492" s="26">
        <v>60</v>
      </c>
      <c r="I4492" s="24" t="s">
        <v>29</v>
      </c>
      <c r="J4492" s="36">
        <v>45708</v>
      </c>
      <c r="K4492" s="24" t="s">
        <v>22</v>
      </c>
    </row>
    <row r="4493" spans="1:11" x14ac:dyDescent="0.2">
      <c r="A4493" s="27" t="s">
        <v>10806</v>
      </c>
      <c r="B4493" s="27" t="s">
        <v>10807</v>
      </c>
      <c r="C4493" s="27" t="s">
        <v>10808</v>
      </c>
      <c r="D4493" s="27" t="s">
        <v>17</v>
      </c>
      <c r="E4493" s="27" t="s">
        <v>18</v>
      </c>
      <c r="F4493" s="27" t="s">
        <v>19</v>
      </c>
      <c r="G4493" s="27" t="s">
        <v>28</v>
      </c>
      <c r="H4493" s="29">
        <v>70</v>
      </c>
      <c r="I4493" s="27" t="s">
        <v>29</v>
      </c>
      <c r="J4493" s="37">
        <v>45693</v>
      </c>
      <c r="K4493" s="27" t="s">
        <v>22</v>
      </c>
    </row>
    <row r="4494" spans="1:11" x14ac:dyDescent="0.2">
      <c r="A4494" s="24" t="s">
        <v>10809</v>
      </c>
      <c r="B4494" s="24" t="s">
        <v>10810</v>
      </c>
      <c r="C4494" s="24" t="s">
        <v>55</v>
      </c>
      <c r="D4494" s="24" t="s">
        <v>17</v>
      </c>
      <c r="E4494" s="24" t="s">
        <v>18</v>
      </c>
      <c r="F4494" s="24" t="s">
        <v>19</v>
      </c>
      <c r="G4494" s="24" t="s">
        <v>20</v>
      </c>
      <c r="H4494" s="26">
        <v>37</v>
      </c>
      <c r="I4494" s="24" t="s">
        <v>21</v>
      </c>
      <c r="J4494" s="36">
        <v>45715</v>
      </c>
      <c r="K4494" s="24" t="s">
        <v>22</v>
      </c>
    </row>
    <row r="4495" spans="1:11" x14ac:dyDescent="0.2">
      <c r="A4495" s="27" t="s">
        <v>10811</v>
      </c>
      <c r="B4495" s="27" t="s">
        <v>10812</v>
      </c>
      <c r="C4495" s="27" t="s">
        <v>9058</v>
      </c>
      <c r="D4495" s="27" t="s">
        <v>17</v>
      </c>
      <c r="E4495" s="27" t="s">
        <v>18</v>
      </c>
      <c r="F4495" s="27" t="s">
        <v>19</v>
      </c>
      <c r="G4495" s="27" t="s">
        <v>20</v>
      </c>
      <c r="H4495" s="29">
        <v>6</v>
      </c>
      <c r="I4495" s="27" t="s">
        <v>21</v>
      </c>
      <c r="J4495" s="37">
        <v>45713</v>
      </c>
      <c r="K4495" s="27" t="s">
        <v>22</v>
      </c>
    </row>
    <row r="4496" spans="1:11" x14ac:dyDescent="0.2">
      <c r="A4496" s="24" t="s">
        <v>10813</v>
      </c>
      <c r="B4496" s="24" t="s">
        <v>10814</v>
      </c>
      <c r="C4496" s="24" t="s">
        <v>325</v>
      </c>
      <c r="D4496" s="24" t="s">
        <v>17</v>
      </c>
      <c r="E4496" s="24" t="s">
        <v>18</v>
      </c>
      <c r="F4496" s="24" t="s">
        <v>19</v>
      </c>
      <c r="G4496" s="24" t="s">
        <v>20</v>
      </c>
      <c r="H4496" s="26">
        <v>38</v>
      </c>
      <c r="I4496" s="24" t="s">
        <v>21</v>
      </c>
      <c r="J4496" s="36">
        <v>45714</v>
      </c>
      <c r="K4496" s="24" t="s">
        <v>22</v>
      </c>
    </row>
    <row r="4497" spans="1:11" x14ac:dyDescent="0.2">
      <c r="A4497" s="27" t="s">
        <v>10815</v>
      </c>
      <c r="B4497" s="27" t="s">
        <v>10816</v>
      </c>
      <c r="C4497" s="27" t="s">
        <v>2657</v>
      </c>
      <c r="D4497" s="27" t="s">
        <v>17</v>
      </c>
      <c r="E4497" s="27" t="s">
        <v>42</v>
      </c>
      <c r="F4497" s="27" t="s">
        <v>43</v>
      </c>
      <c r="G4497" s="27" t="s">
        <v>28</v>
      </c>
      <c r="H4497" s="29">
        <v>342</v>
      </c>
      <c r="I4497" s="27" t="s">
        <v>29</v>
      </c>
      <c r="J4497" s="37">
        <v>45715</v>
      </c>
      <c r="K4497" s="27" t="s">
        <v>22</v>
      </c>
    </row>
    <row r="4498" spans="1:11" x14ac:dyDescent="0.2">
      <c r="A4498" s="24" t="s">
        <v>10817</v>
      </c>
      <c r="B4498" s="24" t="s">
        <v>10818</v>
      </c>
      <c r="C4498" s="24" t="s">
        <v>9058</v>
      </c>
      <c r="D4498" s="24" t="s">
        <v>17</v>
      </c>
      <c r="E4498" s="24" t="s">
        <v>18</v>
      </c>
      <c r="F4498" s="24" t="s">
        <v>19</v>
      </c>
      <c r="G4498" s="24" t="s">
        <v>20</v>
      </c>
      <c r="H4498" s="26">
        <v>32</v>
      </c>
      <c r="I4498" s="24" t="s">
        <v>21</v>
      </c>
      <c r="J4498" s="36">
        <v>45712</v>
      </c>
      <c r="K4498" s="24" t="s">
        <v>22</v>
      </c>
    </row>
    <row r="4499" spans="1:11" x14ac:dyDescent="0.2">
      <c r="A4499" s="27" t="s">
        <v>10819</v>
      </c>
      <c r="B4499" s="27" t="s">
        <v>10820</v>
      </c>
      <c r="C4499" s="27" t="s">
        <v>10821</v>
      </c>
      <c r="D4499" s="27" t="s">
        <v>17</v>
      </c>
      <c r="E4499" s="27" t="s">
        <v>18</v>
      </c>
      <c r="F4499" s="27" t="s">
        <v>19</v>
      </c>
      <c r="G4499" s="27" t="s">
        <v>20</v>
      </c>
      <c r="H4499" s="29">
        <v>6</v>
      </c>
      <c r="I4499" s="27" t="s">
        <v>21</v>
      </c>
      <c r="J4499" s="37">
        <v>45709</v>
      </c>
      <c r="K4499" s="27" t="s">
        <v>22</v>
      </c>
    </row>
    <row r="4500" spans="1:11" x14ac:dyDescent="0.2">
      <c r="A4500" s="24" t="s">
        <v>10822</v>
      </c>
      <c r="B4500" s="24" t="s">
        <v>10823</v>
      </c>
      <c r="C4500" s="24" t="s">
        <v>10824</v>
      </c>
      <c r="D4500" s="24" t="s">
        <v>17</v>
      </c>
      <c r="E4500" s="24" t="s">
        <v>42</v>
      </c>
      <c r="F4500" s="24" t="s">
        <v>43</v>
      </c>
      <c r="G4500" s="24" t="s">
        <v>28</v>
      </c>
      <c r="H4500" s="26">
        <v>176</v>
      </c>
      <c r="I4500" s="24" t="s">
        <v>29</v>
      </c>
      <c r="J4500" s="36">
        <v>45701</v>
      </c>
      <c r="K4500" s="24" t="s">
        <v>22</v>
      </c>
    </row>
    <row r="4501" spans="1:11" x14ac:dyDescent="0.2">
      <c r="A4501" s="27" t="s">
        <v>10825</v>
      </c>
      <c r="B4501" s="27" t="s">
        <v>10826</v>
      </c>
      <c r="C4501" s="27" t="s">
        <v>354</v>
      </c>
      <c r="D4501" s="27" t="s">
        <v>17</v>
      </c>
      <c r="E4501" s="27" t="s">
        <v>18</v>
      </c>
      <c r="F4501" s="27" t="s">
        <v>19</v>
      </c>
      <c r="G4501" s="27" t="s">
        <v>20</v>
      </c>
      <c r="H4501" s="29">
        <v>50</v>
      </c>
      <c r="I4501" s="27" t="s">
        <v>21</v>
      </c>
      <c r="J4501" s="37">
        <v>45713</v>
      </c>
      <c r="K4501" s="27" t="s">
        <v>22</v>
      </c>
    </row>
    <row r="4502" spans="1:11" x14ac:dyDescent="0.2">
      <c r="A4502" s="24" t="s">
        <v>10827</v>
      </c>
      <c r="B4502" s="24" t="s">
        <v>10828</v>
      </c>
      <c r="C4502" s="24" t="s">
        <v>10829</v>
      </c>
      <c r="D4502" s="24" t="s">
        <v>17</v>
      </c>
      <c r="E4502" s="24" t="s">
        <v>26</v>
      </c>
      <c r="F4502" s="24" t="s">
        <v>27</v>
      </c>
      <c r="G4502" s="24" t="s">
        <v>28</v>
      </c>
      <c r="H4502" s="26">
        <v>660</v>
      </c>
      <c r="I4502" s="24" t="s">
        <v>29</v>
      </c>
      <c r="J4502" s="36">
        <v>45712</v>
      </c>
      <c r="K4502" s="24" t="s">
        <v>22</v>
      </c>
    </row>
    <row r="4503" spans="1:11" x14ac:dyDescent="0.2">
      <c r="A4503" s="27" t="s">
        <v>10830</v>
      </c>
      <c r="B4503" s="27" t="s">
        <v>10831</v>
      </c>
      <c r="C4503" s="27" t="s">
        <v>1110</v>
      </c>
      <c r="D4503" s="27" t="s">
        <v>17</v>
      </c>
      <c r="E4503" s="27" t="s">
        <v>18</v>
      </c>
      <c r="F4503" s="27" t="s">
        <v>19</v>
      </c>
      <c r="G4503" s="27" t="s">
        <v>20</v>
      </c>
      <c r="H4503" s="29">
        <v>36</v>
      </c>
      <c r="I4503" s="27" t="s">
        <v>21</v>
      </c>
      <c r="J4503" s="37">
        <v>45701</v>
      </c>
      <c r="K4503" s="27" t="s">
        <v>22</v>
      </c>
    </row>
    <row r="4504" spans="1:11" x14ac:dyDescent="0.2">
      <c r="A4504" s="24" t="s">
        <v>10832</v>
      </c>
      <c r="B4504" s="24" t="s">
        <v>10833</v>
      </c>
      <c r="C4504" s="24" t="s">
        <v>7450</v>
      </c>
      <c r="D4504" s="24" t="s">
        <v>17</v>
      </c>
      <c r="E4504" s="24" t="s">
        <v>18</v>
      </c>
      <c r="F4504" s="24" t="s">
        <v>19</v>
      </c>
      <c r="G4504" s="24" t="s">
        <v>20</v>
      </c>
      <c r="H4504" s="26">
        <v>55</v>
      </c>
      <c r="I4504" s="24" t="s">
        <v>21</v>
      </c>
      <c r="J4504" s="36">
        <v>45692</v>
      </c>
      <c r="K4504" s="24" t="s">
        <v>22</v>
      </c>
    </row>
    <row r="4505" spans="1:11" x14ac:dyDescent="0.2">
      <c r="A4505" s="27" t="s">
        <v>10834</v>
      </c>
      <c r="B4505" s="27" t="s">
        <v>10835</v>
      </c>
      <c r="C4505" s="27" t="s">
        <v>10836</v>
      </c>
      <c r="D4505" s="27" t="s">
        <v>17</v>
      </c>
      <c r="E4505" s="27" t="s">
        <v>26</v>
      </c>
      <c r="F4505" s="27" t="s">
        <v>27</v>
      </c>
      <c r="G4505" s="27" t="s">
        <v>28</v>
      </c>
      <c r="H4505" s="29">
        <v>320</v>
      </c>
      <c r="I4505" s="27" t="s">
        <v>29</v>
      </c>
      <c r="J4505" s="37">
        <v>45708</v>
      </c>
      <c r="K4505" s="27" t="s">
        <v>22</v>
      </c>
    </row>
    <row r="4506" spans="1:11" x14ac:dyDescent="0.2">
      <c r="A4506" s="24" t="s">
        <v>10837</v>
      </c>
      <c r="B4506" s="24" t="s">
        <v>10838</v>
      </c>
      <c r="C4506" s="24" t="s">
        <v>10839</v>
      </c>
      <c r="D4506" s="24" t="s">
        <v>17</v>
      </c>
      <c r="E4506" s="24" t="s">
        <v>26</v>
      </c>
      <c r="F4506" s="24" t="s">
        <v>27</v>
      </c>
      <c r="G4506" s="24" t="s">
        <v>28</v>
      </c>
      <c r="H4506" s="26">
        <v>76</v>
      </c>
      <c r="I4506" s="24" t="s">
        <v>29</v>
      </c>
      <c r="J4506" s="36">
        <v>45713</v>
      </c>
      <c r="K4506" s="24" t="s">
        <v>22</v>
      </c>
    </row>
    <row r="4507" spans="1:11" x14ac:dyDescent="0.2">
      <c r="A4507" s="27" t="s">
        <v>10840</v>
      </c>
      <c r="B4507" s="27" t="s">
        <v>10841</v>
      </c>
      <c r="C4507" s="27" t="s">
        <v>1883</v>
      </c>
      <c r="D4507" s="27" t="s">
        <v>17</v>
      </c>
      <c r="E4507" s="27" t="s">
        <v>48</v>
      </c>
      <c r="F4507" s="27" t="s">
        <v>49</v>
      </c>
      <c r="G4507" s="27" t="s">
        <v>28</v>
      </c>
      <c r="H4507" s="29">
        <v>240</v>
      </c>
      <c r="I4507" s="27" t="s">
        <v>29</v>
      </c>
      <c r="J4507" s="37">
        <v>45695</v>
      </c>
      <c r="K4507" s="27" t="s">
        <v>22</v>
      </c>
    </row>
    <row r="4508" spans="1:11" x14ac:dyDescent="0.2">
      <c r="A4508" s="24" t="s">
        <v>10842</v>
      </c>
      <c r="B4508" s="24" t="s">
        <v>10843</v>
      </c>
      <c r="C4508" s="24" t="s">
        <v>1227</v>
      </c>
      <c r="D4508" s="24" t="s">
        <v>17</v>
      </c>
      <c r="E4508" s="24" t="s">
        <v>48</v>
      </c>
      <c r="F4508" s="24" t="s">
        <v>49</v>
      </c>
      <c r="G4508" s="24" t="s">
        <v>217</v>
      </c>
      <c r="H4508" s="26">
        <v>150</v>
      </c>
      <c r="I4508" s="24" t="s">
        <v>29</v>
      </c>
      <c r="J4508" s="36">
        <v>45689</v>
      </c>
      <c r="K4508" s="24" t="s">
        <v>22</v>
      </c>
    </row>
    <row r="4509" spans="1:11" x14ac:dyDescent="0.2">
      <c r="A4509" s="27" t="s">
        <v>10844</v>
      </c>
      <c r="B4509" s="27" t="s">
        <v>10845</v>
      </c>
      <c r="C4509" s="27" t="s">
        <v>1050</v>
      </c>
      <c r="D4509" s="27" t="s">
        <v>17</v>
      </c>
      <c r="E4509" s="27" t="s">
        <v>42</v>
      </c>
      <c r="F4509" s="27" t="s">
        <v>43</v>
      </c>
      <c r="G4509" s="27" t="s">
        <v>217</v>
      </c>
      <c r="H4509" s="29">
        <v>770</v>
      </c>
      <c r="I4509" s="27" t="s">
        <v>29</v>
      </c>
      <c r="J4509" s="37">
        <v>45702</v>
      </c>
      <c r="K4509" s="27" t="s">
        <v>22</v>
      </c>
    </row>
    <row r="4510" spans="1:11" x14ac:dyDescent="0.2">
      <c r="A4510" s="24" t="s">
        <v>10846</v>
      </c>
      <c r="B4510" s="24" t="s">
        <v>10847</v>
      </c>
      <c r="C4510" s="24" t="s">
        <v>4490</v>
      </c>
      <c r="D4510" s="24" t="s">
        <v>17</v>
      </c>
      <c r="E4510" s="24" t="s">
        <v>18</v>
      </c>
      <c r="F4510" s="24" t="s">
        <v>19</v>
      </c>
      <c r="G4510" s="24" t="s">
        <v>20</v>
      </c>
      <c r="H4510" s="26">
        <v>38</v>
      </c>
      <c r="I4510" s="24" t="s">
        <v>21</v>
      </c>
      <c r="J4510" s="36">
        <v>45706</v>
      </c>
      <c r="K4510" s="24" t="s">
        <v>22</v>
      </c>
    </row>
    <row r="4511" spans="1:11" x14ac:dyDescent="0.2">
      <c r="A4511" s="27" t="s">
        <v>10848</v>
      </c>
      <c r="B4511" s="27" t="s">
        <v>10849</v>
      </c>
      <c r="C4511" s="27" t="s">
        <v>618</v>
      </c>
      <c r="D4511" s="27" t="s">
        <v>17</v>
      </c>
      <c r="E4511" s="27" t="s">
        <v>18</v>
      </c>
      <c r="F4511" s="27" t="s">
        <v>19</v>
      </c>
      <c r="G4511" s="27" t="s">
        <v>28</v>
      </c>
      <c r="H4511" s="29">
        <v>475</v>
      </c>
      <c r="I4511" s="27" t="s">
        <v>29</v>
      </c>
      <c r="J4511" s="37">
        <v>45714</v>
      </c>
      <c r="K4511" s="27" t="s">
        <v>22</v>
      </c>
    </row>
    <row r="4512" spans="1:11" x14ac:dyDescent="0.2">
      <c r="A4512" s="24" t="s">
        <v>10850</v>
      </c>
      <c r="B4512" s="24" t="s">
        <v>10851</v>
      </c>
      <c r="C4512" s="24" t="s">
        <v>10852</v>
      </c>
      <c r="D4512" s="24" t="s">
        <v>17</v>
      </c>
      <c r="E4512" s="24" t="s">
        <v>42</v>
      </c>
      <c r="F4512" s="24" t="s">
        <v>43</v>
      </c>
      <c r="G4512" s="24" t="s">
        <v>28</v>
      </c>
      <c r="H4512" s="26">
        <v>760</v>
      </c>
      <c r="I4512" s="24" t="s">
        <v>29</v>
      </c>
      <c r="J4512" s="36">
        <v>45692</v>
      </c>
      <c r="K4512" s="24" t="s">
        <v>22</v>
      </c>
    </row>
    <row r="4513" spans="1:11" x14ac:dyDescent="0.2">
      <c r="A4513" s="27" t="s">
        <v>10853</v>
      </c>
      <c r="B4513" s="27" t="s">
        <v>10854</v>
      </c>
      <c r="C4513" s="27" t="s">
        <v>10855</v>
      </c>
      <c r="D4513" s="27" t="s">
        <v>17</v>
      </c>
      <c r="E4513" s="27" t="s">
        <v>48</v>
      </c>
      <c r="F4513" s="27" t="s">
        <v>49</v>
      </c>
      <c r="G4513" s="27" t="s">
        <v>28</v>
      </c>
      <c r="H4513" s="29">
        <v>150</v>
      </c>
      <c r="I4513" s="27" t="s">
        <v>29</v>
      </c>
      <c r="J4513" s="37">
        <v>45713</v>
      </c>
      <c r="K4513" s="27" t="s">
        <v>22</v>
      </c>
    </row>
    <row r="4514" spans="1:11" x14ac:dyDescent="0.2">
      <c r="A4514" s="24" t="s">
        <v>10856</v>
      </c>
      <c r="B4514" s="24" t="s">
        <v>10857</v>
      </c>
      <c r="C4514" s="24" t="s">
        <v>6740</v>
      </c>
      <c r="D4514" s="24" t="s">
        <v>17</v>
      </c>
      <c r="E4514" s="24" t="s">
        <v>81</v>
      </c>
      <c r="F4514" s="24" t="s">
        <v>82</v>
      </c>
      <c r="G4514" s="24" t="s">
        <v>20</v>
      </c>
      <c r="H4514" s="26">
        <v>45</v>
      </c>
      <c r="I4514" s="24" t="s">
        <v>21</v>
      </c>
      <c r="J4514" s="36">
        <v>45708</v>
      </c>
      <c r="K4514" s="24" t="s">
        <v>22</v>
      </c>
    </row>
    <row r="4515" spans="1:11" x14ac:dyDescent="0.2">
      <c r="A4515" s="27" t="s">
        <v>10858</v>
      </c>
      <c r="B4515" s="27" t="s">
        <v>10859</v>
      </c>
      <c r="C4515" s="27" t="s">
        <v>2138</v>
      </c>
      <c r="D4515" s="27" t="s">
        <v>17</v>
      </c>
      <c r="E4515" s="27" t="s">
        <v>26</v>
      </c>
      <c r="F4515" s="27" t="s">
        <v>27</v>
      </c>
      <c r="G4515" s="27" t="s">
        <v>28</v>
      </c>
      <c r="H4515" s="29">
        <v>10</v>
      </c>
      <c r="I4515" s="27" t="s">
        <v>29</v>
      </c>
      <c r="J4515" s="37">
        <v>45694</v>
      </c>
      <c r="K4515" s="27" t="s">
        <v>22</v>
      </c>
    </row>
    <row r="4516" spans="1:11" x14ac:dyDescent="0.2">
      <c r="A4516" s="24" t="s">
        <v>10860</v>
      </c>
      <c r="B4516" s="24" t="s">
        <v>10861</v>
      </c>
      <c r="C4516" s="24" t="s">
        <v>1376</v>
      </c>
      <c r="D4516" s="24" t="s">
        <v>17</v>
      </c>
      <c r="E4516" s="24" t="s">
        <v>18</v>
      </c>
      <c r="F4516" s="24" t="s">
        <v>19</v>
      </c>
      <c r="G4516" s="24" t="s">
        <v>20</v>
      </c>
      <c r="H4516" s="26">
        <v>160</v>
      </c>
      <c r="I4516" s="24" t="s">
        <v>21</v>
      </c>
      <c r="J4516" s="36">
        <v>45692</v>
      </c>
      <c r="K4516" s="24" t="s">
        <v>22</v>
      </c>
    </row>
    <row r="4517" spans="1:11" x14ac:dyDescent="0.2">
      <c r="A4517" s="27" t="s">
        <v>10862</v>
      </c>
      <c r="B4517" s="27" t="s">
        <v>10863</v>
      </c>
      <c r="C4517" s="27" t="s">
        <v>827</v>
      </c>
      <c r="D4517" s="27" t="s">
        <v>17</v>
      </c>
      <c r="E4517" s="27" t="s">
        <v>42</v>
      </c>
      <c r="F4517" s="27" t="s">
        <v>43</v>
      </c>
      <c r="G4517" s="27" t="s">
        <v>28</v>
      </c>
      <c r="H4517" s="29">
        <v>416</v>
      </c>
      <c r="I4517" s="27" t="s">
        <v>29</v>
      </c>
      <c r="J4517" s="37">
        <v>45695</v>
      </c>
      <c r="K4517" s="27" t="s">
        <v>22</v>
      </c>
    </row>
    <row r="4518" spans="1:11" x14ac:dyDescent="0.2">
      <c r="A4518" s="24" t="s">
        <v>10864</v>
      </c>
      <c r="B4518" s="24" t="s">
        <v>10865</v>
      </c>
      <c r="C4518" s="24" t="s">
        <v>10866</v>
      </c>
      <c r="D4518" s="24" t="s">
        <v>17</v>
      </c>
      <c r="E4518" s="24" t="s">
        <v>48</v>
      </c>
      <c r="F4518" s="24" t="s">
        <v>49</v>
      </c>
      <c r="G4518" s="24" t="s">
        <v>28</v>
      </c>
      <c r="H4518" s="26">
        <v>56</v>
      </c>
      <c r="I4518" s="24" t="s">
        <v>29</v>
      </c>
      <c r="J4518" s="36">
        <v>45693</v>
      </c>
      <c r="K4518" s="24" t="s">
        <v>22</v>
      </c>
    </row>
    <row r="4519" spans="1:11" x14ac:dyDescent="0.2">
      <c r="A4519" s="27" t="s">
        <v>10867</v>
      </c>
      <c r="B4519" s="27" t="s">
        <v>10868</v>
      </c>
      <c r="C4519" s="27" t="s">
        <v>437</v>
      </c>
      <c r="D4519" s="27" t="s">
        <v>17</v>
      </c>
      <c r="E4519" s="27" t="s">
        <v>48</v>
      </c>
      <c r="F4519" s="27" t="s">
        <v>49</v>
      </c>
      <c r="G4519" s="27" t="s">
        <v>44</v>
      </c>
      <c r="H4519" s="29">
        <v>252</v>
      </c>
      <c r="I4519" s="27" t="s">
        <v>21</v>
      </c>
      <c r="J4519" s="37">
        <v>45714</v>
      </c>
      <c r="K4519" s="27" t="s">
        <v>22</v>
      </c>
    </row>
    <row r="4520" spans="1:11" x14ac:dyDescent="0.2">
      <c r="A4520" s="24" t="s">
        <v>10869</v>
      </c>
      <c r="B4520" s="24" t="s">
        <v>10870</v>
      </c>
      <c r="C4520" s="24" t="s">
        <v>3917</v>
      </c>
      <c r="D4520" s="24" t="s">
        <v>17</v>
      </c>
      <c r="E4520" s="24" t="s">
        <v>42</v>
      </c>
      <c r="F4520" s="24" t="s">
        <v>43</v>
      </c>
      <c r="G4520" s="24" t="s">
        <v>28</v>
      </c>
      <c r="H4520" s="26">
        <v>294</v>
      </c>
      <c r="I4520" s="24" t="s">
        <v>29</v>
      </c>
      <c r="J4520" s="36">
        <v>45712</v>
      </c>
      <c r="K4520" s="24" t="s">
        <v>22</v>
      </c>
    </row>
    <row r="4521" spans="1:11" x14ac:dyDescent="0.2">
      <c r="A4521" s="27" t="s">
        <v>10871</v>
      </c>
      <c r="B4521" s="27" t="s">
        <v>10872</v>
      </c>
      <c r="C4521" s="27" t="s">
        <v>1617</v>
      </c>
      <c r="D4521" s="27" t="s">
        <v>17</v>
      </c>
      <c r="E4521" s="27" t="s">
        <v>42</v>
      </c>
      <c r="F4521" s="27" t="s">
        <v>43</v>
      </c>
      <c r="G4521" s="27" t="s">
        <v>217</v>
      </c>
      <c r="H4521" s="29">
        <v>318</v>
      </c>
      <c r="I4521" s="27" t="s">
        <v>29</v>
      </c>
      <c r="J4521" s="37">
        <v>45703</v>
      </c>
      <c r="K4521" s="27" t="s">
        <v>22</v>
      </c>
    </row>
    <row r="4522" spans="1:11" x14ac:dyDescent="0.2">
      <c r="A4522" s="24" t="s">
        <v>10873</v>
      </c>
      <c r="B4522" s="24" t="s">
        <v>10874</v>
      </c>
      <c r="C4522" s="24" t="s">
        <v>687</v>
      </c>
      <c r="D4522" s="24" t="s">
        <v>17</v>
      </c>
      <c r="E4522" s="24" t="s">
        <v>18</v>
      </c>
      <c r="F4522" s="24" t="s">
        <v>19</v>
      </c>
      <c r="G4522" s="24" t="s">
        <v>20</v>
      </c>
      <c r="H4522" s="26">
        <v>37</v>
      </c>
      <c r="I4522" s="24" t="s">
        <v>21</v>
      </c>
      <c r="J4522" s="36">
        <v>45694</v>
      </c>
      <c r="K4522" s="24" t="s">
        <v>22</v>
      </c>
    </row>
    <row r="4523" spans="1:11" x14ac:dyDescent="0.2">
      <c r="A4523" s="27" t="s">
        <v>10875</v>
      </c>
      <c r="B4523" s="27" t="s">
        <v>10876</v>
      </c>
      <c r="C4523" s="27" t="s">
        <v>5121</v>
      </c>
      <c r="D4523" s="27" t="s">
        <v>17</v>
      </c>
      <c r="E4523" s="27" t="s">
        <v>18</v>
      </c>
      <c r="F4523" s="27" t="s">
        <v>19</v>
      </c>
      <c r="G4523" s="27" t="s">
        <v>28</v>
      </c>
      <c r="H4523" s="29">
        <v>80</v>
      </c>
      <c r="I4523" s="27" t="s">
        <v>29</v>
      </c>
      <c r="J4523" s="37">
        <v>45707</v>
      </c>
      <c r="K4523" s="27" t="s">
        <v>22</v>
      </c>
    </row>
    <row r="4524" spans="1:11" x14ac:dyDescent="0.2">
      <c r="A4524" s="24" t="s">
        <v>10877</v>
      </c>
      <c r="B4524" s="24" t="s">
        <v>10878</v>
      </c>
      <c r="C4524" s="24" t="s">
        <v>10879</v>
      </c>
      <c r="D4524" s="24" t="s">
        <v>17</v>
      </c>
      <c r="E4524" s="24" t="s">
        <v>18</v>
      </c>
      <c r="F4524" s="24" t="s">
        <v>19</v>
      </c>
      <c r="G4524" s="24" t="s">
        <v>20</v>
      </c>
      <c r="H4524" s="26">
        <v>6</v>
      </c>
      <c r="I4524" s="24" t="s">
        <v>21</v>
      </c>
      <c r="J4524" s="36">
        <v>45707</v>
      </c>
      <c r="K4524" s="24" t="s">
        <v>22</v>
      </c>
    </row>
    <row r="4525" spans="1:11" x14ac:dyDescent="0.2">
      <c r="A4525" s="27" t="s">
        <v>10880</v>
      </c>
      <c r="B4525" s="27" t="s">
        <v>10881</v>
      </c>
      <c r="C4525" s="27" t="s">
        <v>301</v>
      </c>
      <c r="D4525" s="27" t="s">
        <v>17</v>
      </c>
      <c r="E4525" s="27" t="s">
        <v>42</v>
      </c>
      <c r="F4525" s="27" t="s">
        <v>43</v>
      </c>
      <c r="G4525" s="27" t="s">
        <v>44</v>
      </c>
      <c r="H4525" s="29">
        <v>552</v>
      </c>
      <c r="I4525" s="27" t="s">
        <v>21</v>
      </c>
      <c r="J4525" s="37">
        <v>45709</v>
      </c>
      <c r="K4525" s="27" t="s">
        <v>22</v>
      </c>
    </row>
    <row r="4526" spans="1:11" x14ac:dyDescent="0.2">
      <c r="A4526" s="24" t="s">
        <v>10882</v>
      </c>
      <c r="B4526" s="24" t="s">
        <v>10883</v>
      </c>
      <c r="C4526" s="24" t="s">
        <v>2331</v>
      </c>
      <c r="D4526" s="24" t="s">
        <v>17</v>
      </c>
      <c r="E4526" s="24" t="s">
        <v>42</v>
      </c>
      <c r="F4526" s="24" t="s">
        <v>43</v>
      </c>
      <c r="G4526" s="24" t="s">
        <v>28</v>
      </c>
      <c r="H4526" s="26">
        <v>621</v>
      </c>
      <c r="I4526" s="24" t="s">
        <v>29</v>
      </c>
      <c r="J4526" s="36">
        <v>45691</v>
      </c>
      <c r="K4526" s="24" t="s">
        <v>22</v>
      </c>
    </row>
    <row r="4527" spans="1:11" x14ac:dyDescent="0.2">
      <c r="A4527" s="27" t="s">
        <v>10884</v>
      </c>
      <c r="B4527" s="27" t="s">
        <v>10885</v>
      </c>
      <c r="C4527" s="27" t="s">
        <v>827</v>
      </c>
      <c r="D4527" s="27" t="s">
        <v>17</v>
      </c>
      <c r="E4527" s="27" t="s">
        <v>18</v>
      </c>
      <c r="F4527" s="27" t="s">
        <v>19</v>
      </c>
      <c r="G4527" s="27" t="s">
        <v>217</v>
      </c>
      <c r="H4527" s="29">
        <v>85</v>
      </c>
      <c r="I4527" s="27" t="s">
        <v>29</v>
      </c>
      <c r="J4527" s="37">
        <v>45716</v>
      </c>
      <c r="K4527" s="27" t="s">
        <v>22</v>
      </c>
    </row>
    <row r="4528" spans="1:11" x14ac:dyDescent="0.2">
      <c r="A4528" s="24" t="s">
        <v>10886</v>
      </c>
      <c r="B4528" s="24" t="s">
        <v>10887</v>
      </c>
      <c r="C4528" s="24" t="s">
        <v>10888</v>
      </c>
      <c r="D4528" s="24" t="s">
        <v>17</v>
      </c>
      <c r="E4528" s="24" t="s">
        <v>26</v>
      </c>
      <c r="F4528" s="24" t="s">
        <v>27</v>
      </c>
      <c r="G4528" s="24" t="s">
        <v>28</v>
      </c>
      <c r="H4528" s="26">
        <v>100</v>
      </c>
      <c r="I4528" s="24" t="s">
        <v>29</v>
      </c>
      <c r="J4528" s="36">
        <v>45695</v>
      </c>
      <c r="K4528" s="24" t="s">
        <v>22</v>
      </c>
    </row>
    <row r="4529" spans="1:11" x14ac:dyDescent="0.2">
      <c r="A4529" s="27" t="s">
        <v>10889</v>
      </c>
      <c r="B4529" s="27" t="s">
        <v>10890</v>
      </c>
      <c r="C4529" s="27" t="s">
        <v>5505</v>
      </c>
      <c r="D4529" s="27" t="s">
        <v>17</v>
      </c>
      <c r="E4529" s="27" t="s">
        <v>48</v>
      </c>
      <c r="F4529" s="27" t="s">
        <v>49</v>
      </c>
      <c r="G4529" s="27" t="s">
        <v>28</v>
      </c>
      <c r="H4529" s="29">
        <v>60</v>
      </c>
      <c r="I4529" s="27" t="s">
        <v>29</v>
      </c>
      <c r="J4529" s="37">
        <v>45712</v>
      </c>
      <c r="K4529" s="27" t="s">
        <v>22</v>
      </c>
    </row>
    <row r="4530" spans="1:11" x14ac:dyDescent="0.2">
      <c r="A4530" s="24" t="s">
        <v>10891</v>
      </c>
      <c r="B4530" s="24" t="s">
        <v>10892</v>
      </c>
      <c r="C4530" s="24" t="s">
        <v>9151</v>
      </c>
      <c r="D4530" s="24" t="s">
        <v>17</v>
      </c>
      <c r="E4530" s="24" t="s">
        <v>48</v>
      </c>
      <c r="F4530" s="24" t="s">
        <v>49</v>
      </c>
      <c r="G4530" s="24" t="s">
        <v>28</v>
      </c>
      <c r="H4530" s="26">
        <v>56</v>
      </c>
      <c r="I4530" s="24" t="s">
        <v>29</v>
      </c>
      <c r="J4530" s="36">
        <v>45707</v>
      </c>
      <c r="K4530" s="24" t="s">
        <v>22</v>
      </c>
    </row>
    <row r="4531" spans="1:11" x14ac:dyDescent="0.2">
      <c r="A4531" s="27" t="s">
        <v>10893</v>
      </c>
      <c r="B4531" s="27" t="s">
        <v>10894</v>
      </c>
      <c r="C4531" s="27" t="s">
        <v>10895</v>
      </c>
      <c r="D4531" s="27" t="s">
        <v>17</v>
      </c>
      <c r="E4531" s="27" t="s">
        <v>42</v>
      </c>
      <c r="F4531" s="27" t="s">
        <v>43</v>
      </c>
      <c r="G4531" s="27" t="s">
        <v>28</v>
      </c>
      <c r="H4531" s="29">
        <v>416</v>
      </c>
      <c r="I4531" s="27" t="s">
        <v>29</v>
      </c>
      <c r="J4531" s="37">
        <v>45693</v>
      </c>
      <c r="K4531" s="27" t="s">
        <v>22</v>
      </c>
    </row>
    <row r="4532" spans="1:11" x14ac:dyDescent="0.2">
      <c r="A4532" s="24" t="s">
        <v>10896</v>
      </c>
      <c r="B4532" s="24" t="s">
        <v>10897</v>
      </c>
      <c r="C4532" s="24" t="s">
        <v>10898</v>
      </c>
      <c r="D4532" s="24" t="s">
        <v>17</v>
      </c>
      <c r="E4532" s="24" t="s">
        <v>42</v>
      </c>
      <c r="F4532" s="24" t="s">
        <v>43</v>
      </c>
      <c r="G4532" s="24" t="s">
        <v>28</v>
      </c>
      <c r="H4532" s="26">
        <v>780</v>
      </c>
      <c r="I4532" s="24" t="s">
        <v>29</v>
      </c>
      <c r="J4532" s="36">
        <v>45715</v>
      </c>
      <c r="K4532" s="24" t="s">
        <v>22</v>
      </c>
    </row>
    <row r="4533" spans="1:11" x14ac:dyDescent="0.2">
      <c r="A4533" s="27" t="s">
        <v>10899</v>
      </c>
      <c r="B4533" s="27" t="s">
        <v>10900</v>
      </c>
      <c r="C4533" s="27" t="s">
        <v>146</v>
      </c>
      <c r="D4533" s="27" t="s">
        <v>17</v>
      </c>
      <c r="E4533" s="27" t="s">
        <v>48</v>
      </c>
      <c r="F4533" s="27" t="s">
        <v>49</v>
      </c>
      <c r="G4533" s="27" t="s">
        <v>44</v>
      </c>
      <c r="H4533" s="29">
        <v>307</v>
      </c>
      <c r="I4533" s="27" t="s">
        <v>21</v>
      </c>
      <c r="J4533" s="37">
        <v>45698</v>
      </c>
      <c r="K4533" s="27" t="s">
        <v>22</v>
      </c>
    </row>
    <row r="4534" spans="1:11" x14ac:dyDescent="0.2">
      <c r="A4534" s="24" t="s">
        <v>10901</v>
      </c>
      <c r="B4534" s="24" t="s">
        <v>10902</v>
      </c>
      <c r="C4534" s="24" t="s">
        <v>298</v>
      </c>
      <c r="D4534" s="24" t="s">
        <v>17</v>
      </c>
      <c r="E4534" s="24" t="s">
        <v>48</v>
      </c>
      <c r="F4534" s="24" t="s">
        <v>49</v>
      </c>
      <c r="G4534" s="24" t="s">
        <v>44</v>
      </c>
      <c r="H4534" s="26">
        <v>100</v>
      </c>
      <c r="I4534" s="24" t="s">
        <v>29</v>
      </c>
      <c r="J4534" s="36">
        <v>45706</v>
      </c>
      <c r="K4534" s="24" t="s">
        <v>22</v>
      </c>
    </row>
    <row r="4535" spans="1:11" x14ac:dyDescent="0.2">
      <c r="A4535" s="27" t="s">
        <v>10903</v>
      </c>
      <c r="B4535" s="27" t="s">
        <v>10904</v>
      </c>
      <c r="C4535" s="27" t="s">
        <v>9677</v>
      </c>
      <c r="D4535" s="27" t="s">
        <v>17</v>
      </c>
      <c r="E4535" s="27" t="s">
        <v>18</v>
      </c>
      <c r="F4535" s="27" t="s">
        <v>19</v>
      </c>
      <c r="G4535" s="27" t="s">
        <v>20</v>
      </c>
      <c r="H4535" s="29">
        <v>10</v>
      </c>
      <c r="I4535" s="27" t="s">
        <v>21</v>
      </c>
      <c r="J4535" s="37">
        <v>45712</v>
      </c>
      <c r="K4535" s="27" t="s">
        <v>22</v>
      </c>
    </row>
    <row r="4536" spans="1:11" x14ac:dyDescent="0.2">
      <c r="A4536" s="24" t="s">
        <v>10905</v>
      </c>
      <c r="B4536" s="24" t="s">
        <v>10906</v>
      </c>
      <c r="C4536" s="24" t="s">
        <v>3402</v>
      </c>
      <c r="D4536" s="24" t="s">
        <v>17</v>
      </c>
      <c r="E4536" s="24" t="s">
        <v>48</v>
      </c>
      <c r="F4536" s="24" t="s">
        <v>49</v>
      </c>
      <c r="G4536" s="24" t="s">
        <v>28</v>
      </c>
      <c r="H4536" s="26">
        <v>60</v>
      </c>
      <c r="I4536" s="24" t="s">
        <v>29</v>
      </c>
      <c r="J4536" s="36">
        <v>45694</v>
      </c>
      <c r="K4536" s="24" t="s">
        <v>22</v>
      </c>
    </row>
    <row r="4537" spans="1:11" x14ac:dyDescent="0.2">
      <c r="A4537" s="27" t="s">
        <v>10907</v>
      </c>
      <c r="B4537" s="27" t="s">
        <v>10908</v>
      </c>
      <c r="C4537" s="27" t="s">
        <v>134</v>
      </c>
      <c r="D4537" s="27" t="s">
        <v>17</v>
      </c>
      <c r="E4537" s="27" t="s">
        <v>18</v>
      </c>
      <c r="F4537" s="27" t="s">
        <v>19</v>
      </c>
      <c r="G4537" s="27" t="s">
        <v>20</v>
      </c>
      <c r="H4537" s="29">
        <v>42</v>
      </c>
      <c r="I4537" s="27" t="s">
        <v>21</v>
      </c>
      <c r="J4537" s="37">
        <v>45698</v>
      </c>
      <c r="K4537" s="27" t="s">
        <v>22</v>
      </c>
    </row>
    <row r="4538" spans="1:11" x14ac:dyDescent="0.2">
      <c r="A4538" s="24" t="s">
        <v>10909</v>
      </c>
      <c r="B4538" s="24" t="s">
        <v>10910</v>
      </c>
      <c r="C4538" s="24" t="s">
        <v>10911</v>
      </c>
      <c r="D4538" s="24" t="s">
        <v>17</v>
      </c>
      <c r="E4538" s="24" t="s">
        <v>42</v>
      </c>
      <c r="F4538" s="24" t="s">
        <v>43</v>
      </c>
      <c r="G4538" s="24" t="s">
        <v>44</v>
      </c>
      <c r="H4538" s="26">
        <v>2399</v>
      </c>
      <c r="I4538" s="24" t="s">
        <v>21</v>
      </c>
      <c r="J4538" s="36">
        <v>45696</v>
      </c>
      <c r="K4538" s="24" t="s">
        <v>22</v>
      </c>
    </row>
    <row r="4539" spans="1:11" x14ac:dyDescent="0.2">
      <c r="A4539" s="27" t="s">
        <v>10912</v>
      </c>
      <c r="B4539" s="27" t="s">
        <v>10913</v>
      </c>
      <c r="C4539" s="27" t="s">
        <v>134</v>
      </c>
      <c r="D4539" s="27" t="s">
        <v>17</v>
      </c>
      <c r="E4539" s="27" t="s">
        <v>18</v>
      </c>
      <c r="F4539" s="27" t="s">
        <v>19</v>
      </c>
      <c r="G4539" s="27" t="s">
        <v>20</v>
      </c>
      <c r="H4539" s="29">
        <v>74</v>
      </c>
      <c r="I4539" s="27" t="s">
        <v>21</v>
      </c>
      <c r="J4539" s="37">
        <v>45715</v>
      </c>
      <c r="K4539" s="27" t="s">
        <v>22</v>
      </c>
    </row>
    <row r="4540" spans="1:11" x14ac:dyDescent="0.2">
      <c r="A4540" s="24" t="s">
        <v>10914</v>
      </c>
      <c r="B4540" s="24" t="s">
        <v>10915</v>
      </c>
      <c r="C4540" s="24" t="s">
        <v>494</v>
      </c>
      <c r="D4540" s="24" t="s">
        <v>17</v>
      </c>
      <c r="E4540" s="24" t="s">
        <v>18</v>
      </c>
      <c r="F4540" s="24" t="s">
        <v>19</v>
      </c>
      <c r="G4540" s="24" t="s">
        <v>20</v>
      </c>
      <c r="H4540" s="26">
        <v>48</v>
      </c>
      <c r="I4540" s="24" t="s">
        <v>21</v>
      </c>
      <c r="J4540" s="36">
        <v>45699</v>
      </c>
      <c r="K4540" s="24" t="s">
        <v>22</v>
      </c>
    </row>
    <row r="4541" spans="1:11" x14ac:dyDescent="0.2">
      <c r="A4541" s="27" t="s">
        <v>10916</v>
      </c>
      <c r="B4541" s="27" t="s">
        <v>10917</v>
      </c>
      <c r="C4541" s="27" t="s">
        <v>10918</v>
      </c>
      <c r="D4541" s="27" t="s">
        <v>17</v>
      </c>
      <c r="E4541" s="27" t="s">
        <v>48</v>
      </c>
      <c r="F4541" s="27" t="s">
        <v>49</v>
      </c>
      <c r="G4541" s="27" t="s">
        <v>28</v>
      </c>
      <c r="H4541" s="29">
        <v>15</v>
      </c>
      <c r="I4541" s="27" t="s">
        <v>29</v>
      </c>
      <c r="J4541" s="37">
        <v>45692</v>
      </c>
      <c r="K4541" s="27" t="s">
        <v>22</v>
      </c>
    </row>
    <row r="4542" spans="1:11" x14ac:dyDescent="0.2">
      <c r="A4542" s="24" t="s">
        <v>10919</v>
      </c>
      <c r="B4542" s="24" t="s">
        <v>10920</v>
      </c>
      <c r="C4542" s="24" t="s">
        <v>146</v>
      </c>
      <c r="D4542" s="24" t="s">
        <v>17</v>
      </c>
      <c r="E4542" s="24" t="s">
        <v>48</v>
      </c>
      <c r="F4542" s="24" t="s">
        <v>49</v>
      </c>
      <c r="G4542" s="24" t="s">
        <v>28</v>
      </c>
      <c r="H4542" s="26">
        <v>120</v>
      </c>
      <c r="I4542" s="24" t="s">
        <v>29</v>
      </c>
      <c r="J4542" s="36">
        <v>45705</v>
      </c>
      <c r="K4542" s="24" t="s">
        <v>22</v>
      </c>
    </row>
    <row r="4543" spans="1:11" x14ac:dyDescent="0.2">
      <c r="A4543" s="27" t="s">
        <v>10921</v>
      </c>
      <c r="B4543" s="27" t="s">
        <v>10694</v>
      </c>
      <c r="C4543" s="27" t="s">
        <v>208</v>
      </c>
      <c r="D4543" s="27" t="s">
        <v>17</v>
      </c>
      <c r="E4543" s="27" t="s">
        <v>42</v>
      </c>
      <c r="F4543" s="27" t="s">
        <v>43</v>
      </c>
      <c r="G4543" s="27" t="s">
        <v>28</v>
      </c>
      <c r="H4543" s="29">
        <v>210</v>
      </c>
      <c r="I4543" s="27" t="s">
        <v>29</v>
      </c>
      <c r="J4543" s="37">
        <v>45694</v>
      </c>
      <c r="K4543" s="27" t="s">
        <v>22</v>
      </c>
    </row>
    <row r="4544" spans="1:11" x14ac:dyDescent="0.2">
      <c r="A4544" s="24" t="s">
        <v>10922</v>
      </c>
      <c r="B4544" s="24" t="s">
        <v>10923</v>
      </c>
      <c r="C4544" s="24" t="s">
        <v>6580</v>
      </c>
      <c r="D4544" s="24" t="s">
        <v>17</v>
      </c>
      <c r="E4544" s="24" t="s">
        <v>42</v>
      </c>
      <c r="F4544" s="24" t="s">
        <v>43</v>
      </c>
      <c r="G4544" s="24" t="s">
        <v>227</v>
      </c>
      <c r="H4544" s="26">
        <v>324</v>
      </c>
      <c r="I4544" s="24" t="s">
        <v>29</v>
      </c>
      <c r="J4544" s="36">
        <v>45700</v>
      </c>
      <c r="K4544" s="24" t="s">
        <v>22</v>
      </c>
    </row>
    <row r="4545" spans="1:11" x14ac:dyDescent="0.2">
      <c r="A4545" s="27" t="s">
        <v>10924</v>
      </c>
      <c r="B4545" s="27" t="s">
        <v>10925</v>
      </c>
      <c r="C4545" s="27" t="s">
        <v>301</v>
      </c>
      <c r="D4545" s="27" t="s">
        <v>17</v>
      </c>
      <c r="E4545" s="27" t="s">
        <v>48</v>
      </c>
      <c r="F4545" s="27" t="s">
        <v>49</v>
      </c>
      <c r="G4545" s="27" t="s">
        <v>44</v>
      </c>
      <c r="H4545" s="29">
        <v>256</v>
      </c>
      <c r="I4545" s="27" t="s">
        <v>21</v>
      </c>
      <c r="J4545" s="37">
        <v>45714</v>
      </c>
      <c r="K4545" s="27" t="s">
        <v>22</v>
      </c>
    </row>
    <row r="4546" spans="1:11" x14ac:dyDescent="0.2">
      <c r="A4546" s="24" t="s">
        <v>10926</v>
      </c>
      <c r="B4546" s="24" t="s">
        <v>10927</v>
      </c>
      <c r="C4546" s="24" t="s">
        <v>10928</v>
      </c>
      <c r="D4546" s="24" t="s">
        <v>17</v>
      </c>
      <c r="E4546" s="24" t="s">
        <v>18</v>
      </c>
      <c r="F4546" s="24" t="s">
        <v>19</v>
      </c>
      <c r="G4546" s="24" t="s">
        <v>28</v>
      </c>
      <c r="H4546" s="26">
        <v>80</v>
      </c>
      <c r="I4546" s="24" t="s">
        <v>29</v>
      </c>
      <c r="J4546" s="36">
        <v>45716</v>
      </c>
      <c r="K4546" s="24" t="s">
        <v>22</v>
      </c>
    </row>
    <row r="4547" spans="1:11" x14ac:dyDescent="0.2">
      <c r="A4547" s="27" t="s">
        <v>10929</v>
      </c>
      <c r="B4547" s="27" t="s">
        <v>10930</v>
      </c>
      <c r="C4547" s="27" t="s">
        <v>10931</v>
      </c>
      <c r="D4547" s="27" t="s">
        <v>17</v>
      </c>
      <c r="E4547" s="27" t="s">
        <v>48</v>
      </c>
      <c r="F4547" s="27" t="s">
        <v>49</v>
      </c>
      <c r="G4547" s="27" t="s">
        <v>257</v>
      </c>
      <c r="H4547" s="29">
        <v>80</v>
      </c>
      <c r="I4547" s="27" t="s">
        <v>29</v>
      </c>
      <c r="J4547" s="37">
        <v>45716</v>
      </c>
      <c r="K4547" s="27" t="s">
        <v>22</v>
      </c>
    </row>
    <row r="4548" spans="1:11" x14ac:dyDescent="0.2">
      <c r="A4548" s="24" t="s">
        <v>10932</v>
      </c>
      <c r="B4548" s="24" t="s">
        <v>10933</v>
      </c>
      <c r="C4548" s="24" t="s">
        <v>10934</v>
      </c>
      <c r="D4548" s="24" t="s">
        <v>17</v>
      </c>
      <c r="E4548" s="24" t="s">
        <v>48</v>
      </c>
      <c r="F4548" s="24" t="s">
        <v>49</v>
      </c>
      <c r="G4548" s="24" t="s">
        <v>28</v>
      </c>
      <c r="H4548" s="26">
        <v>80</v>
      </c>
      <c r="I4548" s="24" t="s">
        <v>29</v>
      </c>
      <c r="J4548" s="36">
        <v>45694</v>
      </c>
      <c r="K4548" s="24" t="s">
        <v>22</v>
      </c>
    </row>
    <row r="4549" spans="1:11" x14ac:dyDescent="0.2">
      <c r="A4549" s="27" t="s">
        <v>10935</v>
      </c>
      <c r="B4549" s="27" t="s">
        <v>10936</v>
      </c>
      <c r="C4549" s="27" t="s">
        <v>10937</v>
      </c>
      <c r="D4549" s="27" t="s">
        <v>17</v>
      </c>
      <c r="E4549" s="27" t="s">
        <v>163</v>
      </c>
      <c r="F4549" s="27" t="s">
        <v>164</v>
      </c>
      <c r="G4549" s="27" t="s">
        <v>28</v>
      </c>
      <c r="H4549" s="29">
        <v>84</v>
      </c>
      <c r="I4549" s="27" t="s">
        <v>29</v>
      </c>
      <c r="J4549" s="37">
        <v>45713</v>
      </c>
      <c r="K4549" s="27" t="s">
        <v>22</v>
      </c>
    </row>
    <row r="4550" spans="1:11" x14ac:dyDescent="0.2">
      <c r="A4550" s="24" t="s">
        <v>10938</v>
      </c>
      <c r="B4550" s="24" t="s">
        <v>10939</v>
      </c>
      <c r="C4550" s="24" t="s">
        <v>10940</v>
      </c>
      <c r="D4550" s="24" t="s">
        <v>17</v>
      </c>
      <c r="E4550" s="24" t="s">
        <v>42</v>
      </c>
      <c r="F4550" s="24" t="s">
        <v>43</v>
      </c>
      <c r="G4550" s="24" t="s">
        <v>28</v>
      </c>
      <c r="H4550" s="26">
        <v>520</v>
      </c>
      <c r="I4550" s="24" t="s">
        <v>29</v>
      </c>
      <c r="J4550" s="36">
        <v>45716</v>
      </c>
      <c r="K4550" s="24" t="s">
        <v>22</v>
      </c>
    </row>
    <row r="4551" spans="1:11" x14ac:dyDescent="0.2">
      <c r="A4551" s="27" t="s">
        <v>10941</v>
      </c>
      <c r="B4551" s="27" t="s">
        <v>10942</v>
      </c>
      <c r="C4551" s="27" t="s">
        <v>10943</v>
      </c>
      <c r="D4551" s="27" t="s">
        <v>17</v>
      </c>
      <c r="E4551" s="27" t="s">
        <v>42</v>
      </c>
      <c r="F4551" s="27" t="s">
        <v>43</v>
      </c>
      <c r="G4551" s="27" t="s">
        <v>28</v>
      </c>
      <c r="H4551" s="29">
        <v>240</v>
      </c>
      <c r="I4551" s="27" t="s">
        <v>29</v>
      </c>
      <c r="J4551" s="37">
        <v>45700</v>
      </c>
      <c r="K4551" s="27" t="s">
        <v>22</v>
      </c>
    </row>
    <row r="4552" spans="1:11" x14ac:dyDescent="0.2">
      <c r="A4552" s="24" t="s">
        <v>10944</v>
      </c>
      <c r="B4552" s="24" t="s">
        <v>10945</v>
      </c>
      <c r="C4552" s="24" t="s">
        <v>55</v>
      </c>
      <c r="D4552" s="24" t="s">
        <v>17</v>
      </c>
      <c r="E4552" s="24" t="s">
        <v>26</v>
      </c>
      <c r="F4552" s="24" t="s">
        <v>27</v>
      </c>
      <c r="G4552" s="24" t="s">
        <v>28</v>
      </c>
      <c r="H4552" s="26">
        <v>262</v>
      </c>
      <c r="I4552" s="24" t="s">
        <v>29</v>
      </c>
      <c r="J4552" s="36">
        <v>45715</v>
      </c>
      <c r="K4552" s="24" t="s">
        <v>22</v>
      </c>
    </row>
    <row r="4553" spans="1:11" x14ac:dyDescent="0.2">
      <c r="A4553" s="27" t="s">
        <v>10946</v>
      </c>
      <c r="B4553" s="27" t="s">
        <v>10947</v>
      </c>
      <c r="C4553" s="27" t="s">
        <v>134</v>
      </c>
      <c r="D4553" s="27" t="s">
        <v>17</v>
      </c>
      <c r="E4553" s="27" t="s">
        <v>26</v>
      </c>
      <c r="F4553" s="27" t="s">
        <v>27</v>
      </c>
      <c r="G4553" s="27" t="s">
        <v>28</v>
      </c>
      <c r="H4553" s="29">
        <v>360</v>
      </c>
      <c r="I4553" s="27" t="s">
        <v>29</v>
      </c>
      <c r="J4553" s="37">
        <v>45700</v>
      </c>
      <c r="K4553" s="27" t="s">
        <v>22</v>
      </c>
    </row>
    <row r="4554" spans="1:11" x14ac:dyDescent="0.2">
      <c r="A4554" s="24" t="s">
        <v>10948</v>
      </c>
      <c r="B4554" s="24" t="s">
        <v>10949</v>
      </c>
      <c r="C4554" s="24" t="s">
        <v>1444</v>
      </c>
      <c r="D4554" s="24" t="s">
        <v>17</v>
      </c>
      <c r="E4554" s="24" t="s">
        <v>18</v>
      </c>
      <c r="F4554" s="24" t="s">
        <v>19</v>
      </c>
      <c r="G4554" s="24" t="s">
        <v>28</v>
      </c>
      <c r="H4554" s="26">
        <v>126</v>
      </c>
      <c r="I4554" s="24" t="s">
        <v>29</v>
      </c>
      <c r="J4554" s="36">
        <v>45693</v>
      </c>
      <c r="K4554" s="24" t="s">
        <v>22</v>
      </c>
    </row>
    <row r="4555" spans="1:11" x14ac:dyDescent="0.2">
      <c r="A4555" s="27" t="s">
        <v>10950</v>
      </c>
      <c r="B4555" s="27" t="s">
        <v>10951</v>
      </c>
      <c r="C4555" s="27" t="s">
        <v>97</v>
      </c>
      <c r="D4555" s="27" t="s">
        <v>17</v>
      </c>
      <c r="E4555" s="27" t="s">
        <v>18</v>
      </c>
      <c r="F4555" s="27" t="s">
        <v>19</v>
      </c>
      <c r="G4555" s="27" t="s">
        <v>20</v>
      </c>
      <c r="H4555" s="29">
        <v>28</v>
      </c>
      <c r="I4555" s="27" t="s">
        <v>21</v>
      </c>
      <c r="J4555" s="37">
        <v>45715</v>
      </c>
      <c r="K4555" s="27" t="s">
        <v>22</v>
      </c>
    </row>
    <row r="4556" spans="1:11" x14ac:dyDescent="0.2">
      <c r="A4556" s="24" t="s">
        <v>10952</v>
      </c>
      <c r="B4556" s="24" t="s">
        <v>10953</v>
      </c>
      <c r="C4556" s="24" t="s">
        <v>10954</v>
      </c>
      <c r="D4556" s="24" t="s">
        <v>17</v>
      </c>
      <c r="E4556" s="24" t="s">
        <v>26</v>
      </c>
      <c r="F4556" s="24" t="s">
        <v>27</v>
      </c>
      <c r="G4556" s="24" t="s">
        <v>217</v>
      </c>
      <c r="H4556" s="26">
        <v>200</v>
      </c>
      <c r="I4556" s="24" t="s">
        <v>29</v>
      </c>
      <c r="J4556" s="36">
        <v>45708</v>
      </c>
      <c r="K4556" s="24" t="s">
        <v>22</v>
      </c>
    </row>
    <row r="4557" spans="1:11" x14ac:dyDescent="0.2">
      <c r="A4557" s="27" t="s">
        <v>10955</v>
      </c>
      <c r="B4557" s="27" t="s">
        <v>10956</v>
      </c>
      <c r="C4557" s="27" t="s">
        <v>10957</v>
      </c>
      <c r="D4557" s="27" t="s">
        <v>17</v>
      </c>
      <c r="E4557" s="27" t="s">
        <v>163</v>
      </c>
      <c r="F4557" s="27" t="s">
        <v>164</v>
      </c>
      <c r="G4557" s="27" t="s">
        <v>28</v>
      </c>
      <c r="H4557" s="29">
        <v>30</v>
      </c>
      <c r="I4557" s="27" t="s">
        <v>29</v>
      </c>
      <c r="J4557" s="37">
        <v>45714</v>
      </c>
      <c r="K4557" s="27" t="s">
        <v>22</v>
      </c>
    </row>
    <row r="4558" spans="1:11" x14ac:dyDescent="0.2">
      <c r="A4558" s="24" t="s">
        <v>10958</v>
      </c>
      <c r="B4558" s="24" t="s">
        <v>10959</v>
      </c>
      <c r="C4558" s="24" t="s">
        <v>251</v>
      </c>
      <c r="D4558" s="24" t="s">
        <v>17</v>
      </c>
      <c r="E4558" s="24" t="s">
        <v>42</v>
      </c>
      <c r="F4558" s="24" t="s">
        <v>43</v>
      </c>
      <c r="G4558" s="24" t="s">
        <v>28</v>
      </c>
      <c r="H4558" s="26">
        <v>180</v>
      </c>
      <c r="I4558" s="24" t="s">
        <v>29</v>
      </c>
      <c r="J4558" s="36">
        <v>45695</v>
      </c>
      <c r="K4558" s="24" t="s">
        <v>22</v>
      </c>
    </row>
    <row r="4559" spans="1:11" x14ac:dyDescent="0.2">
      <c r="A4559" s="27" t="s">
        <v>10960</v>
      </c>
      <c r="B4559" s="27" t="s">
        <v>10961</v>
      </c>
      <c r="C4559" s="27" t="s">
        <v>10962</v>
      </c>
      <c r="D4559" s="27" t="s">
        <v>17</v>
      </c>
      <c r="E4559" s="27" t="s">
        <v>18</v>
      </c>
      <c r="F4559" s="27" t="s">
        <v>19</v>
      </c>
      <c r="G4559" s="27" t="s">
        <v>28</v>
      </c>
      <c r="H4559" s="29">
        <v>94</v>
      </c>
      <c r="I4559" s="27" t="s">
        <v>29</v>
      </c>
      <c r="J4559" s="37">
        <v>45708</v>
      </c>
      <c r="K4559" s="27" t="s">
        <v>22</v>
      </c>
    </row>
    <row r="4560" spans="1:11" x14ac:dyDescent="0.2">
      <c r="A4560" s="24" t="s">
        <v>10963</v>
      </c>
      <c r="B4560" s="24" t="s">
        <v>10964</v>
      </c>
      <c r="C4560" s="24" t="s">
        <v>10965</v>
      </c>
      <c r="D4560" s="24" t="s">
        <v>17</v>
      </c>
      <c r="E4560" s="24" t="s">
        <v>18</v>
      </c>
      <c r="F4560" s="24" t="s">
        <v>19</v>
      </c>
      <c r="G4560" s="24" t="s">
        <v>28</v>
      </c>
      <c r="H4560" s="26">
        <v>76</v>
      </c>
      <c r="I4560" s="24" t="s">
        <v>29</v>
      </c>
      <c r="J4560" s="36">
        <v>45695</v>
      </c>
      <c r="K4560" s="24" t="s">
        <v>22</v>
      </c>
    </row>
    <row r="4561" spans="1:11" x14ac:dyDescent="0.2">
      <c r="A4561" s="27" t="s">
        <v>10966</v>
      </c>
      <c r="B4561" s="27" t="s">
        <v>10967</v>
      </c>
      <c r="C4561" s="27" t="s">
        <v>10968</v>
      </c>
      <c r="D4561" s="27" t="s">
        <v>17</v>
      </c>
      <c r="E4561" s="27" t="s">
        <v>48</v>
      </c>
      <c r="F4561" s="27" t="s">
        <v>49</v>
      </c>
      <c r="G4561" s="27" t="s">
        <v>28</v>
      </c>
      <c r="H4561" s="29">
        <v>25</v>
      </c>
      <c r="I4561" s="27" t="s">
        <v>29</v>
      </c>
      <c r="J4561" s="37">
        <v>45698</v>
      </c>
      <c r="K4561" s="27" t="s">
        <v>22</v>
      </c>
    </row>
    <row r="4562" spans="1:11" x14ac:dyDescent="0.2">
      <c r="A4562" s="24" t="s">
        <v>10969</v>
      </c>
      <c r="B4562" s="24" t="s">
        <v>10970</v>
      </c>
      <c r="C4562" s="24" t="s">
        <v>10971</v>
      </c>
      <c r="D4562" s="24" t="s">
        <v>17</v>
      </c>
      <c r="E4562" s="24" t="s">
        <v>18</v>
      </c>
      <c r="F4562" s="24" t="s">
        <v>19</v>
      </c>
      <c r="G4562" s="24" t="s">
        <v>28</v>
      </c>
      <c r="H4562" s="26">
        <v>90</v>
      </c>
      <c r="I4562" s="24" t="s">
        <v>29</v>
      </c>
      <c r="J4562" s="36">
        <v>45716</v>
      </c>
      <c r="K4562" s="24" t="s">
        <v>22</v>
      </c>
    </row>
    <row r="4563" spans="1:11" x14ac:dyDescent="0.2">
      <c r="A4563" s="27" t="s">
        <v>10972</v>
      </c>
      <c r="B4563" s="27" t="s">
        <v>10973</v>
      </c>
      <c r="C4563" s="27" t="s">
        <v>115</v>
      </c>
      <c r="D4563" s="27" t="s">
        <v>17</v>
      </c>
      <c r="E4563" s="27" t="s">
        <v>42</v>
      </c>
      <c r="F4563" s="27" t="s">
        <v>43</v>
      </c>
      <c r="G4563" s="27" t="s">
        <v>28</v>
      </c>
      <c r="H4563" s="29">
        <v>171</v>
      </c>
      <c r="I4563" s="27" t="s">
        <v>29</v>
      </c>
      <c r="J4563" s="37">
        <v>45715</v>
      </c>
      <c r="K4563" s="27" t="s">
        <v>22</v>
      </c>
    </row>
    <row r="4564" spans="1:11" x14ac:dyDescent="0.2">
      <c r="A4564" s="24" t="s">
        <v>10974</v>
      </c>
      <c r="B4564" s="24" t="s">
        <v>10975</v>
      </c>
      <c r="C4564" s="24" t="s">
        <v>1532</v>
      </c>
      <c r="D4564" s="24" t="s">
        <v>17</v>
      </c>
      <c r="E4564" s="24" t="s">
        <v>26</v>
      </c>
      <c r="F4564" s="24" t="s">
        <v>27</v>
      </c>
      <c r="G4564" s="24" t="s">
        <v>28</v>
      </c>
      <c r="H4564" s="26">
        <v>36</v>
      </c>
      <c r="I4564" s="24" t="s">
        <v>29</v>
      </c>
      <c r="J4564" s="36">
        <v>45713</v>
      </c>
      <c r="K4564" s="24" t="s">
        <v>22</v>
      </c>
    </row>
    <row r="4565" spans="1:11" x14ac:dyDescent="0.2">
      <c r="A4565" s="27" t="s">
        <v>10976</v>
      </c>
      <c r="B4565" s="27" t="s">
        <v>10977</v>
      </c>
      <c r="C4565" s="27" t="s">
        <v>251</v>
      </c>
      <c r="D4565" s="27" t="s">
        <v>17</v>
      </c>
      <c r="E4565" s="27" t="s">
        <v>81</v>
      </c>
      <c r="F4565" s="27" t="s">
        <v>82</v>
      </c>
      <c r="G4565" s="27" t="s">
        <v>28</v>
      </c>
      <c r="H4565" s="29">
        <v>520</v>
      </c>
      <c r="I4565" s="27" t="s">
        <v>29</v>
      </c>
      <c r="J4565" s="37">
        <v>45699</v>
      </c>
      <c r="K4565" s="27" t="s">
        <v>22</v>
      </c>
    </row>
    <row r="4566" spans="1:11" x14ac:dyDescent="0.2">
      <c r="A4566" s="24" t="s">
        <v>10978</v>
      </c>
      <c r="B4566" s="24" t="s">
        <v>10979</v>
      </c>
      <c r="C4566" s="24" t="s">
        <v>6173</v>
      </c>
      <c r="D4566" s="24" t="s">
        <v>17</v>
      </c>
      <c r="E4566" s="24" t="s">
        <v>81</v>
      </c>
      <c r="F4566" s="24" t="s">
        <v>82</v>
      </c>
      <c r="G4566" s="24" t="s">
        <v>116</v>
      </c>
      <c r="H4566" s="26">
        <v>0</v>
      </c>
      <c r="I4566" s="24" t="s">
        <v>21</v>
      </c>
      <c r="J4566" s="36">
        <v>45689</v>
      </c>
      <c r="K4566" s="24" t="s">
        <v>22</v>
      </c>
    </row>
    <row r="4567" spans="1:11" x14ac:dyDescent="0.2">
      <c r="A4567" s="27" t="s">
        <v>10980</v>
      </c>
      <c r="B4567" s="27" t="s">
        <v>10981</v>
      </c>
      <c r="C4567" s="27" t="s">
        <v>55</v>
      </c>
      <c r="D4567" s="27" t="s">
        <v>17</v>
      </c>
      <c r="E4567" s="27" t="s">
        <v>26</v>
      </c>
      <c r="F4567" s="27" t="s">
        <v>27</v>
      </c>
      <c r="G4567" s="27" t="s">
        <v>28</v>
      </c>
      <c r="H4567" s="29">
        <v>81</v>
      </c>
      <c r="I4567" s="27" t="s">
        <v>29</v>
      </c>
      <c r="J4567" s="37">
        <v>45714</v>
      </c>
      <c r="K4567" s="27" t="s">
        <v>22</v>
      </c>
    </row>
    <row r="4568" spans="1:11" x14ac:dyDescent="0.2">
      <c r="A4568" s="24" t="s">
        <v>10982</v>
      </c>
      <c r="B4568" s="24" t="s">
        <v>10983</v>
      </c>
      <c r="C4568" s="24" t="s">
        <v>10984</v>
      </c>
      <c r="D4568" s="24" t="s">
        <v>17</v>
      </c>
      <c r="E4568" s="24" t="s">
        <v>18</v>
      </c>
      <c r="F4568" s="24" t="s">
        <v>19</v>
      </c>
      <c r="G4568" s="24" t="s">
        <v>20</v>
      </c>
      <c r="H4568" s="26">
        <v>238</v>
      </c>
      <c r="I4568" s="24" t="s">
        <v>21</v>
      </c>
      <c r="J4568" s="36">
        <v>45700</v>
      </c>
      <c r="K4568" s="24" t="s">
        <v>22</v>
      </c>
    </row>
    <row r="4569" spans="1:11" x14ac:dyDescent="0.2">
      <c r="A4569" s="27" t="s">
        <v>10985</v>
      </c>
      <c r="B4569" s="27" t="s">
        <v>10986</v>
      </c>
      <c r="C4569" s="27" t="s">
        <v>97</v>
      </c>
      <c r="D4569" s="27" t="s">
        <v>17</v>
      </c>
      <c r="E4569" s="27" t="s">
        <v>81</v>
      </c>
      <c r="F4569" s="27" t="s">
        <v>82</v>
      </c>
      <c r="G4569" s="27" t="s">
        <v>28</v>
      </c>
      <c r="H4569" s="29">
        <v>60</v>
      </c>
      <c r="I4569" s="27" t="s">
        <v>29</v>
      </c>
      <c r="J4569" s="37">
        <v>45692</v>
      </c>
      <c r="K4569" s="27" t="s">
        <v>22</v>
      </c>
    </row>
    <row r="4570" spans="1:11" x14ac:dyDescent="0.2">
      <c r="A4570" s="24" t="s">
        <v>10987</v>
      </c>
      <c r="B4570" s="24" t="s">
        <v>10988</v>
      </c>
      <c r="C4570" s="24" t="s">
        <v>208</v>
      </c>
      <c r="D4570" s="24" t="s">
        <v>17</v>
      </c>
      <c r="E4570" s="24" t="s">
        <v>42</v>
      </c>
      <c r="F4570" s="24" t="s">
        <v>43</v>
      </c>
      <c r="G4570" s="24" t="s">
        <v>28</v>
      </c>
      <c r="H4570" s="26">
        <v>2320</v>
      </c>
      <c r="I4570" s="24" t="s">
        <v>29</v>
      </c>
      <c r="J4570" s="36">
        <v>45706</v>
      </c>
      <c r="K4570" s="24" t="s">
        <v>22</v>
      </c>
    </row>
    <row r="4571" spans="1:11" x14ac:dyDescent="0.2">
      <c r="A4571" s="27" t="s">
        <v>10989</v>
      </c>
      <c r="B4571" s="27" t="s">
        <v>10990</v>
      </c>
      <c r="C4571" s="27" t="s">
        <v>1212</v>
      </c>
      <c r="D4571" s="27" t="s">
        <v>17</v>
      </c>
      <c r="E4571" s="27" t="s">
        <v>18</v>
      </c>
      <c r="F4571" s="27" t="s">
        <v>19</v>
      </c>
      <c r="G4571" s="27" t="s">
        <v>28</v>
      </c>
      <c r="H4571" s="29">
        <v>20</v>
      </c>
      <c r="I4571" s="27" t="s">
        <v>29</v>
      </c>
      <c r="J4571" s="37">
        <v>45712</v>
      </c>
      <c r="K4571" s="27" t="s">
        <v>22</v>
      </c>
    </row>
    <row r="4572" spans="1:11" x14ac:dyDescent="0.2">
      <c r="A4572" s="24" t="s">
        <v>10991</v>
      </c>
      <c r="B4572" s="24" t="s">
        <v>10992</v>
      </c>
      <c r="C4572" s="24" t="s">
        <v>10993</v>
      </c>
      <c r="D4572" s="24" t="s">
        <v>17</v>
      </c>
      <c r="E4572" s="24" t="s">
        <v>48</v>
      </c>
      <c r="F4572" s="24" t="s">
        <v>49</v>
      </c>
      <c r="G4572" s="24" t="s">
        <v>28</v>
      </c>
      <c r="H4572" s="26">
        <v>46</v>
      </c>
      <c r="I4572" s="24" t="s">
        <v>29</v>
      </c>
      <c r="J4572" s="36">
        <v>45703</v>
      </c>
      <c r="K4572" s="24" t="s">
        <v>22</v>
      </c>
    </row>
    <row r="4573" spans="1:11" x14ac:dyDescent="0.2">
      <c r="A4573" s="27" t="s">
        <v>10994</v>
      </c>
      <c r="B4573" s="27" t="s">
        <v>10995</v>
      </c>
      <c r="C4573" s="27" t="s">
        <v>10996</v>
      </c>
      <c r="D4573" s="27" t="s">
        <v>17</v>
      </c>
      <c r="E4573" s="27" t="s">
        <v>18</v>
      </c>
      <c r="F4573" s="27" t="s">
        <v>19</v>
      </c>
      <c r="G4573" s="27" t="s">
        <v>28</v>
      </c>
      <c r="H4573" s="29">
        <v>96</v>
      </c>
      <c r="I4573" s="27" t="s">
        <v>29</v>
      </c>
      <c r="J4573" s="37">
        <v>45714</v>
      </c>
      <c r="K4573" s="27" t="s">
        <v>22</v>
      </c>
    </row>
    <row r="4574" spans="1:11" x14ac:dyDescent="0.2">
      <c r="A4574" s="24" t="s">
        <v>10997</v>
      </c>
      <c r="B4574" s="24" t="s">
        <v>10998</v>
      </c>
      <c r="C4574" s="24" t="s">
        <v>4490</v>
      </c>
      <c r="D4574" s="24" t="s">
        <v>17</v>
      </c>
      <c r="E4574" s="24" t="s">
        <v>18</v>
      </c>
      <c r="F4574" s="24" t="s">
        <v>19</v>
      </c>
      <c r="G4574" s="24" t="s">
        <v>28</v>
      </c>
      <c r="H4574" s="26">
        <v>48</v>
      </c>
      <c r="I4574" s="24" t="s">
        <v>29</v>
      </c>
      <c r="J4574" s="36">
        <v>45716</v>
      </c>
      <c r="K4574" s="24" t="s">
        <v>22</v>
      </c>
    </row>
    <row r="4575" spans="1:11" x14ac:dyDescent="0.2">
      <c r="A4575" s="27" t="s">
        <v>10999</v>
      </c>
      <c r="B4575" s="27" t="s">
        <v>11000</v>
      </c>
      <c r="C4575" s="27" t="s">
        <v>354</v>
      </c>
      <c r="D4575" s="27" t="s">
        <v>17</v>
      </c>
      <c r="E4575" s="27" t="s">
        <v>48</v>
      </c>
      <c r="F4575" s="27" t="s">
        <v>49</v>
      </c>
      <c r="G4575" s="27" t="s">
        <v>28</v>
      </c>
      <c r="H4575" s="29">
        <v>45</v>
      </c>
      <c r="I4575" s="27" t="s">
        <v>29</v>
      </c>
      <c r="J4575" s="37">
        <v>45692</v>
      </c>
      <c r="K4575" s="27" t="s">
        <v>22</v>
      </c>
    </row>
    <row r="4576" spans="1:11" x14ac:dyDescent="0.2">
      <c r="A4576" s="24" t="s">
        <v>11001</v>
      </c>
      <c r="B4576" s="24" t="s">
        <v>11002</v>
      </c>
      <c r="C4576" s="24" t="s">
        <v>4501</v>
      </c>
      <c r="D4576" s="24" t="s">
        <v>17</v>
      </c>
      <c r="E4576" s="24" t="s">
        <v>81</v>
      </c>
      <c r="F4576" s="24" t="s">
        <v>82</v>
      </c>
      <c r="G4576" s="24" t="s">
        <v>28</v>
      </c>
      <c r="H4576" s="26">
        <v>248</v>
      </c>
      <c r="I4576" s="24" t="s">
        <v>29</v>
      </c>
      <c r="J4576" s="36">
        <v>45703</v>
      </c>
      <c r="K4576" s="24" t="s">
        <v>22</v>
      </c>
    </row>
    <row r="4577" spans="1:11" x14ac:dyDescent="0.2">
      <c r="A4577" s="27" t="s">
        <v>11003</v>
      </c>
      <c r="B4577" s="27" t="s">
        <v>11004</v>
      </c>
      <c r="C4577" s="27" t="s">
        <v>85</v>
      </c>
      <c r="D4577" s="27" t="s">
        <v>17</v>
      </c>
      <c r="E4577" s="27" t="s">
        <v>42</v>
      </c>
      <c r="F4577" s="27" t="s">
        <v>43</v>
      </c>
      <c r="G4577" s="27" t="s">
        <v>28</v>
      </c>
      <c r="H4577" s="29">
        <v>420</v>
      </c>
      <c r="I4577" s="27" t="s">
        <v>29</v>
      </c>
      <c r="J4577" s="37">
        <v>45701</v>
      </c>
      <c r="K4577" s="27" t="s">
        <v>22</v>
      </c>
    </row>
    <row r="4578" spans="1:11" x14ac:dyDescent="0.2">
      <c r="A4578" s="24" t="s">
        <v>11005</v>
      </c>
      <c r="B4578" s="24" t="s">
        <v>11006</v>
      </c>
      <c r="C4578" s="24" t="s">
        <v>97</v>
      </c>
      <c r="D4578" s="24" t="s">
        <v>17</v>
      </c>
      <c r="E4578" s="24" t="s">
        <v>18</v>
      </c>
      <c r="F4578" s="24" t="s">
        <v>19</v>
      </c>
      <c r="G4578" s="24" t="s">
        <v>20</v>
      </c>
      <c r="H4578" s="26">
        <v>35</v>
      </c>
      <c r="I4578" s="24" t="s">
        <v>21</v>
      </c>
      <c r="J4578" s="36">
        <v>45692</v>
      </c>
      <c r="K4578" s="24" t="s">
        <v>22</v>
      </c>
    </row>
    <row r="4579" spans="1:11" x14ac:dyDescent="0.2">
      <c r="A4579" s="27" t="s">
        <v>11007</v>
      </c>
      <c r="B4579" s="27" t="s">
        <v>11008</v>
      </c>
      <c r="C4579" s="27" t="s">
        <v>827</v>
      </c>
      <c r="D4579" s="27" t="s">
        <v>17</v>
      </c>
      <c r="E4579" s="27" t="s">
        <v>48</v>
      </c>
      <c r="F4579" s="27" t="s">
        <v>49</v>
      </c>
      <c r="G4579" s="27" t="s">
        <v>28</v>
      </c>
      <c r="H4579" s="29">
        <v>150</v>
      </c>
      <c r="I4579" s="27" t="s">
        <v>29</v>
      </c>
      <c r="J4579" s="37">
        <v>45705</v>
      </c>
      <c r="K4579" s="27" t="s">
        <v>22</v>
      </c>
    </row>
    <row r="4580" spans="1:11" x14ac:dyDescent="0.2">
      <c r="A4580" s="24" t="s">
        <v>11009</v>
      </c>
      <c r="B4580" s="24" t="s">
        <v>11010</v>
      </c>
      <c r="C4580" s="24" t="s">
        <v>2837</v>
      </c>
      <c r="D4580" s="24" t="s">
        <v>17</v>
      </c>
      <c r="E4580" s="24" t="s">
        <v>18</v>
      </c>
      <c r="F4580" s="24" t="s">
        <v>19</v>
      </c>
      <c r="G4580" s="24" t="s">
        <v>217</v>
      </c>
      <c r="H4580" s="26">
        <v>50</v>
      </c>
      <c r="I4580" s="24" t="s">
        <v>29</v>
      </c>
      <c r="J4580" s="36">
        <v>45689</v>
      </c>
      <c r="K4580" s="24" t="s">
        <v>22</v>
      </c>
    </row>
    <row r="4581" spans="1:11" x14ac:dyDescent="0.2">
      <c r="A4581" s="27" t="s">
        <v>11011</v>
      </c>
      <c r="B4581" s="27" t="s">
        <v>11012</v>
      </c>
      <c r="C4581" s="27" t="s">
        <v>11013</v>
      </c>
      <c r="D4581" s="27" t="s">
        <v>17</v>
      </c>
      <c r="E4581" s="27" t="s">
        <v>26</v>
      </c>
      <c r="F4581" s="27" t="s">
        <v>27</v>
      </c>
      <c r="G4581" s="27" t="s">
        <v>28</v>
      </c>
      <c r="H4581" s="29">
        <v>57</v>
      </c>
      <c r="I4581" s="27" t="s">
        <v>29</v>
      </c>
      <c r="J4581" s="37">
        <v>45699</v>
      </c>
      <c r="K4581" s="27" t="s">
        <v>22</v>
      </c>
    </row>
    <row r="4582" spans="1:11" x14ac:dyDescent="0.2">
      <c r="A4582" s="24" t="s">
        <v>11014</v>
      </c>
      <c r="B4582" s="24" t="s">
        <v>11015</v>
      </c>
      <c r="C4582" s="24" t="s">
        <v>6041</v>
      </c>
      <c r="D4582" s="24" t="s">
        <v>17</v>
      </c>
      <c r="E4582" s="24" t="s">
        <v>48</v>
      </c>
      <c r="F4582" s="24" t="s">
        <v>49</v>
      </c>
      <c r="G4582" s="24" t="s">
        <v>20</v>
      </c>
      <c r="H4582" s="26">
        <v>71</v>
      </c>
      <c r="I4582" s="24" t="s">
        <v>21</v>
      </c>
      <c r="J4582" s="36">
        <v>45701</v>
      </c>
      <c r="K4582" s="24" t="s">
        <v>22</v>
      </c>
    </row>
    <row r="4583" spans="1:11" x14ac:dyDescent="0.2">
      <c r="A4583" s="27" t="s">
        <v>11016</v>
      </c>
      <c r="B4583" s="27" t="s">
        <v>11017</v>
      </c>
      <c r="C4583" s="27" t="s">
        <v>1283</v>
      </c>
      <c r="D4583" s="27" t="s">
        <v>17</v>
      </c>
      <c r="E4583" s="27" t="s">
        <v>26</v>
      </c>
      <c r="F4583" s="27" t="s">
        <v>27</v>
      </c>
      <c r="G4583" s="27" t="s">
        <v>28</v>
      </c>
      <c r="H4583" s="29">
        <v>480</v>
      </c>
      <c r="I4583" s="27" t="s">
        <v>29</v>
      </c>
      <c r="J4583" s="37">
        <v>45694</v>
      </c>
      <c r="K4583" s="27" t="s">
        <v>22</v>
      </c>
    </row>
    <row r="4584" spans="1:11" x14ac:dyDescent="0.2">
      <c r="A4584" s="24" t="s">
        <v>11018</v>
      </c>
      <c r="B4584" s="24" t="s">
        <v>11019</v>
      </c>
      <c r="C4584" s="24" t="s">
        <v>11020</v>
      </c>
      <c r="D4584" s="24" t="s">
        <v>17</v>
      </c>
      <c r="E4584" s="24" t="s">
        <v>18</v>
      </c>
      <c r="F4584" s="24" t="s">
        <v>19</v>
      </c>
      <c r="G4584" s="24" t="s">
        <v>28</v>
      </c>
      <c r="H4584" s="26">
        <v>72</v>
      </c>
      <c r="I4584" s="24" t="s">
        <v>29</v>
      </c>
      <c r="J4584" s="36">
        <v>45705</v>
      </c>
      <c r="K4584" s="24" t="s">
        <v>22</v>
      </c>
    </row>
    <row r="4585" spans="1:11" x14ac:dyDescent="0.2">
      <c r="A4585" s="27" t="s">
        <v>11021</v>
      </c>
      <c r="B4585" s="27" t="s">
        <v>11022</v>
      </c>
      <c r="C4585" s="27" t="s">
        <v>185</v>
      </c>
      <c r="D4585" s="27" t="s">
        <v>17</v>
      </c>
      <c r="E4585" s="27" t="s">
        <v>18</v>
      </c>
      <c r="F4585" s="27" t="s">
        <v>19</v>
      </c>
      <c r="G4585" s="27" t="s">
        <v>28</v>
      </c>
      <c r="H4585" s="29">
        <v>20</v>
      </c>
      <c r="I4585" s="27" t="s">
        <v>29</v>
      </c>
      <c r="J4585" s="37">
        <v>45708</v>
      </c>
      <c r="K4585" s="27" t="s">
        <v>22</v>
      </c>
    </row>
    <row r="4586" spans="1:11" x14ac:dyDescent="0.2">
      <c r="A4586" s="24" t="s">
        <v>11023</v>
      </c>
      <c r="B4586" s="24" t="s">
        <v>11024</v>
      </c>
      <c r="C4586" s="24" t="s">
        <v>3199</v>
      </c>
      <c r="D4586" s="24" t="s">
        <v>17</v>
      </c>
      <c r="E4586" s="24" t="s">
        <v>48</v>
      </c>
      <c r="F4586" s="24" t="s">
        <v>49</v>
      </c>
      <c r="G4586" s="24" t="s">
        <v>217</v>
      </c>
      <c r="H4586" s="26">
        <v>285</v>
      </c>
      <c r="I4586" s="24" t="s">
        <v>29</v>
      </c>
      <c r="J4586" s="36">
        <v>45700</v>
      </c>
      <c r="K4586" s="24" t="s">
        <v>22</v>
      </c>
    </row>
    <row r="4587" spans="1:11" x14ac:dyDescent="0.2">
      <c r="A4587" s="27" t="s">
        <v>11025</v>
      </c>
      <c r="B4587" s="27" t="s">
        <v>11026</v>
      </c>
      <c r="C4587" s="27" t="s">
        <v>8544</v>
      </c>
      <c r="D4587" s="27" t="s">
        <v>17</v>
      </c>
      <c r="E4587" s="27" t="s">
        <v>18</v>
      </c>
      <c r="F4587" s="27" t="s">
        <v>19</v>
      </c>
      <c r="G4587" s="27" t="s">
        <v>217</v>
      </c>
      <c r="H4587" s="29">
        <v>48</v>
      </c>
      <c r="I4587" s="27" t="s">
        <v>29</v>
      </c>
      <c r="J4587" s="37">
        <v>45703</v>
      </c>
      <c r="K4587" s="27" t="s">
        <v>22</v>
      </c>
    </row>
    <row r="4588" spans="1:11" x14ac:dyDescent="0.2">
      <c r="A4588" s="24" t="s">
        <v>11027</v>
      </c>
      <c r="B4588" s="24" t="s">
        <v>11028</v>
      </c>
      <c r="C4588" s="24" t="s">
        <v>1199</v>
      </c>
      <c r="D4588" s="24" t="s">
        <v>17</v>
      </c>
      <c r="E4588" s="24" t="s">
        <v>26</v>
      </c>
      <c r="F4588" s="24" t="s">
        <v>27</v>
      </c>
      <c r="G4588" s="24" t="s">
        <v>28</v>
      </c>
      <c r="H4588" s="26">
        <v>400</v>
      </c>
      <c r="I4588" s="24" t="s">
        <v>29</v>
      </c>
      <c r="J4588" s="36">
        <v>45706</v>
      </c>
      <c r="K4588" s="24" t="s">
        <v>22</v>
      </c>
    </row>
    <row r="4589" spans="1:11" x14ac:dyDescent="0.2">
      <c r="A4589" s="27" t="s">
        <v>11029</v>
      </c>
      <c r="B4589" s="27" t="s">
        <v>11030</v>
      </c>
      <c r="C4589" s="27" t="s">
        <v>1059</v>
      </c>
      <c r="D4589" s="27" t="s">
        <v>17</v>
      </c>
      <c r="E4589" s="27" t="s">
        <v>42</v>
      </c>
      <c r="F4589" s="27" t="s">
        <v>43</v>
      </c>
      <c r="G4589" s="27" t="s">
        <v>217</v>
      </c>
      <c r="H4589" s="29">
        <v>110</v>
      </c>
      <c r="I4589" s="27" t="s">
        <v>29</v>
      </c>
      <c r="J4589" s="37">
        <v>45689</v>
      </c>
      <c r="K4589" s="27" t="s">
        <v>22</v>
      </c>
    </row>
    <row r="4590" spans="1:11" x14ac:dyDescent="0.2">
      <c r="A4590" s="24" t="s">
        <v>11031</v>
      </c>
      <c r="B4590" s="24" t="s">
        <v>11032</v>
      </c>
      <c r="C4590" s="24" t="s">
        <v>11033</v>
      </c>
      <c r="D4590" s="24" t="s">
        <v>17</v>
      </c>
      <c r="E4590" s="24" t="s">
        <v>42</v>
      </c>
      <c r="F4590" s="24" t="s">
        <v>43</v>
      </c>
      <c r="G4590" s="24" t="s">
        <v>28</v>
      </c>
      <c r="H4590" s="26">
        <v>98</v>
      </c>
      <c r="I4590" s="24" t="s">
        <v>29</v>
      </c>
      <c r="J4590" s="36">
        <v>45698</v>
      </c>
      <c r="K4590" s="24" t="s">
        <v>22</v>
      </c>
    </row>
    <row r="4591" spans="1:11" x14ac:dyDescent="0.2">
      <c r="A4591" s="27" t="s">
        <v>11034</v>
      </c>
      <c r="B4591" s="27" t="s">
        <v>11035</v>
      </c>
      <c r="C4591" s="27" t="s">
        <v>11036</v>
      </c>
      <c r="D4591" s="27" t="s">
        <v>17</v>
      </c>
      <c r="E4591" s="27" t="s">
        <v>48</v>
      </c>
      <c r="F4591" s="27" t="s">
        <v>49</v>
      </c>
      <c r="G4591" s="27" t="s">
        <v>28</v>
      </c>
      <c r="H4591" s="29">
        <v>30</v>
      </c>
      <c r="I4591" s="27" t="s">
        <v>29</v>
      </c>
      <c r="J4591" s="37">
        <v>45709</v>
      </c>
      <c r="K4591" s="27" t="s">
        <v>22</v>
      </c>
    </row>
    <row r="4592" spans="1:11" x14ac:dyDescent="0.2">
      <c r="A4592" s="24" t="s">
        <v>11037</v>
      </c>
      <c r="B4592" s="24" t="s">
        <v>11038</v>
      </c>
      <c r="C4592" s="24" t="s">
        <v>251</v>
      </c>
      <c r="D4592" s="24" t="s">
        <v>17</v>
      </c>
      <c r="E4592" s="24" t="s">
        <v>48</v>
      </c>
      <c r="F4592" s="24" t="s">
        <v>49</v>
      </c>
      <c r="G4592" s="24" t="s">
        <v>28</v>
      </c>
      <c r="H4592" s="26">
        <v>20</v>
      </c>
      <c r="I4592" s="24" t="s">
        <v>29</v>
      </c>
      <c r="J4592" s="36">
        <v>45706</v>
      </c>
      <c r="K4592" s="24" t="s">
        <v>22</v>
      </c>
    </row>
    <row r="4593" spans="1:11" x14ac:dyDescent="0.2">
      <c r="A4593" s="27" t="s">
        <v>11039</v>
      </c>
      <c r="B4593" s="27" t="s">
        <v>11040</v>
      </c>
      <c r="C4593" s="27" t="s">
        <v>134</v>
      </c>
      <c r="D4593" s="27" t="s">
        <v>17</v>
      </c>
      <c r="E4593" s="27" t="s">
        <v>26</v>
      </c>
      <c r="F4593" s="27" t="s">
        <v>27</v>
      </c>
      <c r="G4593" s="27" t="s">
        <v>28</v>
      </c>
      <c r="H4593" s="29">
        <v>413</v>
      </c>
      <c r="I4593" s="27" t="s">
        <v>29</v>
      </c>
      <c r="J4593" s="37">
        <v>45705</v>
      </c>
      <c r="K4593" s="27" t="s">
        <v>22</v>
      </c>
    </row>
    <row r="4594" spans="1:11" x14ac:dyDescent="0.2">
      <c r="A4594" s="24" t="s">
        <v>11041</v>
      </c>
      <c r="B4594" s="24" t="s">
        <v>11042</v>
      </c>
      <c r="C4594" s="24" t="s">
        <v>11043</v>
      </c>
      <c r="D4594" s="24" t="s">
        <v>17</v>
      </c>
      <c r="E4594" s="24" t="s">
        <v>18</v>
      </c>
      <c r="F4594" s="24" t="s">
        <v>19</v>
      </c>
      <c r="G4594" s="24" t="s">
        <v>20</v>
      </c>
      <c r="H4594" s="26">
        <v>40</v>
      </c>
      <c r="I4594" s="24" t="s">
        <v>21</v>
      </c>
      <c r="J4594" s="36">
        <v>45708</v>
      </c>
      <c r="K4594" s="24" t="s">
        <v>22</v>
      </c>
    </row>
    <row r="4595" spans="1:11" x14ac:dyDescent="0.2">
      <c r="A4595" s="27" t="s">
        <v>11044</v>
      </c>
      <c r="B4595" s="27" t="s">
        <v>11045</v>
      </c>
      <c r="C4595" s="27" t="s">
        <v>11046</v>
      </c>
      <c r="D4595" s="27" t="s">
        <v>17</v>
      </c>
      <c r="E4595" s="27" t="s">
        <v>18</v>
      </c>
      <c r="F4595" s="27" t="s">
        <v>19</v>
      </c>
      <c r="G4595" s="27" t="s">
        <v>44</v>
      </c>
      <c r="H4595" s="29">
        <v>4</v>
      </c>
      <c r="I4595" s="27" t="s">
        <v>21</v>
      </c>
      <c r="J4595" s="37">
        <v>45703</v>
      </c>
      <c r="K4595" s="27" t="s">
        <v>22</v>
      </c>
    </row>
    <row r="4596" spans="1:11" x14ac:dyDescent="0.2">
      <c r="A4596" s="24" t="s">
        <v>11047</v>
      </c>
      <c r="B4596" s="24" t="s">
        <v>11048</v>
      </c>
      <c r="C4596" s="24" t="s">
        <v>2953</v>
      </c>
      <c r="D4596" s="24" t="s">
        <v>17</v>
      </c>
      <c r="E4596" s="24" t="s">
        <v>18</v>
      </c>
      <c r="F4596" s="24" t="s">
        <v>19</v>
      </c>
      <c r="G4596" s="24" t="s">
        <v>20</v>
      </c>
      <c r="H4596" s="26">
        <v>12</v>
      </c>
      <c r="I4596" s="24" t="s">
        <v>21</v>
      </c>
      <c r="J4596" s="36">
        <v>45689</v>
      </c>
      <c r="K4596" s="24" t="s">
        <v>22</v>
      </c>
    </row>
    <row r="4597" spans="1:11" x14ac:dyDescent="0.2">
      <c r="A4597" s="27" t="s">
        <v>11049</v>
      </c>
      <c r="B4597" s="27" t="s">
        <v>11050</v>
      </c>
      <c r="C4597" s="27" t="s">
        <v>11051</v>
      </c>
      <c r="D4597" s="27" t="s">
        <v>17</v>
      </c>
      <c r="E4597" s="27" t="s">
        <v>26</v>
      </c>
      <c r="F4597" s="27" t="s">
        <v>27</v>
      </c>
      <c r="G4597" s="27" t="s">
        <v>28</v>
      </c>
      <c r="H4597" s="29">
        <v>108</v>
      </c>
      <c r="I4597" s="27" t="s">
        <v>29</v>
      </c>
      <c r="J4597" s="37">
        <v>45694</v>
      </c>
      <c r="K4597" s="27" t="s">
        <v>22</v>
      </c>
    </row>
    <row r="4598" spans="1:11" x14ac:dyDescent="0.2">
      <c r="A4598" s="24" t="s">
        <v>11052</v>
      </c>
      <c r="B4598" s="24" t="s">
        <v>11053</v>
      </c>
      <c r="C4598" s="24" t="s">
        <v>85</v>
      </c>
      <c r="D4598" s="24" t="s">
        <v>17</v>
      </c>
      <c r="E4598" s="24" t="s">
        <v>42</v>
      </c>
      <c r="F4598" s="24" t="s">
        <v>43</v>
      </c>
      <c r="G4598" s="24" t="s">
        <v>28</v>
      </c>
      <c r="H4598" s="26">
        <v>130</v>
      </c>
      <c r="I4598" s="24" t="s">
        <v>29</v>
      </c>
      <c r="J4598" s="36">
        <v>45699</v>
      </c>
      <c r="K4598" s="24" t="s">
        <v>22</v>
      </c>
    </row>
    <row r="4599" spans="1:11" x14ac:dyDescent="0.2">
      <c r="A4599" s="27" t="s">
        <v>11054</v>
      </c>
      <c r="B4599" s="27" t="s">
        <v>11055</v>
      </c>
      <c r="C4599" s="27" t="s">
        <v>2669</v>
      </c>
      <c r="D4599" s="27" t="s">
        <v>17</v>
      </c>
      <c r="E4599" s="27" t="s">
        <v>18</v>
      </c>
      <c r="F4599" s="27" t="s">
        <v>19</v>
      </c>
      <c r="G4599" s="27" t="s">
        <v>28</v>
      </c>
      <c r="H4599" s="29">
        <v>60</v>
      </c>
      <c r="I4599" s="27" t="s">
        <v>29</v>
      </c>
      <c r="J4599" s="37">
        <v>45705</v>
      </c>
      <c r="K4599" s="27" t="s">
        <v>22</v>
      </c>
    </row>
    <row r="4600" spans="1:11" x14ac:dyDescent="0.2">
      <c r="A4600" s="24" t="s">
        <v>11056</v>
      </c>
      <c r="B4600" s="24" t="s">
        <v>11057</v>
      </c>
      <c r="C4600" s="24" t="s">
        <v>11058</v>
      </c>
      <c r="D4600" s="24" t="s">
        <v>17</v>
      </c>
      <c r="E4600" s="24" t="s">
        <v>81</v>
      </c>
      <c r="F4600" s="24" t="s">
        <v>82</v>
      </c>
      <c r="G4600" s="24" t="s">
        <v>28</v>
      </c>
      <c r="H4600" s="26">
        <v>500</v>
      </c>
      <c r="I4600" s="24" t="s">
        <v>29</v>
      </c>
      <c r="J4600" s="36">
        <v>45689</v>
      </c>
      <c r="K4600" s="24" t="s">
        <v>22</v>
      </c>
    </row>
    <row r="4601" spans="1:11" x14ac:dyDescent="0.2">
      <c r="A4601" s="27" t="s">
        <v>11059</v>
      </c>
      <c r="B4601" s="27" t="s">
        <v>11060</v>
      </c>
      <c r="C4601" s="27" t="s">
        <v>2010</v>
      </c>
      <c r="D4601" s="27" t="s">
        <v>17</v>
      </c>
      <c r="E4601" s="27" t="s">
        <v>18</v>
      </c>
      <c r="F4601" s="27" t="s">
        <v>19</v>
      </c>
      <c r="G4601" s="27" t="s">
        <v>28</v>
      </c>
      <c r="H4601" s="29">
        <v>18</v>
      </c>
      <c r="I4601" s="27" t="s">
        <v>29</v>
      </c>
      <c r="J4601" s="37">
        <v>45715</v>
      </c>
      <c r="K4601" s="27" t="s">
        <v>22</v>
      </c>
    </row>
    <row r="4602" spans="1:11" x14ac:dyDescent="0.2">
      <c r="A4602" s="24" t="s">
        <v>11061</v>
      </c>
      <c r="B4602" s="24" t="s">
        <v>11062</v>
      </c>
      <c r="C4602" s="24" t="s">
        <v>2103</v>
      </c>
      <c r="D4602" s="24" t="s">
        <v>17</v>
      </c>
      <c r="E4602" s="24" t="s">
        <v>18</v>
      </c>
      <c r="F4602" s="24" t="s">
        <v>19</v>
      </c>
      <c r="G4602" s="24" t="s">
        <v>20</v>
      </c>
      <c r="H4602" s="26">
        <v>12</v>
      </c>
      <c r="I4602" s="24" t="s">
        <v>21</v>
      </c>
      <c r="J4602" s="36">
        <v>45713</v>
      </c>
      <c r="K4602" s="24" t="s">
        <v>22</v>
      </c>
    </row>
    <row r="4603" spans="1:11" x14ac:dyDescent="0.2">
      <c r="A4603" s="27" t="s">
        <v>11063</v>
      </c>
      <c r="B4603" s="27" t="s">
        <v>11064</v>
      </c>
      <c r="C4603" s="27" t="s">
        <v>11065</v>
      </c>
      <c r="D4603" s="27" t="s">
        <v>17</v>
      </c>
      <c r="E4603" s="27" t="s">
        <v>26</v>
      </c>
      <c r="F4603" s="27" t="s">
        <v>27</v>
      </c>
      <c r="G4603" s="27" t="s">
        <v>28</v>
      </c>
      <c r="H4603" s="29">
        <v>33</v>
      </c>
      <c r="I4603" s="27" t="s">
        <v>29</v>
      </c>
      <c r="J4603" s="37">
        <v>45712</v>
      </c>
      <c r="K4603" s="27" t="s">
        <v>22</v>
      </c>
    </row>
    <row r="4604" spans="1:11" x14ac:dyDescent="0.2">
      <c r="A4604" s="24" t="s">
        <v>11066</v>
      </c>
      <c r="B4604" s="24" t="s">
        <v>11067</v>
      </c>
      <c r="C4604" s="24" t="s">
        <v>9249</v>
      </c>
      <c r="D4604" s="24" t="s">
        <v>17</v>
      </c>
      <c r="E4604" s="24" t="s">
        <v>48</v>
      </c>
      <c r="F4604" s="24" t="s">
        <v>49</v>
      </c>
      <c r="G4604" s="24" t="s">
        <v>217</v>
      </c>
      <c r="H4604" s="26">
        <v>80</v>
      </c>
      <c r="I4604" s="24" t="s">
        <v>29</v>
      </c>
      <c r="J4604" s="36">
        <v>45712</v>
      </c>
      <c r="K4604" s="24" t="s">
        <v>22</v>
      </c>
    </row>
    <row r="4605" spans="1:11" x14ac:dyDescent="0.2">
      <c r="A4605" s="27" t="s">
        <v>11068</v>
      </c>
      <c r="B4605" s="27" t="s">
        <v>11069</v>
      </c>
      <c r="C4605" s="27" t="s">
        <v>1617</v>
      </c>
      <c r="D4605" s="27" t="s">
        <v>17</v>
      </c>
      <c r="E4605" s="27" t="s">
        <v>42</v>
      </c>
      <c r="F4605" s="27" t="s">
        <v>43</v>
      </c>
      <c r="G4605" s="27" t="s">
        <v>217</v>
      </c>
      <c r="H4605" s="29">
        <v>262</v>
      </c>
      <c r="I4605" s="27" t="s">
        <v>29</v>
      </c>
      <c r="J4605" s="37">
        <v>45689</v>
      </c>
      <c r="K4605" s="27" t="s">
        <v>22</v>
      </c>
    </row>
    <row r="4606" spans="1:11" x14ac:dyDescent="0.2">
      <c r="A4606" s="24" t="s">
        <v>11070</v>
      </c>
      <c r="B4606" s="24" t="s">
        <v>11071</v>
      </c>
      <c r="C4606" s="24" t="s">
        <v>7327</v>
      </c>
      <c r="D4606" s="24" t="s">
        <v>17</v>
      </c>
      <c r="E4606" s="24" t="s">
        <v>33</v>
      </c>
      <c r="F4606" s="24" t="s">
        <v>34</v>
      </c>
      <c r="G4606" s="24" t="s">
        <v>116</v>
      </c>
      <c r="H4606" s="26">
        <v>0</v>
      </c>
      <c r="I4606" s="24" t="s">
        <v>21</v>
      </c>
      <c r="J4606" s="36">
        <v>45689</v>
      </c>
      <c r="K4606" s="24" t="s">
        <v>22</v>
      </c>
    </row>
    <row r="4607" spans="1:11" x14ac:dyDescent="0.2">
      <c r="A4607" s="27" t="s">
        <v>11072</v>
      </c>
      <c r="B4607" s="27" t="s">
        <v>11073</v>
      </c>
      <c r="C4607" s="27" t="s">
        <v>11074</v>
      </c>
      <c r="D4607" s="27" t="s">
        <v>17</v>
      </c>
      <c r="E4607" s="27" t="s">
        <v>18</v>
      </c>
      <c r="F4607" s="27" t="s">
        <v>19</v>
      </c>
      <c r="G4607" s="27" t="s">
        <v>217</v>
      </c>
      <c r="H4607" s="29">
        <v>20</v>
      </c>
      <c r="I4607" s="27" t="s">
        <v>29</v>
      </c>
      <c r="J4607" s="37">
        <v>45689</v>
      </c>
      <c r="K4607" s="27" t="s">
        <v>22</v>
      </c>
    </row>
    <row r="4608" spans="1:11" x14ac:dyDescent="0.2">
      <c r="A4608" s="24" t="s">
        <v>11075</v>
      </c>
      <c r="B4608" s="24" t="s">
        <v>11076</v>
      </c>
      <c r="C4608" s="24" t="s">
        <v>1470</v>
      </c>
      <c r="D4608" s="24" t="s">
        <v>17</v>
      </c>
      <c r="E4608" s="24" t="s">
        <v>42</v>
      </c>
      <c r="F4608" s="24" t="s">
        <v>43</v>
      </c>
      <c r="G4608" s="24" t="s">
        <v>20</v>
      </c>
      <c r="H4608" s="26">
        <v>55</v>
      </c>
      <c r="I4608" s="24" t="s">
        <v>21</v>
      </c>
      <c r="J4608" s="36">
        <v>45701</v>
      </c>
      <c r="K4608" s="24" t="s">
        <v>22</v>
      </c>
    </row>
    <row r="4609" spans="1:11" x14ac:dyDescent="0.2">
      <c r="A4609" s="27" t="s">
        <v>11077</v>
      </c>
      <c r="B4609" s="27" t="s">
        <v>11078</v>
      </c>
      <c r="C4609" s="27" t="s">
        <v>331</v>
      </c>
      <c r="D4609" s="27" t="s">
        <v>17</v>
      </c>
      <c r="E4609" s="27" t="s">
        <v>18</v>
      </c>
      <c r="F4609" s="27" t="s">
        <v>19</v>
      </c>
      <c r="G4609" s="27" t="s">
        <v>20</v>
      </c>
      <c r="H4609" s="29">
        <v>71</v>
      </c>
      <c r="I4609" s="27" t="s">
        <v>21</v>
      </c>
      <c r="J4609" s="37">
        <v>45701</v>
      </c>
      <c r="K4609" s="27" t="s">
        <v>22</v>
      </c>
    </row>
    <row r="4610" spans="1:11" x14ac:dyDescent="0.2">
      <c r="A4610" s="24" t="s">
        <v>11079</v>
      </c>
      <c r="B4610" s="24" t="s">
        <v>11080</v>
      </c>
      <c r="C4610" s="24" t="s">
        <v>11081</v>
      </c>
      <c r="D4610" s="24" t="s">
        <v>17</v>
      </c>
      <c r="E4610" s="24" t="s">
        <v>18</v>
      </c>
      <c r="F4610" s="24" t="s">
        <v>19</v>
      </c>
      <c r="G4610" s="24" t="s">
        <v>227</v>
      </c>
      <c r="H4610" s="26">
        <v>78</v>
      </c>
      <c r="I4610" s="24" t="s">
        <v>29</v>
      </c>
      <c r="J4610" s="36">
        <v>45714</v>
      </c>
      <c r="K4610" s="24" t="s">
        <v>22</v>
      </c>
    </row>
    <row r="4611" spans="1:11" x14ac:dyDescent="0.2">
      <c r="A4611" s="27" t="s">
        <v>11082</v>
      </c>
      <c r="B4611" s="27" t="s">
        <v>11083</v>
      </c>
      <c r="C4611" s="27" t="s">
        <v>325</v>
      </c>
      <c r="D4611" s="27" t="s">
        <v>17</v>
      </c>
      <c r="E4611" s="27" t="s">
        <v>18</v>
      </c>
      <c r="F4611" s="27" t="s">
        <v>19</v>
      </c>
      <c r="G4611" s="27" t="s">
        <v>28</v>
      </c>
      <c r="H4611" s="29">
        <v>148</v>
      </c>
      <c r="I4611" s="27" t="s">
        <v>29</v>
      </c>
      <c r="J4611" s="37">
        <v>45716</v>
      </c>
      <c r="K4611" s="27" t="s">
        <v>22</v>
      </c>
    </row>
    <row r="4612" spans="1:11" x14ac:dyDescent="0.2">
      <c r="A4612" s="24" t="s">
        <v>11084</v>
      </c>
      <c r="B4612" s="24" t="s">
        <v>11085</v>
      </c>
      <c r="C4612" s="24" t="s">
        <v>331</v>
      </c>
      <c r="D4612" s="24" t="s">
        <v>17</v>
      </c>
      <c r="E4612" s="24" t="s">
        <v>42</v>
      </c>
      <c r="F4612" s="24" t="s">
        <v>43</v>
      </c>
      <c r="G4612" s="24" t="s">
        <v>28</v>
      </c>
      <c r="H4612" s="26">
        <v>600</v>
      </c>
      <c r="I4612" s="24" t="s">
        <v>29</v>
      </c>
      <c r="J4612" s="36">
        <v>45716</v>
      </c>
      <c r="K4612" s="24" t="s">
        <v>22</v>
      </c>
    </row>
    <row r="4613" spans="1:11" x14ac:dyDescent="0.2">
      <c r="A4613" s="27" t="s">
        <v>11086</v>
      </c>
      <c r="B4613" s="27" t="s">
        <v>11087</v>
      </c>
      <c r="C4613" s="27" t="s">
        <v>526</v>
      </c>
      <c r="D4613" s="27" t="s">
        <v>17</v>
      </c>
      <c r="E4613" s="27" t="s">
        <v>18</v>
      </c>
      <c r="F4613" s="27" t="s">
        <v>19</v>
      </c>
      <c r="G4613" s="27" t="s">
        <v>28</v>
      </c>
      <c r="H4613" s="29">
        <v>127</v>
      </c>
      <c r="I4613" s="27" t="s">
        <v>29</v>
      </c>
      <c r="J4613" s="37">
        <v>45706</v>
      </c>
      <c r="K4613" s="27" t="s">
        <v>22</v>
      </c>
    </row>
    <row r="4614" spans="1:11" x14ac:dyDescent="0.2">
      <c r="A4614" s="24" t="s">
        <v>11088</v>
      </c>
      <c r="B4614" s="24" t="s">
        <v>11089</v>
      </c>
      <c r="C4614" s="24" t="s">
        <v>106</v>
      </c>
      <c r="D4614" s="24" t="s">
        <v>17</v>
      </c>
      <c r="E4614" s="24" t="s">
        <v>18</v>
      </c>
      <c r="F4614" s="24" t="s">
        <v>19</v>
      </c>
      <c r="G4614" s="24" t="s">
        <v>20</v>
      </c>
      <c r="H4614" s="26">
        <v>30</v>
      </c>
      <c r="I4614" s="24" t="s">
        <v>21</v>
      </c>
      <c r="J4614" s="36">
        <v>45698</v>
      </c>
      <c r="K4614" s="24" t="s">
        <v>22</v>
      </c>
    </row>
    <row r="4615" spans="1:11" x14ac:dyDescent="0.2">
      <c r="A4615" s="27" t="s">
        <v>11090</v>
      </c>
      <c r="B4615" s="27" t="s">
        <v>11091</v>
      </c>
      <c r="C4615" s="27" t="s">
        <v>653</v>
      </c>
      <c r="D4615" s="27" t="s">
        <v>17</v>
      </c>
      <c r="E4615" s="27" t="s">
        <v>26</v>
      </c>
      <c r="F4615" s="27" t="s">
        <v>27</v>
      </c>
      <c r="G4615" s="27" t="s">
        <v>217</v>
      </c>
      <c r="H4615" s="29">
        <v>162</v>
      </c>
      <c r="I4615" s="27" t="s">
        <v>29</v>
      </c>
      <c r="J4615" s="37">
        <v>45708</v>
      </c>
      <c r="K4615" s="27" t="s">
        <v>22</v>
      </c>
    </row>
    <row r="4616" spans="1:11" x14ac:dyDescent="0.2">
      <c r="A4616" s="24" t="s">
        <v>11092</v>
      </c>
      <c r="B4616" s="24" t="s">
        <v>11093</v>
      </c>
      <c r="C4616" s="24" t="s">
        <v>3856</v>
      </c>
      <c r="D4616" s="24" t="s">
        <v>17</v>
      </c>
      <c r="E4616" s="24" t="s">
        <v>18</v>
      </c>
      <c r="F4616" s="24" t="s">
        <v>19</v>
      </c>
      <c r="G4616" s="24" t="s">
        <v>20</v>
      </c>
      <c r="H4616" s="26">
        <v>25</v>
      </c>
      <c r="I4616" s="24" t="s">
        <v>21</v>
      </c>
      <c r="J4616" s="36">
        <v>45702</v>
      </c>
      <c r="K4616" s="24" t="s">
        <v>22</v>
      </c>
    </row>
    <row r="4617" spans="1:11" x14ac:dyDescent="0.2">
      <c r="A4617" s="27" t="s">
        <v>11094</v>
      </c>
      <c r="B4617" s="27" t="s">
        <v>11095</v>
      </c>
      <c r="C4617" s="27" t="s">
        <v>2999</v>
      </c>
      <c r="D4617" s="27" t="s">
        <v>17</v>
      </c>
      <c r="E4617" s="27" t="s">
        <v>42</v>
      </c>
      <c r="F4617" s="27" t="s">
        <v>43</v>
      </c>
      <c r="G4617" s="27" t="s">
        <v>217</v>
      </c>
      <c r="H4617" s="29">
        <v>340</v>
      </c>
      <c r="I4617" s="27" t="s">
        <v>29</v>
      </c>
      <c r="J4617" s="37">
        <v>45689</v>
      </c>
      <c r="K4617" s="27" t="s">
        <v>22</v>
      </c>
    </row>
    <row r="4618" spans="1:11" x14ac:dyDescent="0.2">
      <c r="A4618" s="24" t="s">
        <v>11096</v>
      </c>
      <c r="B4618" s="24" t="s">
        <v>11097</v>
      </c>
      <c r="C4618" s="24" t="s">
        <v>526</v>
      </c>
      <c r="D4618" s="24" t="s">
        <v>17</v>
      </c>
      <c r="E4618" s="24" t="s">
        <v>18</v>
      </c>
      <c r="F4618" s="24" t="s">
        <v>19</v>
      </c>
      <c r="G4618" s="24" t="s">
        <v>20</v>
      </c>
      <c r="H4618" s="26">
        <v>120</v>
      </c>
      <c r="I4618" s="24" t="s">
        <v>21</v>
      </c>
      <c r="J4618" s="36">
        <v>45705</v>
      </c>
      <c r="K4618" s="24" t="s">
        <v>22</v>
      </c>
    </row>
    <row r="4619" spans="1:11" x14ac:dyDescent="0.2">
      <c r="A4619" s="27" t="s">
        <v>11098</v>
      </c>
      <c r="B4619" s="27" t="s">
        <v>11099</v>
      </c>
      <c r="C4619" s="27" t="s">
        <v>11100</v>
      </c>
      <c r="D4619" s="27" t="s">
        <v>17</v>
      </c>
      <c r="E4619" s="27" t="s">
        <v>48</v>
      </c>
      <c r="F4619" s="27" t="s">
        <v>49</v>
      </c>
      <c r="G4619" s="27" t="s">
        <v>217</v>
      </c>
      <c r="H4619" s="29">
        <v>40</v>
      </c>
      <c r="I4619" s="27" t="s">
        <v>29</v>
      </c>
      <c r="J4619" s="37">
        <v>45706</v>
      </c>
      <c r="K4619" s="27" t="s">
        <v>22</v>
      </c>
    </row>
    <row r="4620" spans="1:11" x14ac:dyDescent="0.2">
      <c r="A4620" s="24" t="s">
        <v>11101</v>
      </c>
      <c r="B4620" s="24" t="s">
        <v>11102</v>
      </c>
      <c r="C4620" s="24" t="s">
        <v>592</v>
      </c>
      <c r="D4620" s="24" t="s">
        <v>17</v>
      </c>
      <c r="E4620" s="24" t="s">
        <v>48</v>
      </c>
      <c r="F4620" s="24" t="s">
        <v>49</v>
      </c>
      <c r="G4620" s="24" t="s">
        <v>28</v>
      </c>
      <c r="H4620" s="26">
        <v>40</v>
      </c>
      <c r="I4620" s="24" t="s">
        <v>29</v>
      </c>
      <c r="J4620" s="36">
        <v>45698</v>
      </c>
      <c r="K4620" s="24" t="s">
        <v>22</v>
      </c>
    </row>
    <row r="4621" spans="1:11" x14ac:dyDescent="0.2">
      <c r="A4621" s="27" t="s">
        <v>11103</v>
      </c>
      <c r="B4621" s="27" t="s">
        <v>11104</v>
      </c>
      <c r="C4621" s="27" t="s">
        <v>687</v>
      </c>
      <c r="D4621" s="27" t="s">
        <v>17</v>
      </c>
      <c r="E4621" s="27" t="s">
        <v>42</v>
      </c>
      <c r="F4621" s="27" t="s">
        <v>43</v>
      </c>
      <c r="G4621" s="27" t="s">
        <v>28</v>
      </c>
      <c r="H4621" s="29">
        <v>408</v>
      </c>
      <c r="I4621" s="27" t="s">
        <v>29</v>
      </c>
      <c r="J4621" s="37">
        <v>45705</v>
      </c>
      <c r="K4621" s="27" t="s">
        <v>22</v>
      </c>
    </row>
    <row r="4622" spans="1:11" x14ac:dyDescent="0.2">
      <c r="A4622" s="24" t="s">
        <v>11105</v>
      </c>
      <c r="B4622" s="24" t="s">
        <v>11106</v>
      </c>
      <c r="C4622" s="24" t="s">
        <v>11107</v>
      </c>
      <c r="D4622" s="24" t="s">
        <v>17</v>
      </c>
      <c r="E4622" s="24" t="s">
        <v>18</v>
      </c>
      <c r="F4622" s="24" t="s">
        <v>19</v>
      </c>
      <c r="G4622" s="24" t="s">
        <v>28</v>
      </c>
      <c r="H4622" s="26">
        <v>32</v>
      </c>
      <c r="I4622" s="24" t="s">
        <v>29</v>
      </c>
      <c r="J4622" s="36">
        <v>45701</v>
      </c>
      <c r="K4622" s="24" t="s">
        <v>22</v>
      </c>
    </row>
    <row r="4623" spans="1:11" x14ac:dyDescent="0.2">
      <c r="A4623" s="27" t="s">
        <v>11108</v>
      </c>
      <c r="B4623" s="27" t="s">
        <v>11109</v>
      </c>
      <c r="C4623" s="27" t="s">
        <v>1523</v>
      </c>
      <c r="D4623" s="27" t="s">
        <v>17</v>
      </c>
      <c r="E4623" s="27" t="s">
        <v>48</v>
      </c>
      <c r="F4623" s="27" t="s">
        <v>49</v>
      </c>
      <c r="G4623" s="27" t="s">
        <v>217</v>
      </c>
      <c r="H4623" s="29">
        <v>150</v>
      </c>
      <c r="I4623" s="27" t="s">
        <v>29</v>
      </c>
      <c r="J4623" s="37">
        <v>45689</v>
      </c>
      <c r="K4623" s="27" t="s">
        <v>22</v>
      </c>
    </row>
    <row r="4624" spans="1:11" x14ac:dyDescent="0.2">
      <c r="A4624" s="24" t="s">
        <v>11110</v>
      </c>
      <c r="B4624" s="24" t="s">
        <v>11111</v>
      </c>
      <c r="C4624" s="24" t="s">
        <v>5791</v>
      </c>
      <c r="D4624" s="24" t="s">
        <v>17</v>
      </c>
      <c r="E4624" s="24" t="s">
        <v>18</v>
      </c>
      <c r="F4624" s="24" t="s">
        <v>19</v>
      </c>
      <c r="G4624" s="24" t="s">
        <v>20</v>
      </c>
      <c r="H4624" s="26">
        <v>44</v>
      </c>
      <c r="I4624" s="24" t="s">
        <v>21</v>
      </c>
      <c r="J4624" s="36">
        <v>45700</v>
      </c>
      <c r="K4624" s="24" t="s">
        <v>22</v>
      </c>
    </row>
    <row r="4625" spans="1:11" x14ac:dyDescent="0.2">
      <c r="A4625" s="27" t="s">
        <v>11112</v>
      </c>
      <c r="B4625" s="27" t="s">
        <v>11113</v>
      </c>
      <c r="C4625" s="27" t="s">
        <v>6875</v>
      </c>
      <c r="D4625" s="27" t="s">
        <v>17</v>
      </c>
      <c r="E4625" s="27" t="s">
        <v>18</v>
      </c>
      <c r="F4625" s="27" t="s">
        <v>19</v>
      </c>
      <c r="G4625" s="27" t="s">
        <v>217</v>
      </c>
      <c r="H4625" s="29">
        <v>72</v>
      </c>
      <c r="I4625" s="27" t="s">
        <v>29</v>
      </c>
      <c r="J4625" s="37">
        <v>45698</v>
      </c>
      <c r="K4625" s="27" t="s">
        <v>22</v>
      </c>
    </row>
    <row r="4626" spans="1:11" x14ac:dyDescent="0.2">
      <c r="A4626" s="24" t="s">
        <v>11114</v>
      </c>
      <c r="B4626" s="24" t="s">
        <v>11115</v>
      </c>
      <c r="C4626" s="24" t="s">
        <v>1236</v>
      </c>
      <c r="D4626" s="24" t="s">
        <v>17</v>
      </c>
      <c r="E4626" s="24" t="s">
        <v>18</v>
      </c>
      <c r="F4626" s="24" t="s">
        <v>19</v>
      </c>
      <c r="G4626" s="24" t="s">
        <v>28</v>
      </c>
      <c r="H4626" s="26">
        <v>66</v>
      </c>
      <c r="I4626" s="24" t="s">
        <v>29</v>
      </c>
      <c r="J4626" s="36">
        <v>45715</v>
      </c>
      <c r="K4626" s="24" t="s">
        <v>22</v>
      </c>
    </row>
    <row r="4627" spans="1:11" x14ac:dyDescent="0.2">
      <c r="A4627" s="27" t="s">
        <v>11116</v>
      </c>
      <c r="B4627" s="27" t="s">
        <v>11117</v>
      </c>
      <c r="C4627" s="27" t="s">
        <v>3972</v>
      </c>
      <c r="D4627" s="27" t="s">
        <v>17</v>
      </c>
      <c r="E4627" s="27" t="s">
        <v>163</v>
      </c>
      <c r="F4627" s="27" t="s">
        <v>164</v>
      </c>
      <c r="G4627" s="27" t="s">
        <v>28</v>
      </c>
      <c r="H4627" s="29">
        <v>10</v>
      </c>
      <c r="I4627" s="27" t="s">
        <v>29</v>
      </c>
      <c r="J4627" s="37">
        <v>45698</v>
      </c>
      <c r="K4627" s="27" t="s">
        <v>22</v>
      </c>
    </row>
    <row r="4628" spans="1:11" x14ac:dyDescent="0.2">
      <c r="A4628" s="24" t="s">
        <v>11118</v>
      </c>
      <c r="B4628" s="24" t="s">
        <v>11119</v>
      </c>
      <c r="C4628" s="24" t="s">
        <v>4616</v>
      </c>
      <c r="D4628" s="24" t="s">
        <v>17</v>
      </c>
      <c r="E4628" s="24" t="s">
        <v>18</v>
      </c>
      <c r="F4628" s="24" t="s">
        <v>19</v>
      </c>
      <c r="G4628" s="24" t="s">
        <v>28</v>
      </c>
      <c r="H4628" s="26">
        <v>128</v>
      </c>
      <c r="I4628" s="24" t="s">
        <v>29</v>
      </c>
      <c r="J4628" s="36">
        <v>45692</v>
      </c>
      <c r="K4628" s="24" t="s">
        <v>22</v>
      </c>
    </row>
    <row r="4629" spans="1:11" x14ac:dyDescent="0.2">
      <c r="A4629" s="27" t="s">
        <v>11120</v>
      </c>
      <c r="B4629" s="27" t="s">
        <v>11121</v>
      </c>
      <c r="C4629" s="27" t="s">
        <v>11122</v>
      </c>
      <c r="D4629" s="27" t="s">
        <v>17</v>
      </c>
      <c r="E4629" s="27" t="s">
        <v>26</v>
      </c>
      <c r="F4629" s="27" t="s">
        <v>27</v>
      </c>
      <c r="G4629" s="27" t="s">
        <v>28</v>
      </c>
      <c r="H4629" s="29">
        <v>9</v>
      </c>
      <c r="I4629" s="27" t="s">
        <v>29</v>
      </c>
      <c r="J4629" s="37">
        <v>45703</v>
      </c>
      <c r="K4629" s="27" t="s">
        <v>22</v>
      </c>
    </row>
    <row r="4630" spans="1:11" x14ac:dyDescent="0.2">
      <c r="A4630" s="24" t="s">
        <v>11123</v>
      </c>
      <c r="B4630" s="24" t="s">
        <v>11124</v>
      </c>
      <c r="C4630" s="24" t="s">
        <v>213</v>
      </c>
      <c r="D4630" s="24" t="s">
        <v>17</v>
      </c>
      <c r="E4630" s="24" t="s">
        <v>18</v>
      </c>
      <c r="F4630" s="24" t="s">
        <v>19</v>
      </c>
      <c r="G4630" s="24" t="s">
        <v>20</v>
      </c>
      <c r="H4630" s="26">
        <v>24</v>
      </c>
      <c r="I4630" s="24" t="s">
        <v>21</v>
      </c>
      <c r="J4630" s="36">
        <v>45692</v>
      </c>
      <c r="K4630" s="24" t="s">
        <v>22</v>
      </c>
    </row>
    <row r="4631" spans="1:11" x14ac:dyDescent="0.2">
      <c r="A4631" s="27" t="s">
        <v>11125</v>
      </c>
      <c r="B4631" s="27" t="s">
        <v>11126</v>
      </c>
      <c r="C4631" s="27" t="s">
        <v>55</v>
      </c>
      <c r="D4631" s="27" t="s">
        <v>17</v>
      </c>
      <c r="E4631" s="27" t="s">
        <v>18</v>
      </c>
      <c r="F4631" s="27" t="s">
        <v>19</v>
      </c>
      <c r="G4631" s="27" t="s">
        <v>20</v>
      </c>
      <c r="H4631" s="29">
        <v>20</v>
      </c>
      <c r="I4631" s="27" t="s">
        <v>21</v>
      </c>
      <c r="J4631" s="37">
        <v>45709</v>
      </c>
      <c r="K4631" s="27" t="s">
        <v>22</v>
      </c>
    </row>
    <row r="4632" spans="1:11" x14ac:dyDescent="0.2">
      <c r="A4632" s="24" t="s">
        <v>11127</v>
      </c>
      <c r="B4632" s="24" t="s">
        <v>11128</v>
      </c>
      <c r="C4632" s="24" t="s">
        <v>705</v>
      </c>
      <c r="D4632" s="24" t="s">
        <v>17</v>
      </c>
      <c r="E4632" s="24" t="s">
        <v>26</v>
      </c>
      <c r="F4632" s="24" t="s">
        <v>27</v>
      </c>
      <c r="G4632" s="24" t="s">
        <v>217</v>
      </c>
      <c r="H4632" s="26">
        <v>68</v>
      </c>
      <c r="I4632" s="24" t="s">
        <v>29</v>
      </c>
      <c r="J4632" s="36">
        <v>45689</v>
      </c>
      <c r="K4632" s="24" t="s">
        <v>22</v>
      </c>
    </row>
    <row r="4633" spans="1:11" x14ac:dyDescent="0.2">
      <c r="A4633" s="27" t="s">
        <v>11129</v>
      </c>
      <c r="B4633" s="27" t="s">
        <v>11130</v>
      </c>
      <c r="C4633" s="27" t="s">
        <v>71</v>
      </c>
      <c r="D4633" s="27" t="s">
        <v>17</v>
      </c>
      <c r="E4633" s="27" t="s">
        <v>42</v>
      </c>
      <c r="F4633" s="27" t="s">
        <v>43</v>
      </c>
      <c r="G4633" s="27" t="s">
        <v>217</v>
      </c>
      <c r="H4633" s="29">
        <v>636</v>
      </c>
      <c r="I4633" s="27" t="s">
        <v>29</v>
      </c>
      <c r="J4633" s="37">
        <v>45689</v>
      </c>
      <c r="K4633" s="27" t="s">
        <v>22</v>
      </c>
    </row>
    <row r="4634" spans="1:11" x14ac:dyDescent="0.2">
      <c r="A4634" s="24" t="s">
        <v>11131</v>
      </c>
      <c r="B4634" s="24" t="s">
        <v>11132</v>
      </c>
      <c r="C4634" s="24" t="s">
        <v>208</v>
      </c>
      <c r="D4634" s="24" t="s">
        <v>17</v>
      </c>
      <c r="E4634" s="24" t="s">
        <v>48</v>
      </c>
      <c r="F4634" s="24" t="s">
        <v>49</v>
      </c>
      <c r="G4634" s="24" t="s">
        <v>44</v>
      </c>
      <c r="H4634" s="26">
        <v>84</v>
      </c>
      <c r="I4634" s="24" t="s">
        <v>29</v>
      </c>
      <c r="J4634" s="36">
        <v>45716</v>
      </c>
      <c r="K4634" s="24" t="s">
        <v>22</v>
      </c>
    </row>
    <row r="4635" spans="1:11" x14ac:dyDescent="0.2">
      <c r="A4635" s="27" t="s">
        <v>11133</v>
      </c>
      <c r="B4635" s="27" t="s">
        <v>11134</v>
      </c>
      <c r="C4635" s="27" t="s">
        <v>11135</v>
      </c>
      <c r="D4635" s="27" t="s">
        <v>17</v>
      </c>
      <c r="E4635" s="27" t="s">
        <v>18</v>
      </c>
      <c r="F4635" s="27" t="s">
        <v>19</v>
      </c>
      <c r="G4635" s="27" t="s">
        <v>28</v>
      </c>
      <c r="H4635" s="29">
        <v>52</v>
      </c>
      <c r="I4635" s="27" t="s">
        <v>29</v>
      </c>
      <c r="J4635" s="37">
        <v>45716</v>
      </c>
      <c r="K4635" s="27" t="s">
        <v>22</v>
      </c>
    </row>
    <row r="4636" spans="1:11" x14ac:dyDescent="0.2">
      <c r="A4636" s="24" t="s">
        <v>11136</v>
      </c>
      <c r="B4636" s="24" t="s">
        <v>11137</v>
      </c>
      <c r="C4636" s="24" t="s">
        <v>1199</v>
      </c>
      <c r="D4636" s="24" t="s">
        <v>17</v>
      </c>
      <c r="E4636" s="24" t="s">
        <v>42</v>
      </c>
      <c r="F4636" s="24" t="s">
        <v>43</v>
      </c>
      <c r="G4636" s="24" t="s">
        <v>217</v>
      </c>
      <c r="H4636" s="26">
        <v>90</v>
      </c>
      <c r="I4636" s="24" t="s">
        <v>29</v>
      </c>
      <c r="J4636" s="36">
        <v>45689</v>
      </c>
      <c r="K4636" s="24" t="s">
        <v>22</v>
      </c>
    </row>
    <row r="4637" spans="1:11" x14ac:dyDescent="0.2">
      <c r="A4637" s="27" t="s">
        <v>11138</v>
      </c>
      <c r="B4637" s="27" t="s">
        <v>11139</v>
      </c>
      <c r="C4637" s="27" t="s">
        <v>687</v>
      </c>
      <c r="D4637" s="27" t="s">
        <v>17</v>
      </c>
      <c r="E4637" s="27" t="s">
        <v>42</v>
      </c>
      <c r="F4637" s="27" t="s">
        <v>43</v>
      </c>
      <c r="G4637" s="27" t="s">
        <v>44</v>
      </c>
      <c r="H4637" s="29">
        <v>400</v>
      </c>
      <c r="I4637" s="27" t="s">
        <v>29</v>
      </c>
      <c r="J4637" s="37">
        <v>45698</v>
      </c>
      <c r="K4637" s="27" t="s">
        <v>22</v>
      </c>
    </row>
    <row r="4638" spans="1:11" x14ac:dyDescent="0.2">
      <c r="A4638" s="24" t="s">
        <v>11140</v>
      </c>
      <c r="B4638" s="24" t="s">
        <v>11141</v>
      </c>
      <c r="C4638" s="24" t="s">
        <v>11142</v>
      </c>
      <c r="D4638" s="24" t="s">
        <v>17</v>
      </c>
      <c r="E4638" s="24" t="s">
        <v>48</v>
      </c>
      <c r="F4638" s="24" t="s">
        <v>49</v>
      </c>
      <c r="G4638" s="24" t="s">
        <v>20</v>
      </c>
      <c r="H4638" s="26">
        <v>48</v>
      </c>
      <c r="I4638" s="24" t="s">
        <v>21</v>
      </c>
      <c r="J4638" s="36">
        <v>45716</v>
      </c>
      <c r="K4638" s="24" t="s">
        <v>22</v>
      </c>
    </row>
    <row r="4639" spans="1:11" x14ac:dyDescent="0.2">
      <c r="A4639" s="27" t="s">
        <v>11143</v>
      </c>
      <c r="B4639" s="27" t="s">
        <v>11144</v>
      </c>
      <c r="C4639" s="27" t="s">
        <v>11145</v>
      </c>
      <c r="D4639" s="27" t="s">
        <v>17</v>
      </c>
      <c r="E4639" s="27" t="s">
        <v>42</v>
      </c>
      <c r="F4639" s="27" t="s">
        <v>43</v>
      </c>
      <c r="G4639" s="27" t="s">
        <v>28</v>
      </c>
      <c r="H4639" s="29">
        <v>360</v>
      </c>
      <c r="I4639" s="27" t="s">
        <v>29</v>
      </c>
      <c r="J4639" s="37">
        <v>45715</v>
      </c>
      <c r="K4639" s="27" t="s">
        <v>22</v>
      </c>
    </row>
    <row r="4640" spans="1:11" x14ac:dyDescent="0.2">
      <c r="A4640" s="24" t="s">
        <v>11146</v>
      </c>
      <c r="B4640" s="24" t="s">
        <v>11147</v>
      </c>
      <c r="C4640" s="24" t="s">
        <v>1663</v>
      </c>
      <c r="D4640" s="24" t="s">
        <v>17</v>
      </c>
      <c r="E4640" s="24" t="s">
        <v>48</v>
      </c>
      <c r="F4640" s="24" t="s">
        <v>49</v>
      </c>
      <c r="G4640" s="24" t="s">
        <v>28</v>
      </c>
      <c r="H4640" s="26">
        <v>130</v>
      </c>
      <c r="I4640" s="24" t="s">
        <v>29</v>
      </c>
      <c r="J4640" s="36">
        <v>45708</v>
      </c>
      <c r="K4640" s="24" t="s">
        <v>22</v>
      </c>
    </row>
    <row r="4641" spans="1:11" x14ac:dyDescent="0.2">
      <c r="A4641" s="27" t="s">
        <v>11148</v>
      </c>
      <c r="B4641" s="27" t="s">
        <v>11149</v>
      </c>
      <c r="C4641" s="27" t="s">
        <v>11150</v>
      </c>
      <c r="D4641" s="27" t="s">
        <v>17</v>
      </c>
      <c r="E4641" s="27" t="s">
        <v>42</v>
      </c>
      <c r="F4641" s="27" t="s">
        <v>43</v>
      </c>
      <c r="G4641" s="27" t="s">
        <v>28</v>
      </c>
      <c r="H4641" s="29">
        <v>300</v>
      </c>
      <c r="I4641" s="27" t="s">
        <v>29</v>
      </c>
      <c r="J4641" s="37">
        <v>45702</v>
      </c>
      <c r="K4641" s="27" t="s">
        <v>22</v>
      </c>
    </row>
    <row r="4642" spans="1:11" x14ac:dyDescent="0.2">
      <c r="A4642" s="24" t="s">
        <v>11151</v>
      </c>
      <c r="B4642" s="24" t="s">
        <v>11152</v>
      </c>
      <c r="C4642" s="24" t="s">
        <v>1307</v>
      </c>
      <c r="D4642" s="24" t="s">
        <v>17</v>
      </c>
      <c r="E4642" s="24" t="s">
        <v>18</v>
      </c>
      <c r="F4642" s="24" t="s">
        <v>19</v>
      </c>
      <c r="G4642" s="24" t="s">
        <v>20</v>
      </c>
      <c r="H4642" s="26">
        <v>24</v>
      </c>
      <c r="I4642" s="24" t="s">
        <v>21</v>
      </c>
      <c r="J4642" s="36">
        <v>45699</v>
      </c>
      <c r="K4642" s="24" t="s">
        <v>22</v>
      </c>
    </row>
    <row r="4643" spans="1:11" x14ac:dyDescent="0.2">
      <c r="A4643" s="27" t="s">
        <v>11153</v>
      </c>
      <c r="B4643" s="27" t="s">
        <v>11154</v>
      </c>
      <c r="C4643" s="27" t="s">
        <v>2988</v>
      </c>
      <c r="D4643" s="27" t="s">
        <v>17</v>
      </c>
      <c r="E4643" s="27" t="s">
        <v>26</v>
      </c>
      <c r="F4643" s="27" t="s">
        <v>27</v>
      </c>
      <c r="G4643" s="27" t="s">
        <v>59</v>
      </c>
      <c r="H4643" s="29">
        <v>13</v>
      </c>
      <c r="I4643" s="27" t="s">
        <v>21</v>
      </c>
      <c r="J4643" s="37">
        <v>45713</v>
      </c>
      <c r="K4643" s="27" t="s">
        <v>22</v>
      </c>
    </row>
    <row r="4644" spans="1:11" x14ac:dyDescent="0.2">
      <c r="A4644" s="24" t="s">
        <v>11155</v>
      </c>
      <c r="B4644" s="24" t="s">
        <v>11156</v>
      </c>
      <c r="C4644" s="24" t="s">
        <v>55</v>
      </c>
      <c r="D4644" s="24" t="s">
        <v>17</v>
      </c>
      <c r="E4644" s="24" t="s">
        <v>18</v>
      </c>
      <c r="F4644" s="24" t="s">
        <v>19</v>
      </c>
      <c r="G4644" s="24" t="s">
        <v>20</v>
      </c>
      <c r="H4644" s="26">
        <v>34</v>
      </c>
      <c r="I4644" s="24" t="s">
        <v>21</v>
      </c>
      <c r="J4644" s="36">
        <v>45698</v>
      </c>
      <c r="K4644" s="24" t="s">
        <v>22</v>
      </c>
    </row>
    <row r="4645" spans="1:11" x14ac:dyDescent="0.2">
      <c r="A4645" s="27" t="s">
        <v>11157</v>
      </c>
      <c r="B4645" s="27" t="s">
        <v>11158</v>
      </c>
      <c r="C4645" s="27" t="s">
        <v>7423</v>
      </c>
      <c r="D4645" s="27" t="s">
        <v>17</v>
      </c>
      <c r="E4645" s="27" t="s">
        <v>18</v>
      </c>
      <c r="F4645" s="27" t="s">
        <v>19</v>
      </c>
      <c r="G4645" s="27" t="s">
        <v>20</v>
      </c>
      <c r="H4645" s="29">
        <v>38</v>
      </c>
      <c r="I4645" s="27" t="s">
        <v>21</v>
      </c>
      <c r="J4645" s="37">
        <v>45701</v>
      </c>
      <c r="K4645" s="27" t="s">
        <v>22</v>
      </c>
    </row>
    <row r="4646" spans="1:11" x14ac:dyDescent="0.2">
      <c r="A4646" s="24" t="s">
        <v>11159</v>
      </c>
      <c r="B4646" s="24" t="s">
        <v>11160</v>
      </c>
      <c r="C4646" s="24" t="s">
        <v>106</v>
      </c>
      <c r="D4646" s="24" t="s">
        <v>17</v>
      </c>
      <c r="E4646" s="24" t="s">
        <v>42</v>
      </c>
      <c r="F4646" s="24" t="s">
        <v>43</v>
      </c>
      <c r="G4646" s="24" t="s">
        <v>28</v>
      </c>
      <c r="H4646" s="26">
        <v>90</v>
      </c>
      <c r="I4646" s="24" t="s">
        <v>29</v>
      </c>
      <c r="J4646" s="36">
        <v>45692</v>
      </c>
      <c r="K4646" s="24" t="s">
        <v>22</v>
      </c>
    </row>
    <row r="4647" spans="1:11" x14ac:dyDescent="0.2">
      <c r="A4647" s="27" t="s">
        <v>11161</v>
      </c>
      <c r="B4647" s="27" t="s">
        <v>11162</v>
      </c>
      <c r="C4647" s="27" t="s">
        <v>208</v>
      </c>
      <c r="D4647" s="27" t="s">
        <v>17</v>
      </c>
      <c r="E4647" s="27" t="s">
        <v>42</v>
      </c>
      <c r="F4647" s="27" t="s">
        <v>43</v>
      </c>
      <c r="G4647" s="27" t="s">
        <v>44</v>
      </c>
      <c r="H4647" s="29">
        <v>580</v>
      </c>
      <c r="I4647" s="27" t="s">
        <v>21</v>
      </c>
      <c r="J4647" s="37">
        <v>45715</v>
      </c>
      <c r="K4647" s="27" t="s">
        <v>22</v>
      </c>
    </row>
    <row r="4648" spans="1:11" x14ac:dyDescent="0.2">
      <c r="A4648" s="24" t="s">
        <v>11163</v>
      </c>
      <c r="B4648" s="24" t="s">
        <v>11164</v>
      </c>
      <c r="C4648" s="24" t="s">
        <v>9613</v>
      </c>
      <c r="D4648" s="24" t="s">
        <v>17</v>
      </c>
      <c r="E4648" s="24" t="s">
        <v>18</v>
      </c>
      <c r="F4648" s="24" t="s">
        <v>19</v>
      </c>
      <c r="G4648" s="24" t="s">
        <v>28</v>
      </c>
      <c r="H4648" s="26">
        <v>24</v>
      </c>
      <c r="I4648" s="24" t="s">
        <v>29</v>
      </c>
      <c r="J4648" s="36">
        <v>45712</v>
      </c>
      <c r="K4648" s="24" t="s">
        <v>22</v>
      </c>
    </row>
    <row r="4649" spans="1:11" x14ac:dyDescent="0.2">
      <c r="A4649" s="27" t="s">
        <v>11165</v>
      </c>
      <c r="B4649" s="27" t="s">
        <v>11166</v>
      </c>
      <c r="C4649" s="27" t="s">
        <v>11167</v>
      </c>
      <c r="D4649" s="27" t="s">
        <v>17</v>
      </c>
      <c r="E4649" s="27" t="s">
        <v>33</v>
      </c>
      <c r="F4649" s="27" t="s">
        <v>34</v>
      </c>
      <c r="G4649" s="27" t="s">
        <v>28</v>
      </c>
      <c r="H4649" s="29">
        <v>366</v>
      </c>
      <c r="I4649" s="27" t="s">
        <v>29</v>
      </c>
      <c r="J4649" s="37">
        <v>45691</v>
      </c>
      <c r="K4649" s="27" t="s">
        <v>22</v>
      </c>
    </row>
    <row r="4650" spans="1:11" x14ac:dyDescent="0.2">
      <c r="A4650" s="24" t="s">
        <v>11168</v>
      </c>
      <c r="B4650" s="24" t="s">
        <v>11169</v>
      </c>
      <c r="C4650" s="24" t="s">
        <v>97</v>
      </c>
      <c r="D4650" s="24" t="s">
        <v>17</v>
      </c>
      <c r="E4650" s="24" t="s">
        <v>18</v>
      </c>
      <c r="F4650" s="24" t="s">
        <v>19</v>
      </c>
      <c r="G4650" s="24" t="s">
        <v>20</v>
      </c>
      <c r="H4650" s="26">
        <v>24</v>
      </c>
      <c r="I4650" s="24" t="s">
        <v>21</v>
      </c>
      <c r="J4650" s="36">
        <v>45712</v>
      </c>
      <c r="K4650" s="24" t="s">
        <v>22</v>
      </c>
    </row>
    <row r="4651" spans="1:11" x14ac:dyDescent="0.2">
      <c r="A4651" s="27" t="s">
        <v>11170</v>
      </c>
      <c r="B4651" s="27" t="s">
        <v>11171</v>
      </c>
      <c r="C4651" s="27" t="s">
        <v>97</v>
      </c>
      <c r="D4651" s="27" t="s">
        <v>17</v>
      </c>
      <c r="E4651" s="27" t="s">
        <v>48</v>
      </c>
      <c r="F4651" s="27" t="s">
        <v>49</v>
      </c>
      <c r="G4651" s="27" t="s">
        <v>20</v>
      </c>
      <c r="H4651" s="29">
        <v>118</v>
      </c>
      <c r="I4651" s="27" t="s">
        <v>21</v>
      </c>
      <c r="J4651" s="37">
        <v>45698</v>
      </c>
      <c r="K4651" s="27" t="s">
        <v>22</v>
      </c>
    </row>
    <row r="4652" spans="1:11" x14ac:dyDescent="0.2">
      <c r="A4652" s="24" t="s">
        <v>11172</v>
      </c>
      <c r="B4652" s="24" t="s">
        <v>11173</v>
      </c>
      <c r="C4652" s="24" t="s">
        <v>11058</v>
      </c>
      <c r="D4652" s="24" t="s">
        <v>17</v>
      </c>
      <c r="E4652" s="24" t="s">
        <v>81</v>
      </c>
      <c r="F4652" s="24" t="s">
        <v>82</v>
      </c>
      <c r="G4652" s="24" t="s">
        <v>28</v>
      </c>
      <c r="H4652" s="26">
        <v>160</v>
      </c>
      <c r="I4652" s="24" t="s">
        <v>29</v>
      </c>
      <c r="J4652" s="36">
        <v>45708</v>
      </c>
      <c r="K4652" s="24" t="s">
        <v>22</v>
      </c>
    </row>
    <row r="4653" spans="1:11" x14ac:dyDescent="0.2">
      <c r="A4653" s="27" t="s">
        <v>11174</v>
      </c>
      <c r="B4653" s="27" t="s">
        <v>11175</v>
      </c>
      <c r="C4653" s="27" t="s">
        <v>9677</v>
      </c>
      <c r="D4653" s="27" t="s">
        <v>17</v>
      </c>
      <c r="E4653" s="27" t="s">
        <v>18</v>
      </c>
      <c r="F4653" s="27" t="s">
        <v>19</v>
      </c>
      <c r="G4653" s="27" t="s">
        <v>20</v>
      </c>
      <c r="H4653" s="29">
        <v>48</v>
      </c>
      <c r="I4653" s="27" t="s">
        <v>21</v>
      </c>
      <c r="J4653" s="37">
        <v>45705</v>
      </c>
      <c r="K4653" s="27" t="s">
        <v>22</v>
      </c>
    </row>
    <row r="4654" spans="1:11" x14ac:dyDescent="0.2">
      <c r="A4654" s="24" t="s">
        <v>11176</v>
      </c>
      <c r="B4654" s="24" t="s">
        <v>11177</v>
      </c>
      <c r="C4654" s="24" t="s">
        <v>486</v>
      </c>
      <c r="D4654" s="24" t="s">
        <v>17</v>
      </c>
      <c r="E4654" s="24" t="s">
        <v>18</v>
      </c>
      <c r="F4654" s="24" t="s">
        <v>19</v>
      </c>
      <c r="G4654" s="24" t="s">
        <v>217</v>
      </c>
      <c r="H4654" s="26">
        <v>18</v>
      </c>
      <c r="I4654" s="24" t="s">
        <v>29</v>
      </c>
      <c r="J4654" s="36">
        <v>45708</v>
      </c>
      <c r="K4654" s="24" t="s">
        <v>22</v>
      </c>
    </row>
    <row r="4655" spans="1:11" x14ac:dyDescent="0.2">
      <c r="A4655" s="27" t="s">
        <v>11178</v>
      </c>
      <c r="B4655" s="27" t="s">
        <v>11179</v>
      </c>
      <c r="C4655" s="27" t="s">
        <v>11180</v>
      </c>
      <c r="D4655" s="27" t="s">
        <v>17</v>
      </c>
      <c r="E4655" s="27" t="s">
        <v>81</v>
      </c>
      <c r="F4655" s="27" t="s">
        <v>82</v>
      </c>
      <c r="G4655" s="27" t="s">
        <v>20</v>
      </c>
      <c r="H4655" s="29">
        <v>24</v>
      </c>
      <c r="I4655" s="27" t="s">
        <v>21</v>
      </c>
      <c r="J4655" s="37">
        <v>45690</v>
      </c>
      <c r="K4655" s="27" t="s">
        <v>22</v>
      </c>
    </row>
    <row r="4656" spans="1:11" x14ac:dyDescent="0.2">
      <c r="A4656" s="24" t="s">
        <v>11181</v>
      </c>
      <c r="B4656" s="24" t="s">
        <v>11182</v>
      </c>
      <c r="C4656" s="24" t="s">
        <v>248</v>
      </c>
      <c r="D4656" s="24" t="s">
        <v>17</v>
      </c>
      <c r="E4656" s="24" t="s">
        <v>48</v>
      </c>
      <c r="F4656" s="24" t="s">
        <v>49</v>
      </c>
      <c r="G4656" s="24" t="s">
        <v>59</v>
      </c>
      <c r="H4656" s="26">
        <v>2</v>
      </c>
      <c r="I4656" s="24" t="s">
        <v>21</v>
      </c>
      <c r="J4656" s="36">
        <v>45713</v>
      </c>
      <c r="K4656" s="24" t="s">
        <v>22</v>
      </c>
    </row>
    <row r="4657" spans="1:11" x14ac:dyDescent="0.2">
      <c r="A4657" s="27" t="s">
        <v>11183</v>
      </c>
      <c r="B4657" s="27" t="s">
        <v>11184</v>
      </c>
      <c r="C4657" s="27" t="s">
        <v>109</v>
      </c>
      <c r="D4657" s="27" t="s">
        <v>17</v>
      </c>
      <c r="E4657" s="27" t="s">
        <v>42</v>
      </c>
      <c r="F4657" s="27" t="s">
        <v>43</v>
      </c>
      <c r="G4657" s="27" t="s">
        <v>44</v>
      </c>
      <c r="H4657" s="29">
        <v>530</v>
      </c>
      <c r="I4657" s="27" t="s">
        <v>29</v>
      </c>
      <c r="J4657" s="37">
        <v>45695</v>
      </c>
      <c r="K4657" s="27" t="s">
        <v>22</v>
      </c>
    </row>
    <row r="4658" spans="1:11" x14ac:dyDescent="0.2">
      <c r="A4658" s="24" t="s">
        <v>11185</v>
      </c>
      <c r="B4658" s="24" t="s">
        <v>11186</v>
      </c>
      <c r="C4658" s="24" t="s">
        <v>9491</v>
      </c>
      <c r="D4658" s="24" t="s">
        <v>17</v>
      </c>
      <c r="E4658" s="24" t="s">
        <v>42</v>
      </c>
      <c r="F4658" s="24" t="s">
        <v>43</v>
      </c>
      <c r="G4658" s="24" t="s">
        <v>44</v>
      </c>
      <c r="H4658" s="26">
        <v>1100</v>
      </c>
      <c r="I4658" s="24" t="s">
        <v>29</v>
      </c>
      <c r="J4658" s="36">
        <v>45701</v>
      </c>
      <c r="K4658" s="24" t="s">
        <v>22</v>
      </c>
    </row>
    <row r="4659" spans="1:11" x14ac:dyDescent="0.2">
      <c r="A4659" s="27" t="s">
        <v>11187</v>
      </c>
      <c r="B4659" s="27" t="s">
        <v>11188</v>
      </c>
      <c r="C4659" s="27" t="s">
        <v>194</v>
      </c>
      <c r="D4659" s="27" t="s">
        <v>17</v>
      </c>
      <c r="E4659" s="27" t="s">
        <v>42</v>
      </c>
      <c r="F4659" s="27" t="s">
        <v>43</v>
      </c>
      <c r="G4659" s="27" t="s">
        <v>28</v>
      </c>
      <c r="H4659" s="29">
        <v>720</v>
      </c>
      <c r="I4659" s="27" t="s">
        <v>29</v>
      </c>
      <c r="J4659" s="37">
        <v>45712</v>
      </c>
      <c r="K4659" s="27" t="s">
        <v>22</v>
      </c>
    </row>
    <row r="4660" spans="1:11" x14ac:dyDescent="0.2">
      <c r="A4660" s="24" t="s">
        <v>11189</v>
      </c>
      <c r="B4660" s="24" t="s">
        <v>11190</v>
      </c>
      <c r="C4660" s="24" t="s">
        <v>2331</v>
      </c>
      <c r="D4660" s="24" t="s">
        <v>17</v>
      </c>
      <c r="E4660" s="24" t="s">
        <v>26</v>
      </c>
      <c r="F4660" s="24" t="s">
        <v>27</v>
      </c>
      <c r="G4660" s="24" t="s">
        <v>20</v>
      </c>
      <c r="H4660" s="26">
        <v>2650</v>
      </c>
      <c r="I4660" s="24" t="s">
        <v>21</v>
      </c>
      <c r="J4660" s="36">
        <v>45698</v>
      </c>
      <c r="K4660" s="24" t="s">
        <v>22</v>
      </c>
    </row>
    <row r="4661" spans="1:11" x14ac:dyDescent="0.2">
      <c r="A4661" s="27" t="s">
        <v>11191</v>
      </c>
      <c r="B4661" s="27" t="s">
        <v>11192</v>
      </c>
      <c r="C4661" s="27" t="s">
        <v>1617</v>
      </c>
      <c r="D4661" s="27" t="s">
        <v>17</v>
      </c>
      <c r="E4661" s="27" t="s">
        <v>42</v>
      </c>
      <c r="F4661" s="27" t="s">
        <v>43</v>
      </c>
      <c r="G4661" s="27" t="s">
        <v>217</v>
      </c>
      <c r="H4661" s="29">
        <v>78</v>
      </c>
      <c r="I4661" s="27" t="s">
        <v>29</v>
      </c>
      <c r="J4661" s="37">
        <v>45689</v>
      </c>
      <c r="K4661" s="27" t="s">
        <v>22</v>
      </c>
    </row>
    <row r="4662" spans="1:11" x14ac:dyDescent="0.2">
      <c r="A4662" s="24" t="s">
        <v>11193</v>
      </c>
      <c r="B4662" s="24" t="s">
        <v>11194</v>
      </c>
      <c r="C4662" s="24" t="s">
        <v>11195</v>
      </c>
      <c r="D4662" s="24" t="s">
        <v>17</v>
      </c>
      <c r="E4662" s="24" t="s">
        <v>26</v>
      </c>
      <c r="F4662" s="24" t="s">
        <v>27</v>
      </c>
      <c r="G4662" s="24" t="s">
        <v>28</v>
      </c>
      <c r="H4662" s="26">
        <v>24</v>
      </c>
      <c r="I4662" s="24" t="s">
        <v>29</v>
      </c>
      <c r="J4662" s="36">
        <v>45713</v>
      </c>
      <c r="K4662" s="24" t="s">
        <v>22</v>
      </c>
    </row>
    <row r="4663" spans="1:11" x14ac:dyDescent="0.2">
      <c r="A4663" s="27" t="s">
        <v>11196</v>
      </c>
      <c r="B4663" s="27" t="s">
        <v>11197</v>
      </c>
      <c r="C4663" s="27" t="s">
        <v>146</v>
      </c>
      <c r="D4663" s="27" t="s">
        <v>17</v>
      </c>
      <c r="E4663" s="27" t="s">
        <v>48</v>
      </c>
      <c r="F4663" s="27" t="s">
        <v>49</v>
      </c>
      <c r="G4663" s="27" t="s">
        <v>28</v>
      </c>
      <c r="H4663" s="29">
        <v>56</v>
      </c>
      <c r="I4663" s="27" t="s">
        <v>29</v>
      </c>
      <c r="J4663" s="37">
        <v>45716</v>
      </c>
      <c r="K4663" s="27" t="s">
        <v>22</v>
      </c>
    </row>
    <row r="4664" spans="1:11" x14ac:dyDescent="0.2">
      <c r="A4664" s="24" t="s">
        <v>11198</v>
      </c>
      <c r="B4664" s="24" t="s">
        <v>11199</v>
      </c>
      <c r="C4664" s="24" t="s">
        <v>91</v>
      </c>
      <c r="D4664" s="24" t="s">
        <v>17</v>
      </c>
      <c r="E4664" s="24" t="s">
        <v>42</v>
      </c>
      <c r="F4664" s="24" t="s">
        <v>43</v>
      </c>
      <c r="G4664" s="24" t="s">
        <v>28</v>
      </c>
      <c r="H4664" s="26">
        <v>228</v>
      </c>
      <c r="I4664" s="24" t="s">
        <v>29</v>
      </c>
      <c r="J4664" s="36">
        <v>45706</v>
      </c>
      <c r="K4664" s="24" t="s">
        <v>22</v>
      </c>
    </row>
    <row r="4665" spans="1:11" x14ac:dyDescent="0.2">
      <c r="A4665" s="27" t="s">
        <v>11200</v>
      </c>
      <c r="B4665" s="27" t="s">
        <v>11201</v>
      </c>
      <c r="C4665" s="27" t="s">
        <v>1283</v>
      </c>
      <c r="D4665" s="27" t="s">
        <v>17</v>
      </c>
      <c r="E4665" s="27" t="s">
        <v>26</v>
      </c>
      <c r="F4665" s="27" t="s">
        <v>27</v>
      </c>
      <c r="G4665" s="27" t="s">
        <v>217</v>
      </c>
      <c r="H4665" s="29">
        <v>540</v>
      </c>
      <c r="I4665" s="27" t="s">
        <v>29</v>
      </c>
      <c r="J4665" s="37">
        <v>45703</v>
      </c>
      <c r="K4665" s="27" t="s">
        <v>22</v>
      </c>
    </row>
    <row r="4666" spans="1:11" x14ac:dyDescent="0.2">
      <c r="A4666" s="24" t="s">
        <v>11202</v>
      </c>
      <c r="B4666" s="24" t="s">
        <v>11203</v>
      </c>
      <c r="C4666" s="24" t="s">
        <v>85</v>
      </c>
      <c r="D4666" s="24" t="s">
        <v>17</v>
      </c>
      <c r="E4666" s="24" t="s">
        <v>18</v>
      </c>
      <c r="F4666" s="24" t="s">
        <v>19</v>
      </c>
      <c r="G4666" s="24" t="s">
        <v>44</v>
      </c>
      <c r="H4666" s="26">
        <v>9</v>
      </c>
      <c r="I4666" s="24" t="s">
        <v>21</v>
      </c>
      <c r="J4666" s="36">
        <v>45714</v>
      </c>
      <c r="K4666" s="24" t="s">
        <v>22</v>
      </c>
    </row>
    <row r="4667" spans="1:11" x14ac:dyDescent="0.2">
      <c r="A4667" s="27" t="s">
        <v>11204</v>
      </c>
      <c r="B4667" s="27" t="s">
        <v>11205</v>
      </c>
      <c r="C4667" s="27" t="s">
        <v>11206</v>
      </c>
      <c r="D4667" s="27" t="s">
        <v>17</v>
      </c>
      <c r="E4667" s="27" t="s">
        <v>18</v>
      </c>
      <c r="F4667" s="27" t="s">
        <v>19</v>
      </c>
      <c r="G4667" s="27" t="s">
        <v>28</v>
      </c>
      <c r="H4667" s="29">
        <v>66</v>
      </c>
      <c r="I4667" s="27" t="s">
        <v>29</v>
      </c>
      <c r="J4667" s="37">
        <v>45701</v>
      </c>
      <c r="K4667" s="27" t="s">
        <v>22</v>
      </c>
    </row>
    <row r="4668" spans="1:11" x14ac:dyDescent="0.2">
      <c r="A4668" s="24" t="s">
        <v>11207</v>
      </c>
      <c r="B4668" s="24" t="s">
        <v>11208</v>
      </c>
      <c r="C4668" s="24" t="s">
        <v>6436</v>
      </c>
      <c r="D4668" s="24" t="s">
        <v>17</v>
      </c>
      <c r="E4668" s="24" t="s">
        <v>42</v>
      </c>
      <c r="F4668" s="24" t="s">
        <v>43</v>
      </c>
      <c r="G4668" s="24" t="s">
        <v>28</v>
      </c>
      <c r="H4668" s="26">
        <v>522</v>
      </c>
      <c r="I4668" s="24" t="s">
        <v>29</v>
      </c>
      <c r="J4668" s="36">
        <v>45716</v>
      </c>
      <c r="K4668" s="24" t="s">
        <v>22</v>
      </c>
    </row>
    <row r="4669" spans="1:11" x14ac:dyDescent="0.2">
      <c r="A4669" s="27" t="s">
        <v>11209</v>
      </c>
      <c r="B4669" s="27" t="s">
        <v>11210</v>
      </c>
      <c r="C4669" s="27" t="s">
        <v>11211</v>
      </c>
      <c r="D4669" s="27" t="s">
        <v>17</v>
      </c>
      <c r="E4669" s="27" t="s">
        <v>26</v>
      </c>
      <c r="F4669" s="27" t="s">
        <v>27</v>
      </c>
      <c r="G4669" s="27" t="s">
        <v>28</v>
      </c>
      <c r="H4669" s="29">
        <v>402</v>
      </c>
      <c r="I4669" s="27" t="s">
        <v>29</v>
      </c>
      <c r="J4669" s="37">
        <v>45712</v>
      </c>
      <c r="K4669" s="27" t="s">
        <v>22</v>
      </c>
    </row>
    <row r="4670" spans="1:11" x14ac:dyDescent="0.2">
      <c r="A4670" s="24" t="s">
        <v>11212</v>
      </c>
      <c r="B4670" s="24" t="s">
        <v>11213</v>
      </c>
      <c r="C4670" s="24" t="s">
        <v>8646</v>
      </c>
      <c r="D4670" s="24" t="s">
        <v>17</v>
      </c>
      <c r="E4670" s="24" t="s">
        <v>26</v>
      </c>
      <c r="F4670" s="24" t="s">
        <v>27</v>
      </c>
      <c r="G4670" s="24" t="s">
        <v>59</v>
      </c>
      <c r="H4670" s="26">
        <v>3</v>
      </c>
      <c r="I4670" s="24" t="s">
        <v>21</v>
      </c>
      <c r="J4670" s="36">
        <v>45702</v>
      </c>
      <c r="K4670" s="24" t="s">
        <v>22</v>
      </c>
    </row>
    <row r="4671" spans="1:11" x14ac:dyDescent="0.2">
      <c r="A4671" s="27" t="s">
        <v>11214</v>
      </c>
      <c r="B4671" s="27" t="s">
        <v>11215</v>
      </c>
      <c r="C4671" s="27" t="s">
        <v>11216</v>
      </c>
      <c r="D4671" s="27" t="s">
        <v>17</v>
      </c>
      <c r="E4671" s="27" t="s">
        <v>18</v>
      </c>
      <c r="F4671" s="27" t="s">
        <v>19</v>
      </c>
      <c r="G4671" s="27" t="s">
        <v>28</v>
      </c>
      <c r="H4671" s="29">
        <v>24</v>
      </c>
      <c r="I4671" s="27" t="s">
        <v>29</v>
      </c>
      <c r="J4671" s="37">
        <v>45702</v>
      </c>
      <c r="K4671" s="27" t="s">
        <v>22</v>
      </c>
    </row>
    <row r="4672" spans="1:11" x14ac:dyDescent="0.2">
      <c r="A4672" s="24" t="s">
        <v>11217</v>
      </c>
      <c r="B4672" s="24" t="s">
        <v>11218</v>
      </c>
      <c r="C4672" s="24" t="s">
        <v>97</v>
      </c>
      <c r="D4672" s="24" t="s">
        <v>17</v>
      </c>
      <c r="E4672" s="24" t="s">
        <v>48</v>
      </c>
      <c r="F4672" s="24" t="s">
        <v>49</v>
      </c>
      <c r="G4672" s="24" t="s">
        <v>44</v>
      </c>
      <c r="H4672" s="26">
        <v>377</v>
      </c>
      <c r="I4672" s="24" t="s">
        <v>21</v>
      </c>
      <c r="J4672" s="36">
        <v>45706</v>
      </c>
      <c r="K4672" s="24" t="s">
        <v>22</v>
      </c>
    </row>
    <row r="4673" spans="1:11" x14ac:dyDescent="0.2">
      <c r="A4673" s="27" t="s">
        <v>11219</v>
      </c>
      <c r="B4673" s="27" t="s">
        <v>11220</v>
      </c>
      <c r="C4673" s="27" t="s">
        <v>1199</v>
      </c>
      <c r="D4673" s="27" t="s">
        <v>17</v>
      </c>
      <c r="E4673" s="27" t="s">
        <v>26</v>
      </c>
      <c r="F4673" s="27" t="s">
        <v>27</v>
      </c>
      <c r="G4673" s="27" t="s">
        <v>28</v>
      </c>
      <c r="H4673" s="29">
        <v>876</v>
      </c>
      <c r="I4673" s="27" t="s">
        <v>29</v>
      </c>
      <c r="J4673" s="37">
        <v>45706</v>
      </c>
      <c r="K4673" s="27" t="s">
        <v>22</v>
      </c>
    </row>
    <row r="4674" spans="1:11" x14ac:dyDescent="0.2">
      <c r="A4674" s="24" t="s">
        <v>11221</v>
      </c>
      <c r="B4674" s="24" t="s">
        <v>11222</v>
      </c>
      <c r="C4674" s="24" t="s">
        <v>97</v>
      </c>
      <c r="D4674" s="24" t="s">
        <v>17</v>
      </c>
      <c r="E4674" s="24" t="s">
        <v>18</v>
      </c>
      <c r="F4674" s="24" t="s">
        <v>19</v>
      </c>
      <c r="G4674" s="24" t="s">
        <v>20</v>
      </c>
      <c r="H4674" s="26">
        <v>16</v>
      </c>
      <c r="I4674" s="24" t="s">
        <v>21</v>
      </c>
      <c r="J4674" s="36">
        <v>45714</v>
      </c>
      <c r="K4674" s="24" t="s">
        <v>22</v>
      </c>
    </row>
    <row r="4675" spans="1:11" x14ac:dyDescent="0.2">
      <c r="A4675" s="27" t="s">
        <v>11223</v>
      </c>
      <c r="B4675" s="27" t="s">
        <v>11224</v>
      </c>
      <c r="C4675" s="27" t="s">
        <v>74</v>
      </c>
      <c r="D4675" s="27" t="s">
        <v>17</v>
      </c>
      <c r="E4675" s="27" t="s">
        <v>18</v>
      </c>
      <c r="F4675" s="27" t="s">
        <v>19</v>
      </c>
      <c r="G4675" s="27" t="s">
        <v>28</v>
      </c>
      <c r="H4675" s="29">
        <v>220</v>
      </c>
      <c r="I4675" s="27" t="s">
        <v>29</v>
      </c>
      <c r="J4675" s="37">
        <v>45713</v>
      </c>
      <c r="K4675" s="27" t="s">
        <v>22</v>
      </c>
    </row>
    <row r="4676" spans="1:11" x14ac:dyDescent="0.2">
      <c r="A4676" s="24" t="s">
        <v>11225</v>
      </c>
      <c r="B4676" s="24" t="s">
        <v>11226</v>
      </c>
      <c r="C4676" s="24" t="s">
        <v>213</v>
      </c>
      <c r="D4676" s="24" t="s">
        <v>17</v>
      </c>
      <c r="E4676" s="24" t="s">
        <v>18</v>
      </c>
      <c r="F4676" s="24" t="s">
        <v>19</v>
      </c>
      <c r="G4676" s="24" t="s">
        <v>59</v>
      </c>
      <c r="H4676" s="26">
        <v>23</v>
      </c>
      <c r="I4676" s="24" t="s">
        <v>21</v>
      </c>
      <c r="J4676" s="36">
        <v>45699</v>
      </c>
      <c r="K4676" s="24" t="s">
        <v>22</v>
      </c>
    </row>
    <row r="4677" spans="1:11" x14ac:dyDescent="0.2">
      <c r="A4677" s="27" t="s">
        <v>11227</v>
      </c>
      <c r="B4677" s="27" t="s">
        <v>11228</v>
      </c>
      <c r="C4677" s="27" t="s">
        <v>9491</v>
      </c>
      <c r="D4677" s="27" t="s">
        <v>17</v>
      </c>
      <c r="E4677" s="27" t="s">
        <v>42</v>
      </c>
      <c r="F4677" s="27" t="s">
        <v>43</v>
      </c>
      <c r="G4677" s="27" t="s">
        <v>44</v>
      </c>
      <c r="H4677" s="29">
        <v>580</v>
      </c>
      <c r="I4677" s="27" t="s">
        <v>29</v>
      </c>
      <c r="J4677" s="37">
        <v>45705</v>
      </c>
      <c r="K4677" s="27" t="s">
        <v>22</v>
      </c>
    </row>
    <row r="4678" spans="1:11" x14ac:dyDescent="0.2">
      <c r="A4678" s="24" t="s">
        <v>11229</v>
      </c>
      <c r="B4678" s="24" t="s">
        <v>11230</v>
      </c>
      <c r="C4678" s="24" t="s">
        <v>7455</v>
      </c>
      <c r="D4678" s="24" t="s">
        <v>17</v>
      </c>
      <c r="E4678" s="24" t="s">
        <v>18</v>
      </c>
      <c r="F4678" s="24" t="s">
        <v>19</v>
      </c>
      <c r="G4678" s="24" t="s">
        <v>28</v>
      </c>
      <c r="H4678" s="26">
        <v>160</v>
      </c>
      <c r="I4678" s="24" t="s">
        <v>29</v>
      </c>
      <c r="J4678" s="36">
        <v>45705</v>
      </c>
      <c r="K4678" s="24" t="s">
        <v>22</v>
      </c>
    </row>
    <row r="4679" spans="1:11" x14ac:dyDescent="0.2">
      <c r="A4679" s="27" t="s">
        <v>11231</v>
      </c>
      <c r="B4679" s="27" t="s">
        <v>11232</v>
      </c>
      <c r="C4679" s="27" t="s">
        <v>11233</v>
      </c>
      <c r="D4679" s="27" t="s">
        <v>17</v>
      </c>
      <c r="E4679" s="27" t="s">
        <v>48</v>
      </c>
      <c r="F4679" s="27" t="s">
        <v>49</v>
      </c>
      <c r="G4679" s="27" t="s">
        <v>20</v>
      </c>
      <c r="H4679" s="29">
        <v>78</v>
      </c>
      <c r="I4679" s="27" t="s">
        <v>21</v>
      </c>
      <c r="J4679" s="37">
        <v>45712</v>
      </c>
      <c r="K4679" s="27" t="s">
        <v>22</v>
      </c>
    </row>
    <row r="4680" spans="1:11" x14ac:dyDescent="0.2">
      <c r="A4680" s="24" t="s">
        <v>11234</v>
      </c>
      <c r="B4680" s="24" t="s">
        <v>11235</v>
      </c>
      <c r="C4680" s="24" t="s">
        <v>5488</v>
      </c>
      <c r="D4680" s="24" t="s">
        <v>17</v>
      </c>
      <c r="E4680" s="24" t="s">
        <v>42</v>
      </c>
      <c r="F4680" s="24" t="s">
        <v>43</v>
      </c>
      <c r="G4680" s="24" t="s">
        <v>28</v>
      </c>
      <c r="H4680" s="26">
        <v>741</v>
      </c>
      <c r="I4680" s="24" t="s">
        <v>29</v>
      </c>
      <c r="J4680" s="36">
        <v>45691</v>
      </c>
      <c r="K4680" s="24" t="s">
        <v>22</v>
      </c>
    </row>
    <row r="4681" spans="1:11" x14ac:dyDescent="0.2">
      <c r="A4681" s="27" t="s">
        <v>11236</v>
      </c>
      <c r="B4681" s="27" t="s">
        <v>11237</v>
      </c>
      <c r="C4681" s="27" t="s">
        <v>1093</v>
      </c>
      <c r="D4681" s="27" t="s">
        <v>17</v>
      </c>
      <c r="E4681" s="27" t="s">
        <v>42</v>
      </c>
      <c r="F4681" s="27" t="s">
        <v>43</v>
      </c>
      <c r="G4681" s="27" t="s">
        <v>20</v>
      </c>
      <c r="H4681" s="29">
        <v>97</v>
      </c>
      <c r="I4681" s="27" t="s">
        <v>21</v>
      </c>
      <c r="J4681" s="37">
        <v>45715</v>
      </c>
      <c r="K4681" s="27" t="s">
        <v>22</v>
      </c>
    </row>
    <row r="4682" spans="1:11" x14ac:dyDescent="0.2">
      <c r="A4682" s="24" t="s">
        <v>11238</v>
      </c>
      <c r="B4682" s="24" t="s">
        <v>11239</v>
      </c>
      <c r="C4682" s="24" t="s">
        <v>1044</v>
      </c>
      <c r="D4682" s="24" t="s">
        <v>17</v>
      </c>
      <c r="E4682" s="24" t="s">
        <v>42</v>
      </c>
      <c r="F4682" s="24" t="s">
        <v>43</v>
      </c>
      <c r="G4682" s="24" t="s">
        <v>44</v>
      </c>
      <c r="H4682" s="26">
        <v>192</v>
      </c>
      <c r="I4682" s="24" t="s">
        <v>29</v>
      </c>
      <c r="J4682" s="36">
        <v>45712</v>
      </c>
      <c r="K4682" s="24" t="s">
        <v>22</v>
      </c>
    </row>
    <row r="4683" spans="1:11" x14ac:dyDescent="0.2">
      <c r="A4683" s="27" t="s">
        <v>11240</v>
      </c>
      <c r="B4683" s="27" t="s">
        <v>11241</v>
      </c>
      <c r="C4683" s="27" t="s">
        <v>1199</v>
      </c>
      <c r="D4683" s="27" t="s">
        <v>17</v>
      </c>
      <c r="E4683" s="27" t="s">
        <v>48</v>
      </c>
      <c r="F4683" s="27" t="s">
        <v>49</v>
      </c>
      <c r="G4683" s="27" t="s">
        <v>28</v>
      </c>
      <c r="H4683" s="29">
        <v>54</v>
      </c>
      <c r="I4683" s="27" t="s">
        <v>29</v>
      </c>
      <c r="J4683" s="37">
        <v>45714</v>
      </c>
      <c r="K4683" s="27" t="s">
        <v>22</v>
      </c>
    </row>
    <row r="4684" spans="1:11" x14ac:dyDescent="0.2">
      <c r="A4684" s="24" t="s">
        <v>11242</v>
      </c>
      <c r="B4684" s="24" t="s">
        <v>11243</v>
      </c>
      <c r="C4684" s="24" t="s">
        <v>11244</v>
      </c>
      <c r="D4684" s="24" t="s">
        <v>17</v>
      </c>
      <c r="E4684" s="24" t="s">
        <v>18</v>
      </c>
      <c r="F4684" s="24" t="s">
        <v>19</v>
      </c>
      <c r="G4684" s="24" t="s">
        <v>28</v>
      </c>
      <c r="H4684" s="26">
        <v>20</v>
      </c>
      <c r="I4684" s="24" t="s">
        <v>29</v>
      </c>
      <c r="J4684" s="36">
        <v>45709</v>
      </c>
      <c r="K4684" s="24" t="s">
        <v>22</v>
      </c>
    </row>
    <row r="4685" spans="1:11" x14ac:dyDescent="0.2">
      <c r="A4685" s="27" t="s">
        <v>11245</v>
      </c>
      <c r="B4685" s="27" t="s">
        <v>11246</v>
      </c>
      <c r="C4685" s="27" t="s">
        <v>11247</v>
      </c>
      <c r="D4685" s="27" t="s">
        <v>17</v>
      </c>
      <c r="E4685" s="27" t="s">
        <v>26</v>
      </c>
      <c r="F4685" s="27" t="s">
        <v>27</v>
      </c>
      <c r="G4685" s="27" t="s">
        <v>227</v>
      </c>
      <c r="H4685" s="29">
        <v>40</v>
      </c>
      <c r="I4685" s="27" t="s">
        <v>29</v>
      </c>
      <c r="J4685" s="37">
        <v>45700</v>
      </c>
      <c r="K4685" s="27" t="s">
        <v>22</v>
      </c>
    </row>
    <row r="4686" spans="1:11" x14ac:dyDescent="0.2">
      <c r="A4686" s="24" t="s">
        <v>11248</v>
      </c>
      <c r="B4686" s="24" t="s">
        <v>11249</v>
      </c>
      <c r="C4686" s="24" t="s">
        <v>1273</v>
      </c>
      <c r="D4686" s="24" t="s">
        <v>17</v>
      </c>
      <c r="E4686" s="24" t="s">
        <v>42</v>
      </c>
      <c r="F4686" s="24" t="s">
        <v>43</v>
      </c>
      <c r="G4686" s="24" t="s">
        <v>28</v>
      </c>
      <c r="H4686" s="26">
        <v>480</v>
      </c>
      <c r="I4686" s="24" t="s">
        <v>29</v>
      </c>
      <c r="J4686" s="36">
        <v>45698</v>
      </c>
      <c r="K4686" s="24" t="s">
        <v>22</v>
      </c>
    </row>
    <row r="4687" spans="1:11" x14ac:dyDescent="0.2">
      <c r="A4687" s="27" t="s">
        <v>11250</v>
      </c>
      <c r="B4687" s="27" t="s">
        <v>11251</v>
      </c>
      <c r="C4687" s="27" t="s">
        <v>1283</v>
      </c>
      <c r="D4687" s="27" t="s">
        <v>17</v>
      </c>
      <c r="E4687" s="27" t="s">
        <v>26</v>
      </c>
      <c r="F4687" s="27" t="s">
        <v>27</v>
      </c>
      <c r="G4687" s="27" t="s">
        <v>28</v>
      </c>
      <c r="H4687" s="29">
        <v>168</v>
      </c>
      <c r="I4687" s="27" t="s">
        <v>29</v>
      </c>
      <c r="J4687" s="37">
        <v>45689</v>
      </c>
      <c r="K4687" s="27" t="s">
        <v>22</v>
      </c>
    </row>
    <row r="4688" spans="1:11" x14ac:dyDescent="0.2">
      <c r="A4688" s="24" t="s">
        <v>11252</v>
      </c>
      <c r="B4688" s="24" t="s">
        <v>11253</v>
      </c>
      <c r="C4688" s="24" t="s">
        <v>11254</v>
      </c>
      <c r="D4688" s="24" t="s">
        <v>17</v>
      </c>
      <c r="E4688" s="24" t="s">
        <v>48</v>
      </c>
      <c r="F4688" s="24" t="s">
        <v>49</v>
      </c>
      <c r="G4688" s="24" t="s">
        <v>28</v>
      </c>
      <c r="H4688" s="26">
        <v>164</v>
      </c>
      <c r="I4688" s="24" t="s">
        <v>29</v>
      </c>
      <c r="J4688" s="36">
        <v>45691</v>
      </c>
      <c r="K4688" s="24" t="s">
        <v>22</v>
      </c>
    </row>
    <row r="4689" spans="1:11" x14ac:dyDescent="0.2">
      <c r="A4689" s="27" t="s">
        <v>11255</v>
      </c>
      <c r="B4689" s="27" t="s">
        <v>11256</v>
      </c>
      <c r="C4689" s="27" t="s">
        <v>71</v>
      </c>
      <c r="D4689" s="27" t="s">
        <v>17</v>
      </c>
      <c r="E4689" s="27" t="s">
        <v>42</v>
      </c>
      <c r="F4689" s="27" t="s">
        <v>43</v>
      </c>
      <c r="G4689" s="27" t="s">
        <v>217</v>
      </c>
      <c r="H4689" s="29">
        <v>110</v>
      </c>
      <c r="I4689" s="27" t="s">
        <v>29</v>
      </c>
      <c r="J4689" s="37">
        <v>45689</v>
      </c>
      <c r="K4689" s="27" t="s">
        <v>22</v>
      </c>
    </row>
    <row r="4690" spans="1:11" x14ac:dyDescent="0.2">
      <c r="A4690" s="24" t="s">
        <v>11257</v>
      </c>
      <c r="B4690" s="24" t="s">
        <v>11258</v>
      </c>
      <c r="C4690" s="24" t="s">
        <v>429</v>
      </c>
      <c r="D4690" s="24" t="s">
        <v>17</v>
      </c>
      <c r="E4690" s="24" t="s">
        <v>48</v>
      </c>
      <c r="F4690" s="24" t="s">
        <v>49</v>
      </c>
      <c r="G4690" s="24" t="s">
        <v>28</v>
      </c>
      <c r="H4690" s="26">
        <v>180</v>
      </c>
      <c r="I4690" s="24" t="s">
        <v>29</v>
      </c>
      <c r="J4690" s="36">
        <v>45712</v>
      </c>
      <c r="K4690" s="24" t="s">
        <v>22</v>
      </c>
    </row>
    <row r="4691" spans="1:11" x14ac:dyDescent="0.2">
      <c r="A4691" s="27" t="s">
        <v>11259</v>
      </c>
      <c r="B4691" s="27" t="s">
        <v>11260</v>
      </c>
      <c r="C4691" s="27" t="s">
        <v>2779</v>
      </c>
      <c r="D4691" s="27" t="s">
        <v>17</v>
      </c>
      <c r="E4691" s="27" t="s">
        <v>18</v>
      </c>
      <c r="F4691" s="27" t="s">
        <v>19</v>
      </c>
      <c r="G4691" s="27" t="s">
        <v>28</v>
      </c>
      <c r="H4691" s="29">
        <v>120</v>
      </c>
      <c r="I4691" s="27" t="s">
        <v>29</v>
      </c>
      <c r="J4691" s="37">
        <v>45692</v>
      </c>
      <c r="K4691" s="27" t="s">
        <v>22</v>
      </c>
    </row>
    <row r="4692" spans="1:11" x14ac:dyDescent="0.2">
      <c r="A4692" s="24" t="s">
        <v>11261</v>
      </c>
      <c r="B4692" s="24" t="s">
        <v>11262</v>
      </c>
      <c r="C4692" s="24" t="s">
        <v>11263</v>
      </c>
      <c r="D4692" s="24" t="s">
        <v>17</v>
      </c>
      <c r="E4692" s="24" t="s">
        <v>18</v>
      </c>
      <c r="F4692" s="24" t="s">
        <v>19</v>
      </c>
      <c r="G4692" s="24" t="s">
        <v>28</v>
      </c>
      <c r="H4692" s="26">
        <v>76</v>
      </c>
      <c r="I4692" s="24" t="s">
        <v>29</v>
      </c>
      <c r="J4692" s="36">
        <v>45715</v>
      </c>
      <c r="K4692" s="24" t="s">
        <v>22</v>
      </c>
    </row>
    <row r="4693" spans="1:11" x14ac:dyDescent="0.2">
      <c r="A4693" s="27" t="s">
        <v>11264</v>
      </c>
      <c r="B4693" s="27" t="s">
        <v>11265</v>
      </c>
      <c r="C4693" s="27" t="s">
        <v>11266</v>
      </c>
      <c r="D4693" s="27" t="s">
        <v>17</v>
      </c>
      <c r="E4693" s="27" t="s">
        <v>18</v>
      </c>
      <c r="F4693" s="27" t="s">
        <v>19</v>
      </c>
      <c r="G4693" s="27" t="s">
        <v>28</v>
      </c>
      <c r="H4693" s="29">
        <v>198</v>
      </c>
      <c r="I4693" s="27" t="s">
        <v>29</v>
      </c>
      <c r="J4693" s="37">
        <v>45715</v>
      </c>
      <c r="K4693" s="27" t="s">
        <v>22</v>
      </c>
    </row>
    <row r="4694" spans="1:11" x14ac:dyDescent="0.2">
      <c r="A4694" s="24" t="s">
        <v>11267</v>
      </c>
      <c r="B4694" s="24" t="s">
        <v>11268</v>
      </c>
      <c r="C4694" s="24" t="s">
        <v>1161</v>
      </c>
      <c r="D4694" s="24" t="s">
        <v>17</v>
      </c>
      <c r="E4694" s="24" t="s">
        <v>42</v>
      </c>
      <c r="F4694" s="24" t="s">
        <v>43</v>
      </c>
      <c r="G4694" s="24" t="s">
        <v>28</v>
      </c>
      <c r="H4694" s="26">
        <v>402</v>
      </c>
      <c r="I4694" s="24" t="s">
        <v>29</v>
      </c>
      <c r="J4694" s="36">
        <v>45700</v>
      </c>
      <c r="K4694" s="24" t="s">
        <v>22</v>
      </c>
    </row>
    <row r="4695" spans="1:11" x14ac:dyDescent="0.2">
      <c r="A4695" s="27" t="s">
        <v>11269</v>
      </c>
      <c r="B4695" s="27" t="s">
        <v>11270</v>
      </c>
      <c r="C4695" s="27" t="s">
        <v>115</v>
      </c>
      <c r="D4695" s="27" t="s">
        <v>17</v>
      </c>
      <c r="E4695" s="27" t="s">
        <v>48</v>
      </c>
      <c r="F4695" s="27" t="s">
        <v>49</v>
      </c>
      <c r="G4695" s="27" t="s">
        <v>28</v>
      </c>
      <c r="H4695" s="29">
        <v>96</v>
      </c>
      <c r="I4695" s="27" t="s">
        <v>29</v>
      </c>
      <c r="J4695" s="37">
        <v>45695</v>
      </c>
      <c r="K4695" s="27" t="s">
        <v>22</v>
      </c>
    </row>
    <row r="4696" spans="1:11" x14ac:dyDescent="0.2">
      <c r="A4696" s="24" t="s">
        <v>11271</v>
      </c>
      <c r="B4696" s="24" t="s">
        <v>11272</v>
      </c>
      <c r="C4696" s="24" t="s">
        <v>8104</v>
      </c>
      <c r="D4696" s="24" t="s">
        <v>17</v>
      </c>
      <c r="E4696" s="24" t="s">
        <v>18</v>
      </c>
      <c r="F4696" s="24" t="s">
        <v>19</v>
      </c>
      <c r="G4696" s="24" t="s">
        <v>20</v>
      </c>
      <c r="H4696" s="26">
        <v>40</v>
      </c>
      <c r="I4696" s="24" t="s">
        <v>21</v>
      </c>
      <c r="J4696" s="36">
        <v>45708</v>
      </c>
      <c r="K4696" s="24" t="s">
        <v>22</v>
      </c>
    </row>
    <row r="4697" spans="1:11" x14ac:dyDescent="0.2">
      <c r="A4697" s="27" t="s">
        <v>11273</v>
      </c>
      <c r="B4697" s="27" t="s">
        <v>11274</v>
      </c>
      <c r="C4697" s="27" t="s">
        <v>8155</v>
      </c>
      <c r="D4697" s="27" t="s">
        <v>17</v>
      </c>
      <c r="E4697" s="27" t="s">
        <v>18</v>
      </c>
      <c r="F4697" s="27" t="s">
        <v>19</v>
      </c>
      <c r="G4697" s="27" t="s">
        <v>28</v>
      </c>
      <c r="H4697" s="29">
        <v>234</v>
      </c>
      <c r="I4697" s="27" t="s">
        <v>29</v>
      </c>
      <c r="J4697" s="37">
        <v>45698</v>
      </c>
      <c r="K4697" s="27" t="s">
        <v>22</v>
      </c>
    </row>
    <row r="4698" spans="1:11" x14ac:dyDescent="0.2">
      <c r="A4698" s="24" t="s">
        <v>11275</v>
      </c>
      <c r="B4698" s="24" t="s">
        <v>11276</v>
      </c>
      <c r="C4698" s="24" t="s">
        <v>690</v>
      </c>
      <c r="D4698" s="24" t="s">
        <v>17</v>
      </c>
      <c r="E4698" s="24" t="s">
        <v>48</v>
      </c>
      <c r="F4698" s="24" t="s">
        <v>49</v>
      </c>
      <c r="G4698" s="24" t="s">
        <v>20</v>
      </c>
      <c r="H4698" s="26">
        <v>124</v>
      </c>
      <c r="I4698" s="24" t="s">
        <v>21</v>
      </c>
      <c r="J4698" s="36">
        <v>45713</v>
      </c>
      <c r="K4698" s="24" t="s">
        <v>22</v>
      </c>
    </row>
    <row r="4699" spans="1:11" x14ac:dyDescent="0.2">
      <c r="A4699" s="27" t="s">
        <v>11277</v>
      </c>
      <c r="B4699" s="27" t="s">
        <v>11278</v>
      </c>
      <c r="C4699" s="27" t="s">
        <v>11279</v>
      </c>
      <c r="D4699" s="27" t="s">
        <v>17</v>
      </c>
      <c r="E4699" s="27" t="s">
        <v>48</v>
      </c>
      <c r="F4699" s="27" t="s">
        <v>49</v>
      </c>
      <c r="G4699" s="27" t="s">
        <v>217</v>
      </c>
      <c r="H4699" s="29">
        <v>60</v>
      </c>
      <c r="I4699" s="27" t="s">
        <v>29</v>
      </c>
      <c r="J4699" s="37">
        <v>45689</v>
      </c>
      <c r="K4699" s="27" t="s">
        <v>22</v>
      </c>
    </row>
    <row r="4700" spans="1:11" x14ac:dyDescent="0.2">
      <c r="A4700" s="24" t="s">
        <v>11280</v>
      </c>
      <c r="B4700" s="24" t="s">
        <v>11281</v>
      </c>
      <c r="C4700" s="24" t="s">
        <v>11282</v>
      </c>
      <c r="D4700" s="24" t="s">
        <v>17</v>
      </c>
      <c r="E4700" s="24" t="s">
        <v>18</v>
      </c>
      <c r="F4700" s="24" t="s">
        <v>19</v>
      </c>
      <c r="G4700" s="24" t="s">
        <v>20</v>
      </c>
      <c r="H4700" s="26">
        <v>20</v>
      </c>
      <c r="I4700" s="24" t="s">
        <v>21</v>
      </c>
      <c r="J4700" s="36">
        <v>45692</v>
      </c>
      <c r="K4700" s="24" t="s">
        <v>22</v>
      </c>
    </row>
    <row r="4701" spans="1:11" x14ac:dyDescent="0.2">
      <c r="A4701" s="27" t="s">
        <v>11283</v>
      </c>
      <c r="B4701" s="27" t="s">
        <v>11284</v>
      </c>
      <c r="C4701" s="27" t="s">
        <v>11285</v>
      </c>
      <c r="D4701" s="27" t="s">
        <v>17</v>
      </c>
      <c r="E4701" s="27" t="s">
        <v>48</v>
      </c>
      <c r="F4701" s="27" t="s">
        <v>49</v>
      </c>
      <c r="G4701" s="27" t="s">
        <v>28</v>
      </c>
      <c r="H4701" s="29">
        <v>200</v>
      </c>
      <c r="I4701" s="27" t="s">
        <v>29</v>
      </c>
      <c r="J4701" s="37">
        <v>45709</v>
      </c>
      <c r="K4701" s="27" t="s">
        <v>22</v>
      </c>
    </row>
    <row r="4702" spans="1:11" x14ac:dyDescent="0.2">
      <c r="A4702" s="24" t="s">
        <v>11286</v>
      </c>
      <c r="B4702" s="24" t="s">
        <v>11287</v>
      </c>
      <c r="C4702" s="24" t="s">
        <v>11288</v>
      </c>
      <c r="D4702" s="24" t="s">
        <v>17</v>
      </c>
      <c r="E4702" s="24" t="s">
        <v>18</v>
      </c>
      <c r="F4702" s="24" t="s">
        <v>19</v>
      </c>
      <c r="G4702" s="24" t="s">
        <v>217</v>
      </c>
      <c r="H4702" s="26">
        <v>36</v>
      </c>
      <c r="I4702" s="24" t="s">
        <v>29</v>
      </c>
      <c r="J4702" s="36">
        <v>45689</v>
      </c>
      <c r="K4702" s="24" t="s">
        <v>22</v>
      </c>
    </row>
    <row r="4703" spans="1:11" x14ac:dyDescent="0.2">
      <c r="A4703" s="27" t="s">
        <v>11289</v>
      </c>
      <c r="B4703" s="27" t="s">
        <v>11290</v>
      </c>
      <c r="C4703" s="27" t="s">
        <v>6656</v>
      </c>
      <c r="D4703" s="27" t="s">
        <v>17</v>
      </c>
      <c r="E4703" s="27" t="s">
        <v>18</v>
      </c>
      <c r="F4703" s="27" t="s">
        <v>19</v>
      </c>
      <c r="G4703" s="27" t="s">
        <v>217</v>
      </c>
      <c r="H4703" s="29">
        <v>110</v>
      </c>
      <c r="I4703" s="27" t="s">
        <v>29</v>
      </c>
      <c r="J4703" s="37">
        <v>45689</v>
      </c>
      <c r="K4703" s="27" t="s">
        <v>22</v>
      </c>
    </row>
    <row r="4704" spans="1:11" x14ac:dyDescent="0.2">
      <c r="A4704" s="24" t="s">
        <v>11291</v>
      </c>
      <c r="B4704" s="24" t="s">
        <v>11292</v>
      </c>
      <c r="C4704" s="24" t="s">
        <v>11293</v>
      </c>
      <c r="D4704" s="24" t="s">
        <v>17</v>
      </c>
      <c r="E4704" s="24" t="s">
        <v>42</v>
      </c>
      <c r="F4704" s="24" t="s">
        <v>43</v>
      </c>
      <c r="G4704" s="24" t="s">
        <v>20</v>
      </c>
      <c r="H4704" s="26">
        <v>150</v>
      </c>
      <c r="I4704" s="24" t="s">
        <v>21</v>
      </c>
      <c r="J4704" s="36">
        <v>45706</v>
      </c>
      <c r="K4704" s="24" t="s">
        <v>22</v>
      </c>
    </row>
    <row r="4705" spans="1:11" x14ac:dyDescent="0.2">
      <c r="A4705" s="27" t="s">
        <v>11294</v>
      </c>
      <c r="B4705" s="27" t="s">
        <v>11295</v>
      </c>
      <c r="C4705" s="27" t="s">
        <v>11296</v>
      </c>
      <c r="D4705" s="27" t="s">
        <v>17</v>
      </c>
      <c r="E4705" s="27" t="s">
        <v>48</v>
      </c>
      <c r="F4705" s="27" t="s">
        <v>49</v>
      </c>
      <c r="G4705" s="27" t="s">
        <v>28</v>
      </c>
      <c r="H4705" s="29">
        <v>60</v>
      </c>
      <c r="I4705" s="27" t="s">
        <v>29</v>
      </c>
      <c r="J4705" s="37">
        <v>45700</v>
      </c>
      <c r="K4705" s="27" t="s">
        <v>22</v>
      </c>
    </row>
    <row r="4706" spans="1:11" x14ac:dyDescent="0.2">
      <c r="A4706" s="24" t="s">
        <v>11297</v>
      </c>
      <c r="B4706" s="24" t="s">
        <v>11298</v>
      </c>
      <c r="C4706" s="24" t="s">
        <v>11299</v>
      </c>
      <c r="D4706" s="24" t="s">
        <v>17</v>
      </c>
      <c r="E4706" s="24" t="s">
        <v>26</v>
      </c>
      <c r="F4706" s="24" t="s">
        <v>27</v>
      </c>
      <c r="G4706" s="24" t="s">
        <v>28</v>
      </c>
      <c r="H4706" s="26">
        <v>38</v>
      </c>
      <c r="I4706" s="24" t="s">
        <v>29</v>
      </c>
      <c r="J4706" s="36">
        <v>45692</v>
      </c>
      <c r="K4706" s="24" t="s">
        <v>22</v>
      </c>
    </row>
    <row r="4707" spans="1:11" x14ac:dyDescent="0.2">
      <c r="A4707" s="27" t="s">
        <v>11300</v>
      </c>
      <c r="B4707" s="27" t="s">
        <v>11301</v>
      </c>
      <c r="C4707" s="27" t="s">
        <v>11302</v>
      </c>
      <c r="D4707" s="27" t="s">
        <v>17</v>
      </c>
      <c r="E4707" s="27" t="s">
        <v>48</v>
      </c>
      <c r="F4707" s="27" t="s">
        <v>49</v>
      </c>
      <c r="G4707" s="27" t="s">
        <v>28</v>
      </c>
      <c r="H4707" s="29">
        <v>300</v>
      </c>
      <c r="I4707" s="27" t="s">
        <v>29</v>
      </c>
      <c r="J4707" s="37">
        <v>45705</v>
      </c>
      <c r="K4707" s="27" t="s">
        <v>22</v>
      </c>
    </row>
    <row r="4708" spans="1:11" x14ac:dyDescent="0.2">
      <c r="A4708" s="24" t="s">
        <v>11303</v>
      </c>
      <c r="B4708" s="24" t="s">
        <v>11304</v>
      </c>
      <c r="C4708" s="24" t="s">
        <v>85</v>
      </c>
      <c r="D4708" s="24" t="s">
        <v>17</v>
      </c>
      <c r="E4708" s="24" t="s">
        <v>18</v>
      </c>
      <c r="F4708" s="24" t="s">
        <v>19</v>
      </c>
      <c r="G4708" s="24" t="s">
        <v>20</v>
      </c>
      <c r="H4708" s="26">
        <v>132</v>
      </c>
      <c r="I4708" s="24" t="s">
        <v>21</v>
      </c>
      <c r="J4708" s="36">
        <v>45706</v>
      </c>
      <c r="K4708" s="24" t="s">
        <v>22</v>
      </c>
    </row>
    <row r="4709" spans="1:11" x14ac:dyDescent="0.2">
      <c r="A4709" s="27" t="s">
        <v>11305</v>
      </c>
      <c r="B4709" s="27" t="s">
        <v>11306</v>
      </c>
      <c r="C4709" s="27" t="s">
        <v>194</v>
      </c>
      <c r="D4709" s="27" t="s">
        <v>17</v>
      </c>
      <c r="E4709" s="27" t="s">
        <v>18</v>
      </c>
      <c r="F4709" s="27" t="s">
        <v>19</v>
      </c>
      <c r="G4709" s="27" t="s">
        <v>28</v>
      </c>
      <c r="H4709" s="29">
        <v>22</v>
      </c>
      <c r="I4709" s="27" t="s">
        <v>29</v>
      </c>
      <c r="J4709" s="37">
        <v>45700</v>
      </c>
      <c r="K4709" s="27" t="s">
        <v>22</v>
      </c>
    </row>
    <row r="4710" spans="1:11" x14ac:dyDescent="0.2">
      <c r="A4710" s="24" t="s">
        <v>11307</v>
      </c>
      <c r="B4710" s="24" t="s">
        <v>11308</v>
      </c>
      <c r="C4710" s="24" t="s">
        <v>4170</v>
      </c>
      <c r="D4710" s="24" t="s">
        <v>17</v>
      </c>
      <c r="E4710" s="24" t="s">
        <v>42</v>
      </c>
      <c r="F4710" s="24" t="s">
        <v>43</v>
      </c>
      <c r="G4710" s="24" t="s">
        <v>28</v>
      </c>
      <c r="H4710" s="26">
        <v>360</v>
      </c>
      <c r="I4710" s="24" t="s">
        <v>29</v>
      </c>
      <c r="J4710" s="36">
        <v>45702</v>
      </c>
      <c r="K4710" s="24" t="s">
        <v>22</v>
      </c>
    </row>
    <row r="4711" spans="1:11" x14ac:dyDescent="0.2">
      <c r="A4711" s="27" t="s">
        <v>11309</v>
      </c>
      <c r="B4711" s="27" t="s">
        <v>11310</v>
      </c>
      <c r="C4711" s="27" t="s">
        <v>9491</v>
      </c>
      <c r="D4711" s="27" t="s">
        <v>17</v>
      </c>
      <c r="E4711" s="27" t="s">
        <v>42</v>
      </c>
      <c r="F4711" s="27" t="s">
        <v>43</v>
      </c>
      <c r="G4711" s="27" t="s">
        <v>44</v>
      </c>
      <c r="H4711" s="29">
        <v>620</v>
      </c>
      <c r="I4711" s="27" t="s">
        <v>29</v>
      </c>
      <c r="J4711" s="37">
        <v>45703</v>
      </c>
      <c r="K4711" s="27" t="s">
        <v>22</v>
      </c>
    </row>
    <row r="4712" spans="1:11" x14ac:dyDescent="0.2">
      <c r="A4712" s="24" t="s">
        <v>11311</v>
      </c>
      <c r="B4712" s="24" t="s">
        <v>11312</v>
      </c>
      <c r="C4712" s="24" t="s">
        <v>11313</v>
      </c>
      <c r="D4712" s="24" t="s">
        <v>17</v>
      </c>
      <c r="E4712" s="24" t="s">
        <v>42</v>
      </c>
      <c r="F4712" s="24" t="s">
        <v>43</v>
      </c>
      <c r="G4712" s="24" t="s">
        <v>28</v>
      </c>
      <c r="H4712" s="26">
        <v>284</v>
      </c>
      <c r="I4712" s="24" t="s">
        <v>29</v>
      </c>
      <c r="J4712" s="36">
        <v>45716</v>
      </c>
      <c r="K4712" s="24" t="s">
        <v>22</v>
      </c>
    </row>
    <row r="4713" spans="1:11" x14ac:dyDescent="0.2">
      <c r="A4713" s="27" t="s">
        <v>11314</v>
      </c>
      <c r="B4713" s="27" t="s">
        <v>11315</v>
      </c>
      <c r="C4713" s="27" t="s">
        <v>1307</v>
      </c>
      <c r="D4713" s="27" t="s">
        <v>17</v>
      </c>
      <c r="E4713" s="27" t="s">
        <v>48</v>
      </c>
      <c r="F4713" s="27" t="s">
        <v>49</v>
      </c>
      <c r="G4713" s="27" t="s">
        <v>20</v>
      </c>
      <c r="H4713" s="29">
        <v>120</v>
      </c>
      <c r="I4713" s="27" t="s">
        <v>21</v>
      </c>
      <c r="J4713" s="37">
        <v>45706</v>
      </c>
      <c r="K4713" s="27" t="s">
        <v>22</v>
      </c>
    </row>
    <row r="4714" spans="1:11" x14ac:dyDescent="0.2">
      <c r="A4714" s="24" t="s">
        <v>11316</v>
      </c>
      <c r="B4714" s="24" t="s">
        <v>11317</v>
      </c>
      <c r="C4714" s="24" t="s">
        <v>11318</v>
      </c>
      <c r="D4714" s="24" t="s">
        <v>17</v>
      </c>
      <c r="E4714" s="24" t="s">
        <v>18</v>
      </c>
      <c r="F4714" s="24" t="s">
        <v>19</v>
      </c>
      <c r="G4714" s="24" t="s">
        <v>44</v>
      </c>
      <c r="H4714" s="26">
        <v>6</v>
      </c>
      <c r="I4714" s="24" t="s">
        <v>21</v>
      </c>
      <c r="J4714" s="36">
        <v>45694</v>
      </c>
      <c r="K4714" s="24" t="s">
        <v>22</v>
      </c>
    </row>
    <row r="4715" spans="1:11" x14ac:dyDescent="0.2">
      <c r="A4715" s="27" t="s">
        <v>11319</v>
      </c>
      <c r="B4715" s="27" t="s">
        <v>11320</v>
      </c>
      <c r="C4715" s="27" t="s">
        <v>9058</v>
      </c>
      <c r="D4715" s="27" t="s">
        <v>17</v>
      </c>
      <c r="E4715" s="27" t="s">
        <v>18</v>
      </c>
      <c r="F4715" s="27" t="s">
        <v>19</v>
      </c>
      <c r="G4715" s="27" t="s">
        <v>28</v>
      </c>
      <c r="H4715" s="29">
        <v>117</v>
      </c>
      <c r="I4715" s="27" t="s">
        <v>29</v>
      </c>
      <c r="J4715" s="37">
        <v>45714</v>
      </c>
      <c r="K4715" s="27" t="s">
        <v>22</v>
      </c>
    </row>
    <row r="4716" spans="1:11" x14ac:dyDescent="0.2">
      <c r="A4716" s="24" t="s">
        <v>11321</v>
      </c>
      <c r="B4716" s="24" t="s">
        <v>11322</v>
      </c>
      <c r="C4716" s="24" t="s">
        <v>9686</v>
      </c>
      <c r="D4716" s="24" t="s">
        <v>17</v>
      </c>
      <c r="E4716" s="24" t="s">
        <v>18</v>
      </c>
      <c r="F4716" s="24" t="s">
        <v>19</v>
      </c>
      <c r="G4716" s="24" t="s">
        <v>20</v>
      </c>
      <c r="H4716" s="26">
        <v>43</v>
      </c>
      <c r="I4716" s="24" t="s">
        <v>21</v>
      </c>
      <c r="J4716" s="36">
        <v>45692</v>
      </c>
      <c r="K4716" s="24" t="s">
        <v>22</v>
      </c>
    </row>
    <row r="4717" spans="1:11" x14ac:dyDescent="0.2">
      <c r="A4717" s="27" t="s">
        <v>11323</v>
      </c>
      <c r="B4717" s="27" t="s">
        <v>11324</v>
      </c>
      <c r="C4717" s="27" t="s">
        <v>11325</v>
      </c>
      <c r="D4717" s="27" t="s">
        <v>17</v>
      </c>
      <c r="E4717" s="27" t="s">
        <v>48</v>
      </c>
      <c r="F4717" s="27" t="s">
        <v>49</v>
      </c>
      <c r="G4717" s="27" t="s">
        <v>28</v>
      </c>
      <c r="H4717" s="29">
        <v>100</v>
      </c>
      <c r="I4717" s="27" t="s">
        <v>29</v>
      </c>
      <c r="J4717" s="37">
        <v>45699</v>
      </c>
      <c r="K4717" s="27" t="s">
        <v>22</v>
      </c>
    </row>
    <row r="4718" spans="1:11" x14ac:dyDescent="0.2">
      <c r="A4718" s="24" t="s">
        <v>11326</v>
      </c>
      <c r="B4718" s="24" t="s">
        <v>11327</v>
      </c>
      <c r="C4718" s="24" t="s">
        <v>437</v>
      </c>
      <c r="D4718" s="24" t="s">
        <v>17</v>
      </c>
      <c r="E4718" s="24" t="s">
        <v>42</v>
      </c>
      <c r="F4718" s="24" t="s">
        <v>43</v>
      </c>
      <c r="G4718" s="24" t="s">
        <v>28</v>
      </c>
      <c r="H4718" s="26">
        <v>844</v>
      </c>
      <c r="I4718" s="24" t="s">
        <v>29</v>
      </c>
      <c r="J4718" s="36">
        <v>45713</v>
      </c>
      <c r="K4718" s="24" t="s">
        <v>22</v>
      </c>
    </row>
    <row r="4719" spans="1:11" x14ac:dyDescent="0.2">
      <c r="A4719" s="27" t="s">
        <v>11328</v>
      </c>
      <c r="B4719" s="27" t="s">
        <v>11329</v>
      </c>
      <c r="C4719" s="27" t="s">
        <v>687</v>
      </c>
      <c r="D4719" s="27" t="s">
        <v>17</v>
      </c>
      <c r="E4719" s="27" t="s">
        <v>18</v>
      </c>
      <c r="F4719" s="27" t="s">
        <v>19</v>
      </c>
      <c r="G4719" s="27" t="s">
        <v>20</v>
      </c>
      <c r="H4719" s="29">
        <v>29</v>
      </c>
      <c r="I4719" s="27" t="s">
        <v>21</v>
      </c>
      <c r="J4719" s="37">
        <v>45697</v>
      </c>
      <c r="K4719" s="27" t="s">
        <v>22</v>
      </c>
    </row>
    <row r="4720" spans="1:11" x14ac:dyDescent="0.2">
      <c r="A4720" s="24" t="s">
        <v>11330</v>
      </c>
      <c r="B4720" s="24" t="s">
        <v>11331</v>
      </c>
      <c r="C4720" s="24" t="s">
        <v>8939</v>
      </c>
      <c r="D4720" s="24" t="s">
        <v>17</v>
      </c>
      <c r="E4720" s="24" t="s">
        <v>42</v>
      </c>
      <c r="F4720" s="24" t="s">
        <v>43</v>
      </c>
      <c r="G4720" s="24" t="s">
        <v>44</v>
      </c>
      <c r="H4720" s="26">
        <v>540</v>
      </c>
      <c r="I4720" s="24" t="s">
        <v>29</v>
      </c>
      <c r="J4720" s="36">
        <v>45706</v>
      </c>
      <c r="K4720" s="24" t="s">
        <v>22</v>
      </c>
    </row>
    <row r="4721" spans="1:11" x14ac:dyDescent="0.2">
      <c r="A4721" s="27" t="s">
        <v>11332</v>
      </c>
      <c r="B4721" s="27" t="s">
        <v>11333</v>
      </c>
      <c r="C4721" s="27" t="s">
        <v>1994</v>
      </c>
      <c r="D4721" s="27" t="s">
        <v>17</v>
      </c>
      <c r="E4721" s="27" t="s">
        <v>18</v>
      </c>
      <c r="F4721" s="27" t="s">
        <v>19</v>
      </c>
      <c r="G4721" s="27" t="s">
        <v>28</v>
      </c>
      <c r="H4721" s="29">
        <v>124</v>
      </c>
      <c r="I4721" s="27" t="s">
        <v>29</v>
      </c>
      <c r="J4721" s="37">
        <v>45701</v>
      </c>
      <c r="K4721" s="27" t="s">
        <v>22</v>
      </c>
    </row>
    <row r="4722" spans="1:11" x14ac:dyDescent="0.2">
      <c r="A4722" s="24" t="s">
        <v>11334</v>
      </c>
      <c r="B4722" s="24" t="s">
        <v>11335</v>
      </c>
      <c r="C4722" s="24" t="s">
        <v>1663</v>
      </c>
      <c r="D4722" s="24" t="s">
        <v>17</v>
      </c>
      <c r="E4722" s="24" t="s">
        <v>26</v>
      </c>
      <c r="F4722" s="24" t="s">
        <v>27</v>
      </c>
      <c r="G4722" s="24" t="s">
        <v>28</v>
      </c>
      <c r="H4722" s="26">
        <v>105</v>
      </c>
      <c r="I4722" s="24" t="s">
        <v>29</v>
      </c>
      <c r="J4722" s="36">
        <v>45713</v>
      </c>
      <c r="K4722" s="24" t="s">
        <v>22</v>
      </c>
    </row>
    <row r="4723" spans="1:11" x14ac:dyDescent="0.2">
      <c r="A4723" s="27" t="s">
        <v>11336</v>
      </c>
      <c r="B4723" s="27" t="s">
        <v>11337</v>
      </c>
      <c r="C4723" s="27" t="s">
        <v>251</v>
      </c>
      <c r="D4723" s="27" t="s">
        <v>17</v>
      </c>
      <c r="E4723" s="27" t="s">
        <v>42</v>
      </c>
      <c r="F4723" s="27" t="s">
        <v>43</v>
      </c>
      <c r="G4723" s="27" t="s">
        <v>28</v>
      </c>
      <c r="H4723" s="29">
        <v>9</v>
      </c>
      <c r="I4723" s="27" t="s">
        <v>29</v>
      </c>
      <c r="J4723" s="37">
        <v>45716</v>
      </c>
      <c r="K4723" s="27" t="s">
        <v>22</v>
      </c>
    </row>
    <row r="4724" spans="1:11" x14ac:dyDescent="0.2">
      <c r="A4724" s="24" t="s">
        <v>11338</v>
      </c>
      <c r="B4724" s="24" t="s">
        <v>11339</v>
      </c>
      <c r="C4724" s="24" t="s">
        <v>1307</v>
      </c>
      <c r="D4724" s="24" t="s">
        <v>17</v>
      </c>
      <c r="E4724" s="24" t="s">
        <v>18</v>
      </c>
      <c r="F4724" s="24" t="s">
        <v>19</v>
      </c>
      <c r="G4724" s="24" t="s">
        <v>20</v>
      </c>
      <c r="H4724" s="26">
        <v>6</v>
      </c>
      <c r="I4724" s="24" t="s">
        <v>21</v>
      </c>
      <c r="J4724" s="36">
        <v>45715</v>
      </c>
      <c r="K4724" s="24" t="s">
        <v>22</v>
      </c>
    </row>
    <row r="4725" spans="1:11" x14ac:dyDescent="0.2">
      <c r="A4725" s="27" t="s">
        <v>11340</v>
      </c>
      <c r="B4725" s="27" t="s">
        <v>11341</v>
      </c>
      <c r="C4725" s="27" t="s">
        <v>526</v>
      </c>
      <c r="D4725" s="27" t="s">
        <v>17</v>
      </c>
      <c r="E4725" s="27" t="s">
        <v>48</v>
      </c>
      <c r="F4725" s="27" t="s">
        <v>49</v>
      </c>
      <c r="G4725" s="27" t="s">
        <v>28</v>
      </c>
      <c r="H4725" s="29">
        <v>300</v>
      </c>
      <c r="I4725" s="27" t="s">
        <v>29</v>
      </c>
      <c r="J4725" s="37">
        <v>45694</v>
      </c>
      <c r="K4725" s="27" t="s">
        <v>22</v>
      </c>
    </row>
    <row r="4726" spans="1:11" x14ac:dyDescent="0.2">
      <c r="A4726" s="24" t="s">
        <v>11342</v>
      </c>
      <c r="B4726" s="24" t="s">
        <v>11343</v>
      </c>
      <c r="C4726" s="24" t="s">
        <v>526</v>
      </c>
      <c r="D4726" s="24" t="s">
        <v>17</v>
      </c>
      <c r="E4726" s="24" t="s">
        <v>18</v>
      </c>
      <c r="F4726" s="24" t="s">
        <v>19</v>
      </c>
      <c r="G4726" s="24" t="s">
        <v>20</v>
      </c>
      <c r="H4726" s="26">
        <v>30</v>
      </c>
      <c r="I4726" s="24" t="s">
        <v>21</v>
      </c>
      <c r="J4726" s="36">
        <v>45691</v>
      </c>
      <c r="K4726" s="24" t="s">
        <v>22</v>
      </c>
    </row>
    <row r="4727" spans="1:11" x14ac:dyDescent="0.2">
      <c r="A4727" s="27" t="s">
        <v>11344</v>
      </c>
      <c r="B4727" s="27" t="s">
        <v>11345</v>
      </c>
      <c r="C4727" s="27" t="s">
        <v>992</v>
      </c>
      <c r="D4727" s="27" t="s">
        <v>17</v>
      </c>
      <c r="E4727" s="27" t="s">
        <v>42</v>
      </c>
      <c r="F4727" s="27" t="s">
        <v>43</v>
      </c>
      <c r="G4727" s="27" t="s">
        <v>28</v>
      </c>
      <c r="H4727" s="29">
        <v>170</v>
      </c>
      <c r="I4727" s="27" t="s">
        <v>29</v>
      </c>
      <c r="J4727" s="37">
        <v>45689</v>
      </c>
      <c r="K4727" s="27" t="s">
        <v>22</v>
      </c>
    </row>
    <row r="4728" spans="1:11" x14ac:dyDescent="0.2">
      <c r="A4728" s="24" t="s">
        <v>11346</v>
      </c>
      <c r="B4728" s="24" t="s">
        <v>11347</v>
      </c>
      <c r="C4728" s="24" t="s">
        <v>2048</v>
      </c>
      <c r="D4728" s="24" t="s">
        <v>17</v>
      </c>
      <c r="E4728" s="24" t="s">
        <v>18</v>
      </c>
      <c r="F4728" s="24" t="s">
        <v>19</v>
      </c>
      <c r="G4728" s="24" t="s">
        <v>217</v>
      </c>
      <c r="H4728" s="26">
        <v>40</v>
      </c>
      <c r="I4728" s="24" t="s">
        <v>29</v>
      </c>
      <c r="J4728" s="36">
        <v>45689</v>
      </c>
      <c r="K4728" s="24" t="s">
        <v>22</v>
      </c>
    </row>
    <row r="4729" spans="1:11" x14ac:dyDescent="0.2">
      <c r="A4729" s="27" t="s">
        <v>11348</v>
      </c>
      <c r="B4729" s="27" t="s">
        <v>11349</v>
      </c>
      <c r="C4729" s="27" t="s">
        <v>10506</v>
      </c>
      <c r="D4729" s="27" t="s">
        <v>17</v>
      </c>
      <c r="E4729" s="27" t="s">
        <v>48</v>
      </c>
      <c r="F4729" s="27" t="s">
        <v>49</v>
      </c>
      <c r="G4729" s="27" t="s">
        <v>257</v>
      </c>
      <c r="H4729" s="29">
        <v>55</v>
      </c>
      <c r="I4729" s="27" t="s">
        <v>29</v>
      </c>
      <c r="J4729" s="37">
        <v>45695</v>
      </c>
      <c r="K4729" s="27" t="s">
        <v>22</v>
      </c>
    </row>
    <row r="4730" spans="1:11" x14ac:dyDescent="0.2">
      <c r="A4730" s="24" t="s">
        <v>11350</v>
      </c>
      <c r="B4730" s="24" t="s">
        <v>11351</v>
      </c>
      <c r="C4730" s="24" t="s">
        <v>10073</v>
      </c>
      <c r="D4730" s="24" t="s">
        <v>17</v>
      </c>
      <c r="E4730" s="24" t="s">
        <v>42</v>
      </c>
      <c r="F4730" s="24" t="s">
        <v>43</v>
      </c>
      <c r="G4730" s="24" t="s">
        <v>20</v>
      </c>
      <c r="H4730" s="26">
        <v>221</v>
      </c>
      <c r="I4730" s="24" t="s">
        <v>21</v>
      </c>
      <c r="J4730" s="36">
        <v>45708</v>
      </c>
      <c r="K4730" s="24" t="s">
        <v>22</v>
      </c>
    </row>
    <row r="4731" spans="1:11" x14ac:dyDescent="0.2">
      <c r="A4731" s="27" t="s">
        <v>11352</v>
      </c>
      <c r="B4731" s="27" t="s">
        <v>11353</v>
      </c>
      <c r="C4731" s="27" t="s">
        <v>2953</v>
      </c>
      <c r="D4731" s="27" t="s">
        <v>17</v>
      </c>
      <c r="E4731" s="27" t="s">
        <v>18</v>
      </c>
      <c r="F4731" s="27" t="s">
        <v>19</v>
      </c>
      <c r="G4731" s="27" t="s">
        <v>20</v>
      </c>
      <c r="H4731" s="29">
        <v>8</v>
      </c>
      <c r="I4731" s="27" t="s">
        <v>21</v>
      </c>
      <c r="J4731" s="37">
        <v>45741</v>
      </c>
      <c r="K4731" s="27" t="s">
        <v>22</v>
      </c>
    </row>
    <row r="4732" spans="1:11" x14ac:dyDescent="0.2">
      <c r="A4732" s="24" t="s">
        <v>11354</v>
      </c>
      <c r="B4732" s="24" t="s">
        <v>11355</v>
      </c>
      <c r="C4732" s="24" t="s">
        <v>213</v>
      </c>
      <c r="D4732" s="24" t="s">
        <v>17</v>
      </c>
      <c r="E4732" s="24" t="s">
        <v>18</v>
      </c>
      <c r="F4732" s="24" t="s">
        <v>19</v>
      </c>
      <c r="G4732" s="24" t="s">
        <v>20</v>
      </c>
      <c r="H4732" s="26">
        <v>14</v>
      </c>
      <c r="I4732" s="24" t="s">
        <v>21</v>
      </c>
      <c r="J4732" s="36">
        <v>45737</v>
      </c>
      <c r="K4732" s="24" t="s">
        <v>22</v>
      </c>
    </row>
    <row r="4733" spans="1:11" x14ac:dyDescent="0.2">
      <c r="A4733" s="27" t="s">
        <v>11356</v>
      </c>
      <c r="B4733" s="27" t="s">
        <v>11357</v>
      </c>
      <c r="C4733" s="27" t="s">
        <v>11358</v>
      </c>
      <c r="D4733" s="27" t="s">
        <v>17</v>
      </c>
      <c r="E4733" s="27" t="s">
        <v>48</v>
      </c>
      <c r="F4733" s="27" t="s">
        <v>49</v>
      </c>
      <c r="G4733" s="27" t="s">
        <v>28</v>
      </c>
      <c r="H4733" s="29">
        <v>180</v>
      </c>
      <c r="I4733" s="27" t="s">
        <v>29</v>
      </c>
      <c r="J4733" s="37">
        <v>45733</v>
      </c>
      <c r="K4733" s="27" t="s">
        <v>22</v>
      </c>
    </row>
    <row r="4734" spans="1:11" x14ac:dyDescent="0.2">
      <c r="A4734" s="24" t="s">
        <v>11359</v>
      </c>
      <c r="B4734" s="24" t="s">
        <v>11360</v>
      </c>
      <c r="C4734" s="24" t="s">
        <v>11361</v>
      </c>
      <c r="D4734" s="24" t="s">
        <v>17</v>
      </c>
      <c r="E4734" s="24" t="s">
        <v>48</v>
      </c>
      <c r="F4734" s="24" t="s">
        <v>49</v>
      </c>
      <c r="G4734" s="24" t="s">
        <v>28</v>
      </c>
      <c r="H4734" s="26">
        <v>150</v>
      </c>
      <c r="I4734" s="24" t="s">
        <v>29</v>
      </c>
      <c r="J4734" s="36">
        <v>45728</v>
      </c>
      <c r="K4734" s="24" t="s">
        <v>22</v>
      </c>
    </row>
    <row r="4735" spans="1:11" x14ac:dyDescent="0.2">
      <c r="A4735" s="27" t="s">
        <v>11362</v>
      </c>
      <c r="B4735" s="27" t="s">
        <v>11363</v>
      </c>
      <c r="C4735" s="27" t="s">
        <v>251</v>
      </c>
      <c r="D4735" s="27" t="s">
        <v>17</v>
      </c>
      <c r="E4735" s="27" t="s">
        <v>42</v>
      </c>
      <c r="F4735" s="27" t="s">
        <v>43</v>
      </c>
      <c r="G4735" s="27" t="s">
        <v>44</v>
      </c>
      <c r="H4735" s="29">
        <v>196</v>
      </c>
      <c r="I4735" s="27" t="s">
        <v>21</v>
      </c>
      <c r="J4735" s="37">
        <v>45729</v>
      </c>
      <c r="K4735" s="27" t="s">
        <v>22</v>
      </c>
    </row>
    <row r="4736" spans="1:11" x14ac:dyDescent="0.2">
      <c r="A4736" s="24" t="s">
        <v>11364</v>
      </c>
      <c r="B4736" s="24" t="s">
        <v>11365</v>
      </c>
      <c r="C4736" s="24" t="s">
        <v>11366</v>
      </c>
      <c r="D4736" s="24" t="s">
        <v>17</v>
      </c>
      <c r="E4736" s="24" t="s">
        <v>26</v>
      </c>
      <c r="F4736" s="24" t="s">
        <v>27</v>
      </c>
      <c r="G4736" s="24" t="s">
        <v>28</v>
      </c>
      <c r="H4736" s="26">
        <v>134</v>
      </c>
      <c r="I4736" s="24" t="s">
        <v>29</v>
      </c>
      <c r="J4736" s="36">
        <v>45747</v>
      </c>
      <c r="K4736" s="24" t="s">
        <v>22</v>
      </c>
    </row>
    <row r="4737" spans="1:11" x14ac:dyDescent="0.2">
      <c r="A4737" s="27" t="s">
        <v>11367</v>
      </c>
      <c r="B4737" s="27" t="s">
        <v>11368</v>
      </c>
      <c r="C4737" s="27" t="s">
        <v>3208</v>
      </c>
      <c r="D4737" s="27" t="s">
        <v>17</v>
      </c>
      <c r="E4737" s="27" t="s">
        <v>26</v>
      </c>
      <c r="F4737" s="27" t="s">
        <v>27</v>
      </c>
      <c r="G4737" s="27" t="s">
        <v>28</v>
      </c>
      <c r="H4737" s="29">
        <v>132</v>
      </c>
      <c r="I4737" s="27" t="s">
        <v>29</v>
      </c>
      <c r="J4737" s="37">
        <v>45719</v>
      </c>
      <c r="K4737" s="27" t="s">
        <v>22</v>
      </c>
    </row>
    <row r="4738" spans="1:11" x14ac:dyDescent="0.2">
      <c r="A4738" s="24" t="s">
        <v>11369</v>
      </c>
      <c r="B4738" s="24" t="s">
        <v>11370</v>
      </c>
      <c r="C4738" s="24" t="s">
        <v>6501</v>
      </c>
      <c r="D4738" s="24" t="s">
        <v>17</v>
      </c>
      <c r="E4738" s="24" t="s">
        <v>48</v>
      </c>
      <c r="F4738" s="24" t="s">
        <v>49</v>
      </c>
      <c r="G4738" s="24" t="s">
        <v>28</v>
      </c>
      <c r="H4738" s="26">
        <v>10</v>
      </c>
      <c r="I4738" s="24" t="s">
        <v>29</v>
      </c>
      <c r="J4738" s="36">
        <v>45727</v>
      </c>
      <c r="K4738" s="24" t="s">
        <v>22</v>
      </c>
    </row>
    <row r="4739" spans="1:11" x14ac:dyDescent="0.2">
      <c r="A4739" s="27" t="s">
        <v>11371</v>
      </c>
      <c r="B4739" s="27" t="s">
        <v>11372</v>
      </c>
      <c r="C4739" s="27" t="s">
        <v>382</v>
      </c>
      <c r="D4739" s="27" t="s">
        <v>17</v>
      </c>
      <c r="E4739" s="27" t="s">
        <v>42</v>
      </c>
      <c r="F4739" s="27" t="s">
        <v>43</v>
      </c>
      <c r="G4739" s="27" t="s">
        <v>28</v>
      </c>
      <c r="H4739" s="29">
        <v>440</v>
      </c>
      <c r="I4739" s="27" t="s">
        <v>29</v>
      </c>
      <c r="J4739" s="37">
        <v>45728</v>
      </c>
      <c r="K4739" s="27" t="s">
        <v>22</v>
      </c>
    </row>
    <row r="4740" spans="1:11" x14ac:dyDescent="0.2">
      <c r="A4740" s="24" t="s">
        <v>11373</v>
      </c>
      <c r="B4740" s="24" t="s">
        <v>11374</v>
      </c>
      <c r="C4740" s="24" t="s">
        <v>1199</v>
      </c>
      <c r="D4740" s="24" t="s">
        <v>17</v>
      </c>
      <c r="E4740" s="24" t="s">
        <v>26</v>
      </c>
      <c r="F4740" s="24" t="s">
        <v>27</v>
      </c>
      <c r="G4740" s="24" t="s">
        <v>28</v>
      </c>
      <c r="H4740" s="26">
        <v>150</v>
      </c>
      <c r="I4740" s="24" t="s">
        <v>29</v>
      </c>
      <c r="J4740" s="36">
        <v>45734</v>
      </c>
      <c r="K4740" s="24" t="s">
        <v>22</v>
      </c>
    </row>
    <row r="4741" spans="1:11" x14ac:dyDescent="0.2">
      <c r="A4741" s="27" t="s">
        <v>11375</v>
      </c>
      <c r="B4741" s="27" t="s">
        <v>11376</v>
      </c>
      <c r="C4741" s="27" t="s">
        <v>11377</v>
      </c>
      <c r="D4741" s="27" t="s">
        <v>17</v>
      </c>
      <c r="E4741" s="27" t="s">
        <v>42</v>
      </c>
      <c r="F4741" s="27" t="s">
        <v>43</v>
      </c>
      <c r="G4741" s="27" t="s">
        <v>116</v>
      </c>
      <c r="H4741" s="29">
        <v>0</v>
      </c>
      <c r="I4741" s="27" t="s">
        <v>21</v>
      </c>
      <c r="J4741" s="37">
        <v>45717</v>
      </c>
      <c r="K4741" s="27" t="s">
        <v>22</v>
      </c>
    </row>
    <row r="4742" spans="1:11" x14ac:dyDescent="0.2">
      <c r="A4742" s="24" t="s">
        <v>11378</v>
      </c>
      <c r="B4742" s="24" t="s">
        <v>11379</v>
      </c>
      <c r="C4742" s="24" t="s">
        <v>354</v>
      </c>
      <c r="D4742" s="24" t="s">
        <v>17</v>
      </c>
      <c r="E4742" s="24" t="s">
        <v>18</v>
      </c>
      <c r="F4742" s="24" t="s">
        <v>19</v>
      </c>
      <c r="G4742" s="24" t="s">
        <v>20</v>
      </c>
      <c r="H4742" s="26">
        <v>10</v>
      </c>
      <c r="I4742" s="24" t="s">
        <v>21</v>
      </c>
      <c r="J4742" s="36">
        <v>45726</v>
      </c>
      <c r="K4742" s="24" t="s">
        <v>22</v>
      </c>
    </row>
    <row r="4743" spans="1:11" x14ac:dyDescent="0.2">
      <c r="A4743" s="27" t="s">
        <v>11380</v>
      </c>
      <c r="B4743" s="27" t="s">
        <v>11381</v>
      </c>
      <c r="C4743" s="27" t="s">
        <v>11382</v>
      </c>
      <c r="D4743" s="27" t="s">
        <v>17</v>
      </c>
      <c r="E4743" s="27" t="s">
        <v>48</v>
      </c>
      <c r="F4743" s="27" t="s">
        <v>49</v>
      </c>
      <c r="G4743" s="27" t="s">
        <v>28</v>
      </c>
      <c r="H4743" s="29">
        <v>48</v>
      </c>
      <c r="I4743" s="27" t="s">
        <v>29</v>
      </c>
      <c r="J4743" s="37">
        <v>45717</v>
      </c>
      <c r="K4743" s="27" t="s">
        <v>22</v>
      </c>
    </row>
    <row r="4744" spans="1:11" x14ac:dyDescent="0.2">
      <c r="A4744" s="24" t="s">
        <v>11383</v>
      </c>
      <c r="B4744" s="24" t="s">
        <v>11384</v>
      </c>
      <c r="C4744" s="24" t="s">
        <v>4009</v>
      </c>
      <c r="D4744" s="24" t="s">
        <v>17</v>
      </c>
      <c r="E4744" s="24" t="s">
        <v>18</v>
      </c>
      <c r="F4744" s="24" t="s">
        <v>19</v>
      </c>
      <c r="G4744" s="24" t="s">
        <v>28</v>
      </c>
      <c r="H4744" s="26">
        <v>387</v>
      </c>
      <c r="I4744" s="24" t="s">
        <v>29</v>
      </c>
      <c r="J4744" s="36">
        <v>45747</v>
      </c>
      <c r="K4744" s="24" t="s">
        <v>22</v>
      </c>
    </row>
    <row r="4745" spans="1:11" x14ac:dyDescent="0.2">
      <c r="A4745" s="27" t="s">
        <v>11385</v>
      </c>
      <c r="B4745" s="27" t="s">
        <v>11386</v>
      </c>
      <c r="C4745" s="27" t="s">
        <v>1850</v>
      </c>
      <c r="D4745" s="27" t="s">
        <v>17</v>
      </c>
      <c r="E4745" s="27" t="s">
        <v>18</v>
      </c>
      <c r="F4745" s="27" t="s">
        <v>19</v>
      </c>
      <c r="G4745" s="27" t="s">
        <v>28</v>
      </c>
      <c r="H4745" s="29">
        <v>444</v>
      </c>
      <c r="I4745" s="27" t="s">
        <v>29</v>
      </c>
      <c r="J4745" s="37">
        <v>45728</v>
      </c>
      <c r="K4745" s="27" t="s">
        <v>22</v>
      </c>
    </row>
    <row r="4746" spans="1:11" x14ac:dyDescent="0.2">
      <c r="A4746" s="24" t="s">
        <v>11387</v>
      </c>
      <c r="B4746" s="24" t="s">
        <v>11388</v>
      </c>
      <c r="C4746" s="24" t="s">
        <v>11389</v>
      </c>
      <c r="D4746" s="24" t="s">
        <v>17</v>
      </c>
      <c r="E4746" s="24" t="s">
        <v>18</v>
      </c>
      <c r="F4746" s="24" t="s">
        <v>19</v>
      </c>
      <c r="G4746" s="24" t="s">
        <v>20</v>
      </c>
      <c r="H4746" s="26">
        <v>12</v>
      </c>
      <c r="I4746" s="24" t="s">
        <v>21</v>
      </c>
      <c r="J4746" s="36">
        <v>45727</v>
      </c>
      <c r="K4746" s="24" t="s">
        <v>22</v>
      </c>
    </row>
    <row r="4747" spans="1:11" x14ac:dyDescent="0.2">
      <c r="A4747" s="27" t="s">
        <v>11390</v>
      </c>
      <c r="B4747" s="27" t="s">
        <v>11391</v>
      </c>
      <c r="C4747" s="27" t="s">
        <v>1690</v>
      </c>
      <c r="D4747" s="27" t="s">
        <v>17</v>
      </c>
      <c r="E4747" s="27" t="s">
        <v>26</v>
      </c>
      <c r="F4747" s="27" t="s">
        <v>27</v>
      </c>
      <c r="G4747" s="27" t="s">
        <v>28</v>
      </c>
      <c r="H4747" s="29">
        <v>42</v>
      </c>
      <c r="I4747" s="27" t="s">
        <v>29</v>
      </c>
      <c r="J4747" s="37">
        <v>45727</v>
      </c>
      <c r="K4747" s="27" t="s">
        <v>22</v>
      </c>
    </row>
    <row r="4748" spans="1:11" x14ac:dyDescent="0.2">
      <c r="A4748" s="24" t="s">
        <v>11392</v>
      </c>
      <c r="B4748" s="24" t="s">
        <v>11393</v>
      </c>
      <c r="C4748" s="24" t="s">
        <v>5106</v>
      </c>
      <c r="D4748" s="24" t="s">
        <v>17</v>
      </c>
      <c r="E4748" s="24" t="s">
        <v>42</v>
      </c>
      <c r="F4748" s="24" t="s">
        <v>43</v>
      </c>
      <c r="G4748" s="24" t="s">
        <v>44</v>
      </c>
      <c r="H4748" s="26">
        <v>480</v>
      </c>
      <c r="I4748" s="24" t="s">
        <v>29</v>
      </c>
      <c r="J4748" s="36">
        <v>45727</v>
      </c>
      <c r="K4748" s="24" t="s">
        <v>22</v>
      </c>
    </row>
    <row r="4749" spans="1:11" x14ac:dyDescent="0.2">
      <c r="A4749" s="27" t="s">
        <v>11394</v>
      </c>
      <c r="B4749" s="27" t="s">
        <v>11395</v>
      </c>
      <c r="C4749" s="27" t="s">
        <v>11396</v>
      </c>
      <c r="D4749" s="27" t="s">
        <v>17</v>
      </c>
      <c r="E4749" s="27" t="s">
        <v>33</v>
      </c>
      <c r="F4749" s="27" t="s">
        <v>34</v>
      </c>
      <c r="G4749" s="27" t="s">
        <v>28</v>
      </c>
      <c r="H4749" s="29">
        <v>300</v>
      </c>
      <c r="I4749" s="27" t="s">
        <v>29</v>
      </c>
      <c r="J4749" s="37">
        <v>45743</v>
      </c>
      <c r="K4749" s="27" t="s">
        <v>22</v>
      </c>
    </row>
    <row r="4750" spans="1:11" x14ac:dyDescent="0.2">
      <c r="A4750" s="24" t="s">
        <v>11397</v>
      </c>
      <c r="B4750" s="24" t="s">
        <v>11398</v>
      </c>
      <c r="C4750" s="24" t="s">
        <v>6436</v>
      </c>
      <c r="D4750" s="24" t="s">
        <v>17</v>
      </c>
      <c r="E4750" s="24" t="s">
        <v>42</v>
      </c>
      <c r="F4750" s="24" t="s">
        <v>43</v>
      </c>
      <c r="G4750" s="24" t="s">
        <v>28</v>
      </c>
      <c r="H4750" s="26">
        <v>308</v>
      </c>
      <c r="I4750" s="24" t="s">
        <v>29</v>
      </c>
      <c r="J4750" s="36">
        <v>45742</v>
      </c>
      <c r="K4750" s="24" t="s">
        <v>22</v>
      </c>
    </row>
    <row r="4751" spans="1:11" x14ac:dyDescent="0.2">
      <c r="A4751" s="27" t="s">
        <v>11399</v>
      </c>
      <c r="B4751" s="27" t="s">
        <v>11400</v>
      </c>
      <c r="C4751" s="27" t="s">
        <v>251</v>
      </c>
      <c r="D4751" s="27" t="s">
        <v>17</v>
      </c>
      <c r="E4751" s="27" t="s">
        <v>18</v>
      </c>
      <c r="F4751" s="27" t="s">
        <v>19</v>
      </c>
      <c r="G4751" s="27" t="s">
        <v>116</v>
      </c>
      <c r="H4751" s="29">
        <v>0</v>
      </c>
      <c r="I4751" s="27" t="s">
        <v>21</v>
      </c>
      <c r="J4751" s="37">
        <v>45735</v>
      </c>
      <c r="K4751" s="27" t="s">
        <v>22</v>
      </c>
    </row>
    <row r="4752" spans="1:11" x14ac:dyDescent="0.2">
      <c r="A4752" s="24" t="s">
        <v>11401</v>
      </c>
      <c r="B4752" s="24" t="s">
        <v>11402</v>
      </c>
      <c r="C4752" s="24" t="s">
        <v>6639</v>
      </c>
      <c r="D4752" s="24" t="s">
        <v>17</v>
      </c>
      <c r="E4752" s="24" t="s">
        <v>48</v>
      </c>
      <c r="F4752" s="24" t="s">
        <v>49</v>
      </c>
      <c r="G4752" s="24" t="s">
        <v>28</v>
      </c>
      <c r="H4752" s="26">
        <v>35</v>
      </c>
      <c r="I4752" s="24" t="s">
        <v>29</v>
      </c>
      <c r="J4752" s="36">
        <v>45744</v>
      </c>
      <c r="K4752" s="24" t="s">
        <v>22</v>
      </c>
    </row>
    <row r="4753" spans="1:11" x14ac:dyDescent="0.2">
      <c r="A4753" s="27" t="s">
        <v>11403</v>
      </c>
      <c r="B4753" s="27" t="s">
        <v>11404</v>
      </c>
      <c r="C4753" s="27" t="s">
        <v>7365</v>
      </c>
      <c r="D4753" s="27" t="s">
        <v>17</v>
      </c>
      <c r="E4753" s="27" t="s">
        <v>42</v>
      </c>
      <c r="F4753" s="27" t="s">
        <v>43</v>
      </c>
      <c r="G4753" s="27" t="s">
        <v>28</v>
      </c>
      <c r="H4753" s="29">
        <v>660</v>
      </c>
      <c r="I4753" s="27" t="s">
        <v>29</v>
      </c>
      <c r="J4753" s="37">
        <v>45737</v>
      </c>
      <c r="K4753" s="27" t="s">
        <v>22</v>
      </c>
    </row>
    <row r="4754" spans="1:11" x14ac:dyDescent="0.2">
      <c r="A4754" s="24" t="s">
        <v>11405</v>
      </c>
      <c r="B4754" s="24" t="s">
        <v>11406</v>
      </c>
      <c r="C4754" s="24" t="s">
        <v>2669</v>
      </c>
      <c r="D4754" s="24" t="s">
        <v>17</v>
      </c>
      <c r="E4754" s="24" t="s">
        <v>48</v>
      </c>
      <c r="F4754" s="24" t="s">
        <v>49</v>
      </c>
      <c r="G4754" s="24" t="s">
        <v>44</v>
      </c>
      <c r="H4754" s="26">
        <v>145</v>
      </c>
      <c r="I4754" s="24" t="s">
        <v>21</v>
      </c>
      <c r="J4754" s="36">
        <v>45744</v>
      </c>
      <c r="K4754" s="24" t="s">
        <v>22</v>
      </c>
    </row>
    <row r="4755" spans="1:11" x14ac:dyDescent="0.2">
      <c r="A4755" s="27" t="s">
        <v>11407</v>
      </c>
      <c r="B4755" s="27" t="s">
        <v>11408</v>
      </c>
      <c r="C4755" s="27" t="s">
        <v>55</v>
      </c>
      <c r="D4755" s="27" t="s">
        <v>17</v>
      </c>
      <c r="E4755" s="27" t="s">
        <v>48</v>
      </c>
      <c r="F4755" s="27" t="s">
        <v>49</v>
      </c>
      <c r="G4755" s="27" t="s">
        <v>28</v>
      </c>
      <c r="H4755" s="29">
        <v>90</v>
      </c>
      <c r="I4755" s="27" t="s">
        <v>29</v>
      </c>
      <c r="J4755" s="37">
        <v>45746</v>
      </c>
      <c r="K4755" s="27" t="s">
        <v>22</v>
      </c>
    </row>
    <row r="4756" spans="1:11" x14ac:dyDescent="0.2">
      <c r="A4756" s="24" t="s">
        <v>11409</v>
      </c>
      <c r="B4756" s="24" t="s">
        <v>11410</v>
      </c>
      <c r="C4756" s="24" t="s">
        <v>690</v>
      </c>
      <c r="D4756" s="24" t="s">
        <v>17</v>
      </c>
      <c r="E4756" s="24" t="s">
        <v>42</v>
      </c>
      <c r="F4756" s="24" t="s">
        <v>43</v>
      </c>
      <c r="G4756" s="24" t="s">
        <v>28</v>
      </c>
      <c r="H4756" s="26">
        <v>500</v>
      </c>
      <c r="I4756" s="24" t="s">
        <v>29</v>
      </c>
      <c r="J4756" s="36">
        <v>45719</v>
      </c>
      <c r="K4756" s="24" t="s">
        <v>22</v>
      </c>
    </row>
    <row r="4757" spans="1:11" x14ac:dyDescent="0.2">
      <c r="A4757" s="27" t="s">
        <v>11411</v>
      </c>
      <c r="B4757" s="27" t="s">
        <v>11412</v>
      </c>
      <c r="C4757" s="27" t="s">
        <v>11413</v>
      </c>
      <c r="D4757" s="27" t="s">
        <v>17</v>
      </c>
      <c r="E4757" s="27" t="s">
        <v>18</v>
      </c>
      <c r="F4757" s="27" t="s">
        <v>19</v>
      </c>
      <c r="G4757" s="27" t="s">
        <v>44</v>
      </c>
      <c r="H4757" s="29">
        <v>40</v>
      </c>
      <c r="I4757" s="27" t="s">
        <v>29</v>
      </c>
      <c r="J4757" s="37">
        <v>45743</v>
      </c>
      <c r="K4757" s="27" t="s">
        <v>22</v>
      </c>
    </row>
    <row r="4758" spans="1:11" x14ac:dyDescent="0.2">
      <c r="A4758" s="24" t="s">
        <v>11414</v>
      </c>
      <c r="B4758" s="24" t="s">
        <v>11415</v>
      </c>
      <c r="C4758" s="24" t="s">
        <v>4207</v>
      </c>
      <c r="D4758" s="24" t="s">
        <v>17</v>
      </c>
      <c r="E4758" s="24" t="s">
        <v>26</v>
      </c>
      <c r="F4758" s="24" t="s">
        <v>27</v>
      </c>
      <c r="G4758" s="24" t="s">
        <v>28</v>
      </c>
      <c r="H4758" s="26">
        <v>204</v>
      </c>
      <c r="I4758" s="24" t="s">
        <v>29</v>
      </c>
      <c r="J4758" s="36">
        <v>45742</v>
      </c>
      <c r="K4758" s="24" t="s">
        <v>22</v>
      </c>
    </row>
    <row r="4759" spans="1:11" x14ac:dyDescent="0.2">
      <c r="A4759" s="27" t="s">
        <v>11416</v>
      </c>
      <c r="B4759" s="27" t="s">
        <v>11417</v>
      </c>
      <c r="C4759" s="27" t="s">
        <v>1883</v>
      </c>
      <c r="D4759" s="27" t="s">
        <v>17</v>
      </c>
      <c r="E4759" s="27" t="s">
        <v>81</v>
      </c>
      <c r="F4759" s="27" t="s">
        <v>82</v>
      </c>
      <c r="G4759" s="27" t="s">
        <v>28</v>
      </c>
      <c r="H4759" s="29">
        <v>430</v>
      </c>
      <c r="I4759" s="27" t="s">
        <v>29</v>
      </c>
      <c r="J4759" s="37">
        <v>45745</v>
      </c>
      <c r="K4759" s="27" t="s">
        <v>22</v>
      </c>
    </row>
    <row r="4760" spans="1:11" x14ac:dyDescent="0.2">
      <c r="A4760" s="24" t="s">
        <v>11418</v>
      </c>
      <c r="B4760" s="24" t="s">
        <v>11419</v>
      </c>
      <c r="C4760" s="24" t="s">
        <v>6366</v>
      </c>
      <c r="D4760" s="24" t="s">
        <v>17</v>
      </c>
      <c r="E4760" s="24" t="s">
        <v>18</v>
      </c>
      <c r="F4760" s="24" t="s">
        <v>19</v>
      </c>
      <c r="G4760" s="24" t="s">
        <v>28</v>
      </c>
      <c r="H4760" s="26">
        <v>120</v>
      </c>
      <c r="I4760" s="24" t="s">
        <v>29</v>
      </c>
      <c r="J4760" s="36">
        <v>45720</v>
      </c>
      <c r="K4760" s="24" t="s">
        <v>22</v>
      </c>
    </row>
    <row r="4761" spans="1:11" x14ac:dyDescent="0.2">
      <c r="A4761" s="27" t="s">
        <v>11420</v>
      </c>
      <c r="B4761" s="27" t="s">
        <v>11421</v>
      </c>
      <c r="C4761" s="27" t="s">
        <v>11422</v>
      </c>
      <c r="D4761" s="27" t="s">
        <v>17</v>
      </c>
      <c r="E4761" s="27" t="s">
        <v>48</v>
      </c>
      <c r="F4761" s="27" t="s">
        <v>49</v>
      </c>
      <c r="G4761" s="27" t="s">
        <v>44</v>
      </c>
      <c r="H4761" s="29">
        <v>211</v>
      </c>
      <c r="I4761" s="27" t="s">
        <v>21</v>
      </c>
      <c r="J4761" s="37">
        <v>45738</v>
      </c>
      <c r="K4761" s="27" t="s">
        <v>22</v>
      </c>
    </row>
    <row r="4762" spans="1:11" x14ac:dyDescent="0.2">
      <c r="A4762" s="24" t="s">
        <v>11423</v>
      </c>
      <c r="B4762" s="24" t="s">
        <v>11424</v>
      </c>
      <c r="C4762" s="24" t="s">
        <v>11425</v>
      </c>
      <c r="D4762" s="24" t="s">
        <v>17</v>
      </c>
      <c r="E4762" s="24" t="s">
        <v>26</v>
      </c>
      <c r="F4762" s="24" t="s">
        <v>27</v>
      </c>
      <c r="G4762" s="24" t="s">
        <v>28</v>
      </c>
      <c r="H4762" s="26">
        <v>36</v>
      </c>
      <c r="I4762" s="24" t="s">
        <v>29</v>
      </c>
      <c r="J4762" s="36">
        <v>45727</v>
      </c>
      <c r="K4762" s="24" t="s">
        <v>22</v>
      </c>
    </row>
    <row r="4763" spans="1:11" x14ac:dyDescent="0.2">
      <c r="A4763" s="27" t="s">
        <v>11426</v>
      </c>
      <c r="B4763" s="27" t="s">
        <v>11427</v>
      </c>
      <c r="C4763" s="27" t="s">
        <v>6457</v>
      </c>
      <c r="D4763" s="27" t="s">
        <v>17</v>
      </c>
      <c r="E4763" s="27" t="s">
        <v>26</v>
      </c>
      <c r="F4763" s="27" t="s">
        <v>27</v>
      </c>
      <c r="G4763" s="27" t="s">
        <v>217</v>
      </c>
      <c r="H4763" s="29">
        <v>410</v>
      </c>
      <c r="I4763" s="27" t="s">
        <v>29</v>
      </c>
      <c r="J4763" s="37">
        <v>45736</v>
      </c>
      <c r="K4763" s="27" t="s">
        <v>22</v>
      </c>
    </row>
    <row r="4764" spans="1:11" x14ac:dyDescent="0.2">
      <c r="A4764" s="24" t="s">
        <v>11428</v>
      </c>
      <c r="B4764" s="24" t="s">
        <v>11429</v>
      </c>
      <c r="C4764" s="24" t="s">
        <v>11430</v>
      </c>
      <c r="D4764" s="24" t="s">
        <v>17</v>
      </c>
      <c r="E4764" s="24" t="s">
        <v>48</v>
      </c>
      <c r="F4764" s="24" t="s">
        <v>49</v>
      </c>
      <c r="G4764" s="24" t="s">
        <v>28</v>
      </c>
      <c r="H4764" s="26">
        <v>62</v>
      </c>
      <c r="I4764" s="24" t="s">
        <v>29</v>
      </c>
      <c r="J4764" s="36">
        <v>45736</v>
      </c>
      <c r="K4764" s="24" t="s">
        <v>22</v>
      </c>
    </row>
    <row r="4765" spans="1:11" x14ac:dyDescent="0.2">
      <c r="A4765" s="27" t="s">
        <v>11431</v>
      </c>
      <c r="B4765" s="27" t="s">
        <v>11432</v>
      </c>
      <c r="C4765" s="27" t="s">
        <v>2331</v>
      </c>
      <c r="D4765" s="27" t="s">
        <v>17</v>
      </c>
      <c r="E4765" s="27" t="s">
        <v>48</v>
      </c>
      <c r="F4765" s="27" t="s">
        <v>49</v>
      </c>
      <c r="G4765" s="27" t="s">
        <v>28</v>
      </c>
      <c r="H4765" s="29">
        <v>60</v>
      </c>
      <c r="I4765" s="27" t="s">
        <v>29</v>
      </c>
      <c r="J4765" s="37">
        <v>45719</v>
      </c>
      <c r="K4765" s="27" t="s">
        <v>22</v>
      </c>
    </row>
    <row r="4766" spans="1:11" x14ac:dyDescent="0.2">
      <c r="A4766" s="24" t="s">
        <v>11433</v>
      </c>
      <c r="B4766" s="24" t="s">
        <v>11434</v>
      </c>
      <c r="C4766" s="24" t="s">
        <v>10434</v>
      </c>
      <c r="D4766" s="24" t="s">
        <v>17</v>
      </c>
      <c r="E4766" s="24" t="s">
        <v>42</v>
      </c>
      <c r="F4766" s="24" t="s">
        <v>43</v>
      </c>
      <c r="G4766" s="24" t="s">
        <v>28</v>
      </c>
      <c r="H4766" s="26">
        <v>145</v>
      </c>
      <c r="I4766" s="24" t="s">
        <v>29</v>
      </c>
      <c r="J4766" s="36">
        <v>45736</v>
      </c>
      <c r="K4766" s="24" t="s">
        <v>22</v>
      </c>
    </row>
    <row r="4767" spans="1:11" x14ac:dyDescent="0.2">
      <c r="A4767" s="27" t="s">
        <v>11435</v>
      </c>
      <c r="B4767" s="27" t="s">
        <v>11436</v>
      </c>
      <c r="C4767" s="27" t="s">
        <v>2355</v>
      </c>
      <c r="D4767" s="27" t="s">
        <v>17</v>
      </c>
      <c r="E4767" s="27" t="s">
        <v>18</v>
      </c>
      <c r="F4767" s="27" t="s">
        <v>19</v>
      </c>
      <c r="G4767" s="27" t="s">
        <v>20</v>
      </c>
      <c r="H4767" s="29">
        <v>30</v>
      </c>
      <c r="I4767" s="27" t="s">
        <v>21</v>
      </c>
      <c r="J4767" s="37">
        <v>45734</v>
      </c>
      <c r="K4767" s="27" t="s">
        <v>22</v>
      </c>
    </row>
    <row r="4768" spans="1:11" x14ac:dyDescent="0.2">
      <c r="A4768" s="24" t="s">
        <v>11437</v>
      </c>
      <c r="B4768" s="24" t="s">
        <v>11438</v>
      </c>
      <c r="C4768" s="24" t="s">
        <v>11439</v>
      </c>
      <c r="D4768" s="24" t="s">
        <v>17</v>
      </c>
      <c r="E4768" s="24" t="s">
        <v>33</v>
      </c>
      <c r="F4768" s="24" t="s">
        <v>34</v>
      </c>
      <c r="G4768" s="24" t="s">
        <v>28</v>
      </c>
      <c r="H4768" s="26">
        <v>312</v>
      </c>
      <c r="I4768" s="24" t="s">
        <v>29</v>
      </c>
      <c r="J4768" s="36">
        <v>45728</v>
      </c>
      <c r="K4768" s="24" t="s">
        <v>22</v>
      </c>
    </row>
    <row r="4769" spans="1:11" x14ac:dyDescent="0.2">
      <c r="A4769" s="27" t="s">
        <v>11440</v>
      </c>
      <c r="B4769" s="27" t="s">
        <v>11441</v>
      </c>
      <c r="C4769" s="27" t="s">
        <v>9576</v>
      </c>
      <c r="D4769" s="27" t="s">
        <v>17</v>
      </c>
      <c r="E4769" s="27" t="s">
        <v>18</v>
      </c>
      <c r="F4769" s="27" t="s">
        <v>19</v>
      </c>
      <c r="G4769" s="27" t="s">
        <v>217</v>
      </c>
      <c r="H4769" s="29">
        <v>16</v>
      </c>
      <c r="I4769" s="27" t="s">
        <v>29</v>
      </c>
      <c r="J4769" s="37">
        <v>45740</v>
      </c>
      <c r="K4769" s="27" t="s">
        <v>22</v>
      </c>
    </row>
    <row r="4770" spans="1:11" x14ac:dyDescent="0.2">
      <c r="A4770" s="24" t="s">
        <v>11442</v>
      </c>
      <c r="B4770" s="24" t="s">
        <v>11443</v>
      </c>
      <c r="C4770" s="24" t="s">
        <v>208</v>
      </c>
      <c r="D4770" s="24" t="s">
        <v>17</v>
      </c>
      <c r="E4770" s="24" t="s">
        <v>18</v>
      </c>
      <c r="F4770" s="24" t="s">
        <v>19</v>
      </c>
      <c r="G4770" s="24" t="s">
        <v>20</v>
      </c>
      <c r="H4770" s="26">
        <v>270</v>
      </c>
      <c r="I4770" s="24" t="s">
        <v>21</v>
      </c>
      <c r="J4770" s="36">
        <v>45735</v>
      </c>
      <c r="K4770" s="24" t="s">
        <v>22</v>
      </c>
    </row>
    <row r="4771" spans="1:11" x14ac:dyDescent="0.2">
      <c r="A4771" s="27" t="s">
        <v>11444</v>
      </c>
      <c r="B4771" s="27" t="s">
        <v>11445</v>
      </c>
      <c r="C4771" s="27" t="s">
        <v>11446</v>
      </c>
      <c r="D4771" s="27" t="s">
        <v>17</v>
      </c>
      <c r="E4771" s="27" t="s">
        <v>42</v>
      </c>
      <c r="F4771" s="27" t="s">
        <v>43</v>
      </c>
      <c r="G4771" s="27" t="s">
        <v>28</v>
      </c>
      <c r="H4771" s="29">
        <v>400</v>
      </c>
      <c r="I4771" s="27" t="s">
        <v>29</v>
      </c>
      <c r="J4771" s="37">
        <v>45737</v>
      </c>
      <c r="K4771" s="27" t="s">
        <v>22</v>
      </c>
    </row>
    <row r="4772" spans="1:11" x14ac:dyDescent="0.2">
      <c r="A4772" s="24" t="s">
        <v>11447</v>
      </c>
      <c r="B4772" s="24" t="s">
        <v>11448</v>
      </c>
      <c r="C4772" s="24" t="s">
        <v>437</v>
      </c>
      <c r="D4772" s="24" t="s">
        <v>17</v>
      </c>
      <c r="E4772" s="24" t="s">
        <v>18</v>
      </c>
      <c r="F4772" s="24" t="s">
        <v>19</v>
      </c>
      <c r="G4772" s="24" t="s">
        <v>20</v>
      </c>
      <c r="H4772" s="26">
        <v>44</v>
      </c>
      <c r="I4772" s="24" t="s">
        <v>21</v>
      </c>
      <c r="J4772" s="36">
        <v>45727</v>
      </c>
      <c r="K4772" s="24" t="s">
        <v>22</v>
      </c>
    </row>
    <row r="4773" spans="1:11" x14ac:dyDescent="0.2">
      <c r="A4773" s="27" t="s">
        <v>11449</v>
      </c>
      <c r="B4773" s="27" t="s">
        <v>11450</v>
      </c>
      <c r="C4773" s="27" t="s">
        <v>11451</v>
      </c>
      <c r="D4773" s="27" t="s">
        <v>17</v>
      </c>
      <c r="E4773" s="27" t="s">
        <v>26</v>
      </c>
      <c r="F4773" s="27" t="s">
        <v>27</v>
      </c>
      <c r="G4773" s="27" t="s">
        <v>28</v>
      </c>
      <c r="H4773" s="29">
        <v>42</v>
      </c>
      <c r="I4773" s="27" t="s">
        <v>29</v>
      </c>
      <c r="J4773" s="37">
        <v>45721</v>
      </c>
      <c r="K4773" s="27" t="s">
        <v>22</v>
      </c>
    </row>
    <row r="4774" spans="1:11" x14ac:dyDescent="0.2">
      <c r="A4774" s="24" t="s">
        <v>11452</v>
      </c>
      <c r="B4774" s="24" t="s">
        <v>11453</v>
      </c>
      <c r="C4774" s="24" t="s">
        <v>1059</v>
      </c>
      <c r="D4774" s="24" t="s">
        <v>17</v>
      </c>
      <c r="E4774" s="24" t="s">
        <v>18</v>
      </c>
      <c r="F4774" s="24" t="s">
        <v>19</v>
      </c>
      <c r="G4774" s="24" t="s">
        <v>20</v>
      </c>
      <c r="H4774" s="26">
        <v>46</v>
      </c>
      <c r="I4774" s="24" t="s">
        <v>21</v>
      </c>
      <c r="J4774" s="36">
        <v>45737</v>
      </c>
      <c r="K4774" s="24" t="s">
        <v>22</v>
      </c>
    </row>
    <row r="4775" spans="1:11" x14ac:dyDescent="0.2">
      <c r="A4775" s="27" t="s">
        <v>11454</v>
      </c>
      <c r="B4775" s="27" t="s">
        <v>11455</v>
      </c>
      <c r="C4775" s="27" t="s">
        <v>2282</v>
      </c>
      <c r="D4775" s="27" t="s">
        <v>17</v>
      </c>
      <c r="E4775" s="27" t="s">
        <v>48</v>
      </c>
      <c r="F4775" s="27" t="s">
        <v>49</v>
      </c>
      <c r="G4775" s="27" t="s">
        <v>44</v>
      </c>
      <c r="H4775" s="29">
        <v>160</v>
      </c>
      <c r="I4775" s="27" t="s">
        <v>29</v>
      </c>
      <c r="J4775" s="37">
        <v>45728</v>
      </c>
      <c r="K4775" s="27" t="s">
        <v>22</v>
      </c>
    </row>
    <row r="4776" spans="1:11" x14ac:dyDescent="0.2">
      <c r="A4776" s="24" t="s">
        <v>11456</v>
      </c>
      <c r="B4776" s="24" t="s">
        <v>11457</v>
      </c>
      <c r="C4776" s="24" t="s">
        <v>55</v>
      </c>
      <c r="D4776" s="24" t="s">
        <v>17</v>
      </c>
      <c r="E4776" s="24" t="s">
        <v>18</v>
      </c>
      <c r="F4776" s="24" t="s">
        <v>19</v>
      </c>
      <c r="G4776" s="24" t="s">
        <v>20</v>
      </c>
      <c r="H4776" s="26">
        <v>8</v>
      </c>
      <c r="I4776" s="24" t="s">
        <v>21</v>
      </c>
      <c r="J4776" s="36">
        <v>45735</v>
      </c>
      <c r="K4776" s="24" t="s">
        <v>22</v>
      </c>
    </row>
    <row r="4777" spans="1:11" x14ac:dyDescent="0.2">
      <c r="A4777" s="27" t="s">
        <v>11458</v>
      </c>
      <c r="B4777" s="27" t="s">
        <v>11459</v>
      </c>
      <c r="C4777" s="27" t="s">
        <v>11460</v>
      </c>
      <c r="D4777" s="27" t="s">
        <v>17</v>
      </c>
      <c r="E4777" s="27" t="s">
        <v>26</v>
      </c>
      <c r="F4777" s="27" t="s">
        <v>27</v>
      </c>
      <c r="G4777" s="27" t="s">
        <v>217</v>
      </c>
      <c r="H4777" s="29">
        <v>40</v>
      </c>
      <c r="I4777" s="27" t="s">
        <v>29</v>
      </c>
      <c r="J4777" s="37">
        <v>45717</v>
      </c>
      <c r="K4777" s="27" t="s">
        <v>22</v>
      </c>
    </row>
    <row r="4778" spans="1:11" x14ac:dyDescent="0.2">
      <c r="A4778" s="24" t="s">
        <v>11461</v>
      </c>
      <c r="B4778" s="24" t="s">
        <v>11462</v>
      </c>
      <c r="C4778" s="24" t="s">
        <v>140</v>
      </c>
      <c r="D4778" s="24" t="s">
        <v>17</v>
      </c>
      <c r="E4778" s="24" t="s">
        <v>48</v>
      </c>
      <c r="F4778" s="24" t="s">
        <v>49</v>
      </c>
      <c r="G4778" s="24" t="s">
        <v>217</v>
      </c>
      <c r="H4778" s="26">
        <v>120</v>
      </c>
      <c r="I4778" s="24" t="s">
        <v>29</v>
      </c>
      <c r="J4778" s="36">
        <v>45740</v>
      </c>
      <c r="K4778" s="24" t="s">
        <v>22</v>
      </c>
    </row>
    <row r="4779" spans="1:11" x14ac:dyDescent="0.2">
      <c r="A4779" s="27" t="s">
        <v>11463</v>
      </c>
      <c r="B4779" s="27" t="s">
        <v>11464</v>
      </c>
      <c r="C4779" s="27" t="s">
        <v>526</v>
      </c>
      <c r="D4779" s="27" t="s">
        <v>17</v>
      </c>
      <c r="E4779" s="27" t="s">
        <v>42</v>
      </c>
      <c r="F4779" s="27" t="s">
        <v>43</v>
      </c>
      <c r="G4779" s="27" t="s">
        <v>28</v>
      </c>
      <c r="H4779" s="29">
        <v>700</v>
      </c>
      <c r="I4779" s="27" t="s">
        <v>29</v>
      </c>
      <c r="J4779" s="37">
        <v>45743</v>
      </c>
      <c r="K4779" s="27" t="s">
        <v>22</v>
      </c>
    </row>
    <row r="4780" spans="1:11" x14ac:dyDescent="0.2">
      <c r="A4780" s="24" t="s">
        <v>11465</v>
      </c>
      <c r="B4780" s="24" t="s">
        <v>11466</v>
      </c>
      <c r="C4780" s="24" t="s">
        <v>437</v>
      </c>
      <c r="D4780" s="24" t="s">
        <v>17</v>
      </c>
      <c r="E4780" s="24" t="s">
        <v>18</v>
      </c>
      <c r="F4780" s="24" t="s">
        <v>19</v>
      </c>
      <c r="G4780" s="24" t="s">
        <v>20</v>
      </c>
      <c r="H4780" s="26">
        <v>36</v>
      </c>
      <c r="I4780" s="24" t="s">
        <v>21</v>
      </c>
      <c r="J4780" s="36">
        <v>45730</v>
      </c>
      <c r="K4780" s="24" t="s">
        <v>22</v>
      </c>
    </row>
    <row r="4781" spans="1:11" x14ac:dyDescent="0.2">
      <c r="A4781" s="27" t="s">
        <v>11467</v>
      </c>
      <c r="B4781" s="27" t="s">
        <v>11468</v>
      </c>
      <c r="C4781" s="27" t="s">
        <v>708</v>
      </c>
      <c r="D4781" s="27" t="s">
        <v>17</v>
      </c>
      <c r="E4781" s="27" t="s">
        <v>18</v>
      </c>
      <c r="F4781" s="27" t="s">
        <v>19</v>
      </c>
      <c r="G4781" s="27" t="s">
        <v>44</v>
      </c>
      <c r="H4781" s="29">
        <v>56</v>
      </c>
      <c r="I4781" s="27" t="s">
        <v>21</v>
      </c>
      <c r="J4781" s="37">
        <v>45722</v>
      </c>
      <c r="K4781" s="27" t="s">
        <v>22</v>
      </c>
    </row>
    <row r="4782" spans="1:11" x14ac:dyDescent="0.2">
      <c r="A4782" s="24" t="s">
        <v>11469</v>
      </c>
      <c r="B4782" s="24" t="s">
        <v>11470</v>
      </c>
      <c r="C4782" s="24" t="s">
        <v>8100</v>
      </c>
      <c r="D4782" s="24" t="s">
        <v>17</v>
      </c>
      <c r="E4782" s="24" t="s">
        <v>18</v>
      </c>
      <c r="F4782" s="24" t="s">
        <v>19</v>
      </c>
      <c r="G4782" s="24" t="s">
        <v>20</v>
      </c>
      <c r="H4782" s="26">
        <v>32</v>
      </c>
      <c r="I4782" s="24" t="s">
        <v>21</v>
      </c>
      <c r="J4782" s="36">
        <v>45719</v>
      </c>
      <c r="K4782" s="24" t="s">
        <v>22</v>
      </c>
    </row>
    <row r="4783" spans="1:11" x14ac:dyDescent="0.2">
      <c r="A4783" s="27" t="s">
        <v>11471</v>
      </c>
      <c r="B4783" s="27" t="s">
        <v>11472</v>
      </c>
      <c r="C4783" s="27" t="s">
        <v>97</v>
      </c>
      <c r="D4783" s="27" t="s">
        <v>17</v>
      </c>
      <c r="E4783" s="27" t="s">
        <v>48</v>
      </c>
      <c r="F4783" s="27" t="s">
        <v>49</v>
      </c>
      <c r="G4783" s="27" t="s">
        <v>44</v>
      </c>
      <c r="H4783" s="29">
        <v>30</v>
      </c>
      <c r="I4783" s="27" t="s">
        <v>21</v>
      </c>
      <c r="J4783" s="37">
        <v>45747</v>
      </c>
      <c r="K4783" s="27" t="s">
        <v>22</v>
      </c>
    </row>
    <row r="4784" spans="1:11" x14ac:dyDescent="0.2">
      <c r="A4784" s="24" t="s">
        <v>11473</v>
      </c>
      <c r="B4784" s="24" t="s">
        <v>11474</v>
      </c>
      <c r="C4784" s="24" t="s">
        <v>134</v>
      </c>
      <c r="D4784" s="24" t="s">
        <v>17</v>
      </c>
      <c r="E4784" s="24" t="s">
        <v>18</v>
      </c>
      <c r="F4784" s="24" t="s">
        <v>19</v>
      </c>
      <c r="G4784" s="24" t="s">
        <v>44</v>
      </c>
      <c r="H4784" s="26">
        <v>437</v>
      </c>
      <c r="I4784" s="24" t="s">
        <v>29</v>
      </c>
      <c r="J4784" s="36">
        <v>45741</v>
      </c>
      <c r="K4784" s="24" t="s">
        <v>22</v>
      </c>
    </row>
    <row r="4785" spans="1:11" x14ac:dyDescent="0.2">
      <c r="A4785" s="27" t="s">
        <v>11475</v>
      </c>
      <c r="B4785" s="27" t="s">
        <v>11476</v>
      </c>
      <c r="C4785" s="27" t="s">
        <v>11477</v>
      </c>
      <c r="D4785" s="27" t="s">
        <v>17</v>
      </c>
      <c r="E4785" s="27" t="s">
        <v>18</v>
      </c>
      <c r="F4785" s="27" t="s">
        <v>19</v>
      </c>
      <c r="G4785" s="27" t="s">
        <v>28</v>
      </c>
      <c r="H4785" s="29">
        <v>106</v>
      </c>
      <c r="I4785" s="27" t="s">
        <v>29</v>
      </c>
      <c r="J4785" s="37">
        <v>45726</v>
      </c>
      <c r="K4785" s="27" t="s">
        <v>22</v>
      </c>
    </row>
    <row r="4786" spans="1:11" x14ac:dyDescent="0.2">
      <c r="A4786" s="24" t="s">
        <v>11478</v>
      </c>
      <c r="B4786" s="24" t="s">
        <v>11479</v>
      </c>
      <c r="C4786" s="24" t="s">
        <v>11480</v>
      </c>
      <c r="D4786" s="24" t="s">
        <v>17</v>
      </c>
      <c r="E4786" s="24" t="s">
        <v>42</v>
      </c>
      <c r="F4786" s="24" t="s">
        <v>43</v>
      </c>
      <c r="G4786" s="24" t="s">
        <v>217</v>
      </c>
      <c r="H4786" s="26">
        <v>55</v>
      </c>
      <c r="I4786" s="24" t="s">
        <v>29</v>
      </c>
      <c r="J4786" s="36">
        <v>45747</v>
      </c>
      <c r="K4786" s="24" t="s">
        <v>22</v>
      </c>
    </row>
    <row r="4787" spans="1:11" x14ac:dyDescent="0.2">
      <c r="A4787" s="27" t="s">
        <v>11481</v>
      </c>
      <c r="B4787" s="27" t="s">
        <v>11482</v>
      </c>
      <c r="C4787" s="27" t="s">
        <v>11483</v>
      </c>
      <c r="D4787" s="27" t="s">
        <v>17</v>
      </c>
      <c r="E4787" s="27" t="s">
        <v>42</v>
      </c>
      <c r="F4787" s="27" t="s">
        <v>43</v>
      </c>
      <c r="G4787" s="27" t="s">
        <v>217</v>
      </c>
      <c r="H4787" s="29">
        <v>159</v>
      </c>
      <c r="I4787" s="27" t="s">
        <v>29</v>
      </c>
      <c r="J4787" s="37">
        <v>45717</v>
      </c>
      <c r="K4787" s="27" t="s">
        <v>22</v>
      </c>
    </row>
    <row r="4788" spans="1:11" x14ac:dyDescent="0.2">
      <c r="A4788" s="24" t="s">
        <v>11484</v>
      </c>
      <c r="B4788" s="24" t="s">
        <v>11485</v>
      </c>
      <c r="C4788" s="24" t="s">
        <v>11486</v>
      </c>
      <c r="D4788" s="24" t="s">
        <v>17</v>
      </c>
      <c r="E4788" s="24" t="s">
        <v>18</v>
      </c>
      <c r="F4788" s="24" t="s">
        <v>19</v>
      </c>
      <c r="G4788" s="24" t="s">
        <v>44</v>
      </c>
      <c r="H4788" s="26">
        <v>24</v>
      </c>
      <c r="I4788" s="24" t="s">
        <v>29</v>
      </c>
      <c r="J4788" s="36">
        <v>45729</v>
      </c>
      <c r="K4788" s="24" t="s">
        <v>22</v>
      </c>
    </row>
    <row r="4789" spans="1:11" x14ac:dyDescent="0.2">
      <c r="A4789" s="27" t="s">
        <v>11487</v>
      </c>
      <c r="B4789" s="27" t="s">
        <v>11488</v>
      </c>
      <c r="C4789" s="27" t="s">
        <v>7320</v>
      </c>
      <c r="D4789" s="27" t="s">
        <v>17</v>
      </c>
      <c r="E4789" s="27" t="s">
        <v>18</v>
      </c>
      <c r="F4789" s="27" t="s">
        <v>19</v>
      </c>
      <c r="G4789" s="27" t="s">
        <v>20</v>
      </c>
      <c r="H4789" s="29">
        <v>52</v>
      </c>
      <c r="I4789" s="27" t="s">
        <v>21</v>
      </c>
      <c r="J4789" s="37">
        <v>45719</v>
      </c>
      <c r="K4789" s="27" t="s">
        <v>22</v>
      </c>
    </row>
    <row r="4790" spans="1:11" x14ac:dyDescent="0.2">
      <c r="A4790" s="24" t="s">
        <v>11489</v>
      </c>
      <c r="B4790" s="24" t="s">
        <v>11490</v>
      </c>
      <c r="C4790" s="24" t="s">
        <v>5157</v>
      </c>
      <c r="D4790" s="24" t="s">
        <v>17</v>
      </c>
      <c r="E4790" s="24" t="s">
        <v>48</v>
      </c>
      <c r="F4790" s="24" t="s">
        <v>49</v>
      </c>
      <c r="G4790" s="24" t="s">
        <v>28</v>
      </c>
      <c r="H4790" s="26">
        <v>25</v>
      </c>
      <c r="I4790" s="24" t="s">
        <v>29</v>
      </c>
      <c r="J4790" s="36">
        <v>45723</v>
      </c>
      <c r="K4790" s="24" t="s">
        <v>22</v>
      </c>
    </row>
    <row r="4791" spans="1:11" x14ac:dyDescent="0.2">
      <c r="A4791" s="27" t="s">
        <v>11491</v>
      </c>
      <c r="B4791" s="27" t="s">
        <v>11492</v>
      </c>
      <c r="C4791" s="27" t="s">
        <v>1883</v>
      </c>
      <c r="D4791" s="27" t="s">
        <v>17</v>
      </c>
      <c r="E4791" s="27" t="s">
        <v>18</v>
      </c>
      <c r="F4791" s="27" t="s">
        <v>19</v>
      </c>
      <c r="G4791" s="27" t="s">
        <v>28</v>
      </c>
      <c r="H4791" s="29">
        <v>40</v>
      </c>
      <c r="I4791" s="27" t="s">
        <v>29</v>
      </c>
      <c r="J4791" s="37">
        <v>45734</v>
      </c>
      <c r="K4791" s="27" t="s">
        <v>22</v>
      </c>
    </row>
    <row r="4792" spans="1:11" x14ac:dyDescent="0.2">
      <c r="A4792" s="24" t="s">
        <v>11493</v>
      </c>
      <c r="B4792" s="24" t="s">
        <v>11494</v>
      </c>
      <c r="C4792" s="24" t="s">
        <v>2586</v>
      </c>
      <c r="D4792" s="24" t="s">
        <v>17</v>
      </c>
      <c r="E4792" s="24" t="s">
        <v>18</v>
      </c>
      <c r="F4792" s="24" t="s">
        <v>19</v>
      </c>
      <c r="G4792" s="24" t="s">
        <v>20</v>
      </c>
      <c r="H4792" s="26">
        <v>54</v>
      </c>
      <c r="I4792" s="24" t="s">
        <v>21</v>
      </c>
      <c r="J4792" s="36">
        <v>45721</v>
      </c>
      <c r="K4792" s="24" t="s">
        <v>22</v>
      </c>
    </row>
    <row r="4793" spans="1:11" x14ac:dyDescent="0.2">
      <c r="A4793" s="27" t="s">
        <v>11495</v>
      </c>
      <c r="B4793" s="27" t="s">
        <v>11496</v>
      </c>
      <c r="C4793" s="27" t="s">
        <v>11497</v>
      </c>
      <c r="D4793" s="27" t="s">
        <v>17</v>
      </c>
      <c r="E4793" s="27" t="s">
        <v>48</v>
      </c>
      <c r="F4793" s="27" t="s">
        <v>49</v>
      </c>
      <c r="G4793" s="27" t="s">
        <v>28</v>
      </c>
      <c r="H4793" s="29">
        <v>60</v>
      </c>
      <c r="I4793" s="27" t="s">
        <v>29</v>
      </c>
      <c r="J4793" s="37">
        <v>45728</v>
      </c>
      <c r="K4793" s="27" t="s">
        <v>22</v>
      </c>
    </row>
    <row r="4794" spans="1:11" x14ac:dyDescent="0.2">
      <c r="A4794" s="24" t="s">
        <v>11498</v>
      </c>
      <c r="B4794" s="24" t="s">
        <v>11499</v>
      </c>
      <c r="C4794" s="24" t="s">
        <v>1470</v>
      </c>
      <c r="D4794" s="24" t="s">
        <v>17</v>
      </c>
      <c r="E4794" s="24" t="s">
        <v>42</v>
      </c>
      <c r="F4794" s="24" t="s">
        <v>43</v>
      </c>
      <c r="G4794" s="24" t="s">
        <v>44</v>
      </c>
      <c r="H4794" s="26">
        <v>1166</v>
      </c>
      <c r="I4794" s="24" t="s">
        <v>21</v>
      </c>
      <c r="J4794" s="36">
        <v>45732</v>
      </c>
      <c r="K4794" s="24" t="s">
        <v>22</v>
      </c>
    </row>
    <row r="4795" spans="1:11" x14ac:dyDescent="0.2">
      <c r="A4795" s="27" t="s">
        <v>11500</v>
      </c>
      <c r="B4795" s="27" t="s">
        <v>11501</v>
      </c>
      <c r="C4795" s="27" t="s">
        <v>1850</v>
      </c>
      <c r="D4795" s="27" t="s">
        <v>17</v>
      </c>
      <c r="E4795" s="27" t="s">
        <v>18</v>
      </c>
      <c r="F4795" s="27" t="s">
        <v>19</v>
      </c>
      <c r="G4795" s="27" t="s">
        <v>28</v>
      </c>
      <c r="H4795" s="29">
        <v>135</v>
      </c>
      <c r="I4795" s="27" t="s">
        <v>29</v>
      </c>
      <c r="J4795" s="37">
        <v>45743</v>
      </c>
      <c r="K4795" s="27" t="s">
        <v>22</v>
      </c>
    </row>
    <row r="4796" spans="1:11" x14ac:dyDescent="0.2">
      <c r="A4796" s="24" t="s">
        <v>11502</v>
      </c>
      <c r="B4796" s="24" t="s">
        <v>11503</v>
      </c>
      <c r="C4796" s="24" t="s">
        <v>984</v>
      </c>
      <c r="D4796" s="24" t="s">
        <v>17</v>
      </c>
      <c r="E4796" s="24" t="s">
        <v>18</v>
      </c>
      <c r="F4796" s="24" t="s">
        <v>19</v>
      </c>
      <c r="G4796" s="24" t="s">
        <v>44</v>
      </c>
      <c r="H4796" s="26">
        <v>57</v>
      </c>
      <c r="I4796" s="24" t="s">
        <v>29</v>
      </c>
      <c r="J4796" s="36">
        <v>45741</v>
      </c>
      <c r="K4796" s="24" t="s">
        <v>22</v>
      </c>
    </row>
    <row r="4797" spans="1:11" x14ac:dyDescent="0.2">
      <c r="A4797" s="27" t="s">
        <v>11504</v>
      </c>
      <c r="B4797" s="27" t="s">
        <v>11505</v>
      </c>
      <c r="C4797" s="27" t="s">
        <v>2983</v>
      </c>
      <c r="D4797" s="27" t="s">
        <v>17</v>
      </c>
      <c r="E4797" s="27" t="s">
        <v>163</v>
      </c>
      <c r="F4797" s="27" t="s">
        <v>164</v>
      </c>
      <c r="G4797" s="27" t="s">
        <v>28</v>
      </c>
      <c r="H4797" s="29">
        <v>12</v>
      </c>
      <c r="I4797" s="27" t="s">
        <v>29</v>
      </c>
      <c r="J4797" s="37">
        <v>45743</v>
      </c>
      <c r="K4797" s="27" t="s">
        <v>22</v>
      </c>
    </row>
    <row r="4798" spans="1:11" x14ac:dyDescent="0.2">
      <c r="A4798" s="24" t="s">
        <v>11506</v>
      </c>
      <c r="B4798" s="24" t="s">
        <v>11507</v>
      </c>
      <c r="C4798" s="24" t="s">
        <v>1883</v>
      </c>
      <c r="D4798" s="24" t="s">
        <v>17</v>
      </c>
      <c r="E4798" s="24" t="s">
        <v>42</v>
      </c>
      <c r="F4798" s="24" t="s">
        <v>43</v>
      </c>
      <c r="G4798" s="24" t="s">
        <v>217</v>
      </c>
      <c r="H4798" s="26">
        <v>780</v>
      </c>
      <c r="I4798" s="24" t="s">
        <v>29</v>
      </c>
      <c r="J4798" s="36">
        <v>45744</v>
      </c>
      <c r="K4798" s="24" t="s">
        <v>22</v>
      </c>
    </row>
    <row r="4799" spans="1:11" x14ac:dyDescent="0.2">
      <c r="A4799" s="27" t="s">
        <v>11508</v>
      </c>
      <c r="B4799" s="27" t="s">
        <v>11509</v>
      </c>
      <c r="C4799" s="27" t="s">
        <v>11510</v>
      </c>
      <c r="D4799" s="27" t="s">
        <v>17</v>
      </c>
      <c r="E4799" s="27" t="s">
        <v>26</v>
      </c>
      <c r="F4799" s="27" t="s">
        <v>27</v>
      </c>
      <c r="G4799" s="27" t="s">
        <v>28</v>
      </c>
      <c r="H4799" s="29">
        <v>54</v>
      </c>
      <c r="I4799" s="27" t="s">
        <v>29</v>
      </c>
      <c r="J4799" s="37">
        <v>45726</v>
      </c>
      <c r="K4799" s="27" t="s">
        <v>22</v>
      </c>
    </row>
    <row r="4800" spans="1:11" x14ac:dyDescent="0.2">
      <c r="A4800" s="24" t="s">
        <v>11511</v>
      </c>
      <c r="B4800" s="24" t="s">
        <v>11512</v>
      </c>
      <c r="C4800" s="24" t="s">
        <v>25</v>
      </c>
      <c r="D4800" s="24" t="s">
        <v>17</v>
      </c>
      <c r="E4800" s="24" t="s">
        <v>18</v>
      </c>
      <c r="F4800" s="24" t="s">
        <v>19</v>
      </c>
      <c r="G4800" s="24" t="s">
        <v>28</v>
      </c>
      <c r="H4800" s="26">
        <v>94</v>
      </c>
      <c r="I4800" s="24" t="s">
        <v>29</v>
      </c>
      <c r="J4800" s="36">
        <v>45718</v>
      </c>
      <c r="K4800" s="24" t="s">
        <v>22</v>
      </c>
    </row>
    <row r="4801" spans="1:11" x14ac:dyDescent="0.2">
      <c r="A4801" s="27" t="s">
        <v>11513</v>
      </c>
      <c r="B4801" s="27" t="s">
        <v>11514</v>
      </c>
      <c r="C4801" s="27" t="s">
        <v>185</v>
      </c>
      <c r="D4801" s="27" t="s">
        <v>17</v>
      </c>
      <c r="E4801" s="27" t="s">
        <v>26</v>
      </c>
      <c r="F4801" s="27" t="s">
        <v>27</v>
      </c>
      <c r="G4801" s="27" t="s">
        <v>217</v>
      </c>
      <c r="H4801" s="29">
        <v>150</v>
      </c>
      <c r="I4801" s="27" t="s">
        <v>29</v>
      </c>
      <c r="J4801" s="37">
        <v>45747</v>
      </c>
      <c r="K4801" s="27" t="s">
        <v>22</v>
      </c>
    </row>
    <row r="4802" spans="1:11" x14ac:dyDescent="0.2">
      <c r="A4802" s="24" t="s">
        <v>11515</v>
      </c>
      <c r="B4802" s="24" t="s">
        <v>11516</v>
      </c>
      <c r="C4802" s="24" t="s">
        <v>9613</v>
      </c>
      <c r="D4802" s="24" t="s">
        <v>17</v>
      </c>
      <c r="E4802" s="24" t="s">
        <v>42</v>
      </c>
      <c r="F4802" s="24" t="s">
        <v>43</v>
      </c>
      <c r="G4802" s="24" t="s">
        <v>28</v>
      </c>
      <c r="H4802" s="26">
        <v>104</v>
      </c>
      <c r="I4802" s="24" t="s">
        <v>29</v>
      </c>
      <c r="J4802" s="36">
        <v>45722</v>
      </c>
      <c r="K4802" s="24" t="s">
        <v>22</v>
      </c>
    </row>
    <row r="4803" spans="1:11" x14ac:dyDescent="0.2">
      <c r="A4803" s="27" t="s">
        <v>11517</v>
      </c>
      <c r="B4803" s="27" t="s">
        <v>11518</v>
      </c>
      <c r="C4803" s="27" t="s">
        <v>41</v>
      </c>
      <c r="D4803" s="27" t="s">
        <v>17</v>
      </c>
      <c r="E4803" s="27" t="s">
        <v>48</v>
      </c>
      <c r="F4803" s="27" t="s">
        <v>49</v>
      </c>
      <c r="G4803" s="27" t="s">
        <v>28</v>
      </c>
      <c r="H4803" s="29">
        <v>45</v>
      </c>
      <c r="I4803" s="27" t="s">
        <v>29</v>
      </c>
      <c r="J4803" s="37">
        <v>45723</v>
      </c>
      <c r="K4803" s="27" t="s">
        <v>22</v>
      </c>
    </row>
    <row r="4804" spans="1:11" x14ac:dyDescent="0.2">
      <c r="A4804" s="24" t="s">
        <v>11519</v>
      </c>
      <c r="B4804" s="24" t="s">
        <v>11520</v>
      </c>
      <c r="C4804" s="24" t="s">
        <v>354</v>
      </c>
      <c r="D4804" s="24" t="s">
        <v>17</v>
      </c>
      <c r="E4804" s="24" t="s">
        <v>18</v>
      </c>
      <c r="F4804" s="24" t="s">
        <v>19</v>
      </c>
      <c r="G4804" s="24" t="s">
        <v>20</v>
      </c>
      <c r="H4804" s="26">
        <v>8</v>
      </c>
      <c r="I4804" s="24" t="s">
        <v>21</v>
      </c>
      <c r="J4804" s="36">
        <v>45737</v>
      </c>
      <c r="K4804" s="24" t="s">
        <v>22</v>
      </c>
    </row>
    <row r="4805" spans="1:11" x14ac:dyDescent="0.2">
      <c r="A4805" s="27" t="s">
        <v>11521</v>
      </c>
      <c r="B4805" s="27" t="s">
        <v>11522</v>
      </c>
      <c r="C4805" s="27" t="s">
        <v>5505</v>
      </c>
      <c r="D4805" s="27" t="s">
        <v>17</v>
      </c>
      <c r="E4805" s="27" t="s">
        <v>18</v>
      </c>
      <c r="F4805" s="27" t="s">
        <v>19</v>
      </c>
      <c r="G4805" s="27" t="s">
        <v>20</v>
      </c>
      <c r="H4805" s="29">
        <v>36</v>
      </c>
      <c r="I4805" s="27" t="s">
        <v>21</v>
      </c>
      <c r="J4805" s="37">
        <v>45730</v>
      </c>
      <c r="K4805" s="27" t="s">
        <v>22</v>
      </c>
    </row>
    <row r="4806" spans="1:11" x14ac:dyDescent="0.2">
      <c r="A4806" s="24" t="s">
        <v>11523</v>
      </c>
      <c r="B4806" s="24" t="s">
        <v>11524</v>
      </c>
      <c r="C4806" s="24" t="s">
        <v>5732</v>
      </c>
      <c r="D4806" s="24" t="s">
        <v>17</v>
      </c>
      <c r="E4806" s="24" t="s">
        <v>18</v>
      </c>
      <c r="F4806" s="24" t="s">
        <v>19</v>
      </c>
      <c r="G4806" s="24" t="s">
        <v>28</v>
      </c>
      <c r="H4806" s="26">
        <v>12</v>
      </c>
      <c r="I4806" s="24" t="s">
        <v>29</v>
      </c>
      <c r="J4806" s="36">
        <v>45723</v>
      </c>
      <c r="K4806" s="24" t="s">
        <v>22</v>
      </c>
    </row>
    <row r="4807" spans="1:11" x14ac:dyDescent="0.2">
      <c r="A4807" s="27" t="s">
        <v>11525</v>
      </c>
      <c r="B4807" s="27" t="s">
        <v>11526</v>
      </c>
      <c r="C4807" s="27" t="s">
        <v>592</v>
      </c>
      <c r="D4807" s="27" t="s">
        <v>17</v>
      </c>
      <c r="E4807" s="27" t="s">
        <v>18</v>
      </c>
      <c r="F4807" s="27" t="s">
        <v>19</v>
      </c>
      <c r="G4807" s="27" t="s">
        <v>44</v>
      </c>
      <c r="H4807" s="29">
        <v>121</v>
      </c>
      <c r="I4807" s="27" t="s">
        <v>21</v>
      </c>
      <c r="J4807" s="37">
        <v>45729</v>
      </c>
      <c r="K4807" s="27" t="s">
        <v>22</v>
      </c>
    </row>
    <row r="4808" spans="1:11" x14ac:dyDescent="0.2">
      <c r="A4808" s="24" t="s">
        <v>11527</v>
      </c>
      <c r="B4808" s="24" t="s">
        <v>11528</v>
      </c>
      <c r="C4808" s="24" t="s">
        <v>2048</v>
      </c>
      <c r="D4808" s="24" t="s">
        <v>17</v>
      </c>
      <c r="E4808" s="24" t="s">
        <v>48</v>
      </c>
      <c r="F4808" s="24" t="s">
        <v>49</v>
      </c>
      <c r="G4808" s="24" t="s">
        <v>28</v>
      </c>
      <c r="H4808" s="26">
        <v>135</v>
      </c>
      <c r="I4808" s="24" t="s">
        <v>29</v>
      </c>
      <c r="J4808" s="36">
        <v>45729</v>
      </c>
      <c r="K4808" s="24" t="s">
        <v>22</v>
      </c>
    </row>
    <row r="4809" spans="1:11" x14ac:dyDescent="0.2">
      <c r="A4809" s="27" t="s">
        <v>11529</v>
      </c>
      <c r="B4809" s="27" t="s">
        <v>11530</v>
      </c>
      <c r="C4809" s="27" t="s">
        <v>11422</v>
      </c>
      <c r="D4809" s="27" t="s">
        <v>17</v>
      </c>
      <c r="E4809" s="27" t="s">
        <v>48</v>
      </c>
      <c r="F4809" s="27" t="s">
        <v>49</v>
      </c>
      <c r="G4809" s="27" t="s">
        <v>44</v>
      </c>
      <c r="H4809" s="29">
        <v>205</v>
      </c>
      <c r="I4809" s="27" t="s">
        <v>21</v>
      </c>
      <c r="J4809" s="37">
        <v>45726</v>
      </c>
      <c r="K4809" s="27" t="s">
        <v>22</v>
      </c>
    </row>
    <row r="4810" spans="1:11" x14ac:dyDescent="0.2">
      <c r="A4810" s="24" t="s">
        <v>11531</v>
      </c>
      <c r="B4810" s="24" t="s">
        <v>11532</v>
      </c>
      <c r="C4810" s="24" t="s">
        <v>7413</v>
      </c>
      <c r="D4810" s="24" t="s">
        <v>17</v>
      </c>
      <c r="E4810" s="24" t="s">
        <v>48</v>
      </c>
      <c r="F4810" s="24" t="s">
        <v>49</v>
      </c>
      <c r="G4810" s="24" t="s">
        <v>44</v>
      </c>
      <c r="H4810" s="26">
        <v>411</v>
      </c>
      <c r="I4810" s="24" t="s">
        <v>21</v>
      </c>
      <c r="J4810" s="36">
        <v>45726</v>
      </c>
      <c r="K4810" s="24" t="s">
        <v>22</v>
      </c>
    </row>
    <row r="4811" spans="1:11" x14ac:dyDescent="0.2">
      <c r="A4811" s="27" t="s">
        <v>11533</v>
      </c>
      <c r="B4811" s="27" t="s">
        <v>11534</v>
      </c>
      <c r="C4811" s="27" t="s">
        <v>97</v>
      </c>
      <c r="D4811" s="27" t="s">
        <v>17</v>
      </c>
      <c r="E4811" s="27" t="s">
        <v>42</v>
      </c>
      <c r="F4811" s="27" t="s">
        <v>43</v>
      </c>
      <c r="G4811" s="27" t="s">
        <v>28</v>
      </c>
      <c r="H4811" s="29">
        <v>990</v>
      </c>
      <c r="I4811" s="27" t="s">
        <v>29</v>
      </c>
      <c r="J4811" s="37">
        <v>45734</v>
      </c>
      <c r="K4811" s="27" t="s">
        <v>22</v>
      </c>
    </row>
    <row r="4812" spans="1:11" x14ac:dyDescent="0.2">
      <c r="A4812" s="24" t="s">
        <v>11535</v>
      </c>
      <c r="B4812" s="24" t="s">
        <v>11536</v>
      </c>
      <c r="C4812" s="24" t="s">
        <v>11537</v>
      </c>
      <c r="D4812" s="24" t="s">
        <v>17</v>
      </c>
      <c r="E4812" s="24" t="s">
        <v>48</v>
      </c>
      <c r="F4812" s="24" t="s">
        <v>49</v>
      </c>
      <c r="G4812" s="24" t="s">
        <v>28</v>
      </c>
      <c r="H4812" s="26">
        <v>115</v>
      </c>
      <c r="I4812" s="24" t="s">
        <v>29</v>
      </c>
      <c r="J4812" s="36">
        <v>45744</v>
      </c>
      <c r="K4812" s="24" t="s">
        <v>22</v>
      </c>
    </row>
    <row r="4813" spans="1:11" x14ac:dyDescent="0.2">
      <c r="A4813" s="27" t="s">
        <v>11538</v>
      </c>
      <c r="B4813" s="27" t="s">
        <v>11539</v>
      </c>
      <c r="C4813" s="27" t="s">
        <v>2287</v>
      </c>
      <c r="D4813" s="27" t="s">
        <v>17</v>
      </c>
      <c r="E4813" s="27" t="s">
        <v>42</v>
      </c>
      <c r="F4813" s="27" t="s">
        <v>43</v>
      </c>
      <c r="G4813" s="27" t="s">
        <v>28</v>
      </c>
      <c r="H4813" s="29">
        <v>200</v>
      </c>
      <c r="I4813" s="27" t="s">
        <v>29</v>
      </c>
      <c r="J4813" s="37">
        <v>45747</v>
      </c>
      <c r="K4813" s="27" t="s">
        <v>22</v>
      </c>
    </row>
    <row r="4814" spans="1:11" x14ac:dyDescent="0.2">
      <c r="A4814" s="24" t="s">
        <v>11540</v>
      </c>
      <c r="B4814" s="24" t="s">
        <v>11541</v>
      </c>
      <c r="C4814" s="24" t="s">
        <v>11542</v>
      </c>
      <c r="D4814" s="24" t="s">
        <v>17</v>
      </c>
      <c r="E4814" s="24" t="s">
        <v>42</v>
      </c>
      <c r="F4814" s="24" t="s">
        <v>43</v>
      </c>
      <c r="G4814" s="24" t="s">
        <v>28</v>
      </c>
      <c r="H4814" s="26">
        <v>480</v>
      </c>
      <c r="I4814" s="24" t="s">
        <v>29</v>
      </c>
      <c r="J4814" s="36">
        <v>45719</v>
      </c>
      <c r="K4814" s="24" t="s">
        <v>22</v>
      </c>
    </row>
    <row r="4815" spans="1:11" x14ac:dyDescent="0.2">
      <c r="A4815" s="27" t="s">
        <v>11543</v>
      </c>
      <c r="B4815" s="27" t="s">
        <v>11544</v>
      </c>
      <c r="C4815" s="27" t="s">
        <v>8313</v>
      </c>
      <c r="D4815" s="27" t="s">
        <v>17</v>
      </c>
      <c r="E4815" s="27" t="s">
        <v>26</v>
      </c>
      <c r="F4815" s="27" t="s">
        <v>27</v>
      </c>
      <c r="G4815" s="27" t="s">
        <v>28</v>
      </c>
      <c r="H4815" s="29">
        <v>18</v>
      </c>
      <c r="I4815" s="27" t="s">
        <v>29</v>
      </c>
      <c r="J4815" s="37">
        <v>45738</v>
      </c>
      <c r="K4815" s="27" t="s">
        <v>22</v>
      </c>
    </row>
    <row r="4816" spans="1:11" x14ac:dyDescent="0.2">
      <c r="A4816" s="24" t="s">
        <v>11545</v>
      </c>
      <c r="B4816" s="24" t="s">
        <v>11546</v>
      </c>
      <c r="C4816" s="24" t="s">
        <v>388</v>
      </c>
      <c r="D4816" s="24" t="s">
        <v>17</v>
      </c>
      <c r="E4816" s="24" t="s">
        <v>42</v>
      </c>
      <c r="F4816" s="24" t="s">
        <v>43</v>
      </c>
      <c r="G4816" s="24" t="s">
        <v>20</v>
      </c>
      <c r="H4816" s="26">
        <v>36</v>
      </c>
      <c r="I4816" s="24" t="s">
        <v>21</v>
      </c>
      <c r="J4816" s="36">
        <v>45729</v>
      </c>
      <c r="K4816" s="24" t="s">
        <v>22</v>
      </c>
    </row>
    <row r="4817" spans="1:11" x14ac:dyDescent="0.2">
      <c r="A4817" s="27" t="s">
        <v>11547</v>
      </c>
      <c r="B4817" s="27" t="s">
        <v>11548</v>
      </c>
      <c r="C4817" s="27" t="s">
        <v>1059</v>
      </c>
      <c r="D4817" s="27" t="s">
        <v>17</v>
      </c>
      <c r="E4817" s="27" t="s">
        <v>18</v>
      </c>
      <c r="F4817" s="27" t="s">
        <v>19</v>
      </c>
      <c r="G4817" s="27" t="s">
        <v>28</v>
      </c>
      <c r="H4817" s="29">
        <v>60</v>
      </c>
      <c r="I4817" s="27" t="s">
        <v>29</v>
      </c>
      <c r="J4817" s="37">
        <v>45726</v>
      </c>
      <c r="K4817" s="27" t="s">
        <v>22</v>
      </c>
    </row>
    <row r="4818" spans="1:11" x14ac:dyDescent="0.2">
      <c r="A4818" s="24" t="s">
        <v>11549</v>
      </c>
      <c r="B4818" s="24" t="s">
        <v>11550</v>
      </c>
      <c r="C4818" s="24" t="s">
        <v>801</v>
      </c>
      <c r="D4818" s="24" t="s">
        <v>17</v>
      </c>
      <c r="E4818" s="24" t="s">
        <v>26</v>
      </c>
      <c r="F4818" s="24" t="s">
        <v>27</v>
      </c>
      <c r="G4818" s="24" t="s">
        <v>28</v>
      </c>
      <c r="H4818" s="26">
        <v>24</v>
      </c>
      <c r="I4818" s="24" t="s">
        <v>29</v>
      </c>
      <c r="J4818" s="36">
        <v>45747</v>
      </c>
      <c r="K4818" s="24" t="s">
        <v>22</v>
      </c>
    </row>
    <row r="4819" spans="1:11" x14ac:dyDescent="0.2">
      <c r="A4819" s="27" t="s">
        <v>11551</v>
      </c>
      <c r="B4819" s="27" t="s">
        <v>11552</v>
      </c>
      <c r="C4819" s="27" t="s">
        <v>11553</v>
      </c>
      <c r="D4819" s="27" t="s">
        <v>17</v>
      </c>
      <c r="E4819" s="27" t="s">
        <v>18</v>
      </c>
      <c r="F4819" s="27" t="s">
        <v>19</v>
      </c>
      <c r="G4819" s="27" t="s">
        <v>28</v>
      </c>
      <c r="H4819" s="29">
        <v>160</v>
      </c>
      <c r="I4819" s="27" t="s">
        <v>29</v>
      </c>
      <c r="J4819" s="37">
        <v>45737</v>
      </c>
      <c r="K4819" s="27" t="s">
        <v>22</v>
      </c>
    </row>
    <row r="4820" spans="1:11" x14ac:dyDescent="0.2">
      <c r="A4820" s="24" t="s">
        <v>11554</v>
      </c>
      <c r="B4820" s="24" t="s">
        <v>11555</v>
      </c>
      <c r="C4820" s="24" t="s">
        <v>251</v>
      </c>
      <c r="D4820" s="24" t="s">
        <v>17</v>
      </c>
      <c r="E4820" s="24" t="s">
        <v>48</v>
      </c>
      <c r="F4820" s="24" t="s">
        <v>49</v>
      </c>
      <c r="G4820" s="24" t="s">
        <v>28</v>
      </c>
      <c r="H4820" s="26">
        <v>380</v>
      </c>
      <c r="I4820" s="24" t="s">
        <v>29</v>
      </c>
      <c r="J4820" s="36">
        <v>45742</v>
      </c>
      <c r="K4820" s="24" t="s">
        <v>22</v>
      </c>
    </row>
    <row r="4821" spans="1:11" x14ac:dyDescent="0.2">
      <c r="A4821" s="27" t="s">
        <v>11556</v>
      </c>
      <c r="B4821" s="27" t="s">
        <v>11557</v>
      </c>
      <c r="C4821" s="27" t="s">
        <v>4379</v>
      </c>
      <c r="D4821" s="27" t="s">
        <v>17</v>
      </c>
      <c r="E4821" s="27" t="s">
        <v>18</v>
      </c>
      <c r="F4821" s="27" t="s">
        <v>19</v>
      </c>
      <c r="G4821" s="27" t="s">
        <v>28</v>
      </c>
      <c r="H4821" s="29">
        <v>12</v>
      </c>
      <c r="I4821" s="27" t="s">
        <v>29</v>
      </c>
      <c r="J4821" s="37">
        <v>45735</v>
      </c>
      <c r="K4821" s="27" t="s">
        <v>22</v>
      </c>
    </row>
    <row r="4822" spans="1:11" x14ac:dyDescent="0.2">
      <c r="A4822" s="24" t="s">
        <v>11558</v>
      </c>
      <c r="B4822" s="24" t="s">
        <v>11559</v>
      </c>
      <c r="C4822" s="24" t="s">
        <v>11560</v>
      </c>
      <c r="D4822" s="24" t="s">
        <v>17</v>
      </c>
      <c r="E4822" s="24" t="s">
        <v>18</v>
      </c>
      <c r="F4822" s="24" t="s">
        <v>19</v>
      </c>
      <c r="G4822" s="24" t="s">
        <v>28</v>
      </c>
      <c r="H4822" s="26">
        <v>102</v>
      </c>
      <c r="I4822" s="24" t="s">
        <v>29</v>
      </c>
      <c r="J4822" s="36">
        <v>45747</v>
      </c>
      <c r="K4822" s="24" t="s">
        <v>22</v>
      </c>
    </row>
    <row r="4823" spans="1:11" x14ac:dyDescent="0.2">
      <c r="A4823" s="27" t="s">
        <v>11561</v>
      </c>
      <c r="B4823" s="27" t="s">
        <v>11562</v>
      </c>
      <c r="C4823" s="27" t="s">
        <v>11563</v>
      </c>
      <c r="D4823" s="27" t="s">
        <v>17</v>
      </c>
      <c r="E4823" s="27" t="s">
        <v>48</v>
      </c>
      <c r="F4823" s="27" t="s">
        <v>49</v>
      </c>
      <c r="G4823" s="27" t="s">
        <v>20</v>
      </c>
      <c r="H4823" s="29">
        <v>51</v>
      </c>
      <c r="I4823" s="27" t="s">
        <v>21</v>
      </c>
      <c r="J4823" s="37">
        <v>45739</v>
      </c>
      <c r="K4823" s="27" t="s">
        <v>22</v>
      </c>
    </row>
    <row r="4824" spans="1:11" x14ac:dyDescent="0.2">
      <c r="A4824" s="24" t="s">
        <v>11564</v>
      </c>
      <c r="B4824" s="24" t="s">
        <v>11565</v>
      </c>
      <c r="C4824" s="24" t="s">
        <v>11566</v>
      </c>
      <c r="D4824" s="24" t="s">
        <v>17</v>
      </c>
      <c r="E4824" s="24" t="s">
        <v>18</v>
      </c>
      <c r="F4824" s="24" t="s">
        <v>19</v>
      </c>
      <c r="G4824" s="24" t="s">
        <v>59</v>
      </c>
      <c r="H4824" s="26">
        <v>1</v>
      </c>
      <c r="I4824" s="24" t="s">
        <v>21</v>
      </c>
      <c r="J4824" s="36">
        <v>45733</v>
      </c>
      <c r="K4824" s="24" t="s">
        <v>22</v>
      </c>
    </row>
    <row r="4825" spans="1:11" x14ac:dyDescent="0.2">
      <c r="A4825" s="27" t="s">
        <v>11567</v>
      </c>
      <c r="B4825" s="27" t="s">
        <v>11568</v>
      </c>
      <c r="C4825" s="27" t="s">
        <v>11569</v>
      </c>
      <c r="D4825" s="27" t="s">
        <v>17</v>
      </c>
      <c r="E4825" s="27" t="s">
        <v>18</v>
      </c>
      <c r="F4825" s="27" t="s">
        <v>19</v>
      </c>
      <c r="G4825" s="27" t="s">
        <v>28</v>
      </c>
      <c r="H4825" s="29">
        <v>72</v>
      </c>
      <c r="I4825" s="27" t="s">
        <v>29</v>
      </c>
      <c r="J4825" s="37">
        <v>45734</v>
      </c>
      <c r="K4825" s="27" t="s">
        <v>22</v>
      </c>
    </row>
    <row r="4826" spans="1:11" x14ac:dyDescent="0.2">
      <c r="A4826" s="24" t="s">
        <v>11570</v>
      </c>
      <c r="B4826" s="24" t="s">
        <v>11571</v>
      </c>
      <c r="C4826" s="24" t="s">
        <v>930</v>
      </c>
      <c r="D4826" s="24" t="s">
        <v>17</v>
      </c>
      <c r="E4826" s="24" t="s">
        <v>42</v>
      </c>
      <c r="F4826" s="24" t="s">
        <v>43</v>
      </c>
      <c r="G4826" s="24" t="s">
        <v>28</v>
      </c>
      <c r="H4826" s="26">
        <v>12</v>
      </c>
      <c r="I4826" s="24" t="s">
        <v>29</v>
      </c>
      <c r="J4826" s="36">
        <v>45742</v>
      </c>
      <c r="K4826" s="24" t="s">
        <v>22</v>
      </c>
    </row>
    <row r="4827" spans="1:11" x14ac:dyDescent="0.2">
      <c r="A4827" s="27" t="s">
        <v>11572</v>
      </c>
      <c r="B4827" s="27" t="s">
        <v>11573</v>
      </c>
      <c r="C4827" s="27" t="s">
        <v>4510</v>
      </c>
      <c r="D4827" s="27" t="s">
        <v>17</v>
      </c>
      <c r="E4827" s="27" t="s">
        <v>18</v>
      </c>
      <c r="F4827" s="27" t="s">
        <v>19</v>
      </c>
      <c r="G4827" s="27" t="s">
        <v>28</v>
      </c>
      <c r="H4827" s="29">
        <v>64</v>
      </c>
      <c r="I4827" s="27" t="s">
        <v>29</v>
      </c>
      <c r="J4827" s="37">
        <v>45726</v>
      </c>
      <c r="K4827" s="27" t="s">
        <v>22</v>
      </c>
    </row>
    <row r="4828" spans="1:11" x14ac:dyDescent="0.2">
      <c r="A4828" s="24" t="s">
        <v>11574</v>
      </c>
      <c r="B4828" s="24" t="s">
        <v>11575</v>
      </c>
      <c r="C4828" s="24" t="s">
        <v>3604</v>
      </c>
      <c r="D4828" s="24" t="s">
        <v>17</v>
      </c>
      <c r="E4828" s="24" t="s">
        <v>18</v>
      </c>
      <c r="F4828" s="24" t="s">
        <v>19</v>
      </c>
      <c r="G4828" s="24" t="s">
        <v>20</v>
      </c>
      <c r="H4828" s="26">
        <v>40</v>
      </c>
      <c r="I4828" s="24" t="s">
        <v>21</v>
      </c>
      <c r="J4828" s="36">
        <v>45742</v>
      </c>
      <c r="K4828" s="24" t="s">
        <v>22</v>
      </c>
    </row>
    <row r="4829" spans="1:11" x14ac:dyDescent="0.2">
      <c r="A4829" s="27" t="s">
        <v>11576</v>
      </c>
      <c r="B4829" s="27" t="s">
        <v>11577</v>
      </c>
      <c r="C4829" s="27" t="s">
        <v>97</v>
      </c>
      <c r="D4829" s="27" t="s">
        <v>17</v>
      </c>
      <c r="E4829" s="27" t="s">
        <v>42</v>
      </c>
      <c r="F4829" s="27" t="s">
        <v>43</v>
      </c>
      <c r="G4829" s="27" t="s">
        <v>28</v>
      </c>
      <c r="H4829" s="29">
        <v>400</v>
      </c>
      <c r="I4829" s="27" t="s">
        <v>29</v>
      </c>
      <c r="J4829" s="37">
        <v>45744</v>
      </c>
      <c r="K4829" s="27" t="s">
        <v>22</v>
      </c>
    </row>
    <row r="4830" spans="1:11" x14ac:dyDescent="0.2">
      <c r="A4830" s="24" t="s">
        <v>11578</v>
      </c>
      <c r="B4830" s="24" t="s">
        <v>11579</v>
      </c>
      <c r="C4830" s="24" t="s">
        <v>2803</v>
      </c>
      <c r="D4830" s="24" t="s">
        <v>17</v>
      </c>
      <c r="E4830" s="24" t="s">
        <v>18</v>
      </c>
      <c r="F4830" s="24" t="s">
        <v>19</v>
      </c>
      <c r="G4830" s="24" t="s">
        <v>44</v>
      </c>
      <c r="H4830" s="26">
        <v>31</v>
      </c>
      <c r="I4830" s="24" t="s">
        <v>21</v>
      </c>
      <c r="J4830" s="36">
        <v>45743</v>
      </c>
      <c r="K4830" s="24" t="s">
        <v>22</v>
      </c>
    </row>
    <row r="4831" spans="1:11" x14ac:dyDescent="0.2">
      <c r="A4831" s="27" t="s">
        <v>11580</v>
      </c>
      <c r="B4831" s="27" t="s">
        <v>11581</v>
      </c>
      <c r="C4831" s="27" t="s">
        <v>11582</v>
      </c>
      <c r="D4831" s="27" t="s">
        <v>17</v>
      </c>
      <c r="E4831" s="27" t="s">
        <v>26</v>
      </c>
      <c r="F4831" s="27" t="s">
        <v>27</v>
      </c>
      <c r="G4831" s="27" t="s">
        <v>28</v>
      </c>
      <c r="H4831" s="29">
        <v>70</v>
      </c>
      <c r="I4831" s="27" t="s">
        <v>29</v>
      </c>
      <c r="J4831" s="37">
        <v>45726</v>
      </c>
      <c r="K4831" s="27" t="s">
        <v>22</v>
      </c>
    </row>
    <row r="4832" spans="1:11" x14ac:dyDescent="0.2">
      <c r="A4832" s="24" t="s">
        <v>11583</v>
      </c>
      <c r="B4832" s="24" t="s">
        <v>11584</v>
      </c>
      <c r="C4832" s="24" t="s">
        <v>11585</v>
      </c>
      <c r="D4832" s="24" t="s">
        <v>17</v>
      </c>
      <c r="E4832" s="24" t="s">
        <v>42</v>
      </c>
      <c r="F4832" s="24" t="s">
        <v>43</v>
      </c>
      <c r="G4832" s="24" t="s">
        <v>44</v>
      </c>
      <c r="H4832" s="26">
        <v>124</v>
      </c>
      <c r="I4832" s="24" t="s">
        <v>21</v>
      </c>
      <c r="J4832" s="36">
        <v>45728</v>
      </c>
      <c r="K4832" s="24" t="s">
        <v>22</v>
      </c>
    </row>
    <row r="4833" spans="1:11" x14ac:dyDescent="0.2">
      <c r="A4833" s="27" t="s">
        <v>11586</v>
      </c>
      <c r="B4833" s="27" t="s">
        <v>11587</v>
      </c>
      <c r="C4833" s="27" t="s">
        <v>11588</v>
      </c>
      <c r="D4833" s="27" t="s">
        <v>17</v>
      </c>
      <c r="E4833" s="27" t="s">
        <v>18</v>
      </c>
      <c r="F4833" s="27" t="s">
        <v>19</v>
      </c>
      <c r="G4833" s="27" t="s">
        <v>59</v>
      </c>
      <c r="H4833" s="29">
        <v>19</v>
      </c>
      <c r="I4833" s="27" t="s">
        <v>21</v>
      </c>
      <c r="J4833" s="37">
        <v>45736</v>
      </c>
      <c r="K4833" s="27" t="s">
        <v>22</v>
      </c>
    </row>
    <row r="4834" spans="1:11" x14ac:dyDescent="0.2">
      <c r="A4834" s="24" t="s">
        <v>11589</v>
      </c>
      <c r="B4834" s="24" t="s">
        <v>11590</v>
      </c>
      <c r="C4834" s="24" t="s">
        <v>1523</v>
      </c>
      <c r="D4834" s="24" t="s">
        <v>17</v>
      </c>
      <c r="E4834" s="24" t="s">
        <v>26</v>
      </c>
      <c r="F4834" s="24" t="s">
        <v>27</v>
      </c>
      <c r="G4834" s="24" t="s">
        <v>217</v>
      </c>
      <c r="H4834" s="26">
        <v>125</v>
      </c>
      <c r="I4834" s="24" t="s">
        <v>29</v>
      </c>
      <c r="J4834" s="36">
        <v>45717</v>
      </c>
      <c r="K4834" s="24" t="s">
        <v>22</v>
      </c>
    </row>
    <row r="4835" spans="1:11" x14ac:dyDescent="0.2">
      <c r="A4835" s="27" t="s">
        <v>11591</v>
      </c>
      <c r="B4835" s="27" t="s">
        <v>11592</v>
      </c>
      <c r="C4835" s="27" t="s">
        <v>11593</v>
      </c>
      <c r="D4835" s="27" t="s">
        <v>17</v>
      </c>
      <c r="E4835" s="27" t="s">
        <v>26</v>
      </c>
      <c r="F4835" s="27" t="s">
        <v>27</v>
      </c>
      <c r="G4835" s="27" t="s">
        <v>217</v>
      </c>
      <c r="H4835" s="29">
        <v>37</v>
      </c>
      <c r="I4835" s="27" t="s">
        <v>29</v>
      </c>
      <c r="J4835" s="37">
        <v>45717</v>
      </c>
      <c r="K4835" s="27" t="s">
        <v>22</v>
      </c>
    </row>
    <row r="4836" spans="1:11" x14ac:dyDescent="0.2">
      <c r="A4836" s="24" t="s">
        <v>11594</v>
      </c>
      <c r="B4836" s="24" t="s">
        <v>11595</v>
      </c>
      <c r="C4836" s="24" t="s">
        <v>11596</v>
      </c>
      <c r="D4836" s="24" t="s">
        <v>17</v>
      </c>
      <c r="E4836" s="24" t="s">
        <v>42</v>
      </c>
      <c r="F4836" s="24" t="s">
        <v>43</v>
      </c>
      <c r="G4836" s="24" t="s">
        <v>28</v>
      </c>
      <c r="H4836" s="26">
        <v>32</v>
      </c>
      <c r="I4836" s="24" t="s">
        <v>29</v>
      </c>
      <c r="J4836" s="36">
        <v>45742</v>
      </c>
      <c r="K4836" s="24" t="s">
        <v>22</v>
      </c>
    </row>
    <row r="4837" spans="1:11" x14ac:dyDescent="0.2">
      <c r="A4837" s="27" t="s">
        <v>11597</v>
      </c>
      <c r="B4837" s="27" t="s">
        <v>11598</v>
      </c>
      <c r="C4837" s="27" t="s">
        <v>194</v>
      </c>
      <c r="D4837" s="27" t="s">
        <v>17</v>
      </c>
      <c r="E4837" s="27" t="s">
        <v>42</v>
      </c>
      <c r="F4837" s="27" t="s">
        <v>43</v>
      </c>
      <c r="G4837" s="27" t="s">
        <v>28</v>
      </c>
      <c r="H4837" s="29">
        <v>508</v>
      </c>
      <c r="I4837" s="27" t="s">
        <v>29</v>
      </c>
      <c r="J4837" s="37">
        <v>45741</v>
      </c>
      <c r="K4837" s="27" t="s">
        <v>22</v>
      </c>
    </row>
    <row r="4838" spans="1:11" x14ac:dyDescent="0.2">
      <c r="A4838" s="24" t="s">
        <v>11599</v>
      </c>
      <c r="B4838" s="24" t="s">
        <v>11600</v>
      </c>
      <c r="C4838" s="24" t="s">
        <v>11601</v>
      </c>
      <c r="D4838" s="24" t="s">
        <v>17</v>
      </c>
      <c r="E4838" s="24" t="s">
        <v>48</v>
      </c>
      <c r="F4838" s="24" t="s">
        <v>49</v>
      </c>
      <c r="G4838" s="24" t="s">
        <v>20</v>
      </c>
      <c r="H4838" s="26">
        <v>431</v>
      </c>
      <c r="I4838" s="24" t="s">
        <v>21</v>
      </c>
      <c r="J4838" s="36">
        <v>45721</v>
      </c>
      <c r="K4838" s="24" t="s">
        <v>22</v>
      </c>
    </row>
    <row r="4839" spans="1:11" x14ac:dyDescent="0.2">
      <c r="A4839" s="27" t="s">
        <v>11602</v>
      </c>
      <c r="B4839" s="27" t="s">
        <v>11603</v>
      </c>
      <c r="C4839" s="27" t="s">
        <v>11604</v>
      </c>
      <c r="D4839" s="27" t="s">
        <v>17</v>
      </c>
      <c r="E4839" s="27" t="s">
        <v>18</v>
      </c>
      <c r="F4839" s="27" t="s">
        <v>19</v>
      </c>
      <c r="G4839" s="27" t="s">
        <v>28</v>
      </c>
      <c r="H4839" s="29">
        <v>48</v>
      </c>
      <c r="I4839" s="27" t="s">
        <v>29</v>
      </c>
      <c r="J4839" s="37">
        <v>45725</v>
      </c>
      <c r="K4839" s="27" t="s">
        <v>22</v>
      </c>
    </row>
    <row r="4840" spans="1:11" x14ac:dyDescent="0.2">
      <c r="A4840" s="24" t="s">
        <v>11605</v>
      </c>
      <c r="B4840" s="24" t="s">
        <v>11606</v>
      </c>
      <c r="C4840" s="24" t="s">
        <v>11607</v>
      </c>
      <c r="D4840" s="24" t="s">
        <v>17</v>
      </c>
      <c r="E4840" s="24" t="s">
        <v>18</v>
      </c>
      <c r="F4840" s="24" t="s">
        <v>19</v>
      </c>
      <c r="G4840" s="24" t="s">
        <v>28</v>
      </c>
      <c r="H4840" s="26">
        <v>12</v>
      </c>
      <c r="I4840" s="24" t="s">
        <v>29</v>
      </c>
      <c r="J4840" s="36">
        <v>45717</v>
      </c>
      <c r="K4840" s="24" t="s">
        <v>22</v>
      </c>
    </row>
    <row r="4841" spans="1:11" x14ac:dyDescent="0.2">
      <c r="A4841" s="27" t="s">
        <v>11608</v>
      </c>
      <c r="B4841" s="27" t="s">
        <v>11609</v>
      </c>
      <c r="C4841" s="27" t="s">
        <v>11610</v>
      </c>
      <c r="D4841" s="27" t="s">
        <v>17</v>
      </c>
      <c r="E4841" s="27" t="s">
        <v>48</v>
      </c>
      <c r="F4841" s="27" t="s">
        <v>49</v>
      </c>
      <c r="G4841" s="27" t="s">
        <v>28</v>
      </c>
      <c r="H4841" s="29">
        <v>119</v>
      </c>
      <c r="I4841" s="27" t="s">
        <v>29</v>
      </c>
      <c r="J4841" s="37">
        <v>45740</v>
      </c>
      <c r="K4841" s="27" t="s">
        <v>22</v>
      </c>
    </row>
    <row r="4842" spans="1:11" x14ac:dyDescent="0.2">
      <c r="A4842" s="24" t="s">
        <v>11611</v>
      </c>
      <c r="B4842" s="24" t="s">
        <v>11612</v>
      </c>
      <c r="C4842" s="24" t="s">
        <v>792</v>
      </c>
      <c r="D4842" s="24" t="s">
        <v>17</v>
      </c>
      <c r="E4842" s="24" t="s">
        <v>42</v>
      </c>
      <c r="F4842" s="24" t="s">
        <v>43</v>
      </c>
      <c r="G4842" s="24" t="s">
        <v>28</v>
      </c>
      <c r="H4842" s="26">
        <v>582</v>
      </c>
      <c r="I4842" s="24" t="s">
        <v>29</v>
      </c>
      <c r="J4842" s="36">
        <v>45735</v>
      </c>
      <c r="K4842" s="24" t="s">
        <v>22</v>
      </c>
    </row>
    <row r="4843" spans="1:11" x14ac:dyDescent="0.2">
      <c r="A4843" s="27" t="s">
        <v>11613</v>
      </c>
      <c r="B4843" s="27" t="s">
        <v>11614</v>
      </c>
      <c r="C4843" s="27" t="s">
        <v>3576</v>
      </c>
      <c r="D4843" s="27" t="s">
        <v>17</v>
      </c>
      <c r="E4843" s="27" t="s">
        <v>18</v>
      </c>
      <c r="F4843" s="27" t="s">
        <v>19</v>
      </c>
      <c r="G4843" s="27" t="s">
        <v>116</v>
      </c>
      <c r="H4843" s="29">
        <v>0</v>
      </c>
      <c r="I4843" s="27" t="s">
        <v>21</v>
      </c>
      <c r="J4843" s="37">
        <v>45742</v>
      </c>
      <c r="K4843" s="27" t="s">
        <v>22</v>
      </c>
    </row>
    <row r="4844" spans="1:11" x14ac:dyDescent="0.2">
      <c r="A4844" s="24" t="s">
        <v>11615</v>
      </c>
      <c r="B4844" s="24" t="s">
        <v>11616</v>
      </c>
      <c r="C4844" s="24" t="s">
        <v>1853</v>
      </c>
      <c r="D4844" s="24" t="s">
        <v>17</v>
      </c>
      <c r="E4844" s="24" t="s">
        <v>48</v>
      </c>
      <c r="F4844" s="24" t="s">
        <v>49</v>
      </c>
      <c r="G4844" s="24" t="s">
        <v>217</v>
      </c>
      <c r="H4844" s="26">
        <v>224</v>
      </c>
      <c r="I4844" s="24" t="s">
        <v>29</v>
      </c>
      <c r="J4844" s="36">
        <v>45731</v>
      </c>
      <c r="K4844" s="24" t="s">
        <v>22</v>
      </c>
    </row>
    <row r="4845" spans="1:11" x14ac:dyDescent="0.2">
      <c r="A4845" s="27" t="s">
        <v>11617</v>
      </c>
      <c r="B4845" s="27" t="s">
        <v>11618</v>
      </c>
      <c r="C4845" s="27" t="s">
        <v>85</v>
      </c>
      <c r="D4845" s="27" t="s">
        <v>17</v>
      </c>
      <c r="E4845" s="27" t="s">
        <v>26</v>
      </c>
      <c r="F4845" s="27" t="s">
        <v>27</v>
      </c>
      <c r="G4845" s="27" t="s">
        <v>28</v>
      </c>
      <c r="H4845" s="29">
        <v>252</v>
      </c>
      <c r="I4845" s="27" t="s">
        <v>29</v>
      </c>
      <c r="J4845" s="37">
        <v>45722</v>
      </c>
      <c r="K4845" s="27" t="s">
        <v>22</v>
      </c>
    </row>
    <row r="4846" spans="1:11" x14ac:dyDescent="0.2">
      <c r="A4846" s="24" t="s">
        <v>11619</v>
      </c>
      <c r="B4846" s="24" t="s">
        <v>11620</v>
      </c>
      <c r="C4846" s="24" t="s">
        <v>213</v>
      </c>
      <c r="D4846" s="24" t="s">
        <v>17</v>
      </c>
      <c r="E4846" s="24" t="s">
        <v>42</v>
      </c>
      <c r="F4846" s="24" t="s">
        <v>43</v>
      </c>
      <c r="G4846" s="24" t="s">
        <v>28</v>
      </c>
      <c r="H4846" s="26">
        <v>723</v>
      </c>
      <c r="I4846" s="24" t="s">
        <v>29</v>
      </c>
      <c r="J4846" s="36">
        <v>45727</v>
      </c>
      <c r="K4846" s="24" t="s">
        <v>22</v>
      </c>
    </row>
    <row r="4847" spans="1:11" x14ac:dyDescent="0.2">
      <c r="A4847" s="27" t="s">
        <v>11621</v>
      </c>
      <c r="B4847" s="27" t="s">
        <v>11622</v>
      </c>
      <c r="C4847" s="27" t="s">
        <v>52</v>
      </c>
      <c r="D4847" s="27" t="s">
        <v>17</v>
      </c>
      <c r="E4847" s="27" t="s">
        <v>42</v>
      </c>
      <c r="F4847" s="27" t="s">
        <v>43</v>
      </c>
      <c r="G4847" s="27" t="s">
        <v>44</v>
      </c>
      <c r="H4847" s="29">
        <v>780</v>
      </c>
      <c r="I4847" s="27" t="s">
        <v>21</v>
      </c>
      <c r="J4847" s="37">
        <v>45739</v>
      </c>
      <c r="K4847" s="27" t="s">
        <v>22</v>
      </c>
    </row>
    <row r="4848" spans="1:11" x14ac:dyDescent="0.2">
      <c r="A4848" s="24" t="s">
        <v>11623</v>
      </c>
      <c r="B4848" s="24" t="s">
        <v>11624</v>
      </c>
      <c r="C4848" s="24" t="s">
        <v>2507</v>
      </c>
      <c r="D4848" s="24" t="s">
        <v>17</v>
      </c>
      <c r="E4848" s="24" t="s">
        <v>18</v>
      </c>
      <c r="F4848" s="24" t="s">
        <v>19</v>
      </c>
      <c r="G4848" s="24" t="s">
        <v>20</v>
      </c>
      <c r="H4848" s="26">
        <v>36</v>
      </c>
      <c r="I4848" s="24" t="s">
        <v>21</v>
      </c>
      <c r="J4848" s="36">
        <v>45732</v>
      </c>
      <c r="K4848" s="24" t="s">
        <v>22</v>
      </c>
    </row>
    <row r="4849" spans="1:11" x14ac:dyDescent="0.2">
      <c r="A4849" s="27" t="s">
        <v>11625</v>
      </c>
      <c r="B4849" s="27" t="s">
        <v>11626</v>
      </c>
      <c r="C4849" s="27" t="s">
        <v>1093</v>
      </c>
      <c r="D4849" s="27" t="s">
        <v>17</v>
      </c>
      <c r="E4849" s="27" t="s">
        <v>81</v>
      </c>
      <c r="F4849" s="27" t="s">
        <v>82</v>
      </c>
      <c r="G4849" s="27" t="s">
        <v>20</v>
      </c>
      <c r="H4849" s="29">
        <v>40</v>
      </c>
      <c r="I4849" s="27" t="s">
        <v>21</v>
      </c>
      <c r="J4849" s="37">
        <v>45720</v>
      </c>
      <c r="K4849" s="27" t="s">
        <v>22</v>
      </c>
    </row>
    <row r="4850" spans="1:11" x14ac:dyDescent="0.2">
      <c r="A4850" s="24" t="s">
        <v>11627</v>
      </c>
      <c r="B4850" s="24" t="s">
        <v>11628</v>
      </c>
      <c r="C4850" s="24" t="s">
        <v>10431</v>
      </c>
      <c r="D4850" s="24" t="s">
        <v>17</v>
      </c>
      <c r="E4850" s="24" t="s">
        <v>18</v>
      </c>
      <c r="F4850" s="24" t="s">
        <v>19</v>
      </c>
      <c r="G4850" s="24" t="s">
        <v>20</v>
      </c>
      <c r="H4850" s="26">
        <v>64</v>
      </c>
      <c r="I4850" s="24" t="s">
        <v>21</v>
      </c>
      <c r="J4850" s="36">
        <v>45746</v>
      </c>
      <c r="K4850" s="24" t="s">
        <v>22</v>
      </c>
    </row>
    <row r="4851" spans="1:11" x14ac:dyDescent="0.2">
      <c r="A4851" s="27" t="s">
        <v>11629</v>
      </c>
      <c r="B4851" s="27" t="s">
        <v>11630</v>
      </c>
      <c r="C4851" s="27" t="s">
        <v>11631</v>
      </c>
      <c r="D4851" s="27" t="s">
        <v>17</v>
      </c>
      <c r="E4851" s="27" t="s">
        <v>48</v>
      </c>
      <c r="F4851" s="27" t="s">
        <v>49</v>
      </c>
      <c r="G4851" s="27" t="s">
        <v>28</v>
      </c>
      <c r="H4851" s="29">
        <v>49</v>
      </c>
      <c r="I4851" s="27" t="s">
        <v>29</v>
      </c>
      <c r="J4851" s="37">
        <v>45728</v>
      </c>
      <c r="K4851" s="27" t="s">
        <v>22</v>
      </c>
    </row>
    <row r="4852" spans="1:11" x14ac:dyDescent="0.2">
      <c r="A4852" s="24" t="s">
        <v>11632</v>
      </c>
      <c r="B4852" s="24" t="s">
        <v>11633</v>
      </c>
      <c r="C4852" s="24" t="s">
        <v>251</v>
      </c>
      <c r="D4852" s="24" t="s">
        <v>17</v>
      </c>
      <c r="E4852" s="24" t="s">
        <v>48</v>
      </c>
      <c r="F4852" s="24" t="s">
        <v>49</v>
      </c>
      <c r="G4852" s="24" t="s">
        <v>28</v>
      </c>
      <c r="H4852" s="26">
        <v>126</v>
      </c>
      <c r="I4852" s="24" t="s">
        <v>29</v>
      </c>
      <c r="J4852" s="36">
        <v>45729</v>
      </c>
      <c r="K4852" s="24" t="s">
        <v>22</v>
      </c>
    </row>
    <row r="4853" spans="1:11" x14ac:dyDescent="0.2">
      <c r="A4853" s="27" t="s">
        <v>11634</v>
      </c>
      <c r="B4853" s="27" t="s">
        <v>11635</v>
      </c>
      <c r="C4853" s="27" t="s">
        <v>97</v>
      </c>
      <c r="D4853" s="27" t="s">
        <v>17</v>
      </c>
      <c r="E4853" s="27" t="s">
        <v>18</v>
      </c>
      <c r="F4853" s="27" t="s">
        <v>19</v>
      </c>
      <c r="G4853" s="27" t="s">
        <v>28</v>
      </c>
      <c r="H4853" s="29">
        <v>95</v>
      </c>
      <c r="I4853" s="27" t="s">
        <v>29</v>
      </c>
      <c r="J4853" s="37">
        <v>45726</v>
      </c>
      <c r="K4853" s="27" t="s">
        <v>22</v>
      </c>
    </row>
    <row r="4854" spans="1:11" x14ac:dyDescent="0.2">
      <c r="A4854" s="24" t="s">
        <v>11636</v>
      </c>
      <c r="B4854" s="24" t="s">
        <v>11637</v>
      </c>
      <c r="C4854" s="24" t="s">
        <v>5398</v>
      </c>
      <c r="D4854" s="24" t="s">
        <v>17</v>
      </c>
      <c r="E4854" s="24" t="s">
        <v>42</v>
      </c>
      <c r="F4854" s="24" t="s">
        <v>43</v>
      </c>
      <c r="G4854" s="24" t="s">
        <v>28</v>
      </c>
      <c r="H4854" s="26">
        <v>54</v>
      </c>
      <c r="I4854" s="24" t="s">
        <v>29</v>
      </c>
      <c r="J4854" s="36">
        <v>45733</v>
      </c>
      <c r="K4854" s="24" t="s">
        <v>22</v>
      </c>
    </row>
    <row r="4855" spans="1:11" x14ac:dyDescent="0.2">
      <c r="A4855" s="27" t="s">
        <v>11638</v>
      </c>
      <c r="B4855" s="27" t="s">
        <v>11639</v>
      </c>
      <c r="C4855" s="27" t="s">
        <v>11640</v>
      </c>
      <c r="D4855" s="27" t="s">
        <v>17</v>
      </c>
      <c r="E4855" s="27" t="s">
        <v>18</v>
      </c>
      <c r="F4855" s="27" t="s">
        <v>19</v>
      </c>
      <c r="G4855" s="27" t="s">
        <v>28</v>
      </c>
      <c r="H4855" s="29">
        <v>70</v>
      </c>
      <c r="I4855" s="27" t="s">
        <v>29</v>
      </c>
      <c r="J4855" s="37">
        <v>45727</v>
      </c>
      <c r="K4855" s="27" t="s">
        <v>22</v>
      </c>
    </row>
    <row r="4856" spans="1:11" x14ac:dyDescent="0.2">
      <c r="A4856" s="24" t="s">
        <v>11641</v>
      </c>
      <c r="B4856" s="24" t="s">
        <v>11642</v>
      </c>
      <c r="C4856" s="24" t="s">
        <v>146</v>
      </c>
      <c r="D4856" s="24" t="s">
        <v>17</v>
      </c>
      <c r="E4856" s="24" t="s">
        <v>18</v>
      </c>
      <c r="F4856" s="24" t="s">
        <v>19</v>
      </c>
      <c r="G4856" s="24" t="s">
        <v>20</v>
      </c>
      <c r="H4856" s="26">
        <v>20</v>
      </c>
      <c r="I4856" s="24" t="s">
        <v>21</v>
      </c>
      <c r="J4856" s="36">
        <v>45727</v>
      </c>
      <c r="K4856" s="24" t="s">
        <v>22</v>
      </c>
    </row>
    <row r="4857" spans="1:11" x14ac:dyDescent="0.2">
      <c r="A4857" s="27" t="s">
        <v>11643</v>
      </c>
      <c r="B4857" s="27" t="s">
        <v>11644</v>
      </c>
      <c r="C4857" s="27" t="s">
        <v>388</v>
      </c>
      <c r="D4857" s="27" t="s">
        <v>17</v>
      </c>
      <c r="E4857" s="27" t="s">
        <v>42</v>
      </c>
      <c r="F4857" s="27" t="s">
        <v>43</v>
      </c>
      <c r="G4857" s="27" t="s">
        <v>20</v>
      </c>
      <c r="H4857" s="29">
        <v>80</v>
      </c>
      <c r="I4857" s="27" t="s">
        <v>21</v>
      </c>
      <c r="J4857" s="37">
        <v>45740</v>
      </c>
      <c r="K4857" s="27" t="s">
        <v>22</v>
      </c>
    </row>
    <row r="4858" spans="1:11" x14ac:dyDescent="0.2">
      <c r="A4858" s="24" t="s">
        <v>11645</v>
      </c>
      <c r="B4858" s="24" t="s">
        <v>11646</v>
      </c>
      <c r="C4858" s="24" t="s">
        <v>11647</v>
      </c>
      <c r="D4858" s="24" t="s">
        <v>17</v>
      </c>
      <c r="E4858" s="24" t="s">
        <v>26</v>
      </c>
      <c r="F4858" s="24" t="s">
        <v>27</v>
      </c>
      <c r="G4858" s="24" t="s">
        <v>59</v>
      </c>
      <c r="H4858" s="26">
        <v>29</v>
      </c>
      <c r="I4858" s="24" t="s">
        <v>21</v>
      </c>
      <c r="J4858" s="36">
        <v>45721</v>
      </c>
      <c r="K4858" s="24" t="s">
        <v>22</v>
      </c>
    </row>
    <row r="4859" spans="1:11" x14ac:dyDescent="0.2">
      <c r="A4859" s="27" t="s">
        <v>11648</v>
      </c>
      <c r="B4859" s="27" t="s">
        <v>11649</v>
      </c>
      <c r="C4859" s="27" t="s">
        <v>2741</v>
      </c>
      <c r="D4859" s="27" t="s">
        <v>17</v>
      </c>
      <c r="E4859" s="27" t="s">
        <v>48</v>
      </c>
      <c r="F4859" s="27" t="s">
        <v>49</v>
      </c>
      <c r="G4859" s="27" t="s">
        <v>28</v>
      </c>
      <c r="H4859" s="29">
        <v>126</v>
      </c>
      <c r="I4859" s="27" t="s">
        <v>29</v>
      </c>
      <c r="J4859" s="37">
        <v>45717</v>
      </c>
      <c r="K4859" s="27" t="s">
        <v>22</v>
      </c>
    </row>
    <row r="4860" spans="1:11" x14ac:dyDescent="0.2">
      <c r="A4860" s="24" t="s">
        <v>11650</v>
      </c>
      <c r="B4860" s="24" t="s">
        <v>11651</v>
      </c>
      <c r="C4860" s="24" t="s">
        <v>55</v>
      </c>
      <c r="D4860" s="24" t="s">
        <v>17</v>
      </c>
      <c r="E4860" s="24" t="s">
        <v>48</v>
      </c>
      <c r="F4860" s="24" t="s">
        <v>49</v>
      </c>
      <c r="G4860" s="24" t="s">
        <v>28</v>
      </c>
      <c r="H4860" s="26">
        <v>60</v>
      </c>
      <c r="I4860" s="24" t="s">
        <v>29</v>
      </c>
      <c r="J4860" s="36">
        <v>45736</v>
      </c>
      <c r="K4860" s="24" t="s">
        <v>22</v>
      </c>
    </row>
    <row r="4861" spans="1:11" x14ac:dyDescent="0.2">
      <c r="A4861" s="27" t="s">
        <v>11652</v>
      </c>
      <c r="B4861" s="27" t="s">
        <v>11653</v>
      </c>
      <c r="C4861" s="27" t="s">
        <v>1663</v>
      </c>
      <c r="D4861" s="27" t="s">
        <v>17</v>
      </c>
      <c r="E4861" s="27" t="s">
        <v>48</v>
      </c>
      <c r="F4861" s="27" t="s">
        <v>49</v>
      </c>
      <c r="G4861" s="27" t="s">
        <v>28</v>
      </c>
      <c r="H4861" s="29">
        <v>90</v>
      </c>
      <c r="I4861" s="27" t="s">
        <v>29</v>
      </c>
      <c r="J4861" s="37">
        <v>45719</v>
      </c>
      <c r="K4861" s="27" t="s">
        <v>22</v>
      </c>
    </row>
    <row r="4862" spans="1:11" x14ac:dyDescent="0.2">
      <c r="A4862" s="24" t="s">
        <v>11654</v>
      </c>
      <c r="B4862" s="24" t="s">
        <v>11655</v>
      </c>
      <c r="C4862" s="24" t="s">
        <v>7320</v>
      </c>
      <c r="D4862" s="24" t="s">
        <v>17</v>
      </c>
      <c r="E4862" s="24" t="s">
        <v>18</v>
      </c>
      <c r="F4862" s="24" t="s">
        <v>19</v>
      </c>
      <c r="G4862" s="24" t="s">
        <v>20</v>
      </c>
      <c r="H4862" s="26">
        <v>30</v>
      </c>
      <c r="I4862" s="24" t="s">
        <v>21</v>
      </c>
      <c r="J4862" s="36">
        <v>45727</v>
      </c>
      <c r="K4862" s="24" t="s">
        <v>22</v>
      </c>
    </row>
    <row r="4863" spans="1:11" x14ac:dyDescent="0.2">
      <c r="A4863" s="27" t="s">
        <v>11656</v>
      </c>
      <c r="B4863" s="27" t="s">
        <v>11657</v>
      </c>
      <c r="C4863" s="27" t="s">
        <v>208</v>
      </c>
      <c r="D4863" s="27" t="s">
        <v>17</v>
      </c>
      <c r="E4863" s="27" t="s">
        <v>48</v>
      </c>
      <c r="F4863" s="27" t="s">
        <v>49</v>
      </c>
      <c r="G4863" s="27" t="s">
        <v>28</v>
      </c>
      <c r="H4863" s="29">
        <v>204</v>
      </c>
      <c r="I4863" s="27" t="s">
        <v>29</v>
      </c>
      <c r="J4863" s="37">
        <v>45744</v>
      </c>
      <c r="K4863" s="27" t="s">
        <v>22</v>
      </c>
    </row>
    <row r="4864" spans="1:11" x14ac:dyDescent="0.2">
      <c r="A4864" s="24" t="s">
        <v>11658</v>
      </c>
      <c r="B4864" s="24" t="s">
        <v>11659</v>
      </c>
      <c r="C4864" s="24" t="s">
        <v>11660</v>
      </c>
      <c r="D4864" s="24" t="s">
        <v>17</v>
      </c>
      <c r="E4864" s="24" t="s">
        <v>48</v>
      </c>
      <c r="F4864" s="24" t="s">
        <v>49</v>
      </c>
      <c r="G4864" s="24" t="s">
        <v>28</v>
      </c>
      <c r="H4864" s="26">
        <v>72</v>
      </c>
      <c r="I4864" s="24" t="s">
        <v>29</v>
      </c>
      <c r="J4864" s="36">
        <v>45741</v>
      </c>
      <c r="K4864" s="24" t="s">
        <v>22</v>
      </c>
    </row>
    <row r="4865" spans="1:11" x14ac:dyDescent="0.2">
      <c r="A4865" s="27" t="s">
        <v>11661</v>
      </c>
      <c r="B4865" s="27" t="s">
        <v>11662</v>
      </c>
      <c r="C4865" s="27" t="s">
        <v>11663</v>
      </c>
      <c r="D4865" s="27" t="s">
        <v>17</v>
      </c>
      <c r="E4865" s="27" t="s">
        <v>18</v>
      </c>
      <c r="F4865" s="27" t="s">
        <v>19</v>
      </c>
      <c r="G4865" s="27" t="s">
        <v>217</v>
      </c>
      <c r="H4865" s="29">
        <v>151</v>
      </c>
      <c r="I4865" s="27" t="s">
        <v>29</v>
      </c>
      <c r="J4865" s="37">
        <v>45747</v>
      </c>
      <c r="K4865" s="27" t="s">
        <v>22</v>
      </c>
    </row>
    <row r="4866" spans="1:11" x14ac:dyDescent="0.2">
      <c r="A4866" s="24" t="s">
        <v>11664</v>
      </c>
      <c r="B4866" s="24" t="s">
        <v>11665</v>
      </c>
      <c r="C4866" s="24" t="s">
        <v>921</v>
      </c>
      <c r="D4866" s="24" t="s">
        <v>17</v>
      </c>
      <c r="E4866" s="24" t="s">
        <v>48</v>
      </c>
      <c r="F4866" s="24" t="s">
        <v>49</v>
      </c>
      <c r="G4866" s="24" t="s">
        <v>28</v>
      </c>
      <c r="H4866" s="26">
        <v>170</v>
      </c>
      <c r="I4866" s="24" t="s">
        <v>29</v>
      </c>
      <c r="J4866" s="36">
        <v>45729</v>
      </c>
      <c r="K4866" s="24" t="s">
        <v>22</v>
      </c>
    </row>
    <row r="4867" spans="1:11" x14ac:dyDescent="0.2">
      <c r="A4867" s="27" t="s">
        <v>11666</v>
      </c>
      <c r="B4867" s="27" t="s">
        <v>11667</v>
      </c>
      <c r="C4867" s="27" t="s">
        <v>792</v>
      </c>
      <c r="D4867" s="27" t="s">
        <v>17</v>
      </c>
      <c r="E4867" s="27" t="s">
        <v>42</v>
      </c>
      <c r="F4867" s="27" t="s">
        <v>43</v>
      </c>
      <c r="G4867" s="27" t="s">
        <v>28</v>
      </c>
      <c r="H4867" s="29">
        <v>510</v>
      </c>
      <c r="I4867" s="27" t="s">
        <v>29</v>
      </c>
      <c r="J4867" s="37">
        <v>45743</v>
      </c>
      <c r="K4867" s="27" t="s">
        <v>22</v>
      </c>
    </row>
    <row r="4868" spans="1:11" x14ac:dyDescent="0.2">
      <c r="A4868" s="24" t="s">
        <v>11668</v>
      </c>
      <c r="B4868" s="24" t="s">
        <v>11669</v>
      </c>
      <c r="C4868" s="24" t="s">
        <v>429</v>
      </c>
      <c r="D4868" s="24" t="s">
        <v>17</v>
      </c>
      <c r="E4868" s="24" t="s">
        <v>42</v>
      </c>
      <c r="F4868" s="24" t="s">
        <v>43</v>
      </c>
      <c r="G4868" s="24" t="s">
        <v>28</v>
      </c>
      <c r="H4868" s="26">
        <v>450</v>
      </c>
      <c r="I4868" s="24" t="s">
        <v>29</v>
      </c>
      <c r="J4868" s="36">
        <v>45733</v>
      </c>
      <c r="K4868" s="24" t="s">
        <v>22</v>
      </c>
    </row>
    <row r="4869" spans="1:11" x14ac:dyDescent="0.2">
      <c r="A4869" s="27" t="s">
        <v>11670</v>
      </c>
      <c r="B4869" s="27" t="s">
        <v>11671</v>
      </c>
      <c r="C4869" s="27" t="s">
        <v>97</v>
      </c>
      <c r="D4869" s="27" t="s">
        <v>17</v>
      </c>
      <c r="E4869" s="27" t="s">
        <v>42</v>
      </c>
      <c r="F4869" s="27" t="s">
        <v>43</v>
      </c>
      <c r="G4869" s="27" t="s">
        <v>28</v>
      </c>
      <c r="H4869" s="29">
        <v>600</v>
      </c>
      <c r="I4869" s="27" t="s">
        <v>29</v>
      </c>
      <c r="J4869" s="37">
        <v>45743</v>
      </c>
      <c r="K4869" s="27" t="s">
        <v>22</v>
      </c>
    </row>
    <row r="4870" spans="1:11" x14ac:dyDescent="0.2">
      <c r="A4870" s="24" t="s">
        <v>11672</v>
      </c>
      <c r="B4870" s="24" t="s">
        <v>11673</v>
      </c>
      <c r="C4870" s="24" t="s">
        <v>213</v>
      </c>
      <c r="D4870" s="24" t="s">
        <v>17</v>
      </c>
      <c r="E4870" s="24" t="s">
        <v>18</v>
      </c>
      <c r="F4870" s="24" t="s">
        <v>19</v>
      </c>
      <c r="G4870" s="24" t="s">
        <v>59</v>
      </c>
      <c r="H4870" s="26">
        <v>21</v>
      </c>
      <c r="I4870" s="24" t="s">
        <v>21</v>
      </c>
      <c r="J4870" s="36">
        <v>45729</v>
      </c>
      <c r="K4870" s="24" t="s">
        <v>22</v>
      </c>
    </row>
    <row r="4871" spans="1:11" x14ac:dyDescent="0.2">
      <c r="A4871" s="27" t="s">
        <v>11674</v>
      </c>
      <c r="B4871" s="27" t="s">
        <v>11675</v>
      </c>
      <c r="C4871" s="27" t="s">
        <v>325</v>
      </c>
      <c r="D4871" s="27" t="s">
        <v>17</v>
      </c>
      <c r="E4871" s="27" t="s">
        <v>26</v>
      </c>
      <c r="F4871" s="27" t="s">
        <v>27</v>
      </c>
      <c r="G4871" s="27" t="s">
        <v>28</v>
      </c>
      <c r="H4871" s="29">
        <v>370</v>
      </c>
      <c r="I4871" s="27" t="s">
        <v>29</v>
      </c>
      <c r="J4871" s="37">
        <v>45737</v>
      </c>
      <c r="K4871" s="27" t="s">
        <v>22</v>
      </c>
    </row>
    <row r="4872" spans="1:11" x14ac:dyDescent="0.2">
      <c r="A4872" s="24" t="s">
        <v>11676</v>
      </c>
      <c r="B4872" s="24" t="s">
        <v>11677</v>
      </c>
      <c r="C4872" s="24" t="s">
        <v>1850</v>
      </c>
      <c r="D4872" s="24" t="s">
        <v>17</v>
      </c>
      <c r="E4872" s="24" t="s">
        <v>42</v>
      </c>
      <c r="F4872" s="24" t="s">
        <v>43</v>
      </c>
      <c r="G4872" s="24" t="s">
        <v>28</v>
      </c>
      <c r="H4872" s="26">
        <v>228</v>
      </c>
      <c r="I4872" s="24" t="s">
        <v>29</v>
      </c>
      <c r="J4872" s="36">
        <v>45717</v>
      </c>
      <c r="K4872" s="24" t="s">
        <v>22</v>
      </c>
    </row>
    <row r="4873" spans="1:11" x14ac:dyDescent="0.2">
      <c r="A4873" s="27" t="s">
        <v>11678</v>
      </c>
      <c r="B4873" s="27" t="s">
        <v>11679</v>
      </c>
      <c r="C4873" s="27" t="s">
        <v>3253</v>
      </c>
      <c r="D4873" s="27" t="s">
        <v>17</v>
      </c>
      <c r="E4873" s="27" t="s">
        <v>26</v>
      </c>
      <c r="F4873" s="27" t="s">
        <v>27</v>
      </c>
      <c r="G4873" s="27" t="s">
        <v>28</v>
      </c>
      <c r="H4873" s="29">
        <v>85</v>
      </c>
      <c r="I4873" s="27" t="s">
        <v>29</v>
      </c>
      <c r="J4873" s="37">
        <v>45730</v>
      </c>
      <c r="K4873" s="27" t="s">
        <v>22</v>
      </c>
    </row>
    <row r="4874" spans="1:11" x14ac:dyDescent="0.2">
      <c r="A4874" s="24" t="s">
        <v>11680</v>
      </c>
      <c r="B4874" s="24" t="s">
        <v>11681</v>
      </c>
      <c r="C4874" s="24" t="s">
        <v>2507</v>
      </c>
      <c r="D4874" s="24" t="s">
        <v>17</v>
      </c>
      <c r="E4874" s="24" t="s">
        <v>48</v>
      </c>
      <c r="F4874" s="24" t="s">
        <v>49</v>
      </c>
      <c r="G4874" s="24" t="s">
        <v>217</v>
      </c>
      <c r="H4874" s="26">
        <v>80</v>
      </c>
      <c r="I4874" s="24" t="s">
        <v>29</v>
      </c>
      <c r="J4874" s="36">
        <v>45717</v>
      </c>
      <c r="K4874" s="24" t="s">
        <v>22</v>
      </c>
    </row>
    <row r="4875" spans="1:11" x14ac:dyDescent="0.2">
      <c r="A4875" s="27" t="s">
        <v>11682</v>
      </c>
      <c r="B4875" s="27" t="s">
        <v>11683</v>
      </c>
      <c r="C4875" s="27" t="s">
        <v>9677</v>
      </c>
      <c r="D4875" s="27" t="s">
        <v>17</v>
      </c>
      <c r="E4875" s="27" t="s">
        <v>18</v>
      </c>
      <c r="F4875" s="27" t="s">
        <v>19</v>
      </c>
      <c r="G4875" s="27" t="s">
        <v>28</v>
      </c>
      <c r="H4875" s="29">
        <v>60</v>
      </c>
      <c r="I4875" s="27" t="s">
        <v>29</v>
      </c>
      <c r="J4875" s="37">
        <v>45739</v>
      </c>
      <c r="K4875" s="27" t="s">
        <v>22</v>
      </c>
    </row>
    <row r="4876" spans="1:11" x14ac:dyDescent="0.2">
      <c r="A4876" s="24" t="s">
        <v>11684</v>
      </c>
      <c r="B4876" s="24" t="s">
        <v>11685</v>
      </c>
      <c r="C4876" s="24" t="s">
        <v>11686</v>
      </c>
      <c r="D4876" s="24" t="s">
        <v>17</v>
      </c>
      <c r="E4876" s="24" t="s">
        <v>42</v>
      </c>
      <c r="F4876" s="24" t="s">
        <v>43</v>
      </c>
      <c r="G4876" s="24" t="s">
        <v>28</v>
      </c>
      <c r="H4876" s="26">
        <v>50</v>
      </c>
      <c r="I4876" s="24" t="s">
        <v>29</v>
      </c>
      <c r="J4876" s="36">
        <v>45747</v>
      </c>
      <c r="K4876" s="24" t="s">
        <v>22</v>
      </c>
    </row>
    <row r="4877" spans="1:11" x14ac:dyDescent="0.2">
      <c r="A4877" s="27" t="s">
        <v>11687</v>
      </c>
      <c r="B4877" s="27" t="s">
        <v>11688</v>
      </c>
      <c r="C4877" s="27" t="s">
        <v>1346</v>
      </c>
      <c r="D4877" s="27" t="s">
        <v>17</v>
      </c>
      <c r="E4877" s="27" t="s">
        <v>18</v>
      </c>
      <c r="F4877" s="27" t="s">
        <v>19</v>
      </c>
      <c r="G4877" s="27" t="s">
        <v>20</v>
      </c>
      <c r="H4877" s="29">
        <v>39</v>
      </c>
      <c r="I4877" s="27" t="s">
        <v>21</v>
      </c>
      <c r="J4877" s="37">
        <v>45730</v>
      </c>
      <c r="K4877" s="27" t="s">
        <v>22</v>
      </c>
    </row>
    <row r="4878" spans="1:11" x14ac:dyDescent="0.2">
      <c r="A4878" s="24" t="s">
        <v>11689</v>
      </c>
      <c r="B4878" s="24" t="s">
        <v>11690</v>
      </c>
      <c r="C4878" s="24" t="s">
        <v>8100</v>
      </c>
      <c r="D4878" s="24" t="s">
        <v>17</v>
      </c>
      <c r="E4878" s="24" t="s">
        <v>18</v>
      </c>
      <c r="F4878" s="24" t="s">
        <v>19</v>
      </c>
      <c r="G4878" s="24" t="s">
        <v>28</v>
      </c>
      <c r="H4878" s="26">
        <v>36</v>
      </c>
      <c r="I4878" s="24" t="s">
        <v>29</v>
      </c>
      <c r="J4878" s="36">
        <v>45743</v>
      </c>
      <c r="K4878" s="24" t="s">
        <v>22</v>
      </c>
    </row>
    <row r="4879" spans="1:11" x14ac:dyDescent="0.2">
      <c r="A4879" s="27" t="s">
        <v>11691</v>
      </c>
      <c r="B4879" s="27" t="s">
        <v>11692</v>
      </c>
      <c r="C4879" s="27" t="s">
        <v>9058</v>
      </c>
      <c r="D4879" s="27" t="s">
        <v>17</v>
      </c>
      <c r="E4879" s="27" t="s">
        <v>18</v>
      </c>
      <c r="F4879" s="27" t="s">
        <v>19</v>
      </c>
      <c r="G4879" s="27" t="s">
        <v>20</v>
      </c>
      <c r="H4879" s="29">
        <v>35</v>
      </c>
      <c r="I4879" s="27" t="s">
        <v>21</v>
      </c>
      <c r="J4879" s="37">
        <v>45723</v>
      </c>
      <c r="K4879" s="27" t="s">
        <v>22</v>
      </c>
    </row>
    <row r="4880" spans="1:11" x14ac:dyDescent="0.2">
      <c r="A4880" s="24" t="s">
        <v>11693</v>
      </c>
      <c r="B4880" s="24" t="s">
        <v>11694</v>
      </c>
      <c r="C4880" s="24" t="s">
        <v>213</v>
      </c>
      <c r="D4880" s="24" t="s">
        <v>17</v>
      </c>
      <c r="E4880" s="24" t="s">
        <v>18</v>
      </c>
      <c r="F4880" s="24" t="s">
        <v>19</v>
      </c>
      <c r="G4880" s="24" t="s">
        <v>20</v>
      </c>
      <c r="H4880" s="26">
        <v>26</v>
      </c>
      <c r="I4880" s="24" t="s">
        <v>21</v>
      </c>
      <c r="J4880" s="36">
        <v>45735</v>
      </c>
      <c r="K4880" s="24" t="s">
        <v>22</v>
      </c>
    </row>
    <row r="4881" spans="1:11" x14ac:dyDescent="0.2">
      <c r="A4881" s="27" t="s">
        <v>11695</v>
      </c>
      <c r="B4881" s="27" t="s">
        <v>11696</v>
      </c>
      <c r="C4881" s="27" t="s">
        <v>134</v>
      </c>
      <c r="D4881" s="27" t="s">
        <v>17</v>
      </c>
      <c r="E4881" s="27" t="s">
        <v>18</v>
      </c>
      <c r="F4881" s="27" t="s">
        <v>19</v>
      </c>
      <c r="G4881" s="27" t="s">
        <v>20</v>
      </c>
      <c r="H4881" s="29">
        <v>85</v>
      </c>
      <c r="I4881" s="27" t="s">
        <v>21</v>
      </c>
      <c r="J4881" s="37">
        <v>45735</v>
      </c>
      <c r="K4881" s="27" t="s">
        <v>22</v>
      </c>
    </row>
    <row r="4882" spans="1:11" x14ac:dyDescent="0.2">
      <c r="A4882" s="24" t="s">
        <v>11697</v>
      </c>
      <c r="B4882" s="24" t="s">
        <v>11698</v>
      </c>
      <c r="C4882" s="24" t="s">
        <v>11699</v>
      </c>
      <c r="D4882" s="24" t="s">
        <v>17</v>
      </c>
      <c r="E4882" s="24" t="s">
        <v>18</v>
      </c>
      <c r="F4882" s="24" t="s">
        <v>19</v>
      </c>
      <c r="G4882" s="24" t="s">
        <v>28</v>
      </c>
      <c r="H4882" s="26">
        <v>72</v>
      </c>
      <c r="I4882" s="24" t="s">
        <v>29</v>
      </c>
      <c r="J4882" s="36">
        <v>45733</v>
      </c>
      <c r="K4882" s="24" t="s">
        <v>22</v>
      </c>
    </row>
    <row r="4883" spans="1:11" x14ac:dyDescent="0.2">
      <c r="A4883" s="27" t="s">
        <v>11700</v>
      </c>
      <c r="B4883" s="27" t="s">
        <v>11701</v>
      </c>
      <c r="C4883" s="27" t="s">
        <v>325</v>
      </c>
      <c r="D4883" s="27" t="s">
        <v>17</v>
      </c>
      <c r="E4883" s="27" t="s">
        <v>18</v>
      </c>
      <c r="F4883" s="27" t="s">
        <v>19</v>
      </c>
      <c r="G4883" s="27" t="s">
        <v>257</v>
      </c>
      <c r="H4883" s="29">
        <v>32</v>
      </c>
      <c r="I4883" s="27" t="s">
        <v>29</v>
      </c>
      <c r="J4883" s="37">
        <v>45728</v>
      </c>
      <c r="K4883" s="27" t="s">
        <v>22</v>
      </c>
    </row>
    <row r="4884" spans="1:11" x14ac:dyDescent="0.2">
      <c r="A4884" s="24" t="s">
        <v>11702</v>
      </c>
      <c r="B4884" s="24" t="s">
        <v>11703</v>
      </c>
      <c r="C4884" s="24" t="s">
        <v>3667</v>
      </c>
      <c r="D4884" s="24" t="s">
        <v>17</v>
      </c>
      <c r="E4884" s="24" t="s">
        <v>48</v>
      </c>
      <c r="F4884" s="24" t="s">
        <v>49</v>
      </c>
      <c r="G4884" s="24" t="s">
        <v>28</v>
      </c>
      <c r="H4884" s="26">
        <v>63</v>
      </c>
      <c r="I4884" s="24" t="s">
        <v>29</v>
      </c>
      <c r="J4884" s="36">
        <v>45730</v>
      </c>
      <c r="K4884" s="24" t="s">
        <v>22</v>
      </c>
    </row>
    <row r="4885" spans="1:11" x14ac:dyDescent="0.2">
      <c r="A4885" s="27" t="s">
        <v>11704</v>
      </c>
      <c r="B4885" s="27" t="s">
        <v>11705</v>
      </c>
      <c r="C4885" s="27" t="s">
        <v>97</v>
      </c>
      <c r="D4885" s="27" t="s">
        <v>17</v>
      </c>
      <c r="E4885" s="27" t="s">
        <v>42</v>
      </c>
      <c r="F4885" s="27" t="s">
        <v>43</v>
      </c>
      <c r="G4885" s="27" t="s">
        <v>28</v>
      </c>
      <c r="H4885" s="29">
        <v>11300</v>
      </c>
      <c r="I4885" s="27" t="s">
        <v>29</v>
      </c>
      <c r="J4885" s="37">
        <v>45730</v>
      </c>
      <c r="K4885" s="27" t="s">
        <v>22</v>
      </c>
    </row>
    <row r="4886" spans="1:11" x14ac:dyDescent="0.2">
      <c r="A4886" s="24" t="s">
        <v>11706</v>
      </c>
      <c r="B4886" s="24" t="s">
        <v>11707</v>
      </c>
      <c r="C4886" s="24" t="s">
        <v>2197</v>
      </c>
      <c r="D4886" s="24" t="s">
        <v>17</v>
      </c>
      <c r="E4886" s="24" t="s">
        <v>42</v>
      </c>
      <c r="F4886" s="24" t="s">
        <v>43</v>
      </c>
      <c r="G4886" s="24" t="s">
        <v>20</v>
      </c>
      <c r="H4886" s="26">
        <v>567</v>
      </c>
      <c r="I4886" s="24" t="s">
        <v>21</v>
      </c>
      <c r="J4886" s="36">
        <v>45742</v>
      </c>
      <c r="K4886" s="24" t="s">
        <v>22</v>
      </c>
    </row>
    <row r="4887" spans="1:11" x14ac:dyDescent="0.2">
      <c r="A4887" s="27" t="s">
        <v>11708</v>
      </c>
      <c r="B4887" s="27" t="s">
        <v>11709</v>
      </c>
      <c r="C4887" s="27" t="s">
        <v>11710</v>
      </c>
      <c r="D4887" s="27" t="s">
        <v>17</v>
      </c>
      <c r="E4887" s="27" t="s">
        <v>26</v>
      </c>
      <c r="F4887" s="27" t="s">
        <v>27</v>
      </c>
      <c r="G4887" s="27" t="s">
        <v>217</v>
      </c>
      <c r="H4887" s="29">
        <v>84</v>
      </c>
      <c r="I4887" s="27" t="s">
        <v>29</v>
      </c>
      <c r="J4887" s="37">
        <v>45747</v>
      </c>
      <c r="K4887" s="27" t="s">
        <v>22</v>
      </c>
    </row>
    <row r="4888" spans="1:11" x14ac:dyDescent="0.2">
      <c r="A4888" s="24" t="s">
        <v>11711</v>
      </c>
      <c r="B4888" s="24" t="s">
        <v>11712</v>
      </c>
      <c r="C4888" s="24" t="s">
        <v>11713</v>
      </c>
      <c r="D4888" s="24" t="s">
        <v>17</v>
      </c>
      <c r="E4888" s="24" t="s">
        <v>26</v>
      </c>
      <c r="F4888" s="24" t="s">
        <v>27</v>
      </c>
      <c r="G4888" s="24" t="s">
        <v>44</v>
      </c>
      <c r="H4888" s="26">
        <v>52</v>
      </c>
      <c r="I4888" s="24" t="s">
        <v>29</v>
      </c>
      <c r="J4888" s="36">
        <v>45719</v>
      </c>
      <c r="K4888" s="24" t="s">
        <v>22</v>
      </c>
    </row>
    <row r="4889" spans="1:11" x14ac:dyDescent="0.2">
      <c r="A4889" s="27" t="s">
        <v>11714</v>
      </c>
      <c r="B4889" s="27" t="s">
        <v>11715</v>
      </c>
      <c r="C4889" s="27" t="s">
        <v>11716</v>
      </c>
      <c r="D4889" s="27" t="s">
        <v>17</v>
      </c>
      <c r="E4889" s="27" t="s">
        <v>163</v>
      </c>
      <c r="F4889" s="27" t="s">
        <v>164</v>
      </c>
      <c r="G4889" s="27" t="s">
        <v>257</v>
      </c>
      <c r="H4889" s="29">
        <v>48</v>
      </c>
      <c r="I4889" s="27" t="s">
        <v>29</v>
      </c>
      <c r="J4889" s="37">
        <v>45720</v>
      </c>
      <c r="K4889" s="27" t="s">
        <v>22</v>
      </c>
    </row>
    <row r="4890" spans="1:11" x14ac:dyDescent="0.2">
      <c r="A4890" s="24" t="s">
        <v>11717</v>
      </c>
      <c r="B4890" s="24" t="s">
        <v>11718</v>
      </c>
      <c r="C4890" s="24" t="s">
        <v>11719</v>
      </c>
      <c r="D4890" s="24" t="s">
        <v>17</v>
      </c>
      <c r="E4890" s="24" t="s">
        <v>26</v>
      </c>
      <c r="F4890" s="24" t="s">
        <v>27</v>
      </c>
      <c r="G4890" s="24" t="s">
        <v>217</v>
      </c>
      <c r="H4890" s="26">
        <v>16</v>
      </c>
      <c r="I4890" s="24" t="s">
        <v>29</v>
      </c>
      <c r="J4890" s="36">
        <v>45717</v>
      </c>
      <c r="K4890" s="24" t="s">
        <v>22</v>
      </c>
    </row>
    <row r="4891" spans="1:11" x14ac:dyDescent="0.2">
      <c r="A4891" s="27" t="s">
        <v>11720</v>
      </c>
      <c r="B4891" s="27" t="s">
        <v>11721</v>
      </c>
      <c r="C4891" s="27" t="s">
        <v>6041</v>
      </c>
      <c r="D4891" s="27" t="s">
        <v>17</v>
      </c>
      <c r="E4891" s="27" t="s">
        <v>48</v>
      </c>
      <c r="F4891" s="27" t="s">
        <v>49</v>
      </c>
      <c r="G4891" s="27" t="s">
        <v>28</v>
      </c>
      <c r="H4891" s="29">
        <v>160</v>
      </c>
      <c r="I4891" s="27" t="s">
        <v>29</v>
      </c>
      <c r="J4891" s="37">
        <v>45736</v>
      </c>
      <c r="K4891" s="27" t="s">
        <v>22</v>
      </c>
    </row>
    <row r="4892" spans="1:11" x14ac:dyDescent="0.2">
      <c r="A4892" s="24" t="s">
        <v>11722</v>
      </c>
      <c r="B4892" s="24" t="s">
        <v>11723</v>
      </c>
      <c r="C4892" s="24" t="s">
        <v>11724</v>
      </c>
      <c r="D4892" s="24" t="s">
        <v>17</v>
      </c>
      <c r="E4892" s="24" t="s">
        <v>48</v>
      </c>
      <c r="F4892" s="24" t="s">
        <v>49</v>
      </c>
      <c r="G4892" s="24" t="s">
        <v>28</v>
      </c>
      <c r="H4892" s="26">
        <v>92</v>
      </c>
      <c r="I4892" s="24" t="s">
        <v>29</v>
      </c>
      <c r="J4892" s="36">
        <v>45720</v>
      </c>
      <c r="K4892" s="24" t="s">
        <v>22</v>
      </c>
    </row>
    <row r="4893" spans="1:11" x14ac:dyDescent="0.2">
      <c r="A4893" s="27" t="s">
        <v>11725</v>
      </c>
      <c r="B4893" s="27" t="s">
        <v>11726</v>
      </c>
      <c r="C4893" s="27" t="s">
        <v>55</v>
      </c>
      <c r="D4893" s="27" t="s">
        <v>17</v>
      </c>
      <c r="E4893" s="27" t="s">
        <v>18</v>
      </c>
      <c r="F4893" s="27" t="s">
        <v>19</v>
      </c>
      <c r="G4893" s="27" t="s">
        <v>20</v>
      </c>
      <c r="H4893" s="29">
        <v>14</v>
      </c>
      <c r="I4893" s="27" t="s">
        <v>21</v>
      </c>
      <c r="J4893" s="37">
        <v>45744</v>
      </c>
      <c r="K4893" s="27" t="s">
        <v>22</v>
      </c>
    </row>
    <row r="4894" spans="1:11" x14ac:dyDescent="0.2">
      <c r="A4894" s="24" t="s">
        <v>11727</v>
      </c>
      <c r="B4894" s="24" t="s">
        <v>11728</v>
      </c>
      <c r="C4894" s="24" t="s">
        <v>437</v>
      </c>
      <c r="D4894" s="24" t="s">
        <v>17</v>
      </c>
      <c r="E4894" s="24" t="s">
        <v>42</v>
      </c>
      <c r="F4894" s="24" t="s">
        <v>43</v>
      </c>
      <c r="G4894" s="24" t="s">
        <v>44</v>
      </c>
      <c r="H4894" s="26">
        <v>1105</v>
      </c>
      <c r="I4894" s="24" t="s">
        <v>21</v>
      </c>
      <c r="J4894" s="36">
        <v>45733</v>
      </c>
      <c r="K4894" s="24" t="s">
        <v>22</v>
      </c>
    </row>
    <row r="4895" spans="1:11" x14ac:dyDescent="0.2">
      <c r="A4895" s="27" t="s">
        <v>11729</v>
      </c>
      <c r="B4895" s="27" t="s">
        <v>11730</v>
      </c>
      <c r="C4895" s="27" t="s">
        <v>11731</v>
      </c>
      <c r="D4895" s="27" t="s">
        <v>17</v>
      </c>
      <c r="E4895" s="27" t="s">
        <v>18</v>
      </c>
      <c r="F4895" s="27" t="s">
        <v>19</v>
      </c>
      <c r="G4895" s="27" t="s">
        <v>28</v>
      </c>
      <c r="H4895" s="29">
        <v>50</v>
      </c>
      <c r="I4895" s="27" t="s">
        <v>29</v>
      </c>
      <c r="J4895" s="37">
        <v>45747</v>
      </c>
      <c r="K4895" s="27" t="s">
        <v>22</v>
      </c>
    </row>
    <row r="4896" spans="1:11" x14ac:dyDescent="0.2">
      <c r="A4896" s="24" t="s">
        <v>11732</v>
      </c>
      <c r="B4896" s="24" t="s">
        <v>11733</v>
      </c>
      <c r="C4896" s="24" t="s">
        <v>1307</v>
      </c>
      <c r="D4896" s="24" t="s">
        <v>17</v>
      </c>
      <c r="E4896" s="24" t="s">
        <v>18</v>
      </c>
      <c r="F4896" s="24" t="s">
        <v>19</v>
      </c>
      <c r="G4896" s="24" t="s">
        <v>20</v>
      </c>
      <c r="H4896" s="26">
        <v>82</v>
      </c>
      <c r="I4896" s="24" t="s">
        <v>21</v>
      </c>
      <c r="J4896" s="36">
        <v>45734</v>
      </c>
      <c r="K4896" s="24" t="s">
        <v>22</v>
      </c>
    </row>
    <row r="4897" spans="1:11" x14ac:dyDescent="0.2">
      <c r="A4897" s="27" t="s">
        <v>11734</v>
      </c>
      <c r="B4897" s="27" t="s">
        <v>11735</v>
      </c>
      <c r="C4897" s="27" t="s">
        <v>251</v>
      </c>
      <c r="D4897" s="27" t="s">
        <v>17</v>
      </c>
      <c r="E4897" s="27" t="s">
        <v>42</v>
      </c>
      <c r="F4897" s="27" t="s">
        <v>43</v>
      </c>
      <c r="G4897" s="27" t="s">
        <v>28</v>
      </c>
      <c r="H4897" s="29">
        <v>555</v>
      </c>
      <c r="I4897" s="27" t="s">
        <v>29</v>
      </c>
      <c r="J4897" s="37">
        <v>45736</v>
      </c>
      <c r="K4897" s="27" t="s">
        <v>22</v>
      </c>
    </row>
    <row r="4898" spans="1:11" x14ac:dyDescent="0.2">
      <c r="A4898" s="24" t="s">
        <v>11736</v>
      </c>
      <c r="B4898" s="24" t="s">
        <v>11737</v>
      </c>
      <c r="C4898" s="24" t="s">
        <v>11738</v>
      </c>
      <c r="D4898" s="24" t="s">
        <v>17</v>
      </c>
      <c r="E4898" s="24" t="s">
        <v>18</v>
      </c>
      <c r="F4898" s="24" t="s">
        <v>19</v>
      </c>
      <c r="G4898" s="24" t="s">
        <v>257</v>
      </c>
      <c r="H4898" s="26">
        <v>20</v>
      </c>
      <c r="I4898" s="24" t="s">
        <v>29</v>
      </c>
      <c r="J4898" s="36">
        <v>45736</v>
      </c>
      <c r="K4898" s="24" t="s">
        <v>22</v>
      </c>
    </row>
    <row r="4899" spans="1:11" x14ac:dyDescent="0.2">
      <c r="A4899" s="27" t="s">
        <v>11739</v>
      </c>
      <c r="B4899" s="27" t="s">
        <v>11740</v>
      </c>
      <c r="C4899" s="27" t="s">
        <v>6608</v>
      </c>
      <c r="D4899" s="27" t="s">
        <v>17</v>
      </c>
      <c r="E4899" s="27" t="s">
        <v>18</v>
      </c>
      <c r="F4899" s="27" t="s">
        <v>19</v>
      </c>
      <c r="G4899" s="27" t="s">
        <v>44</v>
      </c>
      <c r="H4899" s="29">
        <v>6</v>
      </c>
      <c r="I4899" s="27" t="s">
        <v>29</v>
      </c>
      <c r="J4899" s="37">
        <v>45734</v>
      </c>
      <c r="K4899" s="27" t="s">
        <v>22</v>
      </c>
    </row>
    <row r="4900" spans="1:11" x14ac:dyDescent="0.2">
      <c r="A4900" s="24" t="s">
        <v>11741</v>
      </c>
      <c r="B4900" s="24" t="s">
        <v>11742</v>
      </c>
      <c r="C4900" s="24" t="s">
        <v>11743</v>
      </c>
      <c r="D4900" s="24" t="s">
        <v>17</v>
      </c>
      <c r="E4900" s="24" t="s">
        <v>42</v>
      </c>
      <c r="F4900" s="24" t="s">
        <v>43</v>
      </c>
      <c r="G4900" s="24" t="s">
        <v>44</v>
      </c>
      <c r="H4900" s="26">
        <v>370</v>
      </c>
      <c r="I4900" s="24" t="s">
        <v>29</v>
      </c>
      <c r="J4900" s="36">
        <v>45729</v>
      </c>
      <c r="K4900" s="24" t="s">
        <v>22</v>
      </c>
    </row>
    <row r="4901" spans="1:11" x14ac:dyDescent="0.2">
      <c r="A4901" s="27" t="s">
        <v>11744</v>
      </c>
      <c r="B4901" s="27" t="s">
        <v>11745</v>
      </c>
      <c r="C4901" s="27" t="s">
        <v>10073</v>
      </c>
      <c r="D4901" s="27" t="s">
        <v>17</v>
      </c>
      <c r="E4901" s="27" t="s">
        <v>42</v>
      </c>
      <c r="F4901" s="27" t="s">
        <v>43</v>
      </c>
      <c r="G4901" s="27" t="s">
        <v>20</v>
      </c>
      <c r="H4901" s="29">
        <v>69</v>
      </c>
      <c r="I4901" s="27" t="s">
        <v>21</v>
      </c>
      <c r="J4901" s="37">
        <v>45747</v>
      </c>
      <c r="K4901" s="27" t="s">
        <v>22</v>
      </c>
    </row>
    <row r="4902" spans="1:11" x14ac:dyDescent="0.2">
      <c r="A4902" s="24" t="s">
        <v>11746</v>
      </c>
      <c r="B4902" s="24" t="s">
        <v>11747</v>
      </c>
      <c r="C4902" s="24" t="s">
        <v>11748</v>
      </c>
      <c r="D4902" s="24" t="s">
        <v>17</v>
      </c>
      <c r="E4902" s="24" t="s">
        <v>48</v>
      </c>
      <c r="F4902" s="24" t="s">
        <v>49</v>
      </c>
      <c r="G4902" s="24" t="s">
        <v>28</v>
      </c>
      <c r="H4902" s="26">
        <v>60</v>
      </c>
      <c r="I4902" s="24" t="s">
        <v>29</v>
      </c>
      <c r="J4902" s="36">
        <v>45717</v>
      </c>
      <c r="K4902" s="24" t="s">
        <v>22</v>
      </c>
    </row>
    <row r="4903" spans="1:11" x14ac:dyDescent="0.2">
      <c r="A4903" s="27" t="s">
        <v>11749</v>
      </c>
      <c r="B4903" s="27" t="s">
        <v>11750</v>
      </c>
      <c r="C4903" s="27" t="s">
        <v>653</v>
      </c>
      <c r="D4903" s="27" t="s">
        <v>17</v>
      </c>
      <c r="E4903" s="27" t="s">
        <v>26</v>
      </c>
      <c r="F4903" s="27" t="s">
        <v>27</v>
      </c>
      <c r="G4903" s="27" t="s">
        <v>217</v>
      </c>
      <c r="H4903" s="29">
        <v>30</v>
      </c>
      <c r="I4903" s="27" t="s">
        <v>29</v>
      </c>
      <c r="J4903" s="37">
        <v>45717</v>
      </c>
      <c r="K4903" s="27" t="s">
        <v>22</v>
      </c>
    </row>
    <row r="4904" spans="1:11" x14ac:dyDescent="0.2">
      <c r="A4904" s="24" t="s">
        <v>11751</v>
      </c>
      <c r="B4904" s="24" t="s">
        <v>11752</v>
      </c>
      <c r="C4904" s="24" t="s">
        <v>6274</v>
      </c>
      <c r="D4904" s="24" t="s">
        <v>17</v>
      </c>
      <c r="E4904" s="24" t="s">
        <v>18</v>
      </c>
      <c r="F4904" s="24" t="s">
        <v>19</v>
      </c>
      <c r="G4904" s="24" t="s">
        <v>28</v>
      </c>
      <c r="H4904" s="26">
        <v>188</v>
      </c>
      <c r="I4904" s="24" t="s">
        <v>29</v>
      </c>
      <c r="J4904" s="36">
        <v>45721</v>
      </c>
      <c r="K4904" s="24" t="s">
        <v>22</v>
      </c>
    </row>
    <row r="4905" spans="1:11" x14ac:dyDescent="0.2">
      <c r="A4905" s="27" t="s">
        <v>11753</v>
      </c>
      <c r="B4905" s="27" t="s">
        <v>11754</v>
      </c>
      <c r="C4905" s="27" t="s">
        <v>11755</v>
      </c>
      <c r="D4905" s="27" t="s">
        <v>17</v>
      </c>
      <c r="E4905" s="27" t="s">
        <v>42</v>
      </c>
      <c r="F4905" s="27" t="s">
        <v>43</v>
      </c>
      <c r="G4905" s="27" t="s">
        <v>217</v>
      </c>
      <c r="H4905" s="29">
        <v>474</v>
      </c>
      <c r="I4905" s="27" t="s">
        <v>29</v>
      </c>
      <c r="J4905" s="37">
        <v>45717</v>
      </c>
      <c r="K4905" s="27" t="s">
        <v>22</v>
      </c>
    </row>
    <row r="4906" spans="1:11" x14ac:dyDescent="0.2">
      <c r="A4906" s="24" t="s">
        <v>11756</v>
      </c>
      <c r="B4906" s="24" t="s">
        <v>11757</v>
      </c>
      <c r="C4906" s="24" t="s">
        <v>11377</v>
      </c>
      <c r="D4906" s="24" t="s">
        <v>17</v>
      </c>
      <c r="E4906" s="24" t="s">
        <v>42</v>
      </c>
      <c r="F4906" s="24" t="s">
        <v>43</v>
      </c>
      <c r="G4906" s="24" t="s">
        <v>116</v>
      </c>
      <c r="H4906" s="26">
        <v>0</v>
      </c>
      <c r="I4906" s="24" t="s">
        <v>21</v>
      </c>
      <c r="J4906" s="36">
        <v>45717</v>
      </c>
      <c r="K4906" s="24" t="s">
        <v>22</v>
      </c>
    </row>
    <row r="4907" spans="1:11" x14ac:dyDescent="0.2">
      <c r="A4907" s="27" t="s">
        <v>11758</v>
      </c>
      <c r="B4907" s="27" t="s">
        <v>11759</v>
      </c>
      <c r="C4907" s="27" t="s">
        <v>298</v>
      </c>
      <c r="D4907" s="27" t="s">
        <v>17</v>
      </c>
      <c r="E4907" s="27" t="s">
        <v>48</v>
      </c>
      <c r="F4907" s="27" t="s">
        <v>49</v>
      </c>
      <c r="G4907" s="27" t="s">
        <v>28</v>
      </c>
      <c r="H4907" s="29">
        <v>12</v>
      </c>
      <c r="I4907" s="27" t="s">
        <v>29</v>
      </c>
      <c r="J4907" s="37">
        <v>45742</v>
      </c>
      <c r="K4907" s="27" t="s">
        <v>22</v>
      </c>
    </row>
    <row r="4908" spans="1:11" x14ac:dyDescent="0.2">
      <c r="A4908" s="24" t="s">
        <v>11760</v>
      </c>
      <c r="B4908" s="24" t="s">
        <v>11761</v>
      </c>
      <c r="C4908" s="24" t="s">
        <v>4524</v>
      </c>
      <c r="D4908" s="24" t="s">
        <v>17</v>
      </c>
      <c r="E4908" s="24" t="s">
        <v>18</v>
      </c>
      <c r="F4908" s="24" t="s">
        <v>19</v>
      </c>
      <c r="G4908" s="24" t="s">
        <v>28</v>
      </c>
      <c r="H4908" s="26">
        <v>72</v>
      </c>
      <c r="I4908" s="24" t="s">
        <v>29</v>
      </c>
      <c r="J4908" s="36">
        <v>45724</v>
      </c>
      <c r="K4908" s="24" t="s">
        <v>22</v>
      </c>
    </row>
    <row r="4909" spans="1:11" x14ac:dyDescent="0.2">
      <c r="A4909" s="27" t="s">
        <v>11762</v>
      </c>
      <c r="B4909" s="27" t="s">
        <v>11763</v>
      </c>
      <c r="C4909" s="27" t="s">
        <v>2978</v>
      </c>
      <c r="D4909" s="27" t="s">
        <v>17</v>
      </c>
      <c r="E4909" s="27" t="s">
        <v>26</v>
      </c>
      <c r="F4909" s="27" t="s">
        <v>27</v>
      </c>
      <c r="G4909" s="27" t="s">
        <v>28</v>
      </c>
      <c r="H4909" s="29">
        <v>20</v>
      </c>
      <c r="I4909" s="27" t="s">
        <v>29</v>
      </c>
      <c r="J4909" s="37">
        <v>45729</v>
      </c>
      <c r="K4909" s="27" t="s">
        <v>22</v>
      </c>
    </row>
    <row r="4910" spans="1:11" x14ac:dyDescent="0.2">
      <c r="A4910" s="24" t="s">
        <v>11764</v>
      </c>
      <c r="B4910" s="24" t="s">
        <v>11765</v>
      </c>
      <c r="C4910" s="24" t="s">
        <v>1753</v>
      </c>
      <c r="D4910" s="24" t="s">
        <v>17</v>
      </c>
      <c r="E4910" s="24" t="s">
        <v>48</v>
      </c>
      <c r="F4910" s="24" t="s">
        <v>49</v>
      </c>
      <c r="G4910" s="24" t="s">
        <v>20</v>
      </c>
      <c r="H4910" s="26">
        <v>167</v>
      </c>
      <c r="I4910" s="24" t="s">
        <v>21</v>
      </c>
      <c r="J4910" s="36">
        <v>45723</v>
      </c>
      <c r="K4910" s="24" t="s">
        <v>22</v>
      </c>
    </row>
    <row r="4911" spans="1:11" x14ac:dyDescent="0.2">
      <c r="A4911" s="27" t="s">
        <v>11766</v>
      </c>
      <c r="B4911" s="27" t="s">
        <v>11767</v>
      </c>
      <c r="C4911" s="27" t="s">
        <v>11768</v>
      </c>
      <c r="D4911" s="27" t="s">
        <v>17</v>
      </c>
      <c r="E4911" s="27" t="s">
        <v>48</v>
      </c>
      <c r="F4911" s="27" t="s">
        <v>49</v>
      </c>
      <c r="G4911" s="27" t="s">
        <v>28</v>
      </c>
      <c r="H4911" s="29">
        <v>216</v>
      </c>
      <c r="I4911" s="27" t="s">
        <v>29</v>
      </c>
      <c r="J4911" s="37">
        <v>45742</v>
      </c>
      <c r="K4911" s="27" t="s">
        <v>22</v>
      </c>
    </row>
    <row r="4912" spans="1:11" x14ac:dyDescent="0.2">
      <c r="A4912" s="24" t="s">
        <v>11769</v>
      </c>
      <c r="B4912" s="24" t="s">
        <v>11770</v>
      </c>
      <c r="C4912" s="24" t="s">
        <v>11771</v>
      </c>
      <c r="D4912" s="24" t="s">
        <v>17</v>
      </c>
      <c r="E4912" s="24" t="s">
        <v>26</v>
      </c>
      <c r="F4912" s="24" t="s">
        <v>27</v>
      </c>
      <c r="G4912" s="24" t="s">
        <v>217</v>
      </c>
      <c r="H4912" s="26">
        <v>465</v>
      </c>
      <c r="I4912" s="24" t="s">
        <v>29</v>
      </c>
      <c r="J4912" s="36">
        <v>45717</v>
      </c>
      <c r="K4912" s="24" t="s">
        <v>22</v>
      </c>
    </row>
    <row r="4913" spans="1:11" x14ac:dyDescent="0.2">
      <c r="A4913" s="27" t="s">
        <v>11772</v>
      </c>
      <c r="B4913" s="27" t="s">
        <v>11773</v>
      </c>
      <c r="C4913" s="27" t="s">
        <v>11774</v>
      </c>
      <c r="D4913" s="27" t="s">
        <v>17</v>
      </c>
      <c r="E4913" s="27" t="s">
        <v>18</v>
      </c>
      <c r="F4913" s="27" t="s">
        <v>19</v>
      </c>
      <c r="G4913" s="27" t="s">
        <v>20</v>
      </c>
      <c r="H4913" s="29">
        <v>8</v>
      </c>
      <c r="I4913" s="27" t="s">
        <v>21</v>
      </c>
      <c r="J4913" s="37">
        <v>45736</v>
      </c>
      <c r="K4913" s="27" t="s">
        <v>22</v>
      </c>
    </row>
    <row r="4914" spans="1:11" x14ac:dyDescent="0.2">
      <c r="A4914" s="24" t="s">
        <v>11775</v>
      </c>
      <c r="B4914" s="24" t="s">
        <v>11776</v>
      </c>
      <c r="C4914" s="24" t="s">
        <v>7601</v>
      </c>
      <c r="D4914" s="24" t="s">
        <v>17</v>
      </c>
      <c r="E4914" s="24" t="s">
        <v>33</v>
      </c>
      <c r="F4914" s="24" t="s">
        <v>34</v>
      </c>
      <c r="G4914" s="24" t="s">
        <v>44</v>
      </c>
      <c r="H4914" s="26">
        <v>150</v>
      </c>
      <c r="I4914" s="24" t="s">
        <v>29</v>
      </c>
      <c r="J4914" s="36">
        <v>45741</v>
      </c>
      <c r="K4914" s="24" t="s">
        <v>22</v>
      </c>
    </row>
    <row r="4915" spans="1:11" x14ac:dyDescent="0.2">
      <c r="A4915" s="27" t="s">
        <v>11777</v>
      </c>
      <c r="B4915" s="27" t="s">
        <v>11778</v>
      </c>
      <c r="C4915" s="27" t="s">
        <v>11779</v>
      </c>
      <c r="D4915" s="27" t="s">
        <v>17</v>
      </c>
      <c r="E4915" s="27" t="s">
        <v>42</v>
      </c>
      <c r="F4915" s="27" t="s">
        <v>43</v>
      </c>
      <c r="G4915" s="27" t="s">
        <v>28</v>
      </c>
      <c r="H4915" s="29">
        <v>150</v>
      </c>
      <c r="I4915" s="27" t="s">
        <v>29</v>
      </c>
      <c r="J4915" s="37">
        <v>45734</v>
      </c>
      <c r="K4915" s="27" t="s">
        <v>22</v>
      </c>
    </row>
    <row r="4916" spans="1:11" x14ac:dyDescent="0.2">
      <c r="A4916" s="24" t="s">
        <v>11780</v>
      </c>
      <c r="B4916" s="24" t="s">
        <v>11781</v>
      </c>
      <c r="C4916" s="24" t="s">
        <v>5242</v>
      </c>
      <c r="D4916" s="24" t="s">
        <v>17</v>
      </c>
      <c r="E4916" s="24" t="s">
        <v>48</v>
      </c>
      <c r="F4916" s="24" t="s">
        <v>49</v>
      </c>
      <c r="G4916" s="24" t="s">
        <v>28</v>
      </c>
      <c r="H4916" s="26">
        <v>46</v>
      </c>
      <c r="I4916" s="24" t="s">
        <v>29</v>
      </c>
      <c r="J4916" s="36">
        <v>45737</v>
      </c>
      <c r="K4916" s="24" t="s">
        <v>22</v>
      </c>
    </row>
    <row r="4917" spans="1:11" x14ac:dyDescent="0.2">
      <c r="A4917" s="27" t="s">
        <v>11782</v>
      </c>
      <c r="B4917" s="27" t="s">
        <v>11783</v>
      </c>
      <c r="C4917" s="27" t="s">
        <v>11784</v>
      </c>
      <c r="D4917" s="27" t="s">
        <v>17</v>
      </c>
      <c r="E4917" s="27" t="s">
        <v>26</v>
      </c>
      <c r="F4917" s="27" t="s">
        <v>27</v>
      </c>
      <c r="G4917" s="27" t="s">
        <v>20</v>
      </c>
      <c r="H4917" s="29">
        <v>8</v>
      </c>
      <c r="I4917" s="27" t="s">
        <v>21</v>
      </c>
      <c r="J4917" s="37">
        <v>45728</v>
      </c>
      <c r="K4917" s="27" t="s">
        <v>22</v>
      </c>
    </row>
    <row r="4918" spans="1:11" x14ac:dyDescent="0.2">
      <c r="A4918" s="24" t="s">
        <v>11785</v>
      </c>
      <c r="B4918" s="24" t="s">
        <v>11786</v>
      </c>
      <c r="C4918" s="24" t="s">
        <v>97</v>
      </c>
      <c r="D4918" s="24" t="s">
        <v>17</v>
      </c>
      <c r="E4918" s="24" t="s">
        <v>42</v>
      </c>
      <c r="F4918" s="24" t="s">
        <v>43</v>
      </c>
      <c r="G4918" s="24" t="s">
        <v>28</v>
      </c>
      <c r="H4918" s="26">
        <v>990</v>
      </c>
      <c r="I4918" s="24" t="s">
        <v>29</v>
      </c>
      <c r="J4918" s="36">
        <v>45741</v>
      </c>
      <c r="K4918" s="24" t="s">
        <v>22</v>
      </c>
    </row>
    <row r="4919" spans="1:11" x14ac:dyDescent="0.2">
      <c r="A4919" s="27" t="s">
        <v>11787</v>
      </c>
      <c r="B4919" s="27" t="s">
        <v>11788</v>
      </c>
      <c r="C4919" s="27" t="s">
        <v>3239</v>
      </c>
      <c r="D4919" s="27" t="s">
        <v>17</v>
      </c>
      <c r="E4919" s="27" t="s">
        <v>42</v>
      </c>
      <c r="F4919" s="27" t="s">
        <v>43</v>
      </c>
      <c r="G4919" s="27" t="s">
        <v>28</v>
      </c>
      <c r="H4919" s="29">
        <v>228</v>
      </c>
      <c r="I4919" s="27" t="s">
        <v>29</v>
      </c>
      <c r="J4919" s="37">
        <v>45736</v>
      </c>
      <c r="K4919" s="27" t="s">
        <v>22</v>
      </c>
    </row>
    <row r="4920" spans="1:11" x14ac:dyDescent="0.2">
      <c r="A4920" s="24" t="s">
        <v>11789</v>
      </c>
      <c r="B4920" s="24" t="s">
        <v>11790</v>
      </c>
      <c r="C4920" s="24" t="s">
        <v>437</v>
      </c>
      <c r="D4920" s="24" t="s">
        <v>17</v>
      </c>
      <c r="E4920" s="24" t="s">
        <v>42</v>
      </c>
      <c r="F4920" s="24" t="s">
        <v>43</v>
      </c>
      <c r="G4920" s="24" t="s">
        <v>44</v>
      </c>
      <c r="H4920" s="26">
        <v>3853</v>
      </c>
      <c r="I4920" s="24" t="s">
        <v>21</v>
      </c>
      <c r="J4920" s="36">
        <v>45728</v>
      </c>
      <c r="K4920" s="24" t="s">
        <v>22</v>
      </c>
    </row>
    <row r="4921" spans="1:11" x14ac:dyDescent="0.2">
      <c r="A4921" s="27" t="s">
        <v>11791</v>
      </c>
      <c r="B4921" s="27" t="s">
        <v>11792</v>
      </c>
      <c r="C4921" s="27" t="s">
        <v>7744</v>
      </c>
      <c r="D4921" s="27" t="s">
        <v>17</v>
      </c>
      <c r="E4921" s="27" t="s">
        <v>18</v>
      </c>
      <c r="F4921" s="27" t="s">
        <v>19</v>
      </c>
      <c r="G4921" s="27" t="s">
        <v>28</v>
      </c>
      <c r="H4921" s="29">
        <v>90</v>
      </c>
      <c r="I4921" s="27" t="s">
        <v>29</v>
      </c>
      <c r="J4921" s="37">
        <v>45737</v>
      </c>
      <c r="K4921" s="27" t="s">
        <v>22</v>
      </c>
    </row>
    <row r="4922" spans="1:11" x14ac:dyDescent="0.2">
      <c r="A4922" s="24" t="s">
        <v>11793</v>
      </c>
      <c r="B4922" s="24" t="s">
        <v>11794</v>
      </c>
      <c r="C4922" s="24" t="s">
        <v>230</v>
      </c>
      <c r="D4922" s="24" t="s">
        <v>17</v>
      </c>
      <c r="E4922" s="24" t="s">
        <v>18</v>
      </c>
      <c r="F4922" s="24" t="s">
        <v>19</v>
      </c>
      <c r="G4922" s="24" t="s">
        <v>44</v>
      </c>
      <c r="H4922" s="26">
        <v>200</v>
      </c>
      <c r="I4922" s="24" t="s">
        <v>29</v>
      </c>
      <c r="J4922" s="36">
        <v>45741</v>
      </c>
      <c r="K4922" s="24" t="s">
        <v>22</v>
      </c>
    </row>
    <row r="4923" spans="1:11" x14ac:dyDescent="0.2">
      <c r="A4923" s="27" t="s">
        <v>11795</v>
      </c>
      <c r="B4923" s="27" t="s">
        <v>11796</v>
      </c>
      <c r="C4923" s="27" t="s">
        <v>8220</v>
      </c>
      <c r="D4923" s="27" t="s">
        <v>17</v>
      </c>
      <c r="E4923" s="27" t="s">
        <v>18</v>
      </c>
      <c r="F4923" s="27" t="s">
        <v>19</v>
      </c>
      <c r="G4923" s="27" t="s">
        <v>28</v>
      </c>
      <c r="H4923" s="29">
        <v>71</v>
      </c>
      <c r="I4923" s="27" t="s">
        <v>29</v>
      </c>
      <c r="J4923" s="37">
        <v>45741</v>
      </c>
      <c r="K4923" s="27" t="s">
        <v>22</v>
      </c>
    </row>
    <row r="4924" spans="1:11" x14ac:dyDescent="0.2">
      <c r="A4924" s="24" t="s">
        <v>11797</v>
      </c>
      <c r="B4924" s="24" t="s">
        <v>11798</v>
      </c>
      <c r="C4924" s="24" t="s">
        <v>55</v>
      </c>
      <c r="D4924" s="24" t="s">
        <v>17</v>
      </c>
      <c r="E4924" s="24" t="s">
        <v>42</v>
      </c>
      <c r="F4924" s="24" t="s">
        <v>43</v>
      </c>
      <c r="G4924" s="24" t="s">
        <v>28</v>
      </c>
      <c r="H4924" s="26">
        <v>1000</v>
      </c>
      <c r="I4924" s="24" t="s">
        <v>29</v>
      </c>
      <c r="J4924" s="36">
        <v>45732</v>
      </c>
      <c r="K4924" s="24" t="s">
        <v>22</v>
      </c>
    </row>
    <row r="4925" spans="1:11" x14ac:dyDescent="0.2">
      <c r="A4925" s="27" t="s">
        <v>11799</v>
      </c>
      <c r="B4925" s="27" t="s">
        <v>11800</v>
      </c>
      <c r="C4925" s="27" t="s">
        <v>4891</v>
      </c>
      <c r="D4925" s="27" t="s">
        <v>17</v>
      </c>
      <c r="E4925" s="27" t="s">
        <v>48</v>
      </c>
      <c r="F4925" s="27" t="s">
        <v>49</v>
      </c>
      <c r="G4925" s="27" t="s">
        <v>217</v>
      </c>
      <c r="H4925" s="29">
        <v>55</v>
      </c>
      <c r="I4925" s="27" t="s">
        <v>29</v>
      </c>
      <c r="J4925" s="37">
        <v>45717</v>
      </c>
      <c r="K4925" s="27" t="s">
        <v>22</v>
      </c>
    </row>
    <row r="4926" spans="1:11" x14ac:dyDescent="0.2">
      <c r="A4926" s="24" t="s">
        <v>11801</v>
      </c>
      <c r="B4926" s="24" t="s">
        <v>11802</v>
      </c>
      <c r="C4926" s="24" t="s">
        <v>1509</v>
      </c>
      <c r="D4926" s="24" t="s">
        <v>17</v>
      </c>
      <c r="E4926" s="24" t="s">
        <v>48</v>
      </c>
      <c r="F4926" s="24" t="s">
        <v>49</v>
      </c>
      <c r="G4926" s="24" t="s">
        <v>20</v>
      </c>
      <c r="H4926" s="26">
        <v>75</v>
      </c>
      <c r="I4926" s="24" t="s">
        <v>21</v>
      </c>
      <c r="J4926" s="36">
        <v>45734</v>
      </c>
      <c r="K4926" s="24" t="s">
        <v>22</v>
      </c>
    </row>
    <row r="4927" spans="1:11" x14ac:dyDescent="0.2">
      <c r="A4927" s="27" t="s">
        <v>11803</v>
      </c>
      <c r="B4927" s="27" t="s">
        <v>11804</v>
      </c>
      <c r="C4927" s="27" t="s">
        <v>203</v>
      </c>
      <c r="D4927" s="27" t="s">
        <v>17</v>
      </c>
      <c r="E4927" s="27" t="s">
        <v>48</v>
      </c>
      <c r="F4927" s="27" t="s">
        <v>49</v>
      </c>
      <c r="G4927" s="27" t="s">
        <v>28</v>
      </c>
      <c r="H4927" s="29">
        <v>160</v>
      </c>
      <c r="I4927" s="27" t="s">
        <v>29</v>
      </c>
      <c r="J4927" s="37">
        <v>45742</v>
      </c>
      <c r="K4927" s="27" t="s">
        <v>22</v>
      </c>
    </row>
    <row r="4928" spans="1:11" x14ac:dyDescent="0.2">
      <c r="A4928" s="24" t="s">
        <v>11805</v>
      </c>
      <c r="B4928" s="24" t="s">
        <v>11806</v>
      </c>
      <c r="C4928" s="24" t="s">
        <v>11807</v>
      </c>
      <c r="D4928" s="24" t="s">
        <v>17</v>
      </c>
      <c r="E4928" s="24" t="s">
        <v>18</v>
      </c>
      <c r="F4928" s="24" t="s">
        <v>19</v>
      </c>
      <c r="G4928" s="24" t="s">
        <v>20</v>
      </c>
      <c r="H4928" s="26">
        <v>64</v>
      </c>
      <c r="I4928" s="24" t="s">
        <v>21</v>
      </c>
      <c r="J4928" s="36">
        <v>45740</v>
      </c>
      <c r="K4928" s="24" t="s">
        <v>22</v>
      </c>
    </row>
    <row r="4929" spans="1:11" x14ac:dyDescent="0.2">
      <c r="A4929" s="27" t="s">
        <v>11808</v>
      </c>
      <c r="B4929" s="27" t="s">
        <v>11809</v>
      </c>
      <c r="C4929" s="27" t="s">
        <v>106</v>
      </c>
      <c r="D4929" s="27" t="s">
        <v>17</v>
      </c>
      <c r="E4929" s="27" t="s">
        <v>18</v>
      </c>
      <c r="F4929" s="27" t="s">
        <v>19</v>
      </c>
      <c r="G4929" s="27" t="s">
        <v>28</v>
      </c>
      <c r="H4929" s="29">
        <v>60</v>
      </c>
      <c r="I4929" s="27" t="s">
        <v>29</v>
      </c>
      <c r="J4929" s="37">
        <v>45742</v>
      </c>
      <c r="K4929" s="27" t="s">
        <v>22</v>
      </c>
    </row>
    <row r="4930" spans="1:11" x14ac:dyDescent="0.2">
      <c r="A4930" s="24" t="s">
        <v>11810</v>
      </c>
      <c r="B4930" s="24" t="s">
        <v>11811</v>
      </c>
      <c r="C4930" s="24" t="s">
        <v>705</v>
      </c>
      <c r="D4930" s="24" t="s">
        <v>17</v>
      </c>
      <c r="E4930" s="24" t="s">
        <v>42</v>
      </c>
      <c r="F4930" s="24" t="s">
        <v>43</v>
      </c>
      <c r="G4930" s="24" t="s">
        <v>28</v>
      </c>
      <c r="H4930" s="26">
        <v>383</v>
      </c>
      <c r="I4930" s="24" t="s">
        <v>29</v>
      </c>
      <c r="J4930" s="36">
        <v>45736</v>
      </c>
      <c r="K4930" s="24" t="s">
        <v>22</v>
      </c>
    </row>
    <row r="4931" spans="1:11" x14ac:dyDescent="0.2">
      <c r="A4931" s="27" t="s">
        <v>11812</v>
      </c>
      <c r="B4931" s="27" t="s">
        <v>11813</v>
      </c>
      <c r="C4931" s="27" t="s">
        <v>349</v>
      </c>
      <c r="D4931" s="27" t="s">
        <v>17</v>
      </c>
      <c r="E4931" s="27" t="s">
        <v>42</v>
      </c>
      <c r="F4931" s="27" t="s">
        <v>43</v>
      </c>
      <c r="G4931" s="27" t="s">
        <v>28</v>
      </c>
      <c r="H4931" s="29">
        <v>123</v>
      </c>
      <c r="I4931" s="27" t="s">
        <v>29</v>
      </c>
      <c r="J4931" s="37">
        <v>45731</v>
      </c>
      <c r="K4931" s="27" t="s">
        <v>22</v>
      </c>
    </row>
    <row r="4932" spans="1:11" x14ac:dyDescent="0.2">
      <c r="A4932" s="24" t="s">
        <v>11814</v>
      </c>
      <c r="B4932" s="24" t="s">
        <v>11815</v>
      </c>
      <c r="C4932" s="24" t="s">
        <v>512</v>
      </c>
      <c r="D4932" s="24" t="s">
        <v>17</v>
      </c>
      <c r="E4932" s="24" t="s">
        <v>18</v>
      </c>
      <c r="F4932" s="24" t="s">
        <v>19</v>
      </c>
      <c r="G4932" s="24" t="s">
        <v>28</v>
      </c>
      <c r="H4932" s="26">
        <v>15</v>
      </c>
      <c r="I4932" s="24" t="s">
        <v>29</v>
      </c>
      <c r="J4932" s="36">
        <v>45743</v>
      </c>
      <c r="K4932" s="24" t="s">
        <v>22</v>
      </c>
    </row>
    <row r="4933" spans="1:11" x14ac:dyDescent="0.2">
      <c r="A4933" s="27" t="s">
        <v>11816</v>
      </c>
      <c r="B4933" s="27" t="s">
        <v>11817</v>
      </c>
      <c r="C4933" s="27" t="s">
        <v>11818</v>
      </c>
      <c r="D4933" s="27" t="s">
        <v>17</v>
      </c>
      <c r="E4933" s="27" t="s">
        <v>18</v>
      </c>
      <c r="F4933" s="27" t="s">
        <v>19</v>
      </c>
      <c r="G4933" s="27" t="s">
        <v>20</v>
      </c>
      <c r="H4933" s="29">
        <v>47</v>
      </c>
      <c r="I4933" s="27" t="s">
        <v>21</v>
      </c>
      <c r="J4933" s="37">
        <v>45736</v>
      </c>
      <c r="K4933" s="27" t="s">
        <v>22</v>
      </c>
    </row>
    <row r="4934" spans="1:11" x14ac:dyDescent="0.2">
      <c r="A4934" s="24" t="s">
        <v>11819</v>
      </c>
      <c r="B4934" s="24" t="s">
        <v>11820</v>
      </c>
      <c r="C4934" s="24" t="s">
        <v>11821</v>
      </c>
      <c r="D4934" s="24" t="s">
        <v>17</v>
      </c>
      <c r="E4934" s="24" t="s">
        <v>18</v>
      </c>
      <c r="F4934" s="24" t="s">
        <v>19</v>
      </c>
      <c r="G4934" s="24" t="s">
        <v>28</v>
      </c>
      <c r="H4934" s="26">
        <v>40</v>
      </c>
      <c r="I4934" s="24" t="s">
        <v>29</v>
      </c>
      <c r="J4934" s="36">
        <v>45741</v>
      </c>
      <c r="K4934" s="24" t="s">
        <v>22</v>
      </c>
    </row>
    <row r="4935" spans="1:11" x14ac:dyDescent="0.2">
      <c r="A4935" s="27" t="s">
        <v>11822</v>
      </c>
      <c r="B4935" s="27" t="s">
        <v>11823</v>
      </c>
      <c r="C4935" s="27" t="s">
        <v>11824</v>
      </c>
      <c r="D4935" s="27" t="s">
        <v>17</v>
      </c>
      <c r="E4935" s="27" t="s">
        <v>18</v>
      </c>
      <c r="F4935" s="27" t="s">
        <v>19</v>
      </c>
      <c r="G4935" s="27" t="s">
        <v>28</v>
      </c>
      <c r="H4935" s="29">
        <v>96</v>
      </c>
      <c r="I4935" s="27" t="s">
        <v>29</v>
      </c>
      <c r="J4935" s="37">
        <v>45717</v>
      </c>
      <c r="K4935" s="27" t="s">
        <v>22</v>
      </c>
    </row>
    <row r="4936" spans="1:11" x14ac:dyDescent="0.2">
      <c r="A4936" s="24" t="s">
        <v>11825</v>
      </c>
      <c r="B4936" s="24" t="s">
        <v>11826</v>
      </c>
      <c r="C4936" s="24" t="s">
        <v>55</v>
      </c>
      <c r="D4936" s="24" t="s">
        <v>17</v>
      </c>
      <c r="E4936" s="24" t="s">
        <v>48</v>
      </c>
      <c r="F4936" s="24" t="s">
        <v>49</v>
      </c>
      <c r="G4936" s="24" t="s">
        <v>28</v>
      </c>
      <c r="H4936" s="26">
        <v>372</v>
      </c>
      <c r="I4936" s="24" t="s">
        <v>29</v>
      </c>
      <c r="J4936" s="36">
        <v>45736</v>
      </c>
      <c r="K4936" s="24" t="s">
        <v>22</v>
      </c>
    </row>
    <row r="4937" spans="1:11" x14ac:dyDescent="0.2">
      <c r="A4937" s="27" t="s">
        <v>11827</v>
      </c>
      <c r="B4937" s="27" t="s">
        <v>11828</v>
      </c>
      <c r="C4937" s="27" t="s">
        <v>500</v>
      </c>
      <c r="D4937" s="27" t="s">
        <v>17</v>
      </c>
      <c r="E4937" s="27" t="s">
        <v>18</v>
      </c>
      <c r="F4937" s="27" t="s">
        <v>19</v>
      </c>
      <c r="G4937" s="27" t="s">
        <v>20</v>
      </c>
      <c r="H4937" s="29">
        <v>40</v>
      </c>
      <c r="I4937" s="27" t="s">
        <v>21</v>
      </c>
      <c r="J4937" s="37">
        <v>45724</v>
      </c>
      <c r="K4937" s="27" t="s">
        <v>22</v>
      </c>
    </row>
    <row r="4938" spans="1:11" x14ac:dyDescent="0.2">
      <c r="A4938" s="24" t="s">
        <v>11829</v>
      </c>
      <c r="B4938" s="24" t="s">
        <v>11830</v>
      </c>
      <c r="C4938" s="24" t="s">
        <v>3847</v>
      </c>
      <c r="D4938" s="24" t="s">
        <v>17</v>
      </c>
      <c r="E4938" s="24" t="s">
        <v>18</v>
      </c>
      <c r="F4938" s="24" t="s">
        <v>19</v>
      </c>
      <c r="G4938" s="24" t="s">
        <v>28</v>
      </c>
      <c r="H4938" s="26">
        <v>96</v>
      </c>
      <c r="I4938" s="24" t="s">
        <v>29</v>
      </c>
      <c r="J4938" s="36">
        <v>45722</v>
      </c>
      <c r="K4938" s="24" t="s">
        <v>22</v>
      </c>
    </row>
    <row r="4939" spans="1:11" x14ac:dyDescent="0.2">
      <c r="A4939" s="27" t="s">
        <v>11831</v>
      </c>
      <c r="B4939" s="27" t="s">
        <v>11832</v>
      </c>
      <c r="C4939" s="27" t="s">
        <v>526</v>
      </c>
      <c r="D4939" s="27" t="s">
        <v>17</v>
      </c>
      <c r="E4939" s="27" t="s">
        <v>18</v>
      </c>
      <c r="F4939" s="27" t="s">
        <v>19</v>
      </c>
      <c r="G4939" s="27" t="s">
        <v>20</v>
      </c>
      <c r="H4939" s="29">
        <v>125</v>
      </c>
      <c r="I4939" s="27" t="s">
        <v>21</v>
      </c>
      <c r="J4939" s="37">
        <v>45741</v>
      </c>
      <c r="K4939" s="27" t="s">
        <v>22</v>
      </c>
    </row>
    <row r="4940" spans="1:11" x14ac:dyDescent="0.2">
      <c r="A4940" s="24" t="s">
        <v>11833</v>
      </c>
      <c r="B4940" s="24" t="s">
        <v>11834</v>
      </c>
      <c r="C4940" s="24" t="s">
        <v>7864</v>
      </c>
      <c r="D4940" s="24" t="s">
        <v>17</v>
      </c>
      <c r="E4940" s="24" t="s">
        <v>18</v>
      </c>
      <c r="F4940" s="24" t="s">
        <v>19</v>
      </c>
      <c r="G4940" s="24" t="s">
        <v>20</v>
      </c>
      <c r="H4940" s="26">
        <v>28</v>
      </c>
      <c r="I4940" s="24" t="s">
        <v>21</v>
      </c>
      <c r="J4940" s="36">
        <v>45740</v>
      </c>
      <c r="K4940" s="24" t="s">
        <v>22</v>
      </c>
    </row>
    <row r="4941" spans="1:11" x14ac:dyDescent="0.2">
      <c r="A4941" s="27" t="s">
        <v>11835</v>
      </c>
      <c r="B4941" s="27" t="s">
        <v>11836</v>
      </c>
      <c r="C4941" s="27" t="s">
        <v>11837</v>
      </c>
      <c r="D4941" s="27" t="s">
        <v>17</v>
      </c>
      <c r="E4941" s="27" t="s">
        <v>42</v>
      </c>
      <c r="F4941" s="27" t="s">
        <v>43</v>
      </c>
      <c r="G4941" s="27" t="s">
        <v>217</v>
      </c>
      <c r="H4941" s="29">
        <v>45</v>
      </c>
      <c r="I4941" s="27" t="s">
        <v>29</v>
      </c>
      <c r="J4941" s="37">
        <v>45717</v>
      </c>
      <c r="K4941" s="27" t="s">
        <v>22</v>
      </c>
    </row>
    <row r="4942" spans="1:11" x14ac:dyDescent="0.2">
      <c r="A4942" s="24" t="s">
        <v>11838</v>
      </c>
      <c r="B4942" s="24" t="s">
        <v>11839</v>
      </c>
      <c r="C4942" s="24" t="s">
        <v>55</v>
      </c>
      <c r="D4942" s="24" t="s">
        <v>17</v>
      </c>
      <c r="E4942" s="24" t="s">
        <v>48</v>
      </c>
      <c r="F4942" s="24" t="s">
        <v>49</v>
      </c>
      <c r="G4942" s="24" t="s">
        <v>116</v>
      </c>
      <c r="H4942" s="26">
        <v>0</v>
      </c>
      <c r="I4942" s="24" t="s">
        <v>21</v>
      </c>
      <c r="J4942" s="36">
        <v>45742</v>
      </c>
      <c r="K4942" s="24" t="s">
        <v>22</v>
      </c>
    </row>
    <row r="4943" spans="1:11" x14ac:dyDescent="0.2">
      <c r="A4943" s="27" t="s">
        <v>11840</v>
      </c>
      <c r="B4943" s="27" t="s">
        <v>11841</v>
      </c>
      <c r="C4943" s="27" t="s">
        <v>97</v>
      </c>
      <c r="D4943" s="27" t="s">
        <v>17</v>
      </c>
      <c r="E4943" s="27" t="s">
        <v>48</v>
      </c>
      <c r="F4943" s="27" t="s">
        <v>49</v>
      </c>
      <c r="G4943" s="27" t="s">
        <v>28</v>
      </c>
      <c r="H4943" s="29">
        <v>96</v>
      </c>
      <c r="I4943" s="27" t="s">
        <v>29</v>
      </c>
      <c r="J4943" s="37">
        <v>45721</v>
      </c>
      <c r="K4943" s="27" t="s">
        <v>22</v>
      </c>
    </row>
    <row r="4944" spans="1:11" x14ac:dyDescent="0.2">
      <c r="A4944" s="24" t="s">
        <v>11842</v>
      </c>
      <c r="B4944" s="24" t="s">
        <v>11843</v>
      </c>
      <c r="C4944" s="24" t="s">
        <v>9241</v>
      </c>
      <c r="D4944" s="24" t="s">
        <v>17</v>
      </c>
      <c r="E4944" s="24" t="s">
        <v>42</v>
      </c>
      <c r="F4944" s="24" t="s">
        <v>43</v>
      </c>
      <c r="G4944" s="24" t="s">
        <v>227</v>
      </c>
      <c r="H4944" s="26">
        <v>460</v>
      </c>
      <c r="I4944" s="24" t="s">
        <v>29</v>
      </c>
      <c r="J4944" s="36">
        <v>45734</v>
      </c>
      <c r="K4944" s="24" t="s">
        <v>22</v>
      </c>
    </row>
    <row r="4945" spans="1:11" x14ac:dyDescent="0.2">
      <c r="A4945" s="27" t="s">
        <v>11844</v>
      </c>
      <c r="B4945" s="27" t="s">
        <v>11845</v>
      </c>
      <c r="C4945" s="27" t="s">
        <v>6457</v>
      </c>
      <c r="D4945" s="27" t="s">
        <v>17</v>
      </c>
      <c r="E4945" s="27" t="s">
        <v>42</v>
      </c>
      <c r="F4945" s="27" t="s">
        <v>43</v>
      </c>
      <c r="G4945" s="27" t="s">
        <v>28</v>
      </c>
      <c r="H4945" s="29">
        <v>380</v>
      </c>
      <c r="I4945" s="27" t="s">
        <v>29</v>
      </c>
      <c r="J4945" s="37">
        <v>45746</v>
      </c>
      <c r="K4945" s="27" t="s">
        <v>22</v>
      </c>
    </row>
    <row r="4946" spans="1:11" x14ac:dyDescent="0.2">
      <c r="A4946" s="24" t="s">
        <v>11846</v>
      </c>
      <c r="B4946" s="24" t="s">
        <v>11847</v>
      </c>
      <c r="C4946" s="24" t="s">
        <v>7507</v>
      </c>
      <c r="D4946" s="24" t="s">
        <v>17</v>
      </c>
      <c r="E4946" s="24" t="s">
        <v>18</v>
      </c>
      <c r="F4946" s="24" t="s">
        <v>19</v>
      </c>
      <c r="G4946" s="24" t="s">
        <v>28</v>
      </c>
      <c r="H4946" s="26">
        <v>48</v>
      </c>
      <c r="I4946" s="24" t="s">
        <v>29</v>
      </c>
      <c r="J4946" s="36">
        <v>45723</v>
      </c>
      <c r="K4946" s="24" t="s">
        <v>22</v>
      </c>
    </row>
    <row r="4947" spans="1:11" x14ac:dyDescent="0.2">
      <c r="A4947" s="27" t="s">
        <v>11848</v>
      </c>
      <c r="B4947" s="27" t="s">
        <v>11849</v>
      </c>
      <c r="C4947" s="27" t="s">
        <v>2045</v>
      </c>
      <c r="D4947" s="27" t="s">
        <v>17</v>
      </c>
      <c r="E4947" s="27" t="s">
        <v>48</v>
      </c>
      <c r="F4947" s="27" t="s">
        <v>49</v>
      </c>
      <c r="G4947" s="27" t="s">
        <v>28</v>
      </c>
      <c r="H4947" s="29">
        <v>48</v>
      </c>
      <c r="I4947" s="27" t="s">
        <v>29</v>
      </c>
      <c r="J4947" s="37">
        <v>45747</v>
      </c>
      <c r="K4947" s="27" t="s">
        <v>22</v>
      </c>
    </row>
    <row r="4948" spans="1:11" x14ac:dyDescent="0.2">
      <c r="A4948" s="24" t="s">
        <v>11850</v>
      </c>
      <c r="B4948" s="24" t="s">
        <v>11851</v>
      </c>
      <c r="C4948" s="24" t="s">
        <v>7902</v>
      </c>
      <c r="D4948" s="24" t="s">
        <v>17</v>
      </c>
      <c r="E4948" s="24" t="s">
        <v>18</v>
      </c>
      <c r="F4948" s="24" t="s">
        <v>19</v>
      </c>
      <c r="G4948" s="24" t="s">
        <v>44</v>
      </c>
      <c r="H4948" s="26">
        <v>60</v>
      </c>
      <c r="I4948" s="24" t="s">
        <v>29</v>
      </c>
      <c r="J4948" s="36">
        <v>45719</v>
      </c>
      <c r="K4948" s="24" t="s">
        <v>22</v>
      </c>
    </row>
    <row r="4949" spans="1:11" x14ac:dyDescent="0.2">
      <c r="A4949" s="27" t="s">
        <v>11852</v>
      </c>
      <c r="B4949" s="27" t="s">
        <v>11853</v>
      </c>
      <c r="C4949" s="27" t="s">
        <v>2257</v>
      </c>
      <c r="D4949" s="27" t="s">
        <v>17</v>
      </c>
      <c r="E4949" s="27" t="s">
        <v>18</v>
      </c>
      <c r="F4949" s="27" t="s">
        <v>19</v>
      </c>
      <c r="G4949" s="27" t="s">
        <v>28</v>
      </c>
      <c r="H4949" s="29">
        <v>200</v>
      </c>
      <c r="I4949" s="27" t="s">
        <v>29</v>
      </c>
      <c r="J4949" s="37">
        <v>45747</v>
      </c>
      <c r="K4949" s="27" t="s">
        <v>22</v>
      </c>
    </row>
    <row r="4950" spans="1:11" x14ac:dyDescent="0.2">
      <c r="A4950" s="24" t="s">
        <v>11854</v>
      </c>
      <c r="B4950" s="24" t="s">
        <v>11855</v>
      </c>
      <c r="C4950" s="24" t="s">
        <v>1398</v>
      </c>
      <c r="D4950" s="24" t="s">
        <v>17</v>
      </c>
      <c r="E4950" s="24" t="s">
        <v>18</v>
      </c>
      <c r="F4950" s="24" t="s">
        <v>19</v>
      </c>
      <c r="G4950" s="24" t="s">
        <v>28</v>
      </c>
      <c r="H4950" s="26">
        <v>205</v>
      </c>
      <c r="I4950" s="24" t="s">
        <v>29</v>
      </c>
      <c r="J4950" s="36">
        <v>45741</v>
      </c>
      <c r="K4950" s="24" t="s">
        <v>22</v>
      </c>
    </row>
    <row r="4951" spans="1:11" x14ac:dyDescent="0.2">
      <c r="A4951" s="27" t="s">
        <v>11856</v>
      </c>
      <c r="B4951" s="27" t="s">
        <v>11857</v>
      </c>
      <c r="C4951" s="27" t="s">
        <v>583</v>
      </c>
      <c r="D4951" s="27" t="s">
        <v>17</v>
      </c>
      <c r="E4951" s="27" t="s">
        <v>48</v>
      </c>
      <c r="F4951" s="27" t="s">
        <v>49</v>
      </c>
      <c r="G4951" s="27" t="s">
        <v>28</v>
      </c>
      <c r="H4951" s="29">
        <v>164</v>
      </c>
      <c r="I4951" s="27" t="s">
        <v>29</v>
      </c>
      <c r="J4951" s="37">
        <v>45717</v>
      </c>
      <c r="K4951" s="27" t="s">
        <v>22</v>
      </c>
    </row>
    <row r="4952" spans="1:11" x14ac:dyDescent="0.2">
      <c r="A4952" s="24" t="s">
        <v>11858</v>
      </c>
      <c r="B4952" s="24" t="s">
        <v>11859</v>
      </c>
      <c r="C4952" s="24" t="s">
        <v>1053</v>
      </c>
      <c r="D4952" s="24" t="s">
        <v>17</v>
      </c>
      <c r="E4952" s="24" t="s">
        <v>42</v>
      </c>
      <c r="F4952" s="24" t="s">
        <v>43</v>
      </c>
      <c r="G4952" s="24" t="s">
        <v>28</v>
      </c>
      <c r="H4952" s="26">
        <v>960</v>
      </c>
      <c r="I4952" s="24" t="s">
        <v>29</v>
      </c>
      <c r="J4952" s="36">
        <v>45729</v>
      </c>
      <c r="K4952" s="24" t="s">
        <v>22</v>
      </c>
    </row>
    <row r="4953" spans="1:11" x14ac:dyDescent="0.2">
      <c r="A4953" s="27" t="s">
        <v>11860</v>
      </c>
      <c r="B4953" s="27" t="s">
        <v>11861</v>
      </c>
      <c r="C4953" s="27" t="s">
        <v>115</v>
      </c>
      <c r="D4953" s="27" t="s">
        <v>17</v>
      </c>
      <c r="E4953" s="27" t="s">
        <v>18</v>
      </c>
      <c r="F4953" s="27" t="s">
        <v>19</v>
      </c>
      <c r="G4953" s="27" t="s">
        <v>20</v>
      </c>
      <c r="H4953" s="29">
        <v>30</v>
      </c>
      <c r="I4953" s="27" t="s">
        <v>21</v>
      </c>
      <c r="J4953" s="37">
        <v>45740</v>
      </c>
      <c r="K4953" s="27" t="s">
        <v>22</v>
      </c>
    </row>
    <row r="4954" spans="1:11" x14ac:dyDescent="0.2">
      <c r="A4954" s="24" t="s">
        <v>11862</v>
      </c>
      <c r="B4954" s="24" t="s">
        <v>11863</v>
      </c>
      <c r="C4954" s="24" t="s">
        <v>11864</v>
      </c>
      <c r="D4954" s="24" t="s">
        <v>17</v>
      </c>
      <c r="E4954" s="24" t="s">
        <v>42</v>
      </c>
      <c r="F4954" s="24" t="s">
        <v>43</v>
      </c>
      <c r="G4954" s="24" t="s">
        <v>44</v>
      </c>
      <c r="H4954" s="26">
        <v>32</v>
      </c>
      <c r="I4954" s="24" t="s">
        <v>29</v>
      </c>
      <c r="J4954" s="36">
        <v>45743</v>
      </c>
      <c r="K4954" s="24" t="s">
        <v>22</v>
      </c>
    </row>
    <row r="4955" spans="1:11" x14ac:dyDescent="0.2">
      <c r="A4955" s="27" t="s">
        <v>11865</v>
      </c>
      <c r="B4955" s="27" t="s">
        <v>11866</v>
      </c>
      <c r="C4955" s="27" t="s">
        <v>11081</v>
      </c>
      <c r="D4955" s="27" t="s">
        <v>17</v>
      </c>
      <c r="E4955" s="27" t="s">
        <v>18</v>
      </c>
      <c r="F4955" s="27" t="s">
        <v>19</v>
      </c>
      <c r="G4955" s="27" t="s">
        <v>28</v>
      </c>
      <c r="H4955" s="29">
        <v>76</v>
      </c>
      <c r="I4955" s="27" t="s">
        <v>29</v>
      </c>
      <c r="J4955" s="37">
        <v>45737</v>
      </c>
      <c r="K4955" s="27" t="s">
        <v>22</v>
      </c>
    </row>
    <row r="4956" spans="1:11" x14ac:dyDescent="0.2">
      <c r="A4956" s="24" t="s">
        <v>11867</v>
      </c>
      <c r="B4956" s="24" t="s">
        <v>11868</v>
      </c>
      <c r="C4956" s="24" t="s">
        <v>146</v>
      </c>
      <c r="D4956" s="24" t="s">
        <v>17</v>
      </c>
      <c r="E4956" s="24" t="s">
        <v>26</v>
      </c>
      <c r="F4956" s="24" t="s">
        <v>27</v>
      </c>
      <c r="G4956" s="24" t="s">
        <v>28</v>
      </c>
      <c r="H4956" s="26">
        <v>392</v>
      </c>
      <c r="I4956" s="24" t="s">
        <v>29</v>
      </c>
      <c r="J4956" s="36">
        <v>45720</v>
      </c>
      <c r="K4956" s="24" t="s">
        <v>22</v>
      </c>
    </row>
    <row r="4957" spans="1:11" x14ac:dyDescent="0.2">
      <c r="A4957" s="27" t="s">
        <v>11869</v>
      </c>
      <c r="B4957" s="27" t="s">
        <v>11870</v>
      </c>
      <c r="C4957" s="27" t="s">
        <v>2484</v>
      </c>
      <c r="D4957" s="27" t="s">
        <v>17</v>
      </c>
      <c r="E4957" s="27" t="s">
        <v>42</v>
      </c>
      <c r="F4957" s="27" t="s">
        <v>43</v>
      </c>
      <c r="G4957" s="27" t="s">
        <v>28</v>
      </c>
      <c r="H4957" s="29">
        <v>40</v>
      </c>
      <c r="I4957" s="27" t="s">
        <v>29</v>
      </c>
      <c r="J4957" s="37">
        <v>45727</v>
      </c>
      <c r="K4957" s="27" t="s">
        <v>22</v>
      </c>
    </row>
    <row r="4958" spans="1:11" x14ac:dyDescent="0.2">
      <c r="A4958" s="24" t="s">
        <v>11871</v>
      </c>
      <c r="B4958" s="24" t="s">
        <v>11872</v>
      </c>
      <c r="C4958" s="24" t="s">
        <v>1110</v>
      </c>
      <c r="D4958" s="24" t="s">
        <v>17</v>
      </c>
      <c r="E4958" s="24" t="s">
        <v>48</v>
      </c>
      <c r="F4958" s="24" t="s">
        <v>49</v>
      </c>
      <c r="G4958" s="24" t="s">
        <v>28</v>
      </c>
      <c r="H4958" s="26">
        <v>100</v>
      </c>
      <c r="I4958" s="24" t="s">
        <v>29</v>
      </c>
      <c r="J4958" s="36">
        <v>45721</v>
      </c>
      <c r="K4958" s="24" t="s">
        <v>22</v>
      </c>
    </row>
    <row r="4959" spans="1:11" x14ac:dyDescent="0.2">
      <c r="A4959" s="27" t="s">
        <v>11873</v>
      </c>
      <c r="B4959" s="27" t="s">
        <v>11874</v>
      </c>
      <c r="C4959" s="27" t="s">
        <v>11875</v>
      </c>
      <c r="D4959" s="27" t="s">
        <v>17</v>
      </c>
      <c r="E4959" s="27" t="s">
        <v>42</v>
      </c>
      <c r="F4959" s="27" t="s">
        <v>43</v>
      </c>
      <c r="G4959" s="27" t="s">
        <v>44</v>
      </c>
      <c r="H4959" s="29">
        <v>12</v>
      </c>
      <c r="I4959" s="27" t="s">
        <v>21</v>
      </c>
      <c r="J4959" s="37">
        <v>45722</v>
      </c>
      <c r="K4959" s="27" t="s">
        <v>22</v>
      </c>
    </row>
    <row r="4960" spans="1:11" x14ac:dyDescent="0.2">
      <c r="A4960" s="24" t="s">
        <v>11876</v>
      </c>
      <c r="B4960" s="24" t="s">
        <v>11877</v>
      </c>
      <c r="C4960" s="24" t="s">
        <v>11878</v>
      </c>
      <c r="D4960" s="24" t="s">
        <v>17</v>
      </c>
      <c r="E4960" s="24" t="s">
        <v>48</v>
      </c>
      <c r="F4960" s="24" t="s">
        <v>49</v>
      </c>
      <c r="G4960" s="24" t="s">
        <v>28</v>
      </c>
      <c r="H4960" s="26">
        <v>210</v>
      </c>
      <c r="I4960" s="24" t="s">
        <v>29</v>
      </c>
      <c r="J4960" s="36">
        <v>45747</v>
      </c>
      <c r="K4960" s="24" t="s">
        <v>22</v>
      </c>
    </row>
    <row r="4961" spans="1:11" x14ac:dyDescent="0.2">
      <c r="A4961" s="27" t="s">
        <v>11879</v>
      </c>
      <c r="B4961" s="27" t="s">
        <v>11880</v>
      </c>
      <c r="C4961" s="27" t="s">
        <v>9513</v>
      </c>
      <c r="D4961" s="27" t="s">
        <v>17</v>
      </c>
      <c r="E4961" s="27" t="s">
        <v>18</v>
      </c>
      <c r="F4961" s="27" t="s">
        <v>19</v>
      </c>
      <c r="G4961" s="27" t="s">
        <v>20</v>
      </c>
      <c r="H4961" s="29">
        <v>32</v>
      </c>
      <c r="I4961" s="27" t="s">
        <v>21</v>
      </c>
      <c r="J4961" s="37">
        <v>45728</v>
      </c>
      <c r="K4961" s="27" t="s">
        <v>22</v>
      </c>
    </row>
    <row r="4962" spans="1:11" x14ac:dyDescent="0.2">
      <c r="A4962" s="24" t="s">
        <v>11881</v>
      </c>
      <c r="B4962" s="24" t="s">
        <v>11882</v>
      </c>
      <c r="C4962" s="24" t="s">
        <v>10198</v>
      </c>
      <c r="D4962" s="24" t="s">
        <v>17</v>
      </c>
      <c r="E4962" s="24" t="s">
        <v>18</v>
      </c>
      <c r="F4962" s="24" t="s">
        <v>19</v>
      </c>
      <c r="G4962" s="24" t="s">
        <v>20</v>
      </c>
      <c r="H4962" s="26">
        <v>12</v>
      </c>
      <c r="I4962" s="24" t="s">
        <v>21</v>
      </c>
      <c r="J4962" s="36">
        <v>45743</v>
      </c>
      <c r="K4962" s="24" t="s">
        <v>22</v>
      </c>
    </row>
    <row r="4963" spans="1:11" x14ac:dyDescent="0.2">
      <c r="A4963" s="27" t="s">
        <v>11883</v>
      </c>
      <c r="B4963" s="27" t="s">
        <v>11884</v>
      </c>
      <c r="C4963" s="27" t="s">
        <v>2129</v>
      </c>
      <c r="D4963" s="27" t="s">
        <v>17</v>
      </c>
      <c r="E4963" s="27" t="s">
        <v>18</v>
      </c>
      <c r="F4963" s="27" t="s">
        <v>19</v>
      </c>
      <c r="G4963" s="27" t="s">
        <v>28</v>
      </c>
      <c r="H4963" s="29">
        <v>95</v>
      </c>
      <c r="I4963" s="27" t="s">
        <v>29</v>
      </c>
      <c r="J4963" s="37">
        <v>45736</v>
      </c>
      <c r="K4963" s="27" t="s">
        <v>22</v>
      </c>
    </row>
    <row r="4964" spans="1:11" x14ac:dyDescent="0.2">
      <c r="A4964" s="24" t="s">
        <v>11885</v>
      </c>
      <c r="B4964" s="24" t="s">
        <v>11886</v>
      </c>
      <c r="C4964" s="24" t="s">
        <v>1110</v>
      </c>
      <c r="D4964" s="24" t="s">
        <v>17</v>
      </c>
      <c r="E4964" s="24" t="s">
        <v>81</v>
      </c>
      <c r="F4964" s="24" t="s">
        <v>82</v>
      </c>
      <c r="G4964" s="24" t="s">
        <v>44</v>
      </c>
      <c r="H4964" s="26">
        <v>274</v>
      </c>
      <c r="I4964" s="24" t="s">
        <v>29</v>
      </c>
      <c r="J4964" s="36">
        <v>45730</v>
      </c>
      <c r="K4964" s="24" t="s">
        <v>22</v>
      </c>
    </row>
    <row r="4965" spans="1:11" x14ac:dyDescent="0.2">
      <c r="A4965" s="27" t="s">
        <v>11887</v>
      </c>
      <c r="B4965" s="27" t="s">
        <v>11888</v>
      </c>
      <c r="C4965" s="27" t="s">
        <v>11889</v>
      </c>
      <c r="D4965" s="27" t="s">
        <v>17</v>
      </c>
      <c r="E4965" s="27" t="s">
        <v>42</v>
      </c>
      <c r="F4965" s="27" t="s">
        <v>43</v>
      </c>
      <c r="G4965" s="27" t="s">
        <v>28</v>
      </c>
      <c r="H4965" s="29">
        <v>100</v>
      </c>
      <c r="I4965" s="27" t="s">
        <v>29</v>
      </c>
      <c r="J4965" s="37">
        <v>45723</v>
      </c>
      <c r="K4965" s="27" t="s">
        <v>22</v>
      </c>
    </row>
    <row r="4966" spans="1:11" x14ac:dyDescent="0.2">
      <c r="A4966" s="24" t="s">
        <v>11890</v>
      </c>
      <c r="B4966" s="24" t="s">
        <v>11891</v>
      </c>
      <c r="C4966" s="24" t="s">
        <v>687</v>
      </c>
      <c r="D4966" s="24" t="s">
        <v>17</v>
      </c>
      <c r="E4966" s="24" t="s">
        <v>18</v>
      </c>
      <c r="F4966" s="24" t="s">
        <v>19</v>
      </c>
      <c r="G4966" s="24" t="s">
        <v>28</v>
      </c>
      <c r="H4966" s="26">
        <v>48</v>
      </c>
      <c r="I4966" s="24" t="s">
        <v>29</v>
      </c>
      <c r="J4966" s="36">
        <v>45728</v>
      </c>
      <c r="K4966" s="24" t="s">
        <v>22</v>
      </c>
    </row>
    <row r="4967" spans="1:11" x14ac:dyDescent="0.2">
      <c r="A4967" s="27" t="s">
        <v>11892</v>
      </c>
      <c r="B4967" s="27" t="s">
        <v>11893</v>
      </c>
      <c r="C4967" s="27" t="s">
        <v>331</v>
      </c>
      <c r="D4967" s="27" t="s">
        <v>17</v>
      </c>
      <c r="E4967" s="27" t="s">
        <v>18</v>
      </c>
      <c r="F4967" s="27" t="s">
        <v>19</v>
      </c>
      <c r="G4967" s="27" t="s">
        <v>44</v>
      </c>
      <c r="H4967" s="29">
        <v>30</v>
      </c>
      <c r="I4967" s="27" t="s">
        <v>21</v>
      </c>
      <c r="J4967" s="37">
        <v>45743</v>
      </c>
      <c r="K4967" s="27" t="s">
        <v>22</v>
      </c>
    </row>
    <row r="4968" spans="1:11" x14ac:dyDescent="0.2">
      <c r="A4968" s="24" t="s">
        <v>11894</v>
      </c>
      <c r="B4968" s="24" t="s">
        <v>11895</v>
      </c>
      <c r="C4968" s="24" t="s">
        <v>512</v>
      </c>
      <c r="D4968" s="24" t="s">
        <v>17</v>
      </c>
      <c r="E4968" s="24" t="s">
        <v>18</v>
      </c>
      <c r="F4968" s="24" t="s">
        <v>19</v>
      </c>
      <c r="G4968" s="24" t="s">
        <v>28</v>
      </c>
      <c r="H4968" s="26">
        <v>60</v>
      </c>
      <c r="I4968" s="24" t="s">
        <v>29</v>
      </c>
      <c r="J4968" s="36">
        <v>45740</v>
      </c>
      <c r="K4968" s="24" t="s">
        <v>22</v>
      </c>
    </row>
    <row r="4969" spans="1:11" x14ac:dyDescent="0.2">
      <c r="A4969" s="27" t="s">
        <v>11896</v>
      </c>
      <c r="B4969" s="27" t="s">
        <v>11897</v>
      </c>
      <c r="C4969" s="27" t="s">
        <v>11898</v>
      </c>
      <c r="D4969" s="27" t="s">
        <v>17</v>
      </c>
      <c r="E4969" s="27" t="s">
        <v>163</v>
      </c>
      <c r="F4969" s="27" t="s">
        <v>164</v>
      </c>
      <c r="G4969" s="27" t="s">
        <v>28</v>
      </c>
      <c r="H4969" s="29">
        <v>48</v>
      </c>
      <c r="I4969" s="27" t="s">
        <v>29</v>
      </c>
      <c r="J4969" s="37">
        <v>45742</v>
      </c>
      <c r="K4969" s="27" t="s">
        <v>22</v>
      </c>
    </row>
    <row r="4970" spans="1:11" x14ac:dyDescent="0.2">
      <c r="A4970" s="24" t="s">
        <v>11899</v>
      </c>
      <c r="B4970" s="24" t="s">
        <v>11900</v>
      </c>
      <c r="C4970" s="24" t="s">
        <v>3253</v>
      </c>
      <c r="D4970" s="24" t="s">
        <v>17</v>
      </c>
      <c r="E4970" s="24" t="s">
        <v>18</v>
      </c>
      <c r="F4970" s="24" t="s">
        <v>19</v>
      </c>
      <c r="G4970" s="24" t="s">
        <v>20</v>
      </c>
      <c r="H4970" s="26">
        <v>31</v>
      </c>
      <c r="I4970" s="24" t="s">
        <v>21</v>
      </c>
      <c r="J4970" s="36">
        <v>45730</v>
      </c>
      <c r="K4970" s="24" t="s">
        <v>22</v>
      </c>
    </row>
    <row r="4971" spans="1:11" x14ac:dyDescent="0.2">
      <c r="A4971" s="27" t="s">
        <v>11901</v>
      </c>
      <c r="B4971" s="27" t="s">
        <v>11902</v>
      </c>
      <c r="C4971" s="27" t="s">
        <v>11903</v>
      </c>
      <c r="D4971" s="27" t="s">
        <v>17</v>
      </c>
      <c r="E4971" s="27" t="s">
        <v>26</v>
      </c>
      <c r="F4971" s="27" t="s">
        <v>27</v>
      </c>
      <c r="G4971" s="27" t="s">
        <v>44</v>
      </c>
      <c r="H4971" s="29">
        <v>500</v>
      </c>
      <c r="I4971" s="27" t="s">
        <v>29</v>
      </c>
      <c r="J4971" s="37">
        <v>45729</v>
      </c>
      <c r="K4971" s="27" t="s">
        <v>22</v>
      </c>
    </row>
    <row r="4972" spans="1:11" x14ac:dyDescent="0.2">
      <c r="A4972" s="24" t="s">
        <v>11904</v>
      </c>
      <c r="B4972" s="24" t="s">
        <v>11905</v>
      </c>
      <c r="C4972" s="24" t="s">
        <v>486</v>
      </c>
      <c r="D4972" s="24" t="s">
        <v>17</v>
      </c>
      <c r="E4972" s="24" t="s">
        <v>163</v>
      </c>
      <c r="F4972" s="24" t="s">
        <v>164</v>
      </c>
      <c r="G4972" s="24" t="s">
        <v>217</v>
      </c>
      <c r="H4972" s="26">
        <v>6</v>
      </c>
      <c r="I4972" s="24" t="s">
        <v>29</v>
      </c>
      <c r="J4972" s="36">
        <v>45747</v>
      </c>
      <c r="K4972" s="24" t="s">
        <v>22</v>
      </c>
    </row>
    <row r="4973" spans="1:11" x14ac:dyDescent="0.2">
      <c r="A4973" s="27" t="s">
        <v>11906</v>
      </c>
      <c r="B4973" s="27" t="s">
        <v>11907</v>
      </c>
      <c r="C4973" s="27" t="s">
        <v>7559</v>
      </c>
      <c r="D4973" s="27" t="s">
        <v>17</v>
      </c>
      <c r="E4973" s="27" t="s">
        <v>48</v>
      </c>
      <c r="F4973" s="27" t="s">
        <v>49</v>
      </c>
      <c r="G4973" s="27" t="s">
        <v>217</v>
      </c>
      <c r="H4973" s="29">
        <v>84</v>
      </c>
      <c r="I4973" s="27" t="s">
        <v>29</v>
      </c>
      <c r="J4973" s="37">
        <v>45742</v>
      </c>
      <c r="K4973" s="27" t="s">
        <v>22</v>
      </c>
    </row>
    <row r="4974" spans="1:11" x14ac:dyDescent="0.2">
      <c r="A4974" s="24" t="s">
        <v>11908</v>
      </c>
      <c r="B4974" s="24" t="s">
        <v>11909</v>
      </c>
      <c r="C4974" s="24" t="s">
        <v>137</v>
      </c>
      <c r="D4974" s="24" t="s">
        <v>17</v>
      </c>
      <c r="E4974" s="24" t="s">
        <v>48</v>
      </c>
      <c r="F4974" s="24" t="s">
        <v>49</v>
      </c>
      <c r="G4974" s="24" t="s">
        <v>28</v>
      </c>
      <c r="H4974" s="26">
        <v>66</v>
      </c>
      <c r="I4974" s="24" t="s">
        <v>29</v>
      </c>
      <c r="J4974" s="36">
        <v>45719</v>
      </c>
      <c r="K4974" s="24" t="s">
        <v>22</v>
      </c>
    </row>
    <row r="4975" spans="1:11" x14ac:dyDescent="0.2">
      <c r="A4975" s="27" t="s">
        <v>11910</v>
      </c>
      <c r="B4975" s="27" t="s">
        <v>11911</v>
      </c>
      <c r="C4975" s="27" t="s">
        <v>2045</v>
      </c>
      <c r="D4975" s="27" t="s">
        <v>17</v>
      </c>
      <c r="E4975" s="27" t="s">
        <v>18</v>
      </c>
      <c r="F4975" s="27" t="s">
        <v>19</v>
      </c>
      <c r="G4975" s="27" t="s">
        <v>20</v>
      </c>
      <c r="H4975" s="29">
        <v>47</v>
      </c>
      <c r="I4975" s="27" t="s">
        <v>21</v>
      </c>
      <c r="J4975" s="37">
        <v>45726</v>
      </c>
      <c r="K4975" s="27" t="s">
        <v>22</v>
      </c>
    </row>
    <row r="4976" spans="1:11" x14ac:dyDescent="0.2">
      <c r="A4976" s="24" t="s">
        <v>11912</v>
      </c>
      <c r="B4976" s="24" t="s">
        <v>11913</v>
      </c>
      <c r="C4976" s="24" t="s">
        <v>494</v>
      </c>
      <c r="D4976" s="24" t="s">
        <v>17</v>
      </c>
      <c r="E4976" s="24" t="s">
        <v>42</v>
      </c>
      <c r="F4976" s="24" t="s">
        <v>43</v>
      </c>
      <c r="G4976" s="24" t="s">
        <v>217</v>
      </c>
      <c r="H4976" s="26">
        <v>408</v>
      </c>
      <c r="I4976" s="24" t="s">
        <v>29</v>
      </c>
      <c r="J4976" s="36">
        <v>45717</v>
      </c>
      <c r="K4976" s="24" t="s">
        <v>22</v>
      </c>
    </row>
    <row r="4977" spans="1:11" x14ac:dyDescent="0.2">
      <c r="A4977" s="27" t="s">
        <v>11914</v>
      </c>
      <c r="B4977" s="27" t="s">
        <v>11915</v>
      </c>
      <c r="C4977" s="27" t="s">
        <v>9846</v>
      </c>
      <c r="D4977" s="27" t="s">
        <v>17</v>
      </c>
      <c r="E4977" s="27" t="s">
        <v>42</v>
      </c>
      <c r="F4977" s="27" t="s">
        <v>43</v>
      </c>
      <c r="G4977" s="27" t="s">
        <v>28</v>
      </c>
      <c r="H4977" s="29">
        <v>350</v>
      </c>
      <c r="I4977" s="27" t="s">
        <v>29</v>
      </c>
      <c r="J4977" s="37">
        <v>45726</v>
      </c>
      <c r="K4977" s="27" t="s">
        <v>22</v>
      </c>
    </row>
    <row r="4978" spans="1:11" x14ac:dyDescent="0.2">
      <c r="A4978" s="24" t="s">
        <v>11916</v>
      </c>
      <c r="B4978" s="24" t="s">
        <v>11917</v>
      </c>
      <c r="C4978" s="24" t="s">
        <v>11719</v>
      </c>
      <c r="D4978" s="24" t="s">
        <v>17</v>
      </c>
      <c r="E4978" s="24" t="s">
        <v>163</v>
      </c>
      <c r="F4978" s="24" t="s">
        <v>164</v>
      </c>
      <c r="G4978" s="24" t="s">
        <v>227</v>
      </c>
      <c r="H4978" s="26">
        <v>4</v>
      </c>
      <c r="I4978" s="24" t="s">
        <v>29</v>
      </c>
      <c r="J4978" s="36">
        <v>45726</v>
      </c>
      <c r="K4978" s="24" t="s">
        <v>22</v>
      </c>
    </row>
    <row r="4979" spans="1:11" x14ac:dyDescent="0.2">
      <c r="A4979" s="27" t="s">
        <v>11918</v>
      </c>
      <c r="B4979" s="27" t="s">
        <v>11919</v>
      </c>
      <c r="C4979" s="27" t="s">
        <v>6436</v>
      </c>
      <c r="D4979" s="27" t="s">
        <v>17</v>
      </c>
      <c r="E4979" s="27" t="s">
        <v>18</v>
      </c>
      <c r="F4979" s="27" t="s">
        <v>19</v>
      </c>
      <c r="G4979" s="27" t="s">
        <v>20</v>
      </c>
      <c r="H4979" s="29">
        <v>12</v>
      </c>
      <c r="I4979" s="27" t="s">
        <v>21</v>
      </c>
      <c r="J4979" s="37">
        <v>45723</v>
      </c>
      <c r="K4979" s="27" t="s">
        <v>22</v>
      </c>
    </row>
    <row r="4980" spans="1:11" x14ac:dyDescent="0.2">
      <c r="A4980" s="24" t="s">
        <v>11920</v>
      </c>
      <c r="B4980" s="24" t="s">
        <v>11921</v>
      </c>
      <c r="C4980" s="24" t="s">
        <v>11922</v>
      </c>
      <c r="D4980" s="24" t="s">
        <v>17</v>
      </c>
      <c r="E4980" s="24" t="s">
        <v>18</v>
      </c>
      <c r="F4980" s="24" t="s">
        <v>19</v>
      </c>
      <c r="G4980" s="24" t="s">
        <v>44</v>
      </c>
      <c r="H4980" s="26">
        <v>75</v>
      </c>
      <c r="I4980" s="24" t="s">
        <v>29</v>
      </c>
      <c r="J4980" s="36">
        <v>45720</v>
      </c>
      <c r="K4980" s="24" t="s">
        <v>22</v>
      </c>
    </row>
    <row r="4981" spans="1:11" x14ac:dyDescent="0.2">
      <c r="A4981" s="27" t="s">
        <v>11923</v>
      </c>
      <c r="B4981" s="27" t="s">
        <v>11924</v>
      </c>
      <c r="C4981" s="27" t="s">
        <v>11925</v>
      </c>
      <c r="D4981" s="27" t="s">
        <v>17</v>
      </c>
      <c r="E4981" s="27" t="s">
        <v>48</v>
      </c>
      <c r="F4981" s="27" t="s">
        <v>49</v>
      </c>
      <c r="G4981" s="27" t="s">
        <v>28</v>
      </c>
      <c r="H4981" s="29">
        <v>75</v>
      </c>
      <c r="I4981" s="27" t="s">
        <v>29</v>
      </c>
      <c r="J4981" s="37">
        <v>45719</v>
      </c>
      <c r="K4981" s="27" t="s">
        <v>22</v>
      </c>
    </row>
    <row r="4982" spans="1:11" x14ac:dyDescent="0.2">
      <c r="A4982" s="24" t="s">
        <v>11926</v>
      </c>
      <c r="B4982" s="24" t="s">
        <v>11927</v>
      </c>
      <c r="C4982" s="24" t="s">
        <v>11928</v>
      </c>
      <c r="D4982" s="24" t="s">
        <v>17</v>
      </c>
      <c r="E4982" s="24" t="s">
        <v>42</v>
      </c>
      <c r="F4982" s="24" t="s">
        <v>43</v>
      </c>
      <c r="G4982" s="24" t="s">
        <v>44</v>
      </c>
      <c r="H4982" s="26">
        <v>60</v>
      </c>
      <c r="I4982" s="24" t="s">
        <v>29</v>
      </c>
      <c r="J4982" s="36">
        <v>45734</v>
      </c>
      <c r="K4982" s="24" t="s">
        <v>22</v>
      </c>
    </row>
    <row r="4983" spans="1:11" x14ac:dyDescent="0.2">
      <c r="A4983" s="27" t="s">
        <v>11929</v>
      </c>
      <c r="B4983" s="27" t="s">
        <v>11930</v>
      </c>
      <c r="C4983" s="27" t="s">
        <v>526</v>
      </c>
      <c r="D4983" s="27" t="s">
        <v>17</v>
      </c>
      <c r="E4983" s="27" t="s">
        <v>81</v>
      </c>
      <c r="F4983" s="27" t="s">
        <v>82</v>
      </c>
      <c r="G4983" s="27" t="s">
        <v>28</v>
      </c>
      <c r="H4983" s="29">
        <v>200</v>
      </c>
      <c r="I4983" s="27" t="s">
        <v>29</v>
      </c>
      <c r="J4983" s="37">
        <v>45722</v>
      </c>
      <c r="K4983" s="27" t="s">
        <v>22</v>
      </c>
    </row>
    <row r="4984" spans="1:11" x14ac:dyDescent="0.2">
      <c r="A4984" s="24" t="s">
        <v>11931</v>
      </c>
      <c r="B4984" s="24" t="s">
        <v>11932</v>
      </c>
      <c r="C4984" s="24" t="s">
        <v>7418</v>
      </c>
      <c r="D4984" s="24" t="s">
        <v>17</v>
      </c>
      <c r="E4984" s="24" t="s">
        <v>163</v>
      </c>
      <c r="F4984" s="24" t="s">
        <v>164</v>
      </c>
      <c r="G4984" s="24" t="s">
        <v>20</v>
      </c>
      <c r="H4984" s="26">
        <v>8</v>
      </c>
      <c r="I4984" s="24" t="s">
        <v>21</v>
      </c>
      <c r="J4984" s="36">
        <v>45733</v>
      </c>
      <c r="K4984" s="24" t="s">
        <v>22</v>
      </c>
    </row>
    <row r="4985" spans="1:11" x14ac:dyDescent="0.2">
      <c r="A4985" s="27" t="s">
        <v>11933</v>
      </c>
      <c r="B4985" s="27" t="s">
        <v>11934</v>
      </c>
      <c r="C4985" s="27" t="s">
        <v>106</v>
      </c>
      <c r="D4985" s="27" t="s">
        <v>17</v>
      </c>
      <c r="E4985" s="27" t="s">
        <v>18</v>
      </c>
      <c r="F4985" s="27" t="s">
        <v>19</v>
      </c>
      <c r="G4985" s="27" t="s">
        <v>20</v>
      </c>
      <c r="H4985" s="29">
        <v>12</v>
      </c>
      <c r="I4985" s="27" t="s">
        <v>21</v>
      </c>
      <c r="J4985" s="37">
        <v>45735</v>
      </c>
      <c r="K4985" s="27" t="s">
        <v>22</v>
      </c>
    </row>
    <row r="4986" spans="1:11" x14ac:dyDescent="0.2">
      <c r="A4986" s="24" t="s">
        <v>11935</v>
      </c>
      <c r="B4986" s="24" t="s">
        <v>11936</v>
      </c>
      <c r="C4986" s="24" t="s">
        <v>11937</v>
      </c>
      <c r="D4986" s="24" t="s">
        <v>17</v>
      </c>
      <c r="E4986" s="24" t="s">
        <v>48</v>
      </c>
      <c r="F4986" s="24" t="s">
        <v>49</v>
      </c>
      <c r="G4986" s="24" t="s">
        <v>20</v>
      </c>
      <c r="H4986" s="26">
        <v>120</v>
      </c>
      <c r="I4986" s="24" t="s">
        <v>21</v>
      </c>
      <c r="J4986" s="36">
        <v>45741</v>
      </c>
      <c r="K4986" s="24" t="s">
        <v>22</v>
      </c>
    </row>
    <row r="4987" spans="1:11" x14ac:dyDescent="0.2">
      <c r="A4987" s="27" t="s">
        <v>11938</v>
      </c>
      <c r="B4987" s="27" t="s">
        <v>11939</v>
      </c>
      <c r="C4987" s="27" t="s">
        <v>97</v>
      </c>
      <c r="D4987" s="27" t="s">
        <v>17</v>
      </c>
      <c r="E4987" s="27" t="s">
        <v>48</v>
      </c>
      <c r="F4987" s="27" t="s">
        <v>49</v>
      </c>
      <c r="G4987" s="27" t="s">
        <v>28</v>
      </c>
      <c r="H4987" s="29">
        <v>540</v>
      </c>
      <c r="I4987" s="27" t="s">
        <v>29</v>
      </c>
      <c r="J4987" s="37">
        <v>45742</v>
      </c>
      <c r="K4987" s="27" t="s">
        <v>22</v>
      </c>
    </row>
    <row r="4988" spans="1:11" x14ac:dyDescent="0.2">
      <c r="A4988" s="24" t="s">
        <v>11940</v>
      </c>
      <c r="B4988" s="24" t="s">
        <v>11941</v>
      </c>
      <c r="C4988" s="24" t="s">
        <v>11942</v>
      </c>
      <c r="D4988" s="24" t="s">
        <v>17</v>
      </c>
      <c r="E4988" s="24" t="s">
        <v>42</v>
      </c>
      <c r="F4988" s="24" t="s">
        <v>43</v>
      </c>
      <c r="G4988" s="24" t="s">
        <v>227</v>
      </c>
      <c r="H4988" s="26">
        <v>460</v>
      </c>
      <c r="I4988" s="24" t="s">
        <v>29</v>
      </c>
      <c r="J4988" s="36">
        <v>45728</v>
      </c>
      <c r="K4988" s="24" t="s">
        <v>22</v>
      </c>
    </row>
    <row r="4989" spans="1:11" x14ac:dyDescent="0.2">
      <c r="A4989" s="27" t="s">
        <v>11943</v>
      </c>
      <c r="B4989" s="27" t="s">
        <v>11944</v>
      </c>
      <c r="C4989" s="27" t="s">
        <v>4012</v>
      </c>
      <c r="D4989" s="27" t="s">
        <v>17</v>
      </c>
      <c r="E4989" s="27" t="s">
        <v>18</v>
      </c>
      <c r="F4989" s="27" t="s">
        <v>19</v>
      </c>
      <c r="G4989" s="27" t="s">
        <v>44</v>
      </c>
      <c r="H4989" s="29">
        <v>50</v>
      </c>
      <c r="I4989" s="27" t="s">
        <v>29</v>
      </c>
      <c r="J4989" s="37">
        <v>45728</v>
      </c>
      <c r="K4989" s="27" t="s">
        <v>22</v>
      </c>
    </row>
    <row r="4990" spans="1:11" x14ac:dyDescent="0.2">
      <c r="A4990" s="24" t="s">
        <v>11945</v>
      </c>
      <c r="B4990" s="24" t="s">
        <v>11946</v>
      </c>
      <c r="C4990" s="24" t="s">
        <v>354</v>
      </c>
      <c r="D4990" s="24" t="s">
        <v>17</v>
      </c>
      <c r="E4990" s="24" t="s">
        <v>42</v>
      </c>
      <c r="F4990" s="24" t="s">
        <v>43</v>
      </c>
      <c r="G4990" s="24" t="s">
        <v>28</v>
      </c>
      <c r="H4990" s="26">
        <v>10</v>
      </c>
      <c r="I4990" s="24" t="s">
        <v>29</v>
      </c>
      <c r="J4990" s="36">
        <v>45747</v>
      </c>
      <c r="K4990" s="24" t="s">
        <v>22</v>
      </c>
    </row>
    <row r="4991" spans="1:11" x14ac:dyDescent="0.2">
      <c r="A4991" s="27" t="s">
        <v>11947</v>
      </c>
      <c r="B4991" s="27" t="s">
        <v>11948</v>
      </c>
      <c r="C4991" s="27" t="s">
        <v>11949</v>
      </c>
      <c r="D4991" s="27" t="s">
        <v>17</v>
      </c>
      <c r="E4991" s="27" t="s">
        <v>18</v>
      </c>
      <c r="F4991" s="27" t="s">
        <v>19</v>
      </c>
      <c r="G4991" s="27" t="s">
        <v>227</v>
      </c>
      <c r="H4991" s="29">
        <v>12</v>
      </c>
      <c r="I4991" s="27" t="s">
        <v>29</v>
      </c>
      <c r="J4991" s="37">
        <v>45717</v>
      </c>
      <c r="K4991" s="27" t="s">
        <v>22</v>
      </c>
    </row>
    <row r="4992" spans="1:11" x14ac:dyDescent="0.2">
      <c r="A4992" s="24" t="s">
        <v>11950</v>
      </c>
      <c r="B4992" s="24" t="s">
        <v>11951</v>
      </c>
      <c r="C4992" s="24" t="s">
        <v>1161</v>
      </c>
      <c r="D4992" s="24" t="s">
        <v>17</v>
      </c>
      <c r="E4992" s="24" t="s">
        <v>48</v>
      </c>
      <c r="F4992" s="24" t="s">
        <v>49</v>
      </c>
      <c r="G4992" s="24" t="s">
        <v>28</v>
      </c>
      <c r="H4992" s="26">
        <v>400</v>
      </c>
      <c r="I4992" s="24" t="s">
        <v>29</v>
      </c>
      <c r="J4992" s="36">
        <v>45744</v>
      </c>
      <c r="K4992" s="24" t="s">
        <v>22</v>
      </c>
    </row>
    <row r="4993" spans="1:11" x14ac:dyDescent="0.2">
      <c r="A4993" s="27" t="s">
        <v>11952</v>
      </c>
      <c r="B4993" s="27" t="s">
        <v>11953</v>
      </c>
      <c r="C4993" s="27" t="s">
        <v>6436</v>
      </c>
      <c r="D4993" s="27" t="s">
        <v>17</v>
      </c>
      <c r="E4993" s="27" t="s">
        <v>18</v>
      </c>
      <c r="F4993" s="27" t="s">
        <v>19</v>
      </c>
      <c r="G4993" s="27" t="s">
        <v>28</v>
      </c>
      <c r="H4993" s="29">
        <v>30</v>
      </c>
      <c r="I4993" s="27" t="s">
        <v>29</v>
      </c>
      <c r="J4993" s="37">
        <v>45733</v>
      </c>
      <c r="K4993" s="27" t="s">
        <v>22</v>
      </c>
    </row>
    <row r="4994" spans="1:11" x14ac:dyDescent="0.2">
      <c r="A4994" s="24" t="s">
        <v>11954</v>
      </c>
      <c r="B4994" s="24" t="s">
        <v>11955</v>
      </c>
      <c r="C4994" s="24" t="s">
        <v>4925</v>
      </c>
      <c r="D4994" s="24" t="s">
        <v>17</v>
      </c>
      <c r="E4994" s="24" t="s">
        <v>18</v>
      </c>
      <c r="F4994" s="24" t="s">
        <v>19</v>
      </c>
      <c r="G4994" s="24" t="s">
        <v>44</v>
      </c>
      <c r="H4994" s="26">
        <v>18</v>
      </c>
      <c r="I4994" s="24" t="s">
        <v>29</v>
      </c>
      <c r="J4994" s="36">
        <v>45740</v>
      </c>
      <c r="K4994" s="24" t="s">
        <v>22</v>
      </c>
    </row>
    <row r="4995" spans="1:11" x14ac:dyDescent="0.2">
      <c r="A4995" s="27" t="s">
        <v>11956</v>
      </c>
      <c r="B4995" s="27" t="s">
        <v>11957</v>
      </c>
      <c r="C4995" s="27" t="s">
        <v>6033</v>
      </c>
      <c r="D4995" s="27" t="s">
        <v>17</v>
      </c>
      <c r="E4995" s="27" t="s">
        <v>18</v>
      </c>
      <c r="F4995" s="27" t="s">
        <v>19</v>
      </c>
      <c r="G4995" s="27" t="s">
        <v>20</v>
      </c>
      <c r="H4995" s="29">
        <v>18</v>
      </c>
      <c r="I4995" s="27" t="s">
        <v>21</v>
      </c>
      <c r="J4995" s="37">
        <v>45742</v>
      </c>
      <c r="K4995" s="27" t="s">
        <v>22</v>
      </c>
    </row>
    <row r="4996" spans="1:11" x14ac:dyDescent="0.2">
      <c r="A4996" s="24" t="s">
        <v>11958</v>
      </c>
      <c r="B4996" s="24" t="s">
        <v>11959</v>
      </c>
      <c r="C4996" s="24" t="s">
        <v>11960</v>
      </c>
      <c r="D4996" s="24" t="s">
        <v>17</v>
      </c>
      <c r="E4996" s="24" t="s">
        <v>18</v>
      </c>
      <c r="F4996" s="24" t="s">
        <v>19</v>
      </c>
      <c r="G4996" s="24" t="s">
        <v>20</v>
      </c>
      <c r="H4996" s="26">
        <v>48</v>
      </c>
      <c r="I4996" s="24" t="s">
        <v>21</v>
      </c>
      <c r="J4996" s="36">
        <v>45735</v>
      </c>
      <c r="K4996" s="24" t="s">
        <v>22</v>
      </c>
    </row>
    <row r="4997" spans="1:11" x14ac:dyDescent="0.2">
      <c r="A4997" s="27" t="s">
        <v>11961</v>
      </c>
      <c r="B4997" s="27" t="s">
        <v>11962</v>
      </c>
      <c r="C4997" s="27" t="s">
        <v>1737</v>
      </c>
      <c r="D4997" s="27" t="s">
        <v>17</v>
      </c>
      <c r="E4997" s="27" t="s">
        <v>18</v>
      </c>
      <c r="F4997" s="27" t="s">
        <v>19</v>
      </c>
      <c r="G4997" s="27" t="s">
        <v>28</v>
      </c>
      <c r="H4997" s="29">
        <v>30</v>
      </c>
      <c r="I4997" s="27" t="s">
        <v>29</v>
      </c>
      <c r="J4997" s="37">
        <v>45747</v>
      </c>
      <c r="K4997" s="27" t="s">
        <v>22</v>
      </c>
    </row>
    <row r="4998" spans="1:11" x14ac:dyDescent="0.2">
      <c r="A4998" s="24" t="s">
        <v>11963</v>
      </c>
      <c r="B4998" s="24" t="s">
        <v>11964</v>
      </c>
      <c r="C4998" s="24" t="s">
        <v>3208</v>
      </c>
      <c r="D4998" s="24" t="s">
        <v>17</v>
      </c>
      <c r="E4998" s="24" t="s">
        <v>48</v>
      </c>
      <c r="F4998" s="24" t="s">
        <v>49</v>
      </c>
      <c r="G4998" s="24" t="s">
        <v>44</v>
      </c>
      <c r="H4998" s="26">
        <v>133</v>
      </c>
      <c r="I4998" s="24" t="s">
        <v>21</v>
      </c>
      <c r="J4998" s="36">
        <v>45730</v>
      </c>
      <c r="K4998" s="24" t="s">
        <v>22</v>
      </c>
    </row>
    <row r="4999" spans="1:11" x14ac:dyDescent="0.2">
      <c r="A4999" s="27" t="s">
        <v>11965</v>
      </c>
      <c r="B4999" s="27" t="s">
        <v>11966</v>
      </c>
      <c r="C4999" s="27" t="s">
        <v>11607</v>
      </c>
      <c r="D4999" s="27" t="s">
        <v>17</v>
      </c>
      <c r="E4999" s="27" t="s">
        <v>163</v>
      </c>
      <c r="F4999" s="27" t="s">
        <v>164</v>
      </c>
      <c r="G4999" s="27" t="s">
        <v>28</v>
      </c>
      <c r="H4999" s="29">
        <v>18</v>
      </c>
      <c r="I4999" s="27" t="s">
        <v>29</v>
      </c>
      <c r="J4999" s="37">
        <v>45717</v>
      </c>
      <c r="K4999" s="27" t="s">
        <v>22</v>
      </c>
    </row>
    <row r="5000" spans="1:11" x14ac:dyDescent="0.2">
      <c r="A5000" s="24" t="s">
        <v>11967</v>
      </c>
      <c r="B5000" s="24" t="s">
        <v>11968</v>
      </c>
      <c r="C5000" s="24" t="s">
        <v>7365</v>
      </c>
      <c r="D5000" s="24" t="s">
        <v>17</v>
      </c>
      <c r="E5000" s="24" t="s">
        <v>48</v>
      </c>
      <c r="F5000" s="24" t="s">
        <v>49</v>
      </c>
      <c r="G5000" s="24" t="s">
        <v>28</v>
      </c>
      <c r="H5000" s="26">
        <v>55</v>
      </c>
      <c r="I5000" s="24" t="s">
        <v>29</v>
      </c>
      <c r="J5000" s="36">
        <v>45728</v>
      </c>
      <c r="K5000" s="24" t="s">
        <v>22</v>
      </c>
    </row>
    <row r="5001" spans="1:11" x14ac:dyDescent="0.2">
      <c r="A5001" s="27" t="s">
        <v>11969</v>
      </c>
      <c r="B5001" s="27" t="s">
        <v>11970</v>
      </c>
      <c r="C5001" s="27" t="s">
        <v>3089</v>
      </c>
      <c r="D5001" s="27" t="s">
        <v>17</v>
      </c>
      <c r="E5001" s="27" t="s">
        <v>18</v>
      </c>
      <c r="F5001" s="27" t="s">
        <v>19</v>
      </c>
      <c r="G5001" s="27" t="s">
        <v>116</v>
      </c>
      <c r="H5001" s="29">
        <v>0</v>
      </c>
      <c r="I5001" s="27" t="s">
        <v>21</v>
      </c>
      <c r="J5001" s="37">
        <v>45717</v>
      </c>
      <c r="K5001" s="27" t="s">
        <v>22</v>
      </c>
    </row>
    <row r="5002" spans="1:11" x14ac:dyDescent="0.2">
      <c r="A5002" s="24" t="s">
        <v>11971</v>
      </c>
      <c r="B5002" s="24" t="s">
        <v>11972</v>
      </c>
      <c r="C5002" s="24" t="s">
        <v>11973</v>
      </c>
      <c r="D5002" s="24" t="s">
        <v>17</v>
      </c>
      <c r="E5002" s="24" t="s">
        <v>48</v>
      </c>
      <c r="F5002" s="24" t="s">
        <v>49</v>
      </c>
      <c r="G5002" s="24" t="s">
        <v>217</v>
      </c>
      <c r="H5002" s="26">
        <v>120</v>
      </c>
      <c r="I5002" s="24" t="s">
        <v>29</v>
      </c>
      <c r="J5002" s="36">
        <v>45730</v>
      </c>
      <c r="K5002" s="24" t="s">
        <v>22</v>
      </c>
    </row>
    <row r="5003" spans="1:11" x14ac:dyDescent="0.2">
      <c r="A5003" s="27" t="s">
        <v>11974</v>
      </c>
      <c r="B5003" s="27" t="s">
        <v>11975</v>
      </c>
      <c r="C5003" s="27" t="s">
        <v>11976</v>
      </c>
      <c r="D5003" s="27" t="s">
        <v>17</v>
      </c>
      <c r="E5003" s="27" t="s">
        <v>18</v>
      </c>
      <c r="F5003" s="27" t="s">
        <v>19</v>
      </c>
      <c r="G5003" s="27" t="s">
        <v>28</v>
      </c>
      <c r="H5003" s="29">
        <v>18</v>
      </c>
      <c r="I5003" s="27" t="s">
        <v>29</v>
      </c>
      <c r="J5003" s="37">
        <v>45729</v>
      </c>
      <c r="K5003" s="27" t="s">
        <v>22</v>
      </c>
    </row>
    <row r="5004" spans="1:11" x14ac:dyDescent="0.2">
      <c r="A5004" s="24" t="s">
        <v>11977</v>
      </c>
      <c r="B5004" s="24" t="s">
        <v>11978</v>
      </c>
      <c r="C5004" s="24" t="s">
        <v>11979</v>
      </c>
      <c r="D5004" s="24" t="s">
        <v>17</v>
      </c>
      <c r="E5004" s="24" t="s">
        <v>48</v>
      </c>
      <c r="F5004" s="24" t="s">
        <v>49</v>
      </c>
      <c r="G5004" s="24" t="s">
        <v>217</v>
      </c>
      <c r="H5004" s="26">
        <v>52</v>
      </c>
      <c r="I5004" s="24" t="s">
        <v>29</v>
      </c>
      <c r="J5004" s="36">
        <v>45717</v>
      </c>
      <c r="K5004" s="24" t="s">
        <v>22</v>
      </c>
    </row>
    <row r="5005" spans="1:11" x14ac:dyDescent="0.2">
      <c r="A5005" s="27" t="s">
        <v>11980</v>
      </c>
      <c r="B5005" s="27" t="s">
        <v>11981</v>
      </c>
      <c r="C5005" s="27" t="s">
        <v>11982</v>
      </c>
      <c r="D5005" s="27" t="s">
        <v>17</v>
      </c>
      <c r="E5005" s="27" t="s">
        <v>48</v>
      </c>
      <c r="F5005" s="27" t="s">
        <v>49</v>
      </c>
      <c r="G5005" s="27" t="s">
        <v>28</v>
      </c>
      <c r="H5005" s="29">
        <v>60</v>
      </c>
      <c r="I5005" s="27" t="s">
        <v>29</v>
      </c>
      <c r="J5005" s="37">
        <v>45742</v>
      </c>
      <c r="K5005" s="27" t="s">
        <v>22</v>
      </c>
    </row>
    <row r="5006" spans="1:11" x14ac:dyDescent="0.2">
      <c r="A5006" s="24" t="s">
        <v>11983</v>
      </c>
      <c r="B5006" s="24" t="s">
        <v>11984</v>
      </c>
      <c r="C5006" s="24" t="s">
        <v>708</v>
      </c>
      <c r="D5006" s="24" t="s">
        <v>17</v>
      </c>
      <c r="E5006" s="24" t="s">
        <v>18</v>
      </c>
      <c r="F5006" s="24" t="s">
        <v>19</v>
      </c>
      <c r="G5006" s="24" t="s">
        <v>20</v>
      </c>
      <c r="H5006" s="26">
        <v>72</v>
      </c>
      <c r="I5006" s="24" t="s">
        <v>21</v>
      </c>
      <c r="J5006" s="36">
        <v>45720</v>
      </c>
      <c r="K5006" s="24" t="s">
        <v>22</v>
      </c>
    </row>
    <row r="5007" spans="1:11" x14ac:dyDescent="0.2">
      <c r="A5007" s="27" t="s">
        <v>11985</v>
      </c>
      <c r="B5007" s="27" t="s">
        <v>11986</v>
      </c>
      <c r="C5007" s="27" t="s">
        <v>146</v>
      </c>
      <c r="D5007" s="27" t="s">
        <v>17</v>
      </c>
      <c r="E5007" s="27" t="s">
        <v>26</v>
      </c>
      <c r="F5007" s="27" t="s">
        <v>27</v>
      </c>
      <c r="G5007" s="27" t="s">
        <v>44</v>
      </c>
      <c r="H5007" s="29">
        <v>83</v>
      </c>
      <c r="I5007" s="27" t="s">
        <v>29</v>
      </c>
      <c r="J5007" s="37">
        <v>45722</v>
      </c>
      <c r="K5007" s="27" t="s">
        <v>22</v>
      </c>
    </row>
    <row r="5008" spans="1:11" x14ac:dyDescent="0.2">
      <c r="A5008" s="24" t="s">
        <v>11987</v>
      </c>
      <c r="B5008" s="24" t="s">
        <v>11988</v>
      </c>
      <c r="C5008" s="24" t="s">
        <v>194</v>
      </c>
      <c r="D5008" s="24" t="s">
        <v>17</v>
      </c>
      <c r="E5008" s="24" t="s">
        <v>18</v>
      </c>
      <c r="F5008" s="24" t="s">
        <v>19</v>
      </c>
      <c r="G5008" s="24" t="s">
        <v>28</v>
      </c>
      <c r="H5008" s="26">
        <v>54</v>
      </c>
      <c r="I5008" s="24" t="s">
        <v>29</v>
      </c>
      <c r="J5008" s="36">
        <v>45733</v>
      </c>
      <c r="K5008" s="24" t="s">
        <v>22</v>
      </c>
    </row>
    <row r="5009" spans="1:11" x14ac:dyDescent="0.2">
      <c r="A5009" s="27" t="s">
        <v>11989</v>
      </c>
      <c r="B5009" s="27" t="s">
        <v>11990</v>
      </c>
      <c r="C5009" s="27" t="s">
        <v>2638</v>
      </c>
      <c r="D5009" s="27" t="s">
        <v>17</v>
      </c>
      <c r="E5009" s="27" t="s">
        <v>18</v>
      </c>
      <c r="F5009" s="27" t="s">
        <v>19</v>
      </c>
      <c r="G5009" s="27" t="s">
        <v>28</v>
      </c>
      <c r="H5009" s="29">
        <v>18</v>
      </c>
      <c r="I5009" s="27" t="s">
        <v>29</v>
      </c>
      <c r="J5009" s="37">
        <v>45720</v>
      </c>
      <c r="K5009" s="27" t="s">
        <v>22</v>
      </c>
    </row>
    <row r="5010" spans="1:11" x14ac:dyDescent="0.2">
      <c r="A5010" s="24" t="s">
        <v>11991</v>
      </c>
      <c r="B5010" s="24" t="s">
        <v>11992</v>
      </c>
      <c r="C5010" s="24" t="s">
        <v>1886</v>
      </c>
      <c r="D5010" s="24" t="s">
        <v>17</v>
      </c>
      <c r="E5010" s="24" t="s">
        <v>18</v>
      </c>
      <c r="F5010" s="24" t="s">
        <v>19</v>
      </c>
      <c r="G5010" s="24" t="s">
        <v>28</v>
      </c>
      <c r="H5010" s="26">
        <v>92</v>
      </c>
      <c r="I5010" s="24" t="s">
        <v>29</v>
      </c>
      <c r="J5010" s="36">
        <v>45729</v>
      </c>
      <c r="K5010" s="24" t="s">
        <v>22</v>
      </c>
    </row>
    <row r="5011" spans="1:11" x14ac:dyDescent="0.2">
      <c r="A5011" s="27" t="s">
        <v>11993</v>
      </c>
      <c r="B5011" s="27" t="s">
        <v>11994</v>
      </c>
      <c r="C5011" s="27" t="s">
        <v>602</v>
      </c>
      <c r="D5011" s="27" t="s">
        <v>17</v>
      </c>
      <c r="E5011" s="27" t="s">
        <v>18</v>
      </c>
      <c r="F5011" s="27" t="s">
        <v>19</v>
      </c>
      <c r="G5011" s="27" t="s">
        <v>217</v>
      </c>
      <c r="H5011" s="29">
        <v>288</v>
      </c>
      <c r="I5011" s="27" t="s">
        <v>29</v>
      </c>
      <c r="J5011" s="37">
        <v>45728</v>
      </c>
      <c r="K5011" s="27" t="s">
        <v>22</v>
      </c>
    </row>
    <row r="5012" spans="1:11" x14ac:dyDescent="0.2">
      <c r="A5012" s="24" t="s">
        <v>11995</v>
      </c>
      <c r="B5012" s="24" t="s">
        <v>11996</v>
      </c>
      <c r="C5012" s="24" t="s">
        <v>4628</v>
      </c>
      <c r="D5012" s="24" t="s">
        <v>17</v>
      </c>
      <c r="E5012" s="24" t="s">
        <v>42</v>
      </c>
      <c r="F5012" s="24" t="s">
        <v>43</v>
      </c>
      <c r="G5012" s="24" t="s">
        <v>44</v>
      </c>
      <c r="H5012" s="26">
        <v>750</v>
      </c>
      <c r="I5012" s="24" t="s">
        <v>29</v>
      </c>
      <c r="J5012" s="36">
        <v>45727</v>
      </c>
      <c r="K5012" s="24" t="s">
        <v>22</v>
      </c>
    </row>
    <row r="5013" spans="1:11" x14ac:dyDescent="0.2">
      <c r="A5013" s="27" t="s">
        <v>11997</v>
      </c>
      <c r="B5013" s="27" t="s">
        <v>11998</v>
      </c>
      <c r="C5013" s="27" t="s">
        <v>11999</v>
      </c>
      <c r="D5013" s="27" t="s">
        <v>17</v>
      </c>
      <c r="E5013" s="27" t="s">
        <v>18</v>
      </c>
      <c r="F5013" s="27" t="s">
        <v>19</v>
      </c>
      <c r="G5013" s="27" t="s">
        <v>28</v>
      </c>
      <c r="H5013" s="29">
        <v>25</v>
      </c>
      <c r="I5013" s="27" t="s">
        <v>29</v>
      </c>
      <c r="J5013" s="37">
        <v>45733</v>
      </c>
      <c r="K5013" s="27" t="s">
        <v>22</v>
      </c>
    </row>
    <row r="5014" spans="1:11" x14ac:dyDescent="0.2">
      <c r="A5014" s="24" t="s">
        <v>12000</v>
      </c>
      <c r="B5014" s="24" t="s">
        <v>12001</v>
      </c>
      <c r="C5014" s="24" t="s">
        <v>1110</v>
      </c>
      <c r="D5014" s="24" t="s">
        <v>17</v>
      </c>
      <c r="E5014" s="24" t="s">
        <v>42</v>
      </c>
      <c r="F5014" s="24" t="s">
        <v>43</v>
      </c>
      <c r="G5014" s="24" t="s">
        <v>28</v>
      </c>
      <c r="H5014" s="26">
        <v>600</v>
      </c>
      <c r="I5014" s="24" t="s">
        <v>29</v>
      </c>
      <c r="J5014" s="36">
        <v>45733</v>
      </c>
      <c r="K5014" s="24" t="s">
        <v>22</v>
      </c>
    </row>
    <row r="5015" spans="1:11" x14ac:dyDescent="0.2">
      <c r="A5015" s="27" t="s">
        <v>12002</v>
      </c>
      <c r="B5015" s="27" t="s">
        <v>12003</v>
      </c>
      <c r="C5015" s="27" t="s">
        <v>388</v>
      </c>
      <c r="D5015" s="27" t="s">
        <v>17</v>
      </c>
      <c r="E5015" s="27" t="s">
        <v>42</v>
      </c>
      <c r="F5015" s="27" t="s">
        <v>43</v>
      </c>
      <c r="G5015" s="27" t="s">
        <v>28</v>
      </c>
      <c r="H5015" s="29">
        <v>100</v>
      </c>
      <c r="I5015" s="27" t="s">
        <v>29</v>
      </c>
      <c r="J5015" s="37">
        <v>45720</v>
      </c>
      <c r="K5015" s="27" t="s">
        <v>22</v>
      </c>
    </row>
    <row r="5016" spans="1:11" x14ac:dyDescent="0.2">
      <c r="A5016" s="24" t="s">
        <v>12004</v>
      </c>
      <c r="B5016" s="24" t="s">
        <v>12005</v>
      </c>
      <c r="C5016" s="24" t="s">
        <v>12006</v>
      </c>
      <c r="D5016" s="24" t="s">
        <v>17</v>
      </c>
      <c r="E5016" s="24" t="s">
        <v>18</v>
      </c>
      <c r="F5016" s="24" t="s">
        <v>19</v>
      </c>
      <c r="G5016" s="24" t="s">
        <v>28</v>
      </c>
      <c r="H5016" s="26">
        <v>35</v>
      </c>
      <c r="I5016" s="24" t="s">
        <v>29</v>
      </c>
      <c r="J5016" s="36">
        <v>45719</v>
      </c>
      <c r="K5016" s="24" t="s">
        <v>22</v>
      </c>
    </row>
    <row r="5017" spans="1:11" x14ac:dyDescent="0.2">
      <c r="A5017" s="27" t="s">
        <v>12007</v>
      </c>
      <c r="B5017" s="27" t="s">
        <v>12008</v>
      </c>
      <c r="C5017" s="27" t="s">
        <v>5474</v>
      </c>
      <c r="D5017" s="27" t="s">
        <v>17</v>
      </c>
      <c r="E5017" s="27" t="s">
        <v>18</v>
      </c>
      <c r="F5017" s="27" t="s">
        <v>19</v>
      </c>
      <c r="G5017" s="27" t="s">
        <v>20</v>
      </c>
      <c r="H5017" s="29">
        <v>24</v>
      </c>
      <c r="I5017" s="27" t="s">
        <v>21</v>
      </c>
      <c r="J5017" s="37">
        <v>45729</v>
      </c>
      <c r="K5017" s="27" t="s">
        <v>22</v>
      </c>
    </row>
    <row r="5018" spans="1:11" x14ac:dyDescent="0.2">
      <c r="A5018" s="24" t="s">
        <v>12009</v>
      </c>
      <c r="B5018" s="24" t="s">
        <v>12010</v>
      </c>
      <c r="C5018" s="24" t="s">
        <v>1582</v>
      </c>
      <c r="D5018" s="24" t="s">
        <v>17</v>
      </c>
      <c r="E5018" s="24" t="s">
        <v>18</v>
      </c>
      <c r="F5018" s="24" t="s">
        <v>19</v>
      </c>
      <c r="G5018" s="24" t="s">
        <v>28</v>
      </c>
      <c r="H5018" s="26">
        <v>157</v>
      </c>
      <c r="I5018" s="24" t="s">
        <v>29</v>
      </c>
      <c r="J5018" s="36">
        <v>45743</v>
      </c>
      <c r="K5018" s="24" t="s">
        <v>22</v>
      </c>
    </row>
    <row r="5019" spans="1:11" x14ac:dyDescent="0.2">
      <c r="A5019" s="27" t="s">
        <v>12011</v>
      </c>
      <c r="B5019" s="27" t="s">
        <v>12012</v>
      </c>
      <c r="C5019" s="27" t="s">
        <v>1931</v>
      </c>
      <c r="D5019" s="27" t="s">
        <v>17</v>
      </c>
      <c r="E5019" s="27" t="s">
        <v>18</v>
      </c>
      <c r="F5019" s="27" t="s">
        <v>19</v>
      </c>
      <c r="G5019" s="27" t="s">
        <v>28</v>
      </c>
      <c r="H5019" s="29">
        <v>90</v>
      </c>
      <c r="I5019" s="27" t="s">
        <v>29</v>
      </c>
      <c r="J5019" s="37">
        <v>45734</v>
      </c>
      <c r="K5019" s="27" t="s">
        <v>22</v>
      </c>
    </row>
    <row r="5020" spans="1:11" x14ac:dyDescent="0.2">
      <c r="A5020" s="24" t="s">
        <v>12013</v>
      </c>
      <c r="B5020" s="24" t="s">
        <v>12014</v>
      </c>
      <c r="C5020" s="24" t="s">
        <v>97</v>
      </c>
      <c r="D5020" s="24" t="s">
        <v>17</v>
      </c>
      <c r="E5020" s="24" t="s">
        <v>48</v>
      </c>
      <c r="F5020" s="24" t="s">
        <v>49</v>
      </c>
      <c r="G5020" s="24" t="s">
        <v>44</v>
      </c>
      <c r="H5020" s="26">
        <v>69</v>
      </c>
      <c r="I5020" s="24" t="s">
        <v>21</v>
      </c>
      <c r="J5020" s="36">
        <v>45728</v>
      </c>
      <c r="K5020" s="24" t="s">
        <v>22</v>
      </c>
    </row>
    <row r="5021" spans="1:11" x14ac:dyDescent="0.2">
      <c r="A5021" s="27" t="s">
        <v>12015</v>
      </c>
      <c r="B5021" s="27" t="s">
        <v>12016</v>
      </c>
      <c r="C5021" s="27" t="s">
        <v>71</v>
      </c>
      <c r="D5021" s="27" t="s">
        <v>17</v>
      </c>
      <c r="E5021" s="27" t="s">
        <v>18</v>
      </c>
      <c r="F5021" s="27" t="s">
        <v>19</v>
      </c>
      <c r="G5021" s="27" t="s">
        <v>28</v>
      </c>
      <c r="H5021" s="29">
        <v>180</v>
      </c>
      <c r="I5021" s="27" t="s">
        <v>29</v>
      </c>
      <c r="J5021" s="37">
        <v>45722</v>
      </c>
      <c r="K5021" s="27" t="s">
        <v>22</v>
      </c>
    </row>
    <row r="5022" spans="1:11" x14ac:dyDescent="0.2">
      <c r="A5022" s="24" t="s">
        <v>12017</v>
      </c>
      <c r="B5022" s="24" t="s">
        <v>12018</v>
      </c>
      <c r="C5022" s="24" t="s">
        <v>12019</v>
      </c>
      <c r="D5022" s="24" t="s">
        <v>17</v>
      </c>
      <c r="E5022" s="24" t="s">
        <v>26</v>
      </c>
      <c r="F5022" s="24" t="s">
        <v>27</v>
      </c>
      <c r="G5022" s="24" t="s">
        <v>44</v>
      </c>
      <c r="H5022" s="26">
        <v>30</v>
      </c>
      <c r="I5022" s="24" t="s">
        <v>29</v>
      </c>
      <c r="J5022" s="36">
        <v>45727</v>
      </c>
      <c r="K5022" s="24" t="s">
        <v>22</v>
      </c>
    </row>
    <row r="5023" spans="1:11" x14ac:dyDescent="0.2">
      <c r="A5023" s="27" t="s">
        <v>12020</v>
      </c>
      <c r="B5023" s="27" t="s">
        <v>12021</v>
      </c>
      <c r="C5023" s="27" t="s">
        <v>2355</v>
      </c>
      <c r="D5023" s="27" t="s">
        <v>17</v>
      </c>
      <c r="E5023" s="27" t="s">
        <v>48</v>
      </c>
      <c r="F5023" s="27" t="s">
        <v>49</v>
      </c>
      <c r="G5023" s="27" t="s">
        <v>20</v>
      </c>
      <c r="H5023" s="29">
        <v>50</v>
      </c>
      <c r="I5023" s="27" t="s">
        <v>21</v>
      </c>
      <c r="J5023" s="37">
        <v>45744</v>
      </c>
      <c r="K5023" s="27" t="s">
        <v>22</v>
      </c>
    </row>
    <row r="5024" spans="1:11" x14ac:dyDescent="0.2">
      <c r="A5024" s="24" t="s">
        <v>12022</v>
      </c>
      <c r="B5024" s="24" t="s">
        <v>12023</v>
      </c>
      <c r="C5024" s="24" t="s">
        <v>6033</v>
      </c>
      <c r="D5024" s="24" t="s">
        <v>17</v>
      </c>
      <c r="E5024" s="24" t="s">
        <v>18</v>
      </c>
      <c r="F5024" s="24" t="s">
        <v>19</v>
      </c>
      <c r="G5024" s="24" t="s">
        <v>20</v>
      </c>
      <c r="H5024" s="26">
        <v>72</v>
      </c>
      <c r="I5024" s="24" t="s">
        <v>21</v>
      </c>
      <c r="J5024" s="36">
        <v>45722</v>
      </c>
      <c r="K5024" s="24" t="s">
        <v>22</v>
      </c>
    </row>
    <row r="5025" spans="1:11" x14ac:dyDescent="0.2">
      <c r="A5025" s="27" t="s">
        <v>12024</v>
      </c>
      <c r="B5025" s="27" t="s">
        <v>12025</v>
      </c>
      <c r="C5025" s="27" t="s">
        <v>354</v>
      </c>
      <c r="D5025" s="27" t="s">
        <v>17</v>
      </c>
      <c r="E5025" s="27" t="s">
        <v>81</v>
      </c>
      <c r="F5025" s="27" t="s">
        <v>82</v>
      </c>
      <c r="G5025" s="27" t="s">
        <v>20</v>
      </c>
      <c r="H5025" s="29">
        <v>100</v>
      </c>
      <c r="I5025" s="27" t="s">
        <v>21</v>
      </c>
      <c r="J5025" s="37">
        <v>45737</v>
      </c>
      <c r="K5025" s="27" t="s">
        <v>22</v>
      </c>
    </row>
    <row r="5026" spans="1:11" x14ac:dyDescent="0.2">
      <c r="A5026" s="24" t="s">
        <v>12026</v>
      </c>
      <c r="B5026" s="24" t="s">
        <v>12027</v>
      </c>
      <c r="C5026" s="24" t="s">
        <v>11719</v>
      </c>
      <c r="D5026" s="24" t="s">
        <v>17</v>
      </c>
      <c r="E5026" s="24" t="s">
        <v>163</v>
      </c>
      <c r="F5026" s="24" t="s">
        <v>164</v>
      </c>
      <c r="G5026" s="24" t="s">
        <v>217</v>
      </c>
      <c r="H5026" s="26">
        <v>8</v>
      </c>
      <c r="I5026" s="24" t="s">
        <v>29</v>
      </c>
      <c r="J5026" s="36">
        <v>45744</v>
      </c>
      <c r="K5026" s="24" t="s">
        <v>22</v>
      </c>
    </row>
    <row r="5027" spans="1:11" x14ac:dyDescent="0.2">
      <c r="A5027" s="27" t="s">
        <v>12028</v>
      </c>
      <c r="B5027" s="27" t="s">
        <v>12029</v>
      </c>
      <c r="C5027" s="27" t="s">
        <v>115</v>
      </c>
      <c r="D5027" s="27" t="s">
        <v>17</v>
      </c>
      <c r="E5027" s="27" t="s">
        <v>42</v>
      </c>
      <c r="F5027" s="27" t="s">
        <v>43</v>
      </c>
      <c r="G5027" s="27" t="s">
        <v>28</v>
      </c>
      <c r="H5027" s="29">
        <v>1088</v>
      </c>
      <c r="I5027" s="27" t="s">
        <v>29</v>
      </c>
      <c r="J5027" s="37">
        <v>45719</v>
      </c>
      <c r="K5027" s="27" t="s">
        <v>22</v>
      </c>
    </row>
    <row r="5028" spans="1:11" x14ac:dyDescent="0.2">
      <c r="A5028" s="24" t="s">
        <v>12030</v>
      </c>
      <c r="B5028" s="24" t="s">
        <v>12031</v>
      </c>
      <c r="C5028" s="24" t="s">
        <v>3141</v>
      </c>
      <c r="D5028" s="24" t="s">
        <v>17</v>
      </c>
      <c r="E5028" s="24" t="s">
        <v>163</v>
      </c>
      <c r="F5028" s="24" t="s">
        <v>164</v>
      </c>
      <c r="G5028" s="24" t="s">
        <v>28</v>
      </c>
      <c r="H5028" s="26">
        <v>34</v>
      </c>
      <c r="I5028" s="24" t="s">
        <v>29</v>
      </c>
      <c r="J5028" s="36">
        <v>45726</v>
      </c>
      <c r="K5028" s="24" t="s">
        <v>22</v>
      </c>
    </row>
    <row r="5029" spans="1:11" x14ac:dyDescent="0.2">
      <c r="A5029" s="27" t="s">
        <v>12032</v>
      </c>
      <c r="B5029" s="27" t="s">
        <v>12033</v>
      </c>
      <c r="C5029" s="27" t="s">
        <v>68</v>
      </c>
      <c r="D5029" s="27" t="s">
        <v>17</v>
      </c>
      <c r="E5029" s="27" t="s">
        <v>42</v>
      </c>
      <c r="F5029" s="27" t="s">
        <v>43</v>
      </c>
      <c r="G5029" s="27" t="s">
        <v>28</v>
      </c>
      <c r="H5029" s="29">
        <v>300</v>
      </c>
      <c r="I5029" s="27" t="s">
        <v>29</v>
      </c>
      <c r="J5029" s="37">
        <v>45729</v>
      </c>
      <c r="K5029" s="27" t="s">
        <v>22</v>
      </c>
    </row>
    <row r="5030" spans="1:11" x14ac:dyDescent="0.2">
      <c r="A5030" s="24" t="s">
        <v>12034</v>
      </c>
      <c r="B5030" s="24" t="s">
        <v>12035</v>
      </c>
      <c r="C5030" s="24" t="s">
        <v>71</v>
      </c>
      <c r="D5030" s="24" t="s">
        <v>17</v>
      </c>
      <c r="E5030" s="24" t="s">
        <v>48</v>
      </c>
      <c r="F5030" s="24" t="s">
        <v>49</v>
      </c>
      <c r="G5030" s="24" t="s">
        <v>217</v>
      </c>
      <c r="H5030" s="26">
        <v>30</v>
      </c>
      <c r="I5030" s="24" t="s">
        <v>29</v>
      </c>
      <c r="J5030" s="36">
        <v>45717</v>
      </c>
      <c r="K5030" s="24" t="s">
        <v>22</v>
      </c>
    </row>
    <row r="5031" spans="1:11" x14ac:dyDescent="0.2">
      <c r="A5031" s="27" t="s">
        <v>12036</v>
      </c>
      <c r="B5031" s="27" t="s">
        <v>12037</v>
      </c>
      <c r="C5031" s="27" t="s">
        <v>494</v>
      </c>
      <c r="D5031" s="27" t="s">
        <v>17</v>
      </c>
      <c r="E5031" s="27" t="s">
        <v>48</v>
      </c>
      <c r="F5031" s="27" t="s">
        <v>49</v>
      </c>
      <c r="G5031" s="27" t="s">
        <v>217</v>
      </c>
      <c r="H5031" s="29">
        <v>120</v>
      </c>
      <c r="I5031" s="27" t="s">
        <v>29</v>
      </c>
      <c r="J5031" s="37">
        <v>45717</v>
      </c>
      <c r="K5031" s="27" t="s">
        <v>22</v>
      </c>
    </row>
    <row r="5032" spans="1:11" x14ac:dyDescent="0.2">
      <c r="A5032" s="24" t="s">
        <v>12038</v>
      </c>
      <c r="B5032" s="24" t="s">
        <v>12039</v>
      </c>
      <c r="C5032" s="24" t="s">
        <v>68</v>
      </c>
      <c r="D5032" s="24" t="s">
        <v>17</v>
      </c>
      <c r="E5032" s="24" t="s">
        <v>18</v>
      </c>
      <c r="F5032" s="24" t="s">
        <v>19</v>
      </c>
      <c r="G5032" s="24" t="s">
        <v>44</v>
      </c>
      <c r="H5032" s="26">
        <v>46</v>
      </c>
      <c r="I5032" s="24" t="s">
        <v>21</v>
      </c>
      <c r="J5032" s="36">
        <v>45730</v>
      </c>
      <c r="K5032" s="24" t="s">
        <v>22</v>
      </c>
    </row>
    <row r="5033" spans="1:11" x14ac:dyDescent="0.2">
      <c r="A5033" s="27" t="s">
        <v>12040</v>
      </c>
      <c r="B5033" s="27" t="s">
        <v>12041</v>
      </c>
      <c r="C5033" s="27" t="s">
        <v>6517</v>
      </c>
      <c r="D5033" s="27" t="s">
        <v>17</v>
      </c>
      <c r="E5033" s="27" t="s">
        <v>26</v>
      </c>
      <c r="F5033" s="27" t="s">
        <v>27</v>
      </c>
      <c r="G5033" s="27" t="s">
        <v>28</v>
      </c>
      <c r="H5033" s="29">
        <v>186</v>
      </c>
      <c r="I5033" s="27" t="s">
        <v>29</v>
      </c>
      <c r="J5033" s="37">
        <v>45741</v>
      </c>
      <c r="K5033" s="27" t="s">
        <v>22</v>
      </c>
    </row>
    <row r="5034" spans="1:11" x14ac:dyDescent="0.2">
      <c r="A5034" s="24" t="s">
        <v>12042</v>
      </c>
      <c r="B5034" s="24" t="s">
        <v>12043</v>
      </c>
      <c r="C5034" s="24" t="s">
        <v>1693</v>
      </c>
      <c r="D5034" s="24" t="s">
        <v>17</v>
      </c>
      <c r="E5034" s="24" t="s">
        <v>48</v>
      </c>
      <c r="F5034" s="24" t="s">
        <v>49</v>
      </c>
      <c r="G5034" s="24" t="s">
        <v>44</v>
      </c>
      <c r="H5034" s="26">
        <v>18</v>
      </c>
      <c r="I5034" s="24" t="s">
        <v>21</v>
      </c>
      <c r="J5034" s="36">
        <v>45720</v>
      </c>
      <c r="K5034" s="24" t="s">
        <v>22</v>
      </c>
    </row>
    <row r="5035" spans="1:11" x14ac:dyDescent="0.2">
      <c r="A5035" s="27" t="s">
        <v>12044</v>
      </c>
      <c r="B5035" s="27" t="s">
        <v>12045</v>
      </c>
      <c r="C5035" s="27" t="s">
        <v>7365</v>
      </c>
      <c r="D5035" s="27" t="s">
        <v>17</v>
      </c>
      <c r="E5035" s="27" t="s">
        <v>48</v>
      </c>
      <c r="F5035" s="27" t="s">
        <v>49</v>
      </c>
      <c r="G5035" s="27" t="s">
        <v>20</v>
      </c>
      <c r="H5035" s="29">
        <v>169</v>
      </c>
      <c r="I5035" s="27" t="s">
        <v>21</v>
      </c>
      <c r="J5035" s="37">
        <v>45726</v>
      </c>
      <c r="K5035" s="27" t="s">
        <v>22</v>
      </c>
    </row>
    <row r="5036" spans="1:11" x14ac:dyDescent="0.2">
      <c r="A5036" s="24" t="s">
        <v>12046</v>
      </c>
      <c r="B5036" s="24" t="s">
        <v>12047</v>
      </c>
      <c r="C5036" s="24" t="s">
        <v>526</v>
      </c>
      <c r="D5036" s="24" t="s">
        <v>17</v>
      </c>
      <c r="E5036" s="24" t="s">
        <v>81</v>
      </c>
      <c r="F5036" s="24" t="s">
        <v>82</v>
      </c>
      <c r="G5036" s="24" t="s">
        <v>28</v>
      </c>
      <c r="H5036" s="26">
        <v>200</v>
      </c>
      <c r="I5036" s="24" t="s">
        <v>29</v>
      </c>
      <c r="J5036" s="36">
        <v>45735</v>
      </c>
      <c r="K5036" s="24" t="s">
        <v>22</v>
      </c>
    </row>
    <row r="5037" spans="1:11" x14ac:dyDescent="0.2">
      <c r="A5037" s="27" t="s">
        <v>12048</v>
      </c>
      <c r="B5037" s="27" t="s">
        <v>12049</v>
      </c>
      <c r="C5037" s="27" t="s">
        <v>115</v>
      </c>
      <c r="D5037" s="27" t="s">
        <v>17</v>
      </c>
      <c r="E5037" s="27" t="s">
        <v>42</v>
      </c>
      <c r="F5037" s="27" t="s">
        <v>43</v>
      </c>
      <c r="G5037" s="27" t="s">
        <v>28</v>
      </c>
      <c r="H5037" s="29">
        <v>600</v>
      </c>
      <c r="I5037" s="27" t="s">
        <v>29</v>
      </c>
      <c r="J5037" s="37">
        <v>45726</v>
      </c>
      <c r="K5037" s="27" t="s">
        <v>22</v>
      </c>
    </row>
    <row r="5038" spans="1:11" x14ac:dyDescent="0.2">
      <c r="A5038" s="24" t="s">
        <v>12050</v>
      </c>
      <c r="B5038" s="24" t="s">
        <v>12051</v>
      </c>
      <c r="C5038" s="24" t="s">
        <v>106</v>
      </c>
      <c r="D5038" s="24" t="s">
        <v>17</v>
      </c>
      <c r="E5038" s="24" t="s">
        <v>18</v>
      </c>
      <c r="F5038" s="24" t="s">
        <v>19</v>
      </c>
      <c r="G5038" s="24" t="s">
        <v>28</v>
      </c>
      <c r="H5038" s="26">
        <v>135</v>
      </c>
      <c r="I5038" s="24" t="s">
        <v>29</v>
      </c>
      <c r="J5038" s="36">
        <v>45744</v>
      </c>
      <c r="K5038" s="24" t="s">
        <v>22</v>
      </c>
    </row>
    <row r="5039" spans="1:11" x14ac:dyDescent="0.2">
      <c r="A5039" s="27" t="s">
        <v>12052</v>
      </c>
      <c r="B5039" s="27" t="s">
        <v>12053</v>
      </c>
      <c r="C5039" s="27" t="s">
        <v>5774</v>
      </c>
      <c r="D5039" s="27" t="s">
        <v>17</v>
      </c>
      <c r="E5039" s="27" t="s">
        <v>18</v>
      </c>
      <c r="F5039" s="27" t="s">
        <v>19</v>
      </c>
      <c r="G5039" s="27" t="s">
        <v>28</v>
      </c>
      <c r="H5039" s="29">
        <v>80</v>
      </c>
      <c r="I5039" s="27" t="s">
        <v>29</v>
      </c>
      <c r="J5039" s="37">
        <v>45726</v>
      </c>
      <c r="K5039" s="27" t="s">
        <v>22</v>
      </c>
    </row>
    <row r="5040" spans="1:11" x14ac:dyDescent="0.2">
      <c r="A5040" s="24" t="s">
        <v>12054</v>
      </c>
      <c r="B5040" s="24" t="s">
        <v>12055</v>
      </c>
      <c r="C5040" s="24" t="s">
        <v>134</v>
      </c>
      <c r="D5040" s="24" t="s">
        <v>17</v>
      </c>
      <c r="E5040" s="24" t="s">
        <v>42</v>
      </c>
      <c r="F5040" s="24" t="s">
        <v>43</v>
      </c>
      <c r="G5040" s="24" t="s">
        <v>28</v>
      </c>
      <c r="H5040" s="26">
        <v>60</v>
      </c>
      <c r="I5040" s="24" t="s">
        <v>29</v>
      </c>
      <c r="J5040" s="36">
        <v>45729</v>
      </c>
      <c r="K5040" s="24" t="s">
        <v>22</v>
      </c>
    </row>
    <row r="5041" spans="1:11" x14ac:dyDescent="0.2">
      <c r="A5041" s="27" t="s">
        <v>12056</v>
      </c>
      <c r="B5041" s="27" t="s">
        <v>12057</v>
      </c>
      <c r="C5041" s="27" t="s">
        <v>12058</v>
      </c>
      <c r="D5041" s="27" t="s">
        <v>17</v>
      </c>
      <c r="E5041" s="27" t="s">
        <v>18</v>
      </c>
      <c r="F5041" s="27" t="s">
        <v>19</v>
      </c>
      <c r="G5041" s="27" t="s">
        <v>20</v>
      </c>
      <c r="H5041" s="29">
        <v>60</v>
      </c>
      <c r="I5041" s="27" t="s">
        <v>21</v>
      </c>
      <c r="J5041" s="37">
        <v>45745</v>
      </c>
      <c r="K5041" s="27" t="s">
        <v>22</v>
      </c>
    </row>
    <row r="5042" spans="1:11" x14ac:dyDescent="0.2">
      <c r="A5042" s="24" t="s">
        <v>12059</v>
      </c>
      <c r="B5042" s="24" t="s">
        <v>12060</v>
      </c>
      <c r="C5042" s="24" t="s">
        <v>10518</v>
      </c>
      <c r="D5042" s="24" t="s">
        <v>17</v>
      </c>
      <c r="E5042" s="24" t="s">
        <v>163</v>
      </c>
      <c r="F5042" s="24" t="s">
        <v>164</v>
      </c>
      <c r="G5042" s="24" t="s">
        <v>28</v>
      </c>
      <c r="H5042" s="26">
        <v>46</v>
      </c>
      <c r="I5042" s="24" t="s">
        <v>29</v>
      </c>
      <c r="J5042" s="36">
        <v>45736</v>
      </c>
      <c r="K5042" s="24" t="s">
        <v>22</v>
      </c>
    </row>
    <row r="5043" spans="1:11" x14ac:dyDescent="0.2">
      <c r="A5043" s="27" t="s">
        <v>12061</v>
      </c>
      <c r="B5043" s="27" t="s">
        <v>12062</v>
      </c>
      <c r="C5043" s="27" t="s">
        <v>12063</v>
      </c>
      <c r="D5043" s="27" t="s">
        <v>17</v>
      </c>
      <c r="E5043" s="27" t="s">
        <v>163</v>
      </c>
      <c r="F5043" s="27" t="s">
        <v>164</v>
      </c>
      <c r="G5043" s="27" t="s">
        <v>217</v>
      </c>
      <c r="H5043" s="29">
        <v>10</v>
      </c>
      <c r="I5043" s="27" t="s">
        <v>29</v>
      </c>
      <c r="J5043" s="37">
        <v>45717</v>
      </c>
      <c r="K5043" s="27" t="s">
        <v>22</v>
      </c>
    </row>
    <row r="5044" spans="1:11" x14ac:dyDescent="0.2">
      <c r="A5044" s="24" t="s">
        <v>12064</v>
      </c>
      <c r="B5044" s="24" t="s">
        <v>12065</v>
      </c>
      <c r="C5044" s="24" t="s">
        <v>526</v>
      </c>
      <c r="D5044" s="24" t="s">
        <v>17</v>
      </c>
      <c r="E5044" s="24" t="s">
        <v>48</v>
      </c>
      <c r="F5044" s="24" t="s">
        <v>49</v>
      </c>
      <c r="G5044" s="24" t="s">
        <v>44</v>
      </c>
      <c r="H5044" s="26">
        <v>35</v>
      </c>
      <c r="I5044" s="24" t="s">
        <v>21</v>
      </c>
      <c r="J5044" s="36">
        <v>45735</v>
      </c>
      <c r="K5044" s="24" t="s">
        <v>22</v>
      </c>
    </row>
    <row r="5045" spans="1:11" x14ac:dyDescent="0.2">
      <c r="A5045" s="27" t="s">
        <v>12066</v>
      </c>
      <c r="B5045" s="27" t="s">
        <v>12067</v>
      </c>
      <c r="C5045" s="27" t="s">
        <v>12068</v>
      </c>
      <c r="D5045" s="27" t="s">
        <v>17</v>
      </c>
      <c r="E5045" s="27" t="s">
        <v>26</v>
      </c>
      <c r="F5045" s="27" t="s">
        <v>27</v>
      </c>
      <c r="G5045" s="27" t="s">
        <v>28</v>
      </c>
      <c r="H5045" s="29">
        <v>72</v>
      </c>
      <c r="I5045" s="27" t="s">
        <v>29</v>
      </c>
      <c r="J5045" s="37">
        <v>45737</v>
      </c>
      <c r="K5045" s="27" t="s">
        <v>22</v>
      </c>
    </row>
    <row r="5046" spans="1:11" x14ac:dyDescent="0.2">
      <c r="A5046" s="24" t="s">
        <v>12069</v>
      </c>
      <c r="B5046" s="24" t="s">
        <v>12070</v>
      </c>
      <c r="C5046" s="24" t="s">
        <v>5453</v>
      </c>
      <c r="D5046" s="24" t="s">
        <v>17</v>
      </c>
      <c r="E5046" s="24" t="s">
        <v>48</v>
      </c>
      <c r="F5046" s="24" t="s">
        <v>49</v>
      </c>
      <c r="G5046" s="24" t="s">
        <v>217</v>
      </c>
      <c r="H5046" s="26">
        <v>100</v>
      </c>
      <c r="I5046" s="24" t="s">
        <v>29</v>
      </c>
      <c r="J5046" s="36">
        <v>45747</v>
      </c>
      <c r="K5046" s="24" t="s">
        <v>22</v>
      </c>
    </row>
    <row r="5047" spans="1:11" x14ac:dyDescent="0.2">
      <c r="A5047" s="27" t="s">
        <v>12071</v>
      </c>
      <c r="B5047" s="27" t="s">
        <v>12072</v>
      </c>
      <c r="C5047" s="27" t="s">
        <v>12073</v>
      </c>
      <c r="D5047" s="27" t="s">
        <v>17</v>
      </c>
      <c r="E5047" s="27" t="s">
        <v>18</v>
      </c>
      <c r="F5047" s="27" t="s">
        <v>19</v>
      </c>
      <c r="G5047" s="27" t="s">
        <v>44</v>
      </c>
      <c r="H5047" s="29">
        <v>33</v>
      </c>
      <c r="I5047" s="27" t="s">
        <v>21</v>
      </c>
      <c r="J5047" s="37">
        <v>45719</v>
      </c>
      <c r="K5047" s="27" t="s">
        <v>22</v>
      </c>
    </row>
    <row r="5048" spans="1:11" x14ac:dyDescent="0.2">
      <c r="A5048" s="24" t="s">
        <v>12074</v>
      </c>
      <c r="B5048" s="24" t="s">
        <v>12075</v>
      </c>
      <c r="C5048" s="24" t="s">
        <v>1199</v>
      </c>
      <c r="D5048" s="24" t="s">
        <v>17</v>
      </c>
      <c r="E5048" s="24" t="s">
        <v>48</v>
      </c>
      <c r="F5048" s="24" t="s">
        <v>49</v>
      </c>
      <c r="G5048" s="24" t="s">
        <v>28</v>
      </c>
      <c r="H5048" s="26">
        <v>300</v>
      </c>
      <c r="I5048" s="24" t="s">
        <v>29</v>
      </c>
      <c r="J5048" s="36">
        <v>45723</v>
      </c>
      <c r="K5048" s="24" t="s">
        <v>22</v>
      </c>
    </row>
    <row r="5049" spans="1:11" x14ac:dyDescent="0.2">
      <c r="A5049" s="27" t="s">
        <v>12076</v>
      </c>
      <c r="B5049" s="27" t="s">
        <v>12077</v>
      </c>
      <c r="C5049" s="27" t="s">
        <v>97</v>
      </c>
      <c r="D5049" s="27" t="s">
        <v>17</v>
      </c>
      <c r="E5049" s="27" t="s">
        <v>18</v>
      </c>
      <c r="F5049" s="27" t="s">
        <v>19</v>
      </c>
      <c r="G5049" s="27" t="s">
        <v>44</v>
      </c>
      <c r="H5049" s="29">
        <v>41</v>
      </c>
      <c r="I5049" s="27" t="s">
        <v>21</v>
      </c>
      <c r="J5049" s="37">
        <v>45741</v>
      </c>
      <c r="K5049" s="27" t="s">
        <v>22</v>
      </c>
    </row>
    <row r="5050" spans="1:11" x14ac:dyDescent="0.2">
      <c r="A5050" s="24" t="s">
        <v>12078</v>
      </c>
      <c r="B5050" s="24" t="s">
        <v>12079</v>
      </c>
      <c r="C5050" s="24" t="s">
        <v>12080</v>
      </c>
      <c r="D5050" s="24" t="s">
        <v>17</v>
      </c>
      <c r="E5050" s="24" t="s">
        <v>18</v>
      </c>
      <c r="F5050" s="24" t="s">
        <v>19</v>
      </c>
      <c r="G5050" s="24" t="s">
        <v>217</v>
      </c>
      <c r="H5050" s="26">
        <v>92</v>
      </c>
      <c r="I5050" s="24" t="s">
        <v>29</v>
      </c>
      <c r="J5050" s="36">
        <v>45723</v>
      </c>
      <c r="K5050" s="24" t="s">
        <v>22</v>
      </c>
    </row>
    <row r="5051" spans="1:11" x14ac:dyDescent="0.2">
      <c r="A5051" s="27" t="s">
        <v>12081</v>
      </c>
      <c r="B5051" s="27" t="s">
        <v>12082</v>
      </c>
      <c r="C5051" s="27" t="s">
        <v>2397</v>
      </c>
      <c r="D5051" s="27" t="s">
        <v>17</v>
      </c>
      <c r="E5051" s="27" t="s">
        <v>42</v>
      </c>
      <c r="F5051" s="27" t="s">
        <v>43</v>
      </c>
      <c r="G5051" s="27" t="s">
        <v>28</v>
      </c>
      <c r="H5051" s="29">
        <v>60</v>
      </c>
      <c r="I5051" s="27" t="s">
        <v>29</v>
      </c>
      <c r="J5051" s="37">
        <v>45741</v>
      </c>
      <c r="K5051" s="27" t="s">
        <v>22</v>
      </c>
    </row>
    <row r="5052" spans="1:11" x14ac:dyDescent="0.2">
      <c r="A5052" s="24" t="s">
        <v>12083</v>
      </c>
      <c r="B5052" s="24" t="s">
        <v>12084</v>
      </c>
      <c r="C5052" s="24" t="s">
        <v>5579</v>
      </c>
      <c r="D5052" s="24" t="s">
        <v>17</v>
      </c>
      <c r="E5052" s="24" t="s">
        <v>18</v>
      </c>
      <c r="F5052" s="24" t="s">
        <v>19</v>
      </c>
      <c r="G5052" s="24" t="s">
        <v>28</v>
      </c>
      <c r="H5052" s="26">
        <v>70</v>
      </c>
      <c r="I5052" s="24" t="s">
        <v>29</v>
      </c>
      <c r="J5052" s="36">
        <v>45747</v>
      </c>
      <c r="K5052" s="24" t="s">
        <v>22</v>
      </c>
    </row>
    <row r="5053" spans="1:11" x14ac:dyDescent="0.2">
      <c r="A5053" s="27" t="s">
        <v>12085</v>
      </c>
      <c r="B5053" s="27" t="s">
        <v>12086</v>
      </c>
      <c r="C5053" s="27" t="s">
        <v>85</v>
      </c>
      <c r="D5053" s="27" t="s">
        <v>17</v>
      </c>
      <c r="E5053" s="27" t="s">
        <v>18</v>
      </c>
      <c r="F5053" s="27" t="s">
        <v>19</v>
      </c>
      <c r="G5053" s="27" t="s">
        <v>20</v>
      </c>
      <c r="H5053" s="29">
        <v>17</v>
      </c>
      <c r="I5053" s="27" t="s">
        <v>21</v>
      </c>
      <c r="J5053" s="37">
        <v>45741</v>
      </c>
      <c r="K5053" s="27" t="s">
        <v>22</v>
      </c>
    </row>
    <row r="5054" spans="1:11" x14ac:dyDescent="0.2">
      <c r="A5054" s="24" t="s">
        <v>12087</v>
      </c>
      <c r="B5054" s="24" t="s">
        <v>12088</v>
      </c>
      <c r="C5054" s="24" t="s">
        <v>12089</v>
      </c>
      <c r="D5054" s="24" t="s">
        <v>17</v>
      </c>
      <c r="E5054" s="24" t="s">
        <v>18</v>
      </c>
      <c r="F5054" s="24" t="s">
        <v>19</v>
      </c>
      <c r="G5054" s="24" t="s">
        <v>20</v>
      </c>
      <c r="H5054" s="26">
        <v>16</v>
      </c>
      <c r="I5054" s="24" t="s">
        <v>21</v>
      </c>
      <c r="J5054" s="36">
        <v>45733</v>
      </c>
      <c r="K5054" s="24" t="s">
        <v>22</v>
      </c>
    </row>
    <row r="5055" spans="1:11" x14ac:dyDescent="0.2">
      <c r="A5055" s="27" t="s">
        <v>12090</v>
      </c>
      <c r="B5055" s="27" t="s">
        <v>12091</v>
      </c>
      <c r="C5055" s="27" t="s">
        <v>4601</v>
      </c>
      <c r="D5055" s="27" t="s">
        <v>17</v>
      </c>
      <c r="E5055" s="27" t="s">
        <v>42</v>
      </c>
      <c r="F5055" s="27" t="s">
        <v>43</v>
      </c>
      <c r="G5055" s="27" t="s">
        <v>217</v>
      </c>
      <c r="H5055" s="29">
        <v>120</v>
      </c>
      <c r="I5055" s="27" t="s">
        <v>29</v>
      </c>
      <c r="J5055" s="37">
        <v>45717</v>
      </c>
      <c r="K5055" s="27" t="s">
        <v>22</v>
      </c>
    </row>
    <row r="5056" spans="1:11" x14ac:dyDescent="0.2">
      <c r="A5056" s="24" t="s">
        <v>12092</v>
      </c>
      <c r="B5056" s="24" t="s">
        <v>12093</v>
      </c>
      <c r="C5056" s="24" t="s">
        <v>12094</v>
      </c>
      <c r="D5056" s="24" t="s">
        <v>17</v>
      </c>
      <c r="E5056" s="24" t="s">
        <v>26</v>
      </c>
      <c r="F5056" s="24" t="s">
        <v>27</v>
      </c>
      <c r="G5056" s="24" t="s">
        <v>28</v>
      </c>
      <c r="H5056" s="26">
        <v>24</v>
      </c>
      <c r="I5056" s="24" t="s">
        <v>29</v>
      </c>
      <c r="J5056" s="36">
        <v>45740</v>
      </c>
      <c r="K5056" s="24" t="s">
        <v>22</v>
      </c>
    </row>
    <row r="5057" spans="1:11" x14ac:dyDescent="0.2">
      <c r="A5057" s="27" t="s">
        <v>12095</v>
      </c>
      <c r="B5057" s="27" t="s">
        <v>12096</v>
      </c>
      <c r="C5057" s="27" t="s">
        <v>526</v>
      </c>
      <c r="D5057" s="27" t="s">
        <v>17</v>
      </c>
      <c r="E5057" s="27" t="s">
        <v>48</v>
      </c>
      <c r="F5057" s="27" t="s">
        <v>49</v>
      </c>
      <c r="G5057" s="27" t="s">
        <v>28</v>
      </c>
      <c r="H5057" s="29">
        <v>240</v>
      </c>
      <c r="I5057" s="27" t="s">
        <v>29</v>
      </c>
      <c r="J5057" s="37">
        <v>45744</v>
      </c>
      <c r="K5057" s="27" t="s">
        <v>22</v>
      </c>
    </row>
    <row r="5058" spans="1:11" x14ac:dyDescent="0.2">
      <c r="A5058" s="24" t="s">
        <v>12097</v>
      </c>
      <c r="B5058" s="24" t="s">
        <v>12098</v>
      </c>
      <c r="C5058" s="24" t="s">
        <v>12099</v>
      </c>
      <c r="D5058" s="24" t="s">
        <v>17</v>
      </c>
      <c r="E5058" s="24" t="s">
        <v>18</v>
      </c>
      <c r="F5058" s="24" t="s">
        <v>19</v>
      </c>
      <c r="G5058" s="24" t="s">
        <v>28</v>
      </c>
      <c r="H5058" s="26">
        <v>12</v>
      </c>
      <c r="I5058" s="24" t="s">
        <v>29</v>
      </c>
      <c r="J5058" s="36">
        <v>45719</v>
      </c>
      <c r="K5058" s="24" t="s">
        <v>22</v>
      </c>
    </row>
    <row r="5059" spans="1:11" x14ac:dyDescent="0.2">
      <c r="A5059" s="27" t="s">
        <v>12100</v>
      </c>
      <c r="B5059" s="27" t="s">
        <v>12101</v>
      </c>
      <c r="C5059" s="27" t="s">
        <v>11979</v>
      </c>
      <c r="D5059" s="27" t="s">
        <v>17</v>
      </c>
      <c r="E5059" s="27" t="s">
        <v>48</v>
      </c>
      <c r="F5059" s="27" t="s">
        <v>49</v>
      </c>
      <c r="G5059" s="27" t="s">
        <v>217</v>
      </c>
      <c r="H5059" s="29">
        <v>24</v>
      </c>
      <c r="I5059" s="27" t="s">
        <v>29</v>
      </c>
      <c r="J5059" s="37">
        <v>45717</v>
      </c>
      <c r="K5059" s="27" t="s">
        <v>22</v>
      </c>
    </row>
    <row r="5060" spans="1:11" x14ac:dyDescent="0.2">
      <c r="A5060" s="24" t="s">
        <v>12102</v>
      </c>
      <c r="B5060" s="24" t="s">
        <v>12103</v>
      </c>
      <c r="C5060" s="24" t="s">
        <v>251</v>
      </c>
      <c r="D5060" s="24" t="s">
        <v>17</v>
      </c>
      <c r="E5060" s="24" t="s">
        <v>18</v>
      </c>
      <c r="F5060" s="24" t="s">
        <v>19</v>
      </c>
      <c r="G5060" s="24" t="s">
        <v>116</v>
      </c>
      <c r="H5060" s="26">
        <v>0</v>
      </c>
      <c r="I5060" s="24" t="s">
        <v>21</v>
      </c>
      <c r="J5060" s="36">
        <v>45722</v>
      </c>
      <c r="K5060" s="24" t="s">
        <v>22</v>
      </c>
    </row>
    <row r="5061" spans="1:11" x14ac:dyDescent="0.2">
      <c r="A5061" s="27" t="s">
        <v>12104</v>
      </c>
      <c r="B5061" s="27" t="s">
        <v>12105</v>
      </c>
      <c r="C5061" s="27" t="s">
        <v>5675</v>
      </c>
      <c r="D5061" s="27" t="s">
        <v>17</v>
      </c>
      <c r="E5061" s="27" t="s">
        <v>42</v>
      </c>
      <c r="F5061" s="27" t="s">
        <v>43</v>
      </c>
      <c r="G5061" s="27" t="s">
        <v>44</v>
      </c>
      <c r="H5061" s="29">
        <v>756</v>
      </c>
      <c r="I5061" s="27" t="s">
        <v>29</v>
      </c>
      <c r="J5061" s="37">
        <v>45737</v>
      </c>
      <c r="K5061" s="27" t="s">
        <v>22</v>
      </c>
    </row>
    <row r="5062" spans="1:11" x14ac:dyDescent="0.2">
      <c r="A5062" s="24" t="s">
        <v>12106</v>
      </c>
      <c r="B5062" s="24" t="s">
        <v>12107</v>
      </c>
      <c r="C5062" s="24" t="s">
        <v>1307</v>
      </c>
      <c r="D5062" s="24" t="s">
        <v>17</v>
      </c>
      <c r="E5062" s="24" t="s">
        <v>26</v>
      </c>
      <c r="F5062" s="24" t="s">
        <v>27</v>
      </c>
      <c r="G5062" s="24" t="s">
        <v>28</v>
      </c>
      <c r="H5062" s="26">
        <v>195</v>
      </c>
      <c r="I5062" s="24" t="s">
        <v>29</v>
      </c>
      <c r="J5062" s="36">
        <v>45727</v>
      </c>
      <c r="K5062" s="24" t="s">
        <v>22</v>
      </c>
    </row>
    <row r="5063" spans="1:11" x14ac:dyDescent="0.2">
      <c r="A5063" s="27" t="s">
        <v>12108</v>
      </c>
      <c r="B5063" s="27" t="s">
        <v>12109</v>
      </c>
      <c r="C5063" s="27" t="s">
        <v>97</v>
      </c>
      <c r="D5063" s="27" t="s">
        <v>17</v>
      </c>
      <c r="E5063" s="27" t="s">
        <v>18</v>
      </c>
      <c r="F5063" s="27" t="s">
        <v>19</v>
      </c>
      <c r="G5063" s="27" t="s">
        <v>20</v>
      </c>
      <c r="H5063" s="29">
        <v>8</v>
      </c>
      <c r="I5063" s="27" t="s">
        <v>21</v>
      </c>
      <c r="J5063" s="37">
        <v>45722</v>
      </c>
      <c r="K5063" s="27" t="s">
        <v>22</v>
      </c>
    </row>
    <row r="5064" spans="1:11" x14ac:dyDescent="0.2">
      <c r="A5064" s="24" t="s">
        <v>12110</v>
      </c>
      <c r="B5064" s="24" t="s">
        <v>12111</v>
      </c>
      <c r="C5064" s="24" t="s">
        <v>2779</v>
      </c>
      <c r="D5064" s="24" t="s">
        <v>17</v>
      </c>
      <c r="E5064" s="24" t="s">
        <v>42</v>
      </c>
      <c r="F5064" s="24" t="s">
        <v>43</v>
      </c>
      <c r="G5064" s="24" t="s">
        <v>28</v>
      </c>
      <c r="H5064" s="26">
        <v>300</v>
      </c>
      <c r="I5064" s="24" t="s">
        <v>29</v>
      </c>
      <c r="J5064" s="36">
        <v>45721</v>
      </c>
      <c r="K5064" s="24" t="s">
        <v>22</v>
      </c>
    </row>
    <row r="5065" spans="1:11" x14ac:dyDescent="0.2">
      <c r="A5065" s="27" t="s">
        <v>12112</v>
      </c>
      <c r="B5065" s="27" t="s">
        <v>12113</v>
      </c>
      <c r="C5065" s="27" t="s">
        <v>12114</v>
      </c>
      <c r="D5065" s="27" t="s">
        <v>17</v>
      </c>
      <c r="E5065" s="27" t="s">
        <v>26</v>
      </c>
      <c r="F5065" s="27" t="s">
        <v>27</v>
      </c>
      <c r="G5065" s="27" t="s">
        <v>28</v>
      </c>
      <c r="H5065" s="29">
        <v>191</v>
      </c>
      <c r="I5065" s="27" t="s">
        <v>29</v>
      </c>
      <c r="J5065" s="37">
        <v>45740</v>
      </c>
      <c r="K5065" s="27" t="s">
        <v>22</v>
      </c>
    </row>
    <row r="5066" spans="1:11" x14ac:dyDescent="0.2">
      <c r="A5066" s="24" t="s">
        <v>12115</v>
      </c>
      <c r="B5066" s="24" t="s">
        <v>12116</v>
      </c>
      <c r="C5066" s="24" t="s">
        <v>354</v>
      </c>
      <c r="D5066" s="24" t="s">
        <v>17</v>
      </c>
      <c r="E5066" s="24" t="s">
        <v>81</v>
      </c>
      <c r="F5066" s="24" t="s">
        <v>82</v>
      </c>
      <c r="G5066" s="24" t="s">
        <v>20</v>
      </c>
      <c r="H5066" s="26">
        <v>47</v>
      </c>
      <c r="I5066" s="24" t="s">
        <v>21</v>
      </c>
      <c r="J5066" s="36">
        <v>45743</v>
      </c>
      <c r="K5066" s="24" t="s">
        <v>22</v>
      </c>
    </row>
    <row r="5067" spans="1:11" x14ac:dyDescent="0.2">
      <c r="A5067" s="27" t="s">
        <v>12117</v>
      </c>
      <c r="B5067" s="27" t="s">
        <v>12118</v>
      </c>
      <c r="C5067" s="27" t="s">
        <v>1523</v>
      </c>
      <c r="D5067" s="27" t="s">
        <v>17</v>
      </c>
      <c r="E5067" s="27" t="s">
        <v>26</v>
      </c>
      <c r="F5067" s="27" t="s">
        <v>27</v>
      </c>
      <c r="G5067" s="27" t="s">
        <v>28</v>
      </c>
      <c r="H5067" s="29">
        <v>110</v>
      </c>
      <c r="I5067" s="27" t="s">
        <v>29</v>
      </c>
      <c r="J5067" s="37">
        <v>45741</v>
      </c>
      <c r="K5067" s="27" t="s">
        <v>22</v>
      </c>
    </row>
    <row r="5068" spans="1:11" x14ac:dyDescent="0.2">
      <c r="A5068" s="24" t="s">
        <v>12119</v>
      </c>
      <c r="B5068" s="24" t="s">
        <v>12120</v>
      </c>
      <c r="C5068" s="24" t="s">
        <v>526</v>
      </c>
      <c r="D5068" s="24" t="s">
        <v>17</v>
      </c>
      <c r="E5068" s="24" t="s">
        <v>42</v>
      </c>
      <c r="F5068" s="24" t="s">
        <v>43</v>
      </c>
      <c r="G5068" s="24" t="s">
        <v>44</v>
      </c>
      <c r="H5068" s="26">
        <v>643</v>
      </c>
      <c r="I5068" s="24" t="s">
        <v>29</v>
      </c>
      <c r="J5068" s="36">
        <v>45721</v>
      </c>
      <c r="K5068" s="24" t="s">
        <v>22</v>
      </c>
    </row>
    <row r="5069" spans="1:11" x14ac:dyDescent="0.2">
      <c r="A5069" s="27" t="s">
        <v>12121</v>
      </c>
      <c r="B5069" s="27" t="s">
        <v>12122</v>
      </c>
      <c r="C5069" s="27" t="s">
        <v>12123</v>
      </c>
      <c r="D5069" s="27" t="s">
        <v>17</v>
      </c>
      <c r="E5069" s="27" t="s">
        <v>26</v>
      </c>
      <c r="F5069" s="27" t="s">
        <v>27</v>
      </c>
      <c r="G5069" s="27" t="s">
        <v>28</v>
      </c>
      <c r="H5069" s="29">
        <v>55</v>
      </c>
      <c r="I5069" s="27" t="s">
        <v>29</v>
      </c>
      <c r="J5069" s="37">
        <v>45723</v>
      </c>
      <c r="K5069" s="27" t="s">
        <v>22</v>
      </c>
    </row>
    <row r="5070" spans="1:11" x14ac:dyDescent="0.2">
      <c r="A5070" s="24" t="s">
        <v>12124</v>
      </c>
      <c r="B5070" s="24" t="s">
        <v>12125</v>
      </c>
      <c r="C5070" s="24" t="s">
        <v>208</v>
      </c>
      <c r="D5070" s="24" t="s">
        <v>17</v>
      </c>
      <c r="E5070" s="24" t="s">
        <v>26</v>
      </c>
      <c r="F5070" s="24" t="s">
        <v>27</v>
      </c>
      <c r="G5070" s="24" t="s">
        <v>44</v>
      </c>
      <c r="H5070" s="26">
        <v>1560</v>
      </c>
      <c r="I5070" s="24" t="s">
        <v>29</v>
      </c>
      <c r="J5070" s="36">
        <v>45743</v>
      </c>
      <c r="K5070" s="24" t="s">
        <v>22</v>
      </c>
    </row>
    <row r="5071" spans="1:11" x14ac:dyDescent="0.2">
      <c r="A5071" s="27" t="s">
        <v>12126</v>
      </c>
      <c r="B5071" s="27" t="s">
        <v>12127</v>
      </c>
      <c r="C5071" s="27" t="s">
        <v>12128</v>
      </c>
      <c r="D5071" s="27" t="s">
        <v>17</v>
      </c>
      <c r="E5071" s="27" t="s">
        <v>48</v>
      </c>
      <c r="F5071" s="27" t="s">
        <v>49</v>
      </c>
      <c r="G5071" s="27" t="s">
        <v>28</v>
      </c>
      <c r="H5071" s="29">
        <v>192</v>
      </c>
      <c r="I5071" s="27" t="s">
        <v>29</v>
      </c>
      <c r="J5071" s="37">
        <v>45743</v>
      </c>
      <c r="K5071" s="27" t="s">
        <v>22</v>
      </c>
    </row>
    <row r="5072" spans="1:11" x14ac:dyDescent="0.2">
      <c r="A5072" s="24" t="s">
        <v>12129</v>
      </c>
      <c r="B5072" s="24" t="s">
        <v>12130</v>
      </c>
      <c r="C5072" s="24" t="s">
        <v>12131</v>
      </c>
      <c r="D5072" s="24" t="s">
        <v>17</v>
      </c>
      <c r="E5072" s="24" t="s">
        <v>18</v>
      </c>
      <c r="F5072" s="24" t="s">
        <v>19</v>
      </c>
      <c r="G5072" s="24" t="s">
        <v>28</v>
      </c>
      <c r="H5072" s="26">
        <v>65</v>
      </c>
      <c r="I5072" s="24" t="s">
        <v>29</v>
      </c>
      <c r="J5072" s="36">
        <v>45726</v>
      </c>
      <c r="K5072" s="24" t="s">
        <v>22</v>
      </c>
    </row>
    <row r="5073" spans="1:11" x14ac:dyDescent="0.2">
      <c r="A5073" s="27" t="s">
        <v>12132</v>
      </c>
      <c r="B5073" s="27" t="s">
        <v>12133</v>
      </c>
      <c r="C5073" s="27" t="s">
        <v>1088</v>
      </c>
      <c r="D5073" s="27" t="s">
        <v>17</v>
      </c>
      <c r="E5073" s="27" t="s">
        <v>26</v>
      </c>
      <c r="F5073" s="27" t="s">
        <v>27</v>
      </c>
      <c r="G5073" s="27" t="s">
        <v>28</v>
      </c>
      <c r="H5073" s="29">
        <v>144</v>
      </c>
      <c r="I5073" s="27" t="s">
        <v>29</v>
      </c>
      <c r="J5073" s="37">
        <v>45719</v>
      </c>
      <c r="K5073" s="27" t="s">
        <v>22</v>
      </c>
    </row>
    <row r="5074" spans="1:11" x14ac:dyDescent="0.2">
      <c r="A5074" s="24" t="s">
        <v>12134</v>
      </c>
      <c r="B5074" s="24" t="s">
        <v>12135</v>
      </c>
      <c r="C5074" s="24" t="s">
        <v>97</v>
      </c>
      <c r="D5074" s="24" t="s">
        <v>17</v>
      </c>
      <c r="E5074" s="24" t="s">
        <v>42</v>
      </c>
      <c r="F5074" s="24" t="s">
        <v>43</v>
      </c>
      <c r="G5074" s="24" t="s">
        <v>28</v>
      </c>
      <c r="H5074" s="26">
        <v>840</v>
      </c>
      <c r="I5074" s="24" t="s">
        <v>29</v>
      </c>
      <c r="J5074" s="36">
        <v>45717</v>
      </c>
      <c r="K5074" s="24" t="s">
        <v>22</v>
      </c>
    </row>
    <row r="5075" spans="1:11" x14ac:dyDescent="0.2">
      <c r="A5075" s="27" t="s">
        <v>12136</v>
      </c>
      <c r="B5075" s="27" t="s">
        <v>12137</v>
      </c>
      <c r="C5075" s="27" t="s">
        <v>97</v>
      </c>
      <c r="D5075" s="27" t="s">
        <v>17</v>
      </c>
      <c r="E5075" s="27" t="s">
        <v>48</v>
      </c>
      <c r="F5075" s="27" t="s">
        <v>49</v>
      </c>
      <c r="G5075" s="27" t="s">
        <v>28</v>
      </c>
      <c r="H5075" s="29">
        <v>120</v>
      </c>
      <c r="I5075" s="27" t="s">
        <v>29</v>
      </c>
      <c r="J5075" s="37">
        <v>45728</v>
      </c>
      <c r="K5075" s="27" t="s">
        <v>22</v>
      </c>
    </row>
    <row r="5076" spans="1:11" x14ac:dyDescent="0.2">
      <c r="A5076" s="24" t="s">
        <v>12138</v>
      </c>
      <c r="B5076" s="24" t="s">
        <v>12139</v>
      </c>
      <c r="C5076" s="24" t="s">
        <v>1473</v>
      </c>
      <c r="D5076" s="24" t="s">
        <v>17</v>
      </c>
      <c r="E5076" s="24" t="s">
        <v>26</v>
      </c>
      <c r="F5076" s="24" t="s">
        <v>27</v>
      </c>
      <c r="G5076" s="24" t="s">
        <v>28</v>
      </c>
      <c r="H5076" s="26">
        <v>15</v>
      </c>
      <c r="I5076" s="24" t="s">
        <v>29</v>
      </c>
      <c r="J5076" s="36">
        <v>45735</v>
      </c>
      <c r="K5076" s="24" t="s">
        <v>22</v>
      </c>
    </row>
    <row r="5077" spans="1:11" x14ac:dyDescent="0.2">
      <c r="A5077" s="27" t="s">
        <v>12140</v>
      </c>
      <c r="B5077" s="27" t="s">
        <v>12141</v>
      </c>
      <c r="C5077" s="27" t="s">
        <v>1330</v>
      </c>
      <c r="D5077" s="27" t="s">
        <v>17</v>
      </c>
      <c r="E5077" s="27" t="s">
        <v>42</v>
      </c>
      <c r="F5077" s="27" t="s">
        <v>43</v>
      </c>
      <c r="G5077" s="27" t="s">
        <v>44</v>
      </c>
      <c r="H5077" s="29">
        <v>206</v>
      </c>
      <c r="I5077" s="27" t="s">
        <v>21</v>
      </c>
      <c r="J5077" s="37">
        <v>45737</v>
      </c>
      <c r="K5077" s="27" t="s">
        <v>22</v>
      </c>
    </row>
    <row r="5078" spans="1:11" x14ac:dyDescent="0.2">
      <c r="A5078" s="24" t="s">
        <v>12142</v>
      </c>
      <c r="B5078" s="24" t="s">
        <v>12143</v>
      </c>
      <c r="C5078" s="24" t="s">
        <v>12144</v>
      </c>
      <c r="D5078" s="24" t="s">
        <v>17</v>
      </c>
      <c r="E5078" s="24" t="s">
        <v>18</v>
      </c>
      <c r="F5078" s="24" t="s">
        <v>19</v>
      </c>
      <c r="G5078" s="24" t="s">
        <v>217</v>
      </c>
      <c r="H5078" s="26">
        <v>36</v>
      </c>
      <c r="I5078" s="24" t="s">
        <v>29</v>
      </c>
      <c r="J5078" s="36">
        <v>45747</v>
      </c>
      <c r="K5078" s="24" t="s">
        <v>22</v>
      </c>
    </row>
    <row r="5079" spans="1:11" x14ac:dyDescent="0.2">
      <c r="A5079" s="27" t="s">
        <v>12145</v>
      </c>
      <c r="B5079" s="27" t="s">
        <v>12146</v>
      </c>
      <c r="C5079" s="27" t="s">
        <v>12147</v>
      </c>
      <c r="D5079" s="27" t="s">
        <v>17</v>
      </c>
      <c r="E5079" s="27" t="s">
        <v>33</v>
      </c>
      <c r="F5079" s="27" t="s">
        <v>34</v>
      </c>
      <c r="G5079" s="27" t="s">
        <v>28</v>
      </c>
      <c r="H5079" s="29">
        <v>700</v>
      </c>
      <c r="I5079" s="27" t="s">
        <v>29</v>
      </c>
      <c r="J5079" s="37">
        <v>45731</v>
      </c>
      <c r="K5079" s="27" t="s">
        <v>22</v>
      </c>
    </row>
    <row r="5080" spans="1:11" x14ac:dyDescent="0.2">
      <c r="A5080" s="24" t="s">
        <v>12148</v>
      </c>
      <c r="B5080" s="24" t="s">
        <v>12149</v>
      </c>
      <c r="C5080" s="24" t="s">
        <v>55</v>
      </c>
      <c r="D5080" s="24" t="s">
        <v>17</v>
      </c>
      <c r="E5080" s="24" t="s">
        <v>26</v>
      </c>
      <c r="F5080" s="24" t="s">
        <v>27</v>
      </c>
      <c r="G5080" s="24" t="s">
        <v>28</v>
      </c>
      <c r="H5080" s="26">
        <v>270</v>
      </c>
      <c r="I5080" s="24" t="s">
        <v>29</v>
      </c>
      <c r="J5080" s="36">
        <v>45741</v>
      </c>
      <c r="K5080" s="24" t="s">
        <v>22</v>
      </c>
    </row>
    <row r="5081" spans="1:11" x14ac:dyDescent="0.2">
      <c r="A5081" s="27" t="s">
        <v>12150</v>
      </c>
      <c r="B5081" s="27" t="s">
        <v>12151</v>
      </c>
      <c r="C5081" s="27" t="s">
        <v>12152</v>
      </c>
      <c r="D5081" s="27" t="s">
        <v>17</v>
      </c>
      <c r="E5081" s="27" t="s">
        <v>26</v>
      </c>
      <c r="F5081" s="27" t="s">
        <v>27</v>
      </c>
      <c r="G5081" s="27" t="s">
        <v>28</v>
      </c>
      <c r="H5081" s="29">
        <v>50</v>
      </c>
      <c r="I5081" s="27" t="s">
        <v>29</v>
      </c>
      <c r="J5081" s="37">
        <v>45740</v>
      </c>
      <c r="K5081" s="27" t="s">
        <v>22</v>
      </c>
    </row>
    <row r="5082" spans="1:11" x14ac:dyDescent="0.2">
      <c r="A5082" s="24" t="s">
        <v>12153</v>
      </c>
      <c r="B5082" s="24" t="s">
        <v>12154</v>
      </c>
      <c r="C5082" s="24" t="s">
        <v>7320</v>
      </c>
      <c r="D5082" s="24" t="s">
        <v>17</v>
      </c>
      <c r="E5082" s="24" t="s">
        <v>18</v>
      </c>
      <c r="F5082" s="24" t="s">
        <v>19</v>
      </c>
      <c r="G5082" s="24" t="s">
        <v>20</v>
      </c>
      <c r="H5082" s="26">
        <v>7</v>
      </c>
      <c r="I5082" s="24" t="s">
        <v>21</v>
      </c>
      <c r="J5082" s="36">
        <v>45738</v>
      </c>
      <c r="K5082" s="24" t="s">
        <v>22</v>
      </c>
    </row>
    <row r="5083" spans="1:11" x14ac:dyDescent="0.2">
      <c r="A5083" s="27" t="s">
        <v>12155</v>
      </c>
      <c r="B5083" s="27" t="s">
        <v>12156</v>
      </c>
      <c r="C5083" s="27" t="s">
        <v>9151</v>
      </c>
      <c r="D5083" s="27" t="s">
        <v>17</v>
      </c>
      <c r="E5083" s="27" t="s">
        <v>48</v>
      </c>
      <c r="F5083" s="27" t="s">
        <v>49</v>
      </c>
      <c r="G5083" s="27" t="s">
        <v>28</v>
      </c>
      <c r="H5083" s="29">
        <v>162</v>
      </c>
      <c r="I5083" s="27" t="s">
        <v>29</v>
      </c>
      <c r="J5083" s="37">
        <v>45734</v>
      </c>
      <c r="K5083" s="27" t="s">
        <v>22</v>
      </c>
    </row>
    <row r="5084" spans="1:11" x14ac:dyDescent="0.2">
      <c r="A5084" s="24" t="s">
        <v>12157</v>
      </c>
      <c r="B5084" s="24" t="s">
        <v>12158</v>
      </c>
      <c r="C5084" s="24" t="s">
        <v>115</v>
      </c>
      <c r="D5084" s="24" t="s">
        <v>17</v>
      </c>
      <c r="E5084" s="24" t="s">
        <v>81</v>
      </c>
      <c r="F5084" s="24" t="s">
        <v>82</v>
      </c>
      <c r="G5084" s="24" t="s">
        <v>28</v>
      </c>
      <c r="H5084" s="26">
        <v>400</v>
      </c>
      <c r="I5084" s="24" t="s">
        <v>29</v>
      </c>
      <c r="J5084" s="36">
        <v>45743</v>
      </c>
      <c r="K5084" s="24" t="s">
        <v>22</v>
      </c>
    </row>
    <row r="5085" spans="1:11" x14ac:dyDescent="0.2">
      <c r="A5085" s="27" t="s">
        <v>12159</v>
      </c>
      <c r="B5085" s="27" t="s">
        <v>12160</v>
      </c>
      <c r="C5085" s="27" t="s">
        <v>208</v>
      </c>
      <c r="D5085" s="27" t="s">
        <v>17</v>
      </c>
      <c r="E5085" s="27" t="s">
        <v>48</v>
      </c>
      <c r="F5085" s="27" t="s">
        <v>49</v>
      </c>
      <c r="G5085" s="27" t="s">
        <v>28</v>
      </c>
      <c r="H5085" s="29">
        <v>64</v>
      </c>
      <c r="I5085" s="27" t="s">
        <v>29</v>
      </c>
      <c r="J5085" s="37">
        <v>45733</v>
      </c>
      <c r="K5085" s="27" t="s">
        <v>22</v>
      </c>
    </row>
    <row r="5086" spans="1:11" x14ac:dyDescent="0.2">
      <c r="A5086" s="24" t="s">
        <v>12161</v>
      </c>
      <c r="B5086" s="24" t="s">
        <v>12162</v>
      </c>
      <c r="C5086" s="24" t="s">
        <v>220</v>
      </c>
      <c r="D5086" s="24" t="s">
        <v>17</v>
      </c>
      <c r="E5086" s="24" t="s">
        <v>81</v>
      </c>
      <c r="F5086" s="24" t="s">
        <v>82</v>
      </c>
      <c r="G5086" s="24" t="s">
        <v>28</v>
      </c>
      <c r="H5086" s="26">
        <v>30</v>
      </c>
      <c r="I5086" s="24" t="s">
        <v>29</v>
      </c>
      <c r="J5086" s="36">
        <v>45735</v>
      </c>
      <c r="K5086" s="24" t="s">
        <v>22</v>
      </c>
    </row>
    <row r="5087" spans="1:11" x14ac:dyDescent="0.2">
      <c r="A5087" s="27" t="s">
        <v>12163</v>
      </c>
      <c r="B5087" s="27" t="s">
        <v>12164</v>
      </c>
      <c r="C5087" s="27" t="s">
        <v>5147</v>
      </c>
      <c r="D5087" s="27" t="s">
        <v>17</v>
      </c>
      <c r="E5087" s="27" t="s">
        <v>48</v>
      </c>
      <c r="F5087" s="27" t="s">
        <v>49</v>
      </c>
      <c r="G5087" s="27" t="s">
        <v>59</v>
      </c>
      <c r="H5087" s="29">
        <v>12</v>
      </c>
      <c r="I5087" s="27" t="s">
        <v>21</v>
      </c>
      <c r="J5087" s="37">
        <v>45741</v>
      </c>
      <c r="K5087" s="27" t="s">
        <v>22</v>
      </c>
    </row>
    <row r="5088" spans="1:11" x14ac:dyDescent="0.2">
      <c r="A5088" s="24" t="s">
        <v>12165</v>
      </c>
      <c r="B5088" s="24" t="s">
        <v>12166</v>
      </c>
      <c r="C5088" s="24" t="s">
        <v>3536</v>
      </c>
      <c r="D5088" s="24" t="s">
        <v>17</v>
      </c>
      <c r="E5088" s="24" t="s">
        <v>42</v>
      </c>
      <c r="F5088" s="24" t="s">
        <v>43</v>
      </c>
      <c r="G5088" s="24" t="s">
        <v>217</v>
      </c>
      <c r="H5088" s="26">
        <v>450</v>
      </c>
      <c r="I5088" s="24" t="s">
        <v>29</v>
      </c>
      <c r="J5088" s="36">
        <v>45717</v>
      </c>
      <c r="K5088" s="24" t="s">
        <v>22</v>
      </c>
    </row>
    <row r="5089" spans="1:11" x14ac:dyDescent="0.2">
      <c r="A5089" s="27" t="s">
        <v>12167</v>
      </c>
      <c r="B5089" s="27" t="s">
        <v>12168</v>
      </c>
      <c r="C5089" s="27" t="s">
        <v>12169</v>
      </c>
      <c r="D5089" s="27" t="s">
        <v>17</v>
      </c>
      <c r="E5089" s="27" t="s">
        <v>18</v>
      </c>
      <c r="F5089" s="27" t="s">
        <v>19</v>
      </c>
      <c r="G5089" s="27" t="s">
        <v>28</v>
      </c>
      <c r="H5089" s="29">
        <v>105</v>
      </c>
      <c r="I5089" s="27" t="s">
        <v>29</v>
      </c>
      <c r="J5089" s="37">
        <v>45729</v>
      </c>
      <c r="K5089" s="27" t="s">
        <v>22</v>
      </c>
    </row>
    <row r="5090" spans="1:11" x14ac:dyDescent="0.2">
      <c r="A5090" s="24" t="s">
        <v>12170</v>
      </c>
      <c r="B5090" s="24" t="s">
        <v>12171</v>
      </c>
      <c r="C5090" s="24" t="s">
        <v>984</v>
      </c>
      <c r="D5090" s="24" t="s">
        <v>17</v>
      </c>
      <c r="E5090" s="24" t="s">
        <v>48</v>
      </c>
      <c r="F5090" s="24" t="s">
        <v>49</v>
      </c>
      <c r="G5090" s="24" t="s">
        <v>20</v>
      </c>
      <c r="H5090" s="26">
        <v>1320</v>
      </c>
      <c r="I5090" s="24" t="s">
        <v>21</v>
      </c>
      <c r="J5090" s="36">
        <v>45723</v>
      </c>
      <c r="K5090" s="24" t="s">
        <v>22</v>
      </c>
    </row>
    <row r="5091" spans="1:11" x14ac:dyDescent="0.2">
      <c r="A5091" s="27" t="s">
        <v>12172</v>
      </c>
      <c r="B5091" s="27" t="s">
        <v>12173</v>
      </c>
      <c r="C5091" s="27" t="s">
        <v>134</v>
      </c>
      <c r="D5091" s="27" t="s">
        <v>17</v>
      </c>
      <c r="E5091" s="27" t="s">
        <v>18</v>
      </c>
      <c r="F5091" s="27" t="s">
        <v>19</v>
      </c>
      <c r="G5091" s="27" t="s">
        <v>28</v>
      </c>
      <c r="H5091" s="29">
        <v>8</v>
      </c>
      <c r="I5091" s="27" t="s">
        <v>29</v>
      </c>
      <c r="J5091" s="37">
        <v>45740</v>
      </c>
      <c r="K5091" s="27" t="s">
        <v>22</v>
      </c>
    </row>
    <row r="5092" spans="1:11" x14ac:dyDescent="0.2">
      <c r="A5092" s="24" t="s">
        <v>12174</v>
      </c>
      <c r="B5092" s="24" t="s">
        <v>12175</v>
      </c>
      <c r="C5092" s="24" t="s">
        <v>12176</v>
      </c>
      <c r="D5092" s="24" t="s">
        <v>17</v>
      </c>
      <c r="E5092" s="24" t="s">
        <v>18</v>
      </c>
      <c r="F5092" s="24" t="s">
        <v>19</v>
      </c>
      <c r="G5092" s="24" t="s">
        <v>217</v>
      </c>
      <c r="H5092" s="26">
        <v>15</v>
      </c>
      <c r="I5092" s="24" t="s">
        <v>29</v>
      </c>
      <c r="J5092" s="36">
        <v>45740</v>
      </c>
      <c r="K5092" s="24" t="s">
        <v>22</v>
      </c>
    </row>
    <row r="5093" spans="1:11" x14ac:dyDescent="0.2">
      <c r="A5093" s="27" t="s">
        <v>12177</v>
      </c>
      <c r="B5093" s="27" t="s">
        <v>12178</v>
      </c>
      <c r="C5093" s="27" t="s">
        <v>298</v>
      </c>
      <c r="D5093" s="27" t="s">
        <v>17</v>
      </c>
      <c r="E5093" s="27" t="s">
        <v>48</v>
      </c>
      <c r="F5093" s="27" t="s">
        <v>49</v>
      </c>
      <c r="G5093" s="27" t="s">
        <v>59</v>
      </c>
      <c r="H5093" s="29">
        <v>4</v>
      </c>
      <c r="I5093" s="27" t="s">
        <v>21</v>
      </c>
      <c r="J5093" s="37">
        <v>45721</v>
      </c>
      <c r="K5093" s="27" t="s">
        <v>22</v>
      </c>
    </row>
    <row r="5094" spans="1:11" x14ac:dyDescent="0.2">
      <c r="A5094" s="24" t="s">
        <v>12179</v>
      </c>
      <c r="B5094" s="24" t="s">
        <v>12180</v>
      </c>
      <c r="C5094" s="24" t="s">
        <v>301</v>
      </c>
      <c r="D5094" s="24" t="s">
        <v>17</v>
      </c>
      <c r="E5094" s="24" t="s">
        <v>18</v>
      </c>
      <c r="F5094" s="24" t="s">
        <v>19</v>
      </c>
      <c r="G5094" s="24" t="s">
        <v>28</v>
      </c>
      <c r="H5094" s="26">
        <v>100</v>
      </c>
      <c r="I5094" s="24" t="s">
        <v>29</v>
      </c>
      <c r="J5094" s="36">
        <v>45737</v>
      </c>
      <c r="K5094" s="24" t="s">
        <v>22</v>
      </c>
    </row>
    <row r="5095" spans="1:11" x14ac:dyDescent="0.2">
      <c r="A5095" s="27" t="s">
        <v>12181</v>
      </c>
      <c r="B5095" s="27" t="s">
        <v>12182</v>
      </c>
      <c r="C5095" s="27" t="s">
        <v>618</v>
      </c>
      <c r="D5095" s="27" t="s">
        <v>17</v>
      </c>
      <c r="E5095" s="27" t="s">
        <v>42</v>
      </c>
      <c r="F5095" s="27" t="s">
        <v>43</v>
      </c>
      <c r="G5095" s="27" t="s">
        <v>28</v>
      </c>
      <c r="H5095" s="29">
        <v>468</v>
      </c>
      <c r="I5095" s="27" t="s">
        <v>29</v>
      </c>
      <c r="J5095" s="37">
        <v>45729</v>
      </c>
      <c r="K5095" s="27" t="s">
        <v>22</v>
      </c>
    </row>
    <row r="5096" spans="1:11" x14ac:dyDescent="0.2">
      <c r="A5096" s="24" t="s">
        <v>12183</v>
      </c>
      <c r="B5096" s="24" t="s">
        <v>12184</v>
      </c>
      <c r="C5096" s="24" t="s">
        <v>12185</v>
      </c>
      <c r="D5096" s="24" t="s">
        <v>17</v>
      </c>
      <c r="E5096" s="24" t="s">
        <v>18</v>
      </c>
      <c r="F5096" s="24" t="s">
        <v>19</v>
      </c>
      <c r="G5096" s="24" t="s">
        <v>28</v>
      </c>
      <c r="H5096" s="26">
        <v>64</v>
      </c>
      <c r="I5096" s="24" t="s">
        <v>29</v>
      </c>
      <c r="J5096" s="36">
        <v>45741</v>
      </c>
      <c r="K5096" s="24" t="s">
        <v>22</v>
      </c>
    </row>
    <row r="5097" spans="1:11" x14ac:dyDescent="0.2">
      <c r="A5097" s="27" t="s">
        <v>12186</v>
      </c>
      <c r="B5097" s="27" t="s">
        <v>12187</v>
      </c>
      <c r="C5097" s="27" t="s">
        <v>55</v>
      </c>
      <c r="D5097" s="27" t="s">
        <v>17</v>
      </c>
      <c r="E5097" s="27" t="s">
        <v>48</v>
      </c>
      <c r="F5097" s="27" t="s">
        <v>49</v>
      </c>
      <c r="G5097" s="27" t="s">
        <v>28</v>
      </c>
      <c r="H5097" s="29">
        <v>308</v>
      </c>
      <c r="I5097" s="27" t="s">
        <v>29</v>
      </c>
      <c r="J5097" s="37">
        <v>45727</v>
      </c>
      <c r="K5097" s="27" t="s">
        <v>22</v>
      </c>
    </row>
    <row r="5098" spans="1:11" x14ac:dyDescent="0.2">
      <c r="A5098" s="24" t="s">
        <v>12188</v>
      </c>
      <c r="B5098" s="24" t="s">
        <v>12189</v>
      </c>
      <c r="C5098" s="24" t="s">
        <v>280</v>
      </c>
      <c r="D5098" s="24" t="s">
        <v>17</v>
      </c>
      <c r="E5098" s="24" t="s">
        <v>18</v>
      </c>
      <c r="F5098" s="24" t="s">
        <v>19</v>
      </c>
      <c r="G5098" s="24" t="s">
        <v>28</v>
      </c>
      <c r="H5098" s="26">
        <v>46</v>
      </c>
      <c r="I5098" s="24" t="s">
        <v>29</v>
      </c>
      <c r="J5098" s="36">
        <v>45717</v>
      </c>
      <c r="K5098" s="24" t="s">
        <v>22</v>
      </c>
    </row>
    <row r="5099" spans="1:11" x14ac:dyDescent="0.2">
      <c r="A5099" s="27" t="s">
        <v>12190</v>
      </c>
      <c r="B5099" s="27" t="s">
        <v>12191</v>
      </c>
      <c r="C5099" s="27" t="s">
        <v>97</v>
      </c>
      <c r="D5099" s="27" t="s">
        <v>17</v>
      </c>
      <c r="E5099" s="27" t="s">
        <v>26</v>
      </c>
      <c r="F5099" s="27" t="s">
        <v>27</v>
      </c>
      <c r="G5099" s="27" t="s">
        <v>28</v>
      </c>
      <c r="H5099" s="29">
        <v>304</v>
      </c>
      <c r="I5099" s="27" t="s">
        <v>29</v>
      </c>
      <c r="J5099" s="37">
        <v>45743</v>
      </c>
      <c r="K5099" s="27" t="s">
        <v>22</v>
      </c>
    </row>
    <row r="5100" spans="1:11" x14ac:dyDescent="0.2">
      <c r="A5100" s="24" t="s">
        <v>12192</v>
      </c>
      <c r="B5100" s="24" t="s">
        <v>12193</v>
      </c>
      <c r="C5100" s="24" t="s">
        <v>12194</v>
      </c>
      <c r="D5100" s="24" t="s">
        <v>17</v>
      </c>
      <c r="E5100" s="24" t="s">
        <v>18</v>
      </c>
      <c r="F5100" s="24" t="s">
        <v>19</v>
      </c>
      <c r="G5100" s="24" t="s">
        <v>28</v>
      </c>
      <c r="H5100" s="26">
        <v>18</v>
      </c>
      <c r="I5100" s="24" t="s">
        <v>29</v>
      </c>
      <c r="J5100" s="36">
        <v>45735</v>
      </c>
      <c r="K5100" s="24" t="s">
        <v>22</v>
      </c>
    </row>
    <row r="5101" spans="1:11" x14ac:dyDescent="0.2">
      <c r="A5101" s="27" t="s">
        <v>12195</v>
      </c>
      <c r="B5101" s="27" t="s">
        <v>12196</v>
      </c>
      <c r="C5101" s="27" t="s">
        <v>1093</v>
      </c>
      <c r="D5101" s="27" t="s">
        <v>17</v>
      </c>
      <c r="E5101" s="27" t="s">
        <v>42</v>
      </c>
      <c r="F5101" s="27" t="s">
        <v>43</v>
      </c>
      <c r="G5101" s="27" t="s">
        <v>20</v>
      </c>
      <c r="H5101" s="29">
        <v>637</v>
      </c>
      <c r="I5101" s="27" t="s">
        <v>21</v>
      </c>
      <c r="J5101" s="37">
        <v>45744</v>
      </c>
      <c r="K5101" s="27" t="s">
        <v>22</v>
      </c>
    </row>
    <row r="5102" spans="1:11" x14ac:dyDescent="0.2">
      <c r="A5102" s="24" t="s">
        <v>12197</v>
      </c>
      <c r="B5102" s="24" t="s">
        <v>12198</v>
      </c>
      <c r="C5102" s="24" t="s">
        <v>200</v>
      </c>
      <c r="D5102" s="24" t="s">
        <v>17</v>
      </c>
      <c r="E5102" s="24" t="s">
        <v>18</v>
      </c>
      <c r="F5102" s="24" t="s">
        <v>19</v>
      </c>
      <c r="G5102" s="24" t="s">
        <v>28</v>
      </c>
      <c r="H5102" s="26">
        <v>9</v>
      </c>
      <c r="I5102" s="24" t="s">
        <v>29</v>
      </c>
      <c r="J5102" s="36">
        <v>45726</v>
      </c>
      <c r="K5102" s="24" t="s">
        <v>22</v>
      </c>
    </row>
    <row r="5103" spans="1:11" x14ac:dyDescent="0.2">
      <c r="A5103" s="27" t="s">
        <v>12199</v>
      </c>
      <c r="B5103" s="27" t="s">
        <v>12200</v>
      </c>
      <c r="C5103" s="27" t="s">
        <v>85</v>
      </c>
      <c r="D5103" s="27" t="s">
        <v>17</v>
      </c>
      <c r="E5103" s="27" t="s">
        <v>18</v>
      </c>
      <c r="F5103" s="27" t="s">
        <v>19</v>
      </c>
      <c r="G5103" s="27" t="s">
        <v>20</v>
      </c>
      <c r="H5103" s="29">
        <v>83</v>
      </c>
      <c r="I5103" s="27" t="s">
        <v>21</v>
      </c>
      <c r="J5103" s="37">
        <v>45742</v>
      </c>
      <c r="K5103" s="27" t="s">
        <v>22</v>
      </c>
    </row>
    <row r="5104" spans="1:11" x14ac:dyDescent="0.2">
      <c r="A5104" s="24" t="s">
        <v>12201</v>
      </c>
      <c r="B5104" s="24" t="s">
        <v>12202</v>
      </c>
      <c r="C5104" s="24" t="s">
        <v>97</v>
      </c>
      <c r="D5104" s="24" t="s">
        <v>17</v>
      </c>
      <c r="E5104" s="24" t="s">
        <v>42</v>
      </c>
      <c r="F5104" s="24" t="s">
        <v>43</v>
      </c>
      <c r="G5104" s="24" t="s">
        <v>28</v>
      </c>
      <c r="H5104" s="26">
        <v>5000</v>
      </c>
      <c r="I5104" s="24" t="s">
        <v>29</v>
      </c>
      <c r="J5104" s="36">
        <v>45719</v>
      </c>
      <c r="K5104" s="24" t="s">
        <v>22</v>
      </c>
    </row>
    <row r="5105" spans="1:11" x14ac:dyDescent="0.2">
      <c r="A5105" s="27" t="s">
        <v>12203</v>
      </c>
      <c r="B5105" s="27" t="s">
        <v>12204</v>
      </c>
      <c r="C5105" s="27" t="s">
        <v>12205</v>
      </c>
      <c r="D5105" s="27" t="s">
        <v>17</v>
      </c>
      <c r="E5105" s="27" t="s">
        <v>48</v>
      </c>
      <c r="F5105" s="27" t="s">
        <v>49</v>
      </c>
      <c r="G5105" s="27" t="s">
        <v>28</v>
      </c>
      <c r="H5105" s="29">
        <v>55</v>
      </c>
      <c r="I5105" s="27" t="s">
        <v>29</v>
      </c>
      <c r="J5105" s="37">
        <v>45720</v>
      </c>
      <c r="K5105" s="27" t="s">
        <v>22</v>
      </c>
    </row>
    <row r="5106" spans="1:11" x14ac:dyDescent="0.2">
      <c r="A5106" s="24" t="s">
        <v>12206</v>
      </c>
      <c r="B5106" s="24" t="s">
        <v>12207</v>
      </c>
      <c r="C5106" s="24" t="s">
        <v>12208</v>
      </c>
      <c r="D5106" s="24" t="s">
        <v>17</v>
      </c>
      <c r="E5106" s="24" t="s">
        <v>18</v>
      </c>
      <c r="F5106" s="24" t="s">
        <v>19</v>
      </c>
      <c r="G5106" s="24" t="s">
        <v>28</v>
      </c>
      <c r="H5106" s="26">
        <v>155</v>
      </c>
      <c r="I5106" s="24" t="s">
        <v>29</v>
      </c>
      <c r="J5106" s="36">
        <v>45747</v>
      </c>
      <c r="K5106" s="24" t="s">
        <v>22</v>
      </c>
    </row>
    <row r="5107" spans="1:11" x14ac:dyDescent="0.2">
      <c r="A5107" s="27" t="s">
        <v>12209</v>
      </c>
      <c r="B5107" s="27" t="s">
        <v>12210</v>
      </c>
      <c r="C5107" s="27" t="s">
        <v>197</v>
      </c>
      <c r="D5107" s="27" t="s">
        <v>17</v>
      </c>
      <c r="E5107" s="27" t="s">
        <v>48</v>
      </c>
      <c r="F5107" s="27" t="s">
        <v>49</v>
      </c>
      <c r="G5107" s="27" t="s">
        <v>44</v>
      </c>
      <c r="H5107" s="29">
        <v>150</v>
      </c>
      <c r="I5107" s="27" t="s">
        <v>29</v>
      </c>
      <c r="J5107" s="37">
        <v>45726</v>
      </c>
      <c r="K5107" s="27" t="s">
        <v>22</v>
      </c>
    </row>
    <row r="5108" spans="1:11" x14ac:dyDescent="0.2">
      <c r="A5108" s="24" t="s">
        <v>12211</v>
      </c>
      <c r="B5108" s="24" t="s">
        <v>12212</v>
      </c>
      <c r="C5108" s="24" t="s">
        <v>12213</v>
      </c>
      <c r="D5108" s="24" t="s">
        <v>17</v>
      </c>
      <c r="E5108" s="24" t="s">
        <v>18</v>
      </c>
      <c r="F5108" s="24" t="s">
        <v>19</v>
      </c>
      <c r="G5108" s="24" t="s">
        <v>217</v>
      </c>
      <c r="H5108" s="26">
        <v>30</v>
      </c>
      <c r="I5108" s="24" t="s">
        <v>29</v>
      </c>
      <c r="J5108" s="36">
        <v>45777</v>
      </c>
      <c r="K5108" s="24" t="s">
        <v>22</v>
      </c>
    </row>
    <row r="5109" spans="1:11" x14ac:dyDescent="0.2">
      <c r="A5109" s="27" t="s">
        <v>12214</v>
      </c>
      <c r="B5109" s="27" t="s">
        <v>12215</v>
      </c>
      <c r="C5109" s="27" t="s">
        <v>12216</v>
      </c>
      <c r="D5109" s="27" t="s">
        <v>17</v>
      </c>
      <c r="E5109" s="27" t="s">
        <v>33</v>
      </c>
      <c r="F5109" s="27" t="s">
        <v>34</v>
      </c>
      <c r="G5109" s="27" t="s">
        <v>217</v>
      </c>
      <c r="H5109" s="29">
        <v>60</v>
      </c>
      <c r="I5109" s="27" t="s">
        <v>29</v>
      </c>
      <c r="J5109" s="37">
        <v>45748</v>
      </c>
      <c r="K5109" s="27" t="s">
        <v>22</v>
      </c>
    </row>
    <row r="5110" spans="1:11" x14ac:dyDescent="0.2">
      <c r="A5110" s="24" t="s">
        <v>12217</v>
      </c>
      <c r="B5110" s="24" t="s">
        <v>12218</v>
      </c>
      <c r="C5110" s="24" t="s">
        <v>1663</v>
      </c>
      <c r="D5110" s="24" t="s">
        <v>17</v>
      </c>
      <c r="E5110" s="24" t="s">
        <v>48</v>
      </c>
      <c r="F5110" s="24" t="s">
        <v>49</v>
      </c>
      <c r="G5110" s="24" t="s">
        <v>28</v>
      </c>
      <c r="H5110" s="26">
        <v>70</v>
      </c>
      <c r="I5110" s="24" t="s">
        <v>29</v>
      </c>
      <c r="J5110" s="36">
        <v>45749</v>
      </c>
      <c r="K5110" s="24" t="s">
        <v>22</v>
      </c>
    </row>
    <row r="5111" spans="1:11" x14ac:dyDescent="0.2">
      <c r="A5111" s="27" t="s">
        <v>12219</v>
      </c>
      <c r="B5111" s="27" t="s">
        <v>12220</v>
      </c>
      <c r="C5111" s="27" t="s">
        <v>6517</v>
      </c>
      <c r="D5111" s="27" t="s">
        <v>17</v>
      </c>
      <c r="E5111" s="27" t="s">
        <v>48</v>
      </c>
      <c r="F5111" s="27" t="s">
        <v>49</v>
      </c>
      <c r="G5111" s="27" t="s">
        <v>44</v>
      </c>
      <c r="H5111" s="29">
        <v>110</v>
      </c>
      <c r="I5111" s="27" t="s">
        <v>29</v>
      </c>
      <c r="J5111" s="37">
        <v>45769</v>
      </c>
      <c r="K5111" s="27" t="s">
        <v>22</v>
      </c>
    </row>
    <row r="5112" spans="1:11" x14ac:dyDescent="0.2">
      <c r="A5112" s="24" t="s">
        <v>12221</v>
      </c>
      <c r="B5112" s="24" t="s">
        <v>12222</v>
      </c>
      <c r="C5112" s="24" t="s">
        <v>12223</v>
      </c>
      <c r="D5112" s="24" t="s">
        <v>17</v>
      </c>
      <c r="E5112" s="24" t="s">
        <v>18</v>
      </c>
      <c r="F5112" s="24" t="s">
        <v>19</v>
      </c>
      <c r="G5112" s="24" t="s">
        <v>20</v>
      </c>
      <c r="H5112" s="26">
        <v>37</v>
      </c>
      <c r="I5112" s="24" t="s">
        <v>21</v>
      </c>
      <c r="J5112" s="36">
        <v>45768</v>
      </c>
      <c r="K5112" s="24" t="s">
        <v>22</v>
      </c>
    </row>
    <row r="5113" spans="1:11" x14ac:dyDescent="0.2">
      <c r="A5113" s="27" t="s">
        <v>12224</v>
      </c>
      <c r="B5113" s="27" t="s">
        <v>12225</v>
      </c>
      <c r="C5113" s="27" t="s">
        <v>1110</v>
      </c>
      <c r="D5113" s="27" t="s">
        <v>17</v>
      </c>
      <c r="E5113" s="27" t="s">
        <v>48</v>
      </c>
      <c r="F5113" s="27" t="s">
        <v>49</v>
      </c>
      <c r="G5113" s="27" t="s">
        <v>28</v>
      </c>
      <c r="H5113" s="29">
        <v>160</v>
      </c>
      <c r="I5113" s="27" t="s">
        <v>29</v>
      </c>
      <c r="J5113" s="37">
        <v>45748</v>
      </c>
      <c r="K5113" s="27" t="s">
        <v>22</v>
      </c>
    </row>
    <row r="5114" spans="1:11" x14ac:dyDescent="0.2">
      <c r="A5114" s="24" t="s">
        <v>12226</v>
      </c>
      <c r="B5114" s="24" t="s">
        <v>12227</v>
      </c>
      <c r="C5114" s="24" t="s">
        <v>613</v>
      </c>
      <c r="D5114" s="24" t="s">
        <v>17</v>
      </c>
      <c r="E5114" s="24" t="s">
        <v>18</v>
      </c>
      <c r="F5114" s="24" t="s">
        <v>19</v>
      </c>
      <c r="G5114" s="24" t="s">
        <v>28</v>
      </c>
      <c r="H5114" s="26">
        <v>50</v>
      </c>
      <c r="I5114" s="24" t="s">
        <v>29</v>
      </c>
      <c r="J5114" s="36">
        <v>45771</v>
      </c>
      <c r="K5114" s="24" t="s">
        <v>22</v>
      </c>
    </row>
    <row r="5115" spans="1:11" x14ac:dyDescent="0.2">
      <c r="A5115" s="27" t="s">
        <v>12228</v>
      </c>
      <c r="B5115" s="27" t="s">
        <v>12229</v>
      </c>
      <c r="C5115" s="27" t="s">
        <v>12230</v>
      </c>
      <c r="D5115" s="27" t="s">
        <v>17</v>
      </c>
      <c r="E5115" s="27" t="s">
        <v>26</v>
      </c>
      <c r="F5115" s="27" t="s">
        <v>27</v>
      </c>
      <c r="G5115" s="27" t="s">
        <v>28</v>
      </c>
      <c r="H5115" s="29">
        <v>27</v>
      </c>
      <c r="I5115" s="27" t="s">
        <v>29</v>
      </c>
      <c r="J5115" s="37">
        <v>45765</v>
      </c>
      <c r="K5115" s="27" t="s">
        <v>22</v>
      </c>
    </row>
    <row r="5116" spans="1:11" x14ac:dyDescent="0.2">
      <c r="A5116" s="24" t="s">
        <v>12231</v>
      </c>
      <c r="B5116" s="24" t="s">
        <v>12232</v>
      </c>
      <c r="C5116" s="24" t="s">
        <v>5477</v>
      </c>
      <c r="D5116" s="24" t="s">
        <v>17</v>
      </c>
      <c r="E5116" s="24" t="s">
        <v>42</v>
      </c>
      <c r="F5116" s="24" t="s">
        <v>43</v>
      </c>
      <c r="G5116" s="24" t="s">
        <v>28</v>
      </c>
      <c r="H5116" s="26">
        <v>438</v>
      </c>
      <c r="I5116" s="24" t="s">
        <v>29</v>
      </c>
      <c r="J5116" s="36">
        <v>45755</v>
      </c>
      <c r="K5116" s="24" t="s">
        <v>22</v>
      </c>
    </row>
    <row r="5117" spans="1:11" x14ac:dyDescent="0.2">
      <c r="A5117" s="27" t="s">
        <v>12233</v>
      </c>
      <c r="B5117" s="27" t="s">
        <v>12234</v>
      </c>
      <c r="C5117" s="27" t="s">
        <v>653</v>
      </c>
      <c r="D5117" s="27" t="s">
        <v>17</v>
      </c>
      <c r="E5117" s="27" t="s">
        <v>26</v>
      </c>
      <c r="F5117" s="27" t="s">
        <v>27</v>
      </c>
      <c r="G5117" s="27" t="s">
        <v>217</v>
      </c>
      <c r="H5117" s="29">
        <v>24</v>
      </c>
      <c r="I5117" s="27" t="s">
        <v>29</v>
      </c>
      <c r="J5117" s="37">
        <v>45775</v>
      </c>
      <c r="K5117" s="27" t="s">
        <v>22</v>
      </c>
    </row>
    <row r="5118" spans="1:11" x14ac:dyDescent="0.2">
      <c r="A5118" s="24" t="s">
        <v>12235</v>
      </c>
      <c r="B5118" s="24" t="s">
        <v>12236</v>
      </c>
      <c r="C5118" s="24" t="s">
        <v>7864</v>
      </c>
      <c r="D5118" s="24" t="s">
        <v>17</v>
      </c>
      <c r="E5118" s="24" t="s">
        <v>48</v>
      </c>
      <c r="F5118" s="24" t="s">
        <v>49</v>
      </c>
      <c r="G5118" s="24" t="s">
        <v>28</v>
      </c>
      <c r="H5118" s="26">
        <v>90</v>
      </c>
      <c r="I5118" s="24" t="s">
        <v>29</v>
      </c>
      <c r="J5118" s="36">
        <v>45750</v>
      </c>
      <c r="K5118" s="24" t="s">
        <v>22</v>
      </c>
    </row>
    <row r="5119" spans="1:11" x14ac:dyDescent="0.2">
      <c r="A5119" s="27" t="s">
        <v>12237</v>
      </c>
      <c r="B5119" s="27" t="s">
        <v>12238</v>
      </c>
      <c r="C5119" s="27" t="s">
        <v>12239</v>
      </c>
      <c r="D5119" s="27" t="s">
        <v>17</v>
      </c>
      <c r="E5119" s="27" t="s">
        <v>48</v>
      </c>
      <c r="F5119" s="27" t="s">
        <v>49</v>
      </c>
      <c r="G5119" s="27" t="s">
        <v>28</v>
      </c>
      <c r="H5119" s="29">
        <v>81</v>
      </c>
      <c r="I5119" s="27" t="s">
        <v>29</v>
      </c>
      <c r="J5119" s="37">
        <v>45750</v>
      </c>
      <c r="K5119" s="27" t="s">
        <v>22</v>
      </c>
    </row>
    <row r="5120" spans="1:11" x14ac:dyDescent="0.2">
      <c r="A5120" s="24" t="s">
        <v>12240</v>
      </c>
      <c r="B5120" s="24" t="s">
        <v>12241</v>
      </c>
      <c r="C5120" s="24" t="s">
        <v>12242</v>
      </c>
      <c r="D5120" s="24" t="s">
        <v>17</v>
      </c>
      <c r="E5120" s="24" t="s">
        <v>48</v>
      </c>
      <c r="F5120" s="24" t="s">
        <v>49</v>
      </c>
      <c r="G5120" s="24" t="s">
        <v>28</v>
      </c>
      <c r="H5120" s="26">
        <v>105</v>
      </c>
      <c r="I5120" s="24" t="s">
        <v>29</v>
      </c>
      <c r="J5120" s="36">
        <v>45748</v>
      </c>
      <c r="K5120" s="24" t="s">
        <v>22</v>
      </c>
    </row>
    <row r="5121" spans="1:11" x14ac:dyDescent="0.2">
      <c r="A5121" s="27" t="s">
        <v>12243</v>
      </c>
      <c r="B5121" s="27" t="s">
        <v>12244</v>
      </c>
      <c r="C5121" s="27" t="s">
        <v>1147</v>
      </c>
      <c r="D5121" s="27" t="s">
        <v>17</v>
      </c>
      <c r="E5121" s="27" t="s">
        <v>48</v>
      </c>
      <c r="F5121" s="27" t="s">
        <v>49</v>
      </c>
      <c r="G5121" s="27" t="s">
        <v>44</v>
      </c>
      <c r="H5121" s="29">
        <v>166</v>
      </c>
      <c r="I5121" s="27" t="s">
        <v>21</v>
      </c>
      <c r="J5121" s="37">
        <v>45754</v>
      </c>
      <c r="K5121" s="27" t="s">
        <v>22</v>
      </c>
    </row>
    <row r="5122" spans="1:11" x14ac:dyDescent="0.2">
      <c r="A5122" s="24" t="s">
        <v>12245</v>
      </c>
      <c r="B5122" s="24" t="s">
        <v>12246</v>
      </c>
      <c r="C5122" s="24" t="s">
        <v>12247</v>
      </c>
      <c r="D5122" s="24" t="s">
        <v>17</v>
      </c>
      <c r="E5122" s="24" t="s">
        <v>18</v>
      </c>
      <c r="F5122" s="24" t="s">
        <v>19</v>
      </c>
      <c r="G5122" s="24" t="s">
        <v>28</v>
      </c>
      <c r="H5122" s="26">
        <v>48</v>
      </c>
      <c r="I5122" s="24" t="s">
        <v>29</v>
      </c>
      <c r="J5122" s="36">
        <v>45754</v>
      </c>
      <c r="K5122" s="24" t="s">
        <v>22</v>
      </c>
    </row>
    <row r="5123" spans="1:11" x14ac:dyDescent="0.2">
      <c r="A5123" s="27" t="s">
        <v>12248</v>
      </c>
      <c r="B5123" s="27" t="s">
        <v>12249</v>
      </c>
      <c r="C5123" s="27" t="s">
        <v>55</v>
      </c>
      <c r="D5123" s="27" t="s">
        <v>17</v>
      </c>
      <c r="E5123" s="27" t="s">
        <v>48</v>
      </c>
      <c r="F5123" s="27" t="s">
        <v>49</v>
      </c>
      <c r="G5123" s="27" t="s">
        <v>28</v>
      </c>
      <c r="H5123" s="29">
        <v>130</v>
      </c>
      <c r="I5123" s="27" t="s">
        <v>29</v>
      </c>
      <c r="J5123" s="37">
        <v>45763</v>
      </c>
      <c r="K5123" s="27" t="s">
        <v>22</v>
      </c>
    </row>
    <row r="5124" spans="1:11" x14ac:dyDescent="0.2">
      <c r="A5124" s="24" t="s">
        <v>12250</v>
      </c>
      <c r="B5124" s="24" t="s">
        <v>12251</v>
      </c>
      <c r="C5124" s="24" t="s">
        <v>2507</v>
      </c>
      <c r="D5124" s="24" t="s">
        <v>17</v>
      </c>
      <c r="E5124" s="24" t="s">
        <v>18</v>
      </c>
      <c r="F5124" s="24" t="s">
        <v>19</v>
      </c>
      <c r="G5124" s="24" t="s">
        <v>28</v>
      </c>
      <c r="H5124" s="26">
        <v>154</v>
      </c>
      <c r="I5124" s="24" t="s">
        <v>29</v>
      </c>
      <c r="J5124" s="36">
        <v>45774</v>
      </c>
      <c r="K5124" s="24" t="s">
        <v>22</v>
      </c>
    </row>
    <row r="5125" spans="1:11" x14ac:dyDescent="0.2">
      <c r="A5125" s="27" t="s">
        <v>12252</v>
      </c>
      <c r="B5125" s="27" t="s">
        <v>12253</v>
      </c>
      <c r="C5125" s="27" t="s">
        <v>9499</v>
      </c>
      <c r="D5125" s="27" t="s">
        <v>17</v>
      </c>
      <c r="E5125" s="27" t="s">
        <v>48</v>
      </c>
      <c r="F5125" s="27" t="s">
        <v>49</v>
      </c>
      <c r="G5125" s="27" t="s">
        <v>217</v>
      </c>
      <c r="H5125" s="29">
        <v>3</v>
      </c>
      <c r="I5125" s="27" t="s">
        <v>29</v>
      </c>
      <c r="J5125" s="37">
        <v>45768</v>
      </c>
      <c r="K5125" s="27" t="s">
        <v>22</v>
      </c>
    </row>
    <row r="5126" spans="1:11" x14ac:dyDescent="0.2">
      <c r="A5126" s="24" t="s">
        <v>12254</v>
      </c>
      <c r="B5126" s="24" t="s">
        <v>12255</v>
      </c>
      <c r="C5126" s="24" t="s">
        <v>1068</v>
      </c>
      <c r="D5126" s="24" t="s">
        <v>17</v>
      </c>
      <c r="E5126" s="24" t="s">
        <v>18</v>
      </c>
      <c r="F5126" s="24" t="s">
        <v>19</v>
      </c>
      <c r="G5126" s="24" t="s">
        <v>28</v>
      </c>
      <c r="H5126" s="26">
        <v>166</v>
      </c>
      <c r="I5126" s="24" t="s">
        <v>29</v>
      </c>
      <c r="J5126" s="36">
        <v>45771</v>
      </c>
      <c r="K5126" s="24" t="s">
        <v>22</v>
      </c>
    </row>
    <row r="5127" spans="1:11" x14ac:dyDescent="0.2">
      <c r="A5127" s="27" t="s">
        <v>12256</v>
      </c>
      <c r="B5127" s="27" t="s">
        <v>12257</v>
      </c>
      <c r="C5127" s="27" t="s">
        <v>12258</v>
      </c>
      <c r="D5127" s="27" t="s">
        <v>17</v>
      </c>
      <c r="E5127" s="27" t="s">
        <v>26</v>
      </c>
      <c r="F5127" s="27" t="s">
        <v>27</v>
      </c>
      <c r="G5127" s="27" t="s">
        <v>227</v>
      </c>
      <c r="H5127" s="29">
        <v>30</v>
      </c>
      <c r="I5127" s="27" t="s">
        <v>29</v>
      </c>
      <c r="J5127" s="37">
        <v>45757</v>
      </c>
      <c r="K5127" s="27" t="s">
        <v>22</v>
      </c>
    </row>
    <row r="5128" spans="1:11" x14ac:dyDescent="0.2">
      <c r="A5128" s="24" t="s">
        <v>12259</v>
      </c>
      <c r="B5128" s="24" t="s">
        <v>12260</v>
      </c>
      <c r="C5128" s="24" t="s">
        <v>8768</v>
      </c>
      <c r="D5128" s="24" t="s">
        <v>17</v>
      </c>
      <c r="E5128" s="24" t="s">
        <v>18</v>
      </c>
      <c r="F5128" s="24" t="s">
        <v>19</v>
      </c>
      <c r="G5128" s="24" t="s">
        <v>20</v>
      </c>
      <c r="H5128" s="26">
        <v>39</v>
      </c>
      <c r="I5128" s="24" t="s">
        <v>21</v>
      </c>
      <c r="J5128" s="36">
        <v>45762</v>
      </c>
      <c r="K5128" s="24" t="s">
        <v>22</v>
      </c>
    </row>
    <row r="5129" spans="1:11" x14ac:dyDescent="0.2">
      <c r="A5129" s="27" t="s">
        <v>12261</v>
      </c>
      <c r="B5129" s="27" t="s">
        <v>12262</v>
      </c>
      <c r="C5129" s="27" t="s">
        <v>1017</v>
      </c>
      <c r="D5129" s="27" t="s">
        <v>17</v>
      </c>
      <c r="E5129" s="27" t="s">
        <v>18</v>
      </c>
      <c r="F5129" s="27" t="s">
        <v>19</v>
      </c>
      <c r="G5129" s="27" t="s">
        <v>20</v>
      </c>
      <c r="H5129" s="29">
        <v>84</v>
      </c>
      <c r="I5129" s="27" t="s">
        <v>21</v>
      </c>
      <c r="J5129" s="37">
        <v>45754</v>
      </c>
      <c r="K5129" s="27" t="s">
        <v>22</v>
      </c>
    </row>
    <row r="5130" spans="1:11" x14ac:dyDescent="0.2">
      <c r="A5130" s="24" t="s">
        <v>12263</v>
      </c>
      <c r="B5130" s="24" t="s">
        <v>12264</v>
      </c>
      <c r="C5130" s="24" t="s">
        <v>208</v>
      </c>
      <c r="D5130" s="24" t="s">
        <v>17</v>
      </c>
      <c r="E5130" s="24" t="s">
        <v>42</v>
      </c>
      <c r="F5130" s="24" t="s">
        <v>43</v>
      </c>
      <c r="G5130" s="24" t="s">
        <v>227</v>
      </c>
      <c r="H5130" s="26">
        <v>300</v>
      </c>
      <c r="I5130" s="24" t="s">
        <v>29</v>
      </c>
      <c r="J5130" s="36">
        <v>45748</v>
      </c>
      <c r="K5130" s="24" t="s">
        <v>22</v>
      </c>
    </row>
    <row r="5131" spans="1:11" x14ac:dyDescent="0.2">
      <c r="A5131" s="27" t="s">
        <v>12265</v>
      </c>
      <c r="B5131" s="27" t="s">
        <v>12266</v>
      </c>
      <c r="C5131" s="27" t="s">
        <v>1005</v>
      </c>
      <c r="D5131" s="27" t="s">
        <v>17</v>
      </c>
      <c r="E5131" s="27" t="s">
        <v>18</v>
      </c>
      <c r="F5131" s="27" t="s">
        <v>19</v>
      </c>
      <c r="G5131" s="27" t="s">
        <v>28</v>
      </c>
      <c r="H5131" s="29">
        <v>80</v>
      </c>
      <c r="I5131" s="27" t="s">
        <v>29</v>
      </c>
      <c r="J5131" s="37">
        <v>45772</v>
      </c>
      <c r="K5131" s="27" t="s">
        <v>22</v>
      </c>
    </row>
    <row r="5132" spans="1:11" x14ac:dyDescent="0.2">
      <c r="A5132" s="24" t="s">
        <v>12267</v>
      </c>
      <c r="B5132" s="24" t="s">
        <v>12268</v>
      </c>
      <c r="C5132" s="24" t="s">
        <v>97</v>
      </c>
      <c r="D5132" s="24" t="s">
        <v>17</v>
      </c>
      <c r="E5132" s="24" t="s">
        <v>48</v>
      </c>
      <c r="F5132" s="24" t="s">
        <v>49</v>
      </c>
      <c r="G5132" s="24" t="s">
        <v>44</v>
      </c>
      <c r="H5132" s="26">
        <v>98</v>
      </c>
      <c r="I5132" s="24" t="s">
        <v>21</v>
      </c>
      <c r="J5132" s="36">
        <v>45759</v>
      </c>
      <c r="K5132" s="24" t="s">
        <v>22</v>
      </c>
    </row>
    <row r="5133" spans="1:11" x14ac:dyDescent="0.2">
      <c r="A5133" s="27" t="s">
        <v>12269</v>
      </c>
      <c r="B5133" s="27" t="s">
        <v>12270</v>
      </c>
      <c r="C5133" s="27" t="s">
        <v>12271</v>
      </c>
      <c r="D5133" s="27" t="s">
        <v>17</v>
      </c>
      <c r="E5133" s="27" t="s">
        <v>18</v>
      </c>
      <c r="F5133" s="27" t="s">
        <v>19</v>
      </c>
      <c r="G5133" s="27" t="s">
        <v>20</v>
      </c>
      <c r="H5133" s="29">
        <v>17</v>
      </c>
      <c r="I5133" s="27" t="s">
        <v>21</v>
      </c>
      <c r="J5133" s="37">
        <v>45768</v>
      </c>
      <c r="K5133" s="27" t="s">
        <v>22</v>
      </c>
    </row>
    <row r="5134" spans="1:11" x14ac:dyDescent="0.2">
      <c r="A5134" s="24" t="s">
        <v>12272</v>
      </c>
      <c r="B5134" s="24" t="s">
        <v>12273</v>
      </c>
      <c r="C5134" s="24" t="s">
        <v>423</v>
      </c>
      <c r="D5134" s="24" t="s">
        <v>17</v>
      </c>
      <c r="E5134" s="24" t="s">
        <v>42</v>
      </c>
      <c r="F5134" s="24" t="s">
        <v>43</v>
      </c>
      <c r="G5134" s="24" t="s">
        <v>217</v>
      </c>
      <c r="H5134" s="26">
        <v>288</v>
      </c>
      <c r="I5134" s="24" t="s">
        <v>29</v>
      </c>
      <c r="J5134" s="36">
        <v>45777</v>
      </c>
      <c r="K5134" s="24" t="s">
        <v>22</v>
      </c>
    </row>
    <row r="5135" spans="1:11" x14ac:dyDescent="0.2">
      <c r="A5135" s="27" t="s">
        <v>12274</v>
      </c>
      <c r="B5135" s="27" t="s">
        <v>12275</v>
      </c>
      <c r="C5135" s="27" t="s">
        <v>208</v>
      </c>
      <c r="D5135" s="27" t="s">
        <v>17</v>
      </c>
      <c r="E5135" s="27" t="s">
        <v>26</v>
      </c>
      <c r="F5135" s="27" t="s">
        <v>27</v>
      </c>
      <c r="G5135" s="27" t="s">
        <v>44</v>
      </c>
      <c r="H5135" s="29">
        <v>720</v>
      </c>
      <c r="I5135" s="27" t="s">
        <v>21</v>
      </c>
      <c r="J5135" s="37">
        <v>45764</v>
      </c>
      <c r="K5135" s="27" t="s">
        <v>22</v>
      </c>
    </row>
    <row r="5136" spans="1:11" x14ac:dyDescent="0.2">
      <c r="A5136" s="24" t="s">
        <v>12276</v>
      </c>
      <c r="B5136" s="24" t="s">
        <v>12277</v>
      </c>
      <c r="C5136" s="24" t="s">
        <v>213</v>
      </c>
      <c r="D5136" s="24" t="s">
        <v>17</v>
      </c>
      <c r="E5136" s="24" t="s">
        <v>42</v>
      </c>
      <c r="F5136" s="24" t="s">
        <v>43</v>
      </c>
      <c r="G5136" s="24" t="s">
        <v>20</v>
      </c>
      <c r="H5136" s="26">
        <v>526</v>
      </c>
      <c r="I5136" s="24" t="s">
        <v>21</v>
      </c>
      <c r="J5136" s="36">
        <v>45751</v>
      </c>
      <c r="K5136" s="24" t="s">
        <v>22</v>
      </c>
    </row>
    <row r="5137" spans="1:11" x14ac:dyDescent="0.2">
      <c r="A5137" s="27" t="s">
        <v>12278</v>
      </c>
      <c r="B5137" s="27" t="s">
        <v>12279</v>
      </c>
      <c r="C5137" s="27" t="s">
        <v>1050</v>
      </c>
      <c r="D5137" s="27" t="s">
        <v>17</v>
      </c>
      <c r="E5137" s="27" t="s">
        <v>42</v>
      </c>
      <c r="F5137" s="27" t="s">
        <v>43</v>
      </c>
      <c r="G5137" s="27" t="s">
        <v>217</v>
      </c>
      <c r="H5137" s="29">
        <v>312</v>
      </c>
      <c r="I5137" s="27" t="s">
        <v>29</v>
      </c>
      <c r="J5137" s="37">
        <v>45748</v>
      </c>
      <c r="K5137" s="27" t="s">
        <v>22</v>
      </c>
    </row>
    <row r="5138" spans="1:11" x14ac:dyDescent="0.2">
      <c r="A5138" s="24" t="s">
        <v>12280</v>
      </c>
      <c r="B5138" s="24" t="s">
        <v>12281</v>
      </c>
      <c r="C5138" s="24" t="s">
        <v>71</v>
      </c>
      <c r="D5138" s="24" t="s">
        <v>17</v>
      </c>
      <c r="E5138" s="24" t="s">
        <v>42</v>
      </c>
      <c r="F5138" s="24" t="s">
        <v>43</v>
      </c>
      <c r="G5138" s="24" t="s">
        <v>217</v>
      </c>
      <c r="H5138" s="26">
        <v>520</v>
      </c>
      <c r="I5138" s="24" t="s">
        <v>29</v>
      </c>
      <c r="J5138" s="36">
        <v>45748</v>
      </c>
      <c r="K5138" s="24" t="s">
        <v>22</v>
      </c>
    </row>
    <row r="5139" spans="1:11" x14ac:dyDescent="0.2">
      <c r="A5139" s="27" t="s">
        <v>12282</v>
      </c>
      <c r="B5139" s="27" t="s">
        <v>12283</v>
      </c>
      <c r="C5139" s="27" t="s">
        <v>71</v>
      </c>
      <c r="D5139" s="27" t="s">
        <v>17</v>
      </c>
      <c r="E5139" s="27" t="s">
        <v>42</v>
      </c>
      <c r="F5139" s="27" t="s">
        <v>43</v>
      </c>
      <c r="G5139" s="27" t="s">
        <v>28</v>
      </c>
      <c r="H5139" s="29">
        <v>80</v>
      </c>
      <c r="I5139" s="27" t="s">
        <v>29</v>
      </c>
      <c r="J5139" s="37">
        <v>45759</v>
      </c>
      <c r="K5139" s="27" t="s">
        <v>22</v>
      </c>
    </row>
    <row r="5140" spans="1:11" x14ac:dyDescent="0.2">
      <c r="A5140" s="24" t="s">
        <v>12284</v>
      </c>
      <c r="B5140" s="24" t="s">
        <v>12285</v>
      </c>
      <c r="C5140" s="24" t="s">
        <v>12286</v>
      </c>
      <c r="D5140" s="24" t="s">
        <v>17</v>
      </c>
      <c r="E5140" s="24" t="s">
        <v>42</v>
      </c>
      <c r="F5140" s="24" t="s">
        <v>43</v>
      </c>
      <c r="G5140" s="24" t="s">
        <v>28</v>
      </c>
      <c r="H5140" s="26">
        <v>116</v>
      </c>
      <c r="I5140" s="24" t="s">
        <v>29</v>
      </c>
      <c r="J5140" s="36">
        <v>45749</v>
      </c>
      <c r="K5140" s="24" t="s">
        <v>22</v>
      </c>
    </row>
    <row r="5141" spans="1:11" x14ac:dyDescent="0.2">
      <c r="A5141" s="27" t="s">
        <v>12287</v>
      </c>
      <c r="B5141" s="27" t="s">
        <v>12288</v>
      </c>
      <c r="C5141" s="27" t="s">
        <v>1110</v>
      </c>
      <c r="D5141" s="27" t="s">
        <v>17</v>
      </c>
      <c r="E5141" s="27" t="s">
        <v>18</v>
      </c>
      <c r="F5141" s="27" t="s">
        <v>19</v>
      </c>
      <c r="G5141" s="27" t="s">
        <v>28</v>
      </c>
      <c r="H5141" s="29">
        <v>50</v>
      </c>
      <c r="I5141" s="27" t="s">
        <v>29</v>
      </c>
      <c r="J5141" s="37">
        <v>45775</v>
      </c>
      <c r="K5141" s="27" t="s">
        <v>22</v>
      </c>
    </row>
    <row r="5142" spans="1:11" x14ac:dyDescent="0.2">
      <c r="A5142" s="24" t="s">
        <v>12289</v>
      </c>
      <c r="B5142" s="24" t="s">
        <v>12290</v>
      </c>
      <c r="C5142" s="24" t="s">
        <v>1158</v>
      </c>
      <c r="D5142" s="24" t="s">
        <v>17</v>
      </c>
      <c r="E5142" s="24" t="s">
        <v>18</v>
      </c>
      <c r="F5142" s="24" t="s">
        <v>19</v>
      </c>
      <c r="G5142" s="24" t="s">
        <v>28</v>
      </c>
      <c r="H5142" s="26">
        <v>80</v>
      </c>
      <c r="I5142" s="24" t="s">
        <v>29</v>
      </c>
      <c r="J5142" s="36">
        <v>45758</v>
      </c>
      <c r="K5142" s="24" t="s">
        <v>22</v>
      </c>
    </row>
    <row r="5143" spans="1:11" x14ac:dyDescent="0.2">
      <c r="A5143" s="27" t="s">
        <v>12291</v>
      </c>
      <c r="B5143" s="27" t="s">
        <v>12292</v>
      </c>
      <c r="C5143" s="27" t="s">
        <v>12293</v>
      </c>
      <c r="D5143" s="27" t="s">
        <v>17</v>
      </c>
      <c r="E5143" s="27" t="s">
        <v>48</v>
      </c>
      <c r="F5143" s="27" t="s">
        <v>49</v>
      </c>
      <c r="G5143" s="27" t="s">
        <v>20</v>
      </c>
      <c r="H5143" s="29">
        <v>169</v>
      </c>
      <c r="I5143" s="27" t="s">
        <v>21</v>
      </c>
      <c r="J5143" s="37">
        <v>45770</v>
      </c>
      <c r="K5143" s="27" t="s">
        <v>22</v>
      </c>
    </row>
    <row r="5144" spans="1:11" x14ac:dyDescent="0.2">
      <c r="A5144" s="24" t="s">
        <v>12294</v>
      </c>
      <c r="B5144" s="24" t="s">
        <v>12295</v>
      </c>
      <c r="C5144" s="24" t="s">
        <v>213</v>
      </c>
      <c r="D5144" s="24" t="s">
        <v>17</v>
      </c>
      <c r="E5144" s="24" t="s">
        <v>18</v>
      </c>
      <c r="F5144" s="24" t="s">
        <v>19</v>
      </c>
      <c r="G5144" s="24" t="s">
        <v>20</v>
      </c>
      <c r="H5144" s="26">
        <v>10</v>
      </c>
      <c r="I5144" s="24" t="s">
        <v>21</v>
      </c>
      <c r="J5144" s="36">
        <v>45750</v>
      </c>
      <c r="K5144" s="24" t="s">
        <v>22</v>
      </c>
    </row>
    <row r="5145" spans="1:11" x14ac:dyDescent="0.2">
      <c r="A5145" s="27" t="s">
        <v>12296</v>
      </c>
      <c r="B5145" s="27" t="s">
        <v>12297</v>
      </c>
      <c r="C5145" s="27" t="s">
        <v>97</v>
      </c>
      <c r="D5145" s="27" t="s">
        <v>17</v>
      </c>
      <c r="E5145" s="27" t="s">
        <v>42</v>
      </c>
      <c r="F5145" s="27" t="s">
        <v>43</v>
      </c>
      <c r="G5145" s="27" t="s">
        <v>28</v>
      </c>
      <c r="H5145" s="29">
        <v>14</v>
      </c>
      <c r="I5145" s="27" t="s">
        <v>29</v>
      </c>
      <c r="J5145" s="37">
        <v>45764</v>
      </c>
      <c r="K5145" s="27" t="s">
        <v>22</v>
      </c>
    </row>
    <row r="5146" spans="1:11" x14ac:dyDescent="0.2">
      <c r="A5146" s="24" t="s">
        <v>12298</v>
      </c>
      <c r="B5146" s="24" t="s">
        <v>12299</v>
      </c>
      <c r="C5146" s="24" t="s">
        <v>12300</v>
      </c>
      <c r="D5146" s="24" t="s">
        <v>17</v>
      </c>
      <c r="E5146" s="24" t="s">
        <v>18</v>
      </c>
      <c r="F5146" s="24" t="s">
        <v>19</v>
      </c>
      <c r="G5146" s="24" t="s">
        <v>217</v>
      </c>
      <c r="H5146" s="26">
        <v>56</v>
      </c>
      <c r="I5146" s="24" t="s">
        <v>29</v>
      </c>
      <c r="J5146" s="36">
        <v>45748</v>
      </c>
      <c r="K5146" s="24" t="s">
        <v>22</v>
      </c>
    </row>
    <row r="5147" spans="1:11" x14ac:dyDescent="0.2">
      <c r="A5147" s="27" t="s">
        <v>12301</v>
      </c>
      <c r="B5147" s="27" t="s">
        <v>12302</v>
      </c>
      <c r="C5147" s="27" t="s">
        <v>68</v>
      </c>
      <c r="D5147" s="27" t="s">
        <v>17</v>
      </c>
      <c r="E5147" s="27" t="s">
        <v>48</v>
      </c>
      <c r="F5147" s="27" t="s">
        <v>49</v>
      </c>
      <c r="G5147" s="27" t="s">
        <v>28</v>
      </c>
      <c r="H5147" s="29">
        <v>100</v>
      </c>
      <c r="I5147" s="27" t="s">
        <v>29</v>
      </c>
      <c r="J5147" s="37">
        <v>45750</v>
      </c>
      <c r="K5147" s="27" t="s">
        <v>22</v>
      </c>
    </row>
    <row r="5148" spans="1:11" x14ac:dyDescent="0.2">
      <c r="A5148" s="24" t="s">
        <v>12303</v>
      </c>
      <c r="B5148" s="24" t="s">
        <v>12304</v>
      </c>
      <c r="C5148" s="24" t="s">
        <v>12305</v>
      </c>
      <c r="D5148" s="24" t="s">
        <v>17</v>
      </c>
      <c r="E5148" s="24" t="s">
        <v>48</v>
      </c>
      <c r="F5148" s="24" t="s">
        <v>49</v>
      </c>
      <c r="G5148" s="24" t="s">
        <v>28</v>
      </c>
      <c r="H5148" s="26">
        <v>150</v>
      </c>
      <c r="I5148" s="24" t="s">
        <v>29</v>
      </c>
      <c r="J5148" s="36">
        <v>45771</v>
      </c>
      <c r="K5148" s="24" t="s">
        <v>22</v>
      </c>
    </row>
    <row r="5149" spans="1:11" x14ac:dyDescent="0.2">
      <c r="A5149" s="27" t="s">
        <v>12306</v>
      </c>
      <c r="B5149" s="27" t="s">
        <v>12307</v>
      </c>
      <c r="C5149" s="27" t="s">
        <v>1147</v>
      </c>
      <c r="D5149" s="27" t="s">
        <v>17</v>
      </c>
      <c r="E5149" s="27" t="s">
        <v>18</v>
      </c>
      <c r="F5149" s="27" t="s">
        <v>19</v>
      </c>
      <c r="G5149" s="27" t="s">
        <v>20</v>
      </c>
      <c r="H5149" s="29">
        <v>7</v>
      </c>
      <c r="I5149" s="27" t="s">
        <v>21</v>
      </c>
      <c r="J5149" s="37">
        <v>45768</v>
      </c>
      <c r="K5149" s="27" t="s">
        <v>22</v>
      </c>
    </row>
    <row r="5150" spans="1:11" x14ac:dyDescent="0.2">
      <c r="A5150" s="24" t="s">
        <v>12308</v>
      </c>
      <c r="B5150" s="24" t="s">
        <v>12309</v>
      </c>
      <c r="C5150" s="24" t="s">
        <v>2397</v>
      </c>
      <c r="D5150" s="24" t="s">
        <v>17</v>
      </c>
      <c r="E5150" s="24" t="s">
        <v>42</v>
      </c>
      <c r="F5150" s="24" t="s">
        <v>43</v>
      </c>
      <c r="G5150" s="24" t="s">
        <v>217</v>
      </c>
      <c r="H5150" s="26">
        <v>560</v>
      </c>
      <c r="I5150" s="24" t="s">
        <v>29</v>
      </c>
      <c r="J5150" s="36">
        <v>45748</v>
      </c>
      <c r="K5150" s="24" t="s">
        <v>22</v>
      </c>
    </row>
    <row r="5151" spans="1:11" x14ac:dyDescent="0.2">
      <c r="A5151" s="27" t="s">
        <v>12310</v>
      </c>
      <c r="B5151" s="27" t="s">
        <v>12311</v>
      </c>
      <c r="C5151" s="27" t="s">
        <v>97</v>
      </c>
      <c r="D5151" s="27" t="s">
        <v>17</v>
      </c>
      <c r="E5151" s="27" t="s">
        <v>26</v>
      </c>
      <c r="F5151" s="27" t="s">
        <v>27</v>
      </c>
      <c r="G5151" s="27" t="s">
        <v>28</v>
      </c>
      <c r="H5151" s="29">
        <v>150</v>
      </c>
      <c r="I5151" s="27" t="s">
        <v>29</v>
      </c>
      <c r="J5151" s="37">
        <v>45768</v>
      </c>
      <c r="K5151" s="27" t="s">
        <v>22</v>
      </c>
    </row>
    <row r="5152" spans="1:11" x14ac:dyDescent="0.2">
      <c r="A5152" s="24" t="s">
        <v>12312</v>
      </c>
      <c r="B5152" s="24" t="s">
        <v>12313</v>
      </c>
      <c r="C5152" s="24" t="s">
        <v>1199</v>
      </c>
      <c r="D5152" s="24" t="s">
        <v>17</v>
      </c>
      <c r="E5152" s="24" t="s">
        <v>18</v>
      </c>
      <c r="F5152" s="24" t="s">
        <v>19</v>
      </c>
      <c r="G5152" s="24" t="s">
        <v>28</v>
      </c>
      <c r="H5152" s="26">
        <v>150</v>
      </c>
      <c r="I5152" s="24" t="s">
        <v>29</v>
      </c>
      <c r="J5152" s="36">
        <v>45749</v>
      </c>
      <c r="K5152" s="24" t="s">
        <v>22</v>
      </c>
    </row>
    <row r="5153" spans="1:11" x14ac:dyDescent="0.2">
      <c r="A5153" s="27" t="s">
        <v>12314</v>
      </c>
      <c r="B5153" s="27" t="s">
        <v>12315</v>
      </c>
      <c r="C5153" s="27" t="s">
        <v>12316</v>
      </c>
      <c r="D5153" s="27" t="s">
        <v>17</v>
      </c>
      <c r="E5153" s="27" t="s">
        <v>42</v>
      </c>
      <c r="F5153" s="27" t="s">
        <v>43</v>
      </c>
      <c r="G5153" s="27" t="s">
        <v>28</v>
      </c>
      <c r="H5153" s="29">
        <v>260</v>
      </c>
      <c r="I5153" s="27" t="s">
        <v>29</v>
      </c>
      <c r="J5153" s="37">
        <v>45756</v>
      </c>
      <c r="K5153" s="27" t="s">
        <v>22</v>
      </c>
    </row>
    <row r="5154" spans="1:11" x14ac:dyDescent="0.2">
      <c r="A5154" s="24" t="s">
        <v>12317</v>
      </c>
      <c r="B5154" s="24" t="s">
        <v>12318</v>
      </c>
      <c r="C5154" s="24" t="s">
        <v>12319</v>
      </c>
      <c r="D5154" s="24" t="s">
        <v>17</v>
      </c>
      <c r="E5154" s="24" t="s">
        <v>18</v>
      </c>
      <c r="F5154" s="24" t="s">
        <v>19</v>
      </c>
      <c r="G5154" s="24" t="s">
        <v>28</v>
      </c>
      <c r="H5154" s="26">
        <v>24</v>
      </c>
      <c r="I5154" s="24" t="s">
        <v>29</v>
      </c>
      <c r="J5154" s="36">
        <v>45770</v>
      </c>
      <c r="K5154" s="24" t="s">
        <v>22</v>
      </c>
    </row>
    <row r="5155" spans="1:11" x14ac:dyDescent="0.2">
      <c r="A5155" s="27" t="s">
        <v>12320</v>
      </c>
      <c r="B5155" s="27" t="s">
        <v>12321</v>
      </c>
      <c r="C5155" s="27" t="s">
        <v>1130</v>
      </c>
      <c r="D5155" s="27" t="s">
        <v>17</v>
      </c>
      <c r="E5155" s="27" t="s">
        <v>26</v>
      </c>
      <c r="F5155" s="27" t="s">
        <v>27</v>
      </c>
      <c r="G5155" s="27" t="s">
        <v>28</v>
      </c>
      <c r="H5155" s="29">
        <v>130</v>
      </c>
      <c r="I5155" s="27" t="s">
        <v>29</v>
      </c>
      <c r="J5155" s="37">
        <v>45777</v>
      </c>
      <c r="K5155" s="27" t="s">
        <v>22</v>
      </c>
    </row>
    <row r="5156" spans="1:11" x14ac:dyDescent="0.2">
      <c r="A5156" s="24" t="s">
        <v>12322</v>
      </c>
      <c r="B5156" s="24" t="s">
        <v>12323</v>
      </c>
      <c r="C5156" s="24" t="s">
        <v>12324</v>
      </c>
      <c r="D5156" s="24" t="s">
        <v>17</v>
      </c>
      <c r="E5156" s="24" t="s">
        <v>42</v>
      </c>
      <c r="F5156" s="24" t="s">
        <v>43</v>
      </c>
      <c r="G5156" s="24" t="s">
        <v>28</v>
      </c>
      <c r="H5156" s="26">
        <v>1458</v>
      </c>
      <c r="I5156" s="24" t="s">
        <v>29</v>
      </c>
      <c r="J5156" s="36">
        <v>45748</v>
      </c>
      <c r="K5156" s="24" t="s">
        <v>22</v>
      </c>
    </row>
    <row r="5157" spans="1:11" x14ac:dyDescent="0.2">
      <c r="A5157" s="27" t="s">
        <v>12325</v>
      </c>
      <c r="B5157" s="27" t="s">
        <v>12326</v>
      </c>
      <c r="C5157" s="27" t="s">
        <v>921</v>
      </c>
      <c r="D5157" s="27" t="s">
        <v>17</v>
      </c>
      <c r="E5157" s="27" t="s">
        <v>26</v>
      </c>
      <c r="F5157" s="27" t="s">
        <v>27</v>
      </c>
      <c r="G5157" s="27" t="s">
        <v>28</v>
      </c>
      <c r="H5157" s="29">
        <v>194</v>
      </c>
      <c r="I5157" s="27" t="s">
        <v>29</v>
      </c>
      <c r="J5157" s="37">
        <v>45755</v>
      </c>
      <c r="K5157" s="27" t="s">
        <v>22</v>
      </c>
    </row>
    <row r="5158" spans="1:11" x14ac:dyDescent="0.2">
      <c r="A5158" s="24" t="s">
        <v>12327</v>
      </c>
      <c r="B5158" s="24" t="s">
        <v>12328</v>
      </c>
      <c r="C5158" s="24" t="s">
        <v>9031</v>
      </c>
      <c r="D5158" s="24" t="s">
        <v>17</v>
      </c>
      <c r="E5158" s="24" t="s">
        <v>42</v>
      </c>
      <c r="F5158" s="24" t="s">
        <v>43</v>
      </c>
      <c r="G5158" s="24" t="s">
        <v>28</v>
      </c>
      <c r="H5158" s="26">
        <v>552</v>
      </c>
      <c r="I5158" s="24" t="s">
        <v>29</v>
      </c>
      <c r="J5158" s="36">
        <v>45750</v>
      </c>
      <c r="K5158" s="24" t="s">
        <v>22</v>
      </c>
    </row>
    <row r="5159" spans="1:11" x14ac:dyDescent="0.2">
      <c r="A5159" s="27" t="s">
        <v>12329</v>
      </c>
      <c r="B5159" s="27" t="s">
        <v>12330</v>
      </c>
      <c r="C5159" s="27" t="s">
        <v>91</v>
      </c>
      <c r="D5159" s="27" t="s">
        <v>17</v>
      </c>
      <c r="E5159" s="27" t="s">
        <v>26</v>
      </c>
      <c r="F5159" s="27" t="s">
        <v>27</v>
      </c>
      <c r="G5159" s="27" t="s">
        <v>28</v>
      </c>
      <c r="H5159" s="29">
        <v>436</v>
      </c>
      <c r="I5159" s="27" t="s">
        <v>29</v>
      </c>
      <c r="J5159" s="37">
        <v>45758</v>
      </c>
      <c r="K5159" s="27" t="s">
        <v>22</v>
      </c>
    </row>
    <row r="5160" spans="1:11" x14ac:dyDescent="0.2">
      <c r="A5160" s="24" t="s">
        <v>12331</v>
      </c>
      <c r="B5160" s="24" t="s">
        <v>12332</v>
      </c>
      <c r="C5160" s="24" t="s">
        <v>2287</v>
      </c>
      <c r="D5160" s="24" t="s">
        <v>17</v>
      </c>
      <c r="E5160" s="24" t="s">
        <v>42</v>
      </c>
      <c r="F5160" s="24" t="s">
        <v>43</v>
      </c>
      <c r="G5160" s="24" t="s">
        <v>28</v>
      </c>
      <c r="H5160" s="26">
        <v>600</v>
      </c>
      <c r="I5160" s="24" t="s">
        <v>29</v>
      </c>
      <c r="J5160" s="36">
        <v>45763</v>
      </c>
      <c r="K5160" s="24" t="s">
        <v>22</v>
      </c>
    </row>
    <row r="5161" spans="1:11" x14ac:dyDescent="0.2">
      <c r="A5161" s="27" t="s">
        <v>12333</v>
      </c>
      <c r="B5161" s="27" t="s">
        <v>12334</v>
      </c>
      <c r="C5161" s="27" t="s">
        <v>12335</v>
      </c>
      <c r="D5161" s="27" t="s">
        <v>17</v>
      </c>
      <c r="E5161" s="27" t="s">
        <v>42</v>
      </c>
      <c r="F5161" s="27" t="s">
        <v>43</v>
      </c>
      <c r="G5161" s="27" t="s">
        <v>116</v>
      </c>
      <c r="H5161" s="29">
        <v>0</v>
      </c>
      <c r="I5161" s="27" t="s">
        <v>21</v>
      </c>
      <c r="J5161" s="37">
        <v>45748</v>
      </c>
      <c r="K5161" s="27" t="s">
        <v>22</v>
      </c>
    </row>
    <row r="5162" spans="1:11" x14ac:dyDescent="0.2">
      <c r="A5162" s="24" t="s">
        <v>12336</v>
      </c>
      <c r="B5162" s="24" t="s">
        <v>12337</v>
      </c>
      <c r="C5162" s="24" t="s">
        <v>11982</v>
      </c>
      <c r="D5162" s="24" t="s">
        <v>17</v>
      </c>
      <c r="E5162" s="24" t="s">
        <v>48</v>
      </c>
      <c r="F5162" s="24" t="s">
        <v>49</v>
      </c>
      <c r="G5162" s="24" t="s">
        <v>28</v>
      </c>
      <c r="H5162" s="26">
        <v>208</v>
      </c>
      <c r="I5162" s="24" t="s">
        <v>29</v>
      </c>
      <c r="J5162" s="36">
        <v>45776</v>
      </c>
      <c r="K5162" s="24" t="s">
        <v>22</v>
      </c>
    </row>
    <row r="5163" spans="1:11" x14ac:dyDescent="0.2">
      <c r="A5163" s="27" t="s">
        <v>12338</v>
      </c>
      <c r="B5163" s="27" t="s">
        <v>12339</v>
      </c>
      <c r="C5163" s="27" t="s">
        <v>5398</v>
      </c>
      <c r="D5163" s="27" t="s">
        <v>17</v>
      </c>
      <c r="E5163" s="27" t="s">
        <v>48</v>
      </c>
      <c r="F5163" s="27" t="s">
        <v>49</v>
      </c>
      <c r="G5163" s="27" t="s">
        <v>28</v>
      </c>
      <c r="H5163" s="29">
        <v>114</v>
      </c>
      <c r="I5163" s="27" t="s">
        <v>29</v>
      </c>
      <c r="J5163" s="37">
        <v>45775</v>
      </c>
      <c r="K5163" s="27" t="s">
        <v>22</v>
      </c>
    </row>
    <row r="5164" spans="1:11" x14ac:dyDescent="0.2">
      <c r="A5164" s="24" t="s">
        <v>12340</v>
      </c>
      <c r="B5164" s="24" t="s">
        <v>12341</v>
      </c>
      <c r="C5164" s="24" t="s">
        <v>618</v>
      </c>
      <c r="D5164" s="24" t="s">
        <v>17</v>
      </c>
      <c r="E5164" s="24" t="s">
        <v>18</v>
      </c>
      <c r="F5164" s="24" t="s">
        <v>19</v>
      </c>
      <c r="G5164" s="24" t="s">
        <v>217</v>
      </c>
      <c r="H5164" s="26">
        <v>502</v>
      </c>
      <c r="I5164" s="24" t="s">
        <v>29</v>
      </c>
      <c r="J5164" s="36">
        <v>45764</v>
      </c>
      <c r="K5164" s="24" t="s">
        <v>22</v>
      </c>
    </row>
    <row r="5165" spans="1:11" x14ac:dyDescent="0.2">
      <c r="A5165" s="27" t="s">
        <v>12342</v>
      </c>
      <c r="B5165" s="27" t="s">
        <v>12343</v>
      </c>
      <c r="C5165" s="27" t="s">
        <v>595</v>
      </c>
      <c r="D5165" s="27" t="s">
        <v>17</v>
      </c>
      <c r="E5165" s="27" t="s">
        <v>18</v>
      </c>
      <c r="F5165" s="27" t="s">
        <v>19</v>
      </c>
      <c r="G5165" s="27" t="s">
        <v>20</v>
      </c>
      <c r="H5165" s="29">
        <v>24</v>
      </c>
      <c r="I5165" s="27" t="s">
        <v>21</v>
      </c>
      <c r="J5165" s="37">
        <v>45777</v>
      </c>
      <c r="K5165" s="27" t="s">
        <v>22</v>
      </c>
    </row>
    <row r="5166" spans="1:11" x14ac:dyDescent="0.2">
      <c r="A5166" s="24" t="s">
        <v>12344</v>
      </c>
      <c r="B5166" s="24" t="s">
        <v>12345</v>
      </c>
      <c r="C5166" s="24" t="s">
        <v>10701</v>
      </c>
      <c r="D5166" s="24" t="s">
        <v>17</v>
      </c>
      <c r="E5166" s="24" t="s">
        <v>26</v>
      </c>
      <c r="F5166" s="24" t="s">
        <v>27</v>
      </c>
      <c r="G5166" s="24" t="s">
        <v>44</v>
      </c>
      <c r="H5166" s="26">
        <v>45</v>
      </c>
      <c r="I5166" s="24" t="s">
        <v>29</v>
      </c>
      <c r="J5166" s="36">
        <v>45769</v>
      </c>
      <c r="K5166" s="24" t="s">
        <v>22</v>
      </c>
    </row>
    <row r="5167" spans="1:11" x14ac:dyDescent="0.2">
      <c r="A5167" s="27" t="s">
        <v>12346</v>
      </c>
      <c r="B5167" s="27" t="s">
        <v>12347</v>
      </c>
      <c r="C5167" s="27" t="s">
        <v>140</v>
      </c>
      <c r="D5167" s="27" t="s">
        <v>17</v>
      </c>
      <c r="E5167" s="27" t="s">
        <v>18</v>
      </c>
      <c r="F5167" s="27" t="s">
        <v>19</v>
      </c>
      <c r="G5167" s="27" t="s">
        <v>28</v>
      </c>
      <c r="H5167" s="29">
        <v>245</v>
      </c>
      <c r="I5167" s="27" t="s">
        <v>29</v>
      </c>
      <c r="J5167" s="37">
        <v>45758</v>
      </c>
      <c r="K5167" s="27" t="s">
        <v>22</v>
      </c>
    </row>
    <row r="5168" spans="1:11" x14ac:dyDescent="0.2">
      <c r="A5168" s="24" t="s">
        <v>12348</v>
      </c>
      <c r="B5168" s="24" t="s">
        <v>12349</v>
      </c>
      <c r="C5168" s="24" t="s">
        <v>213</v>
      </c>
      <c r="D5168" s="24" t="s">
        <v>17</v>
      </c>
      <c r="E5168" s="24" t="s">
        <v>42</v>
      </c>
      <c r="F5168" s="24" t="s">
        <v>43</v>
      </c>
      <c r="G5168" s="24" t="s">
        <v>28</v>
      </c>
      <c r="H5168" s="26">
        <v>550</v>
      </c>
      <c r="I5168" s="24" t="s">
        <v>29</v>
      </c>
      <c r="J5168" s="36">
        <v>45748</v>
      </c>
      <c r="K5168" s="24" t="s">
        <v>22</v>
      </c>
    </row>
    <row r="5169" spans="1:11" x14ac:dyDescent="0.2">
      <c r="A5169" s="27" t="s">
        <v>12350</v>
      </c>
      <c r="B5169" s="27" t="s">
        <v>12351</v>
      </c>
      <c r="C5169" s="27" t="s">
        <v>10621</v>
      </c>
      <c r="D5169" s="27" t="s">
        <v>17</v>
      </c>
      <c r="E5169" s="27" t="s">
        <v>18</v>
      </c>
      <c r="F5169" s="27" t="s">
        <v>19</v>
      </c>
      <c r="G5169" s="27" t="s">
        <v>28</v>
      </c>
      <c r="H5169" s="29">
        <v>12</v>
      </c>
      <c r="I5169" s="27" t="s">
        <v>29</v>
      </c>
      <c r="J5169" s="37">
        <v>45762</v>
      </c>
      <c r="K5169" s="27" t="s">
        <v>22</v>
      </c>
    </row>
    <row r="5170" spans="1:11" x14ac:dyDescent="0.2">
      <c r="A5170" s="24" t="s">
        <v>12352</v>
      </c>
      <c r="B5170" s="24" t="s">
        <v>12353</v>
      </c>
      <c r="C5170" s="24" t="s">
        <v>7471</v>
      </c>
      <c r="D5170" s="24" t="s">
        <v>17</v>
      </c>
      <c r="E5170" s="24" t="s">
        <v>48</v>
      </c>
      <c r="F5170" s="24" t="s">
        <v>49</v>
      </c>
      <c r="G5170" s="24" t="s">
        <v>28</v>
      </c>
      <c r="H5170" s="26">
        <v>12</v>
      </c>
      <c r="I5170" s="24" t="s">
        <v>29</v>
      </c>
      <c r="J5170" s="36">
        <v>45776</v>
      </c>
      <c r="K5170" s="24" t="s">
        <v>22</v>
      </c>
    </row>
    <row r="5171" spans="1:11" x14ac:dyDescent="0.2">
      <c r="A5171" s="27" t="s">
        <v>12354</v>
      </c>
      <c r="B5171" s="27" t="s">
        <v>12355</v>
      </c>
      <c r="C5171" s="27" t="s">
        <v>71</v>
      </c>
      <c r="D5171" s="27" t="s">
        <v>17</v>
      </c>
      <c r="E5171" s="27" t="s">
        <v>18</v>
      </c>
      <c r="F5171" s="27" t="s">
        <v>19</v>
      </c>
      <c r="G5171" s="27" t="s">
        <v>44</v>
      </c>
      <c r="H5171" s="29">
        <v>48</v>
      </c>
      <c r="I5171" s="27" t="s">
        <v>29</v>
      </c>
      <c r="J5171" s="37">
        <v>45753</v>
      </c>
      <c r="K5171" s="27" t="s">
        <v>22</v>
      </c>
    </row>
    <row r="5172" spans="1:11" x14ac:dyDescent="0.2">
      <c r="A5172" s="24" t="s">
        <v>12356</v>
      </c>
      <c r="B5172" s="24" t="s">
        <v>12357</v>
      </c>
      <c r="C5172" s="24" t="s">
        <v>12358</v>
      </c>
      <c r="D5172" s="24" t="s">
        <v>17</v>
      </c>
      <c r="E5172" s="24" t="s">
        <v>163</v>
      </c>
      <c r="F5172" s="24" t="s">
        <v>164</v>
      </c>
      <c r="G5172" s="24" t="s">
        <v>44</v>
      </c>
      <c r="H5172" s="26">
        <v>20</v>
      </c>
      <c r="I5172" s="24" t="s">
        <v>29</v>
      </c>
      <c r="J5172" s="36">
        <v>45775</v>
      </c>
      <c r="K5172" s="24" t="s">
        <v>22</v>
      </c>
    </row>
    <row r="5173" spans="1:11" x14ac:dyDescent="0.2">
      <c r="A5173" s="27" t="s">
        <v>12359</v>
      </c>
      <c r="B5173" s="27" t="s">
        <v>12360</v>
      </c>
      <c r="C5173" s="27" t="s">
        <v>6033</v>
      </c>
      <c r="D5173" s="27" t="s">
        <v>17</v>
      </c>
      <c r="E5173" s="27" t="s">
        <v>18</v>
      </c>
      <c r="F5173" s="27" t="s">
        <v>19</v>
      </c>
      <c r="G5173" s="27" t="s">
        <v>28</v>
      </c>
      <c r="H5173" s="29">
        <v>30</v>
      </c>
      <c r="I5173" s="27" t="s">
        <v>29</v>
      </c>
      <c r="J5173" s="37">
        <v>45753</v>
      </c>
      <c r="K5173" s="27" t="s">
        <v>22</v>
      </c>
    </row>
    <row r="5174" spans="1:11" x14ac:dyDescent="0.2">
      <c r="A5174" s="24" t="s">
        <v>12361</v>
      </c>
      <c r="B5174" s="24" t="s">
        <v>12362</v>
      </c>
      <c r="C5174" s="24" t="s">
        <v>1307</v>
      </c>
      <c r="D5174" s="24" t="s">
        <v>17</v>
      </c>
      <c r="E5174" s="24" t="s">
        <v>26</v>
      </c>
      <c r="F5174" s="24" t="s">
        <v>27</v>
      </c>
      <c r="G5174" s="24" t="s">
        <v>28</v>
      </c>
      <c r="H5174" s="26">
        <v>120</v>
      </c>
      <c r="I5174" s="24" t="s">
        <v>29</v>
      </c>
      <c r="J5174" s="36">
        <v>45771</v>
      </c>
      <c r="K5174" s="24" t="s">
        <v>22</v>
      </c>
    </row>
    <row r="5175" spans="1:11" x14ac:dyDescent="0.2">
      <c r="A5175" s="27" t="s">
        <v>12363</v>
      </c>
      <c r="B5175" s="27" t="s">
        <v>12364</v>
      </c>
      <c r="C5175" s="27" t="s">
        <v>106</v>
      </c>
      <c r="D5175" s="27" t="s">
        <v>17</v>
      </c>
      <c r="E5175" s="27" t="s">
        <v>18</v>
      </c>
      <c r="F5175" s="27" t="s">
        <v>19</v>
      </c>
      <c r="G5175" s="27" t="s">
        <v>28</v>
      </c>
      <c r="H5175" s="29">
        <v>60</v>
      </c>
      <c r="I5175" s="27" t="s">
        <v>29</v>
      </c>
      <c r="J5175" s="37">
        <v>45754</v>
      </c>
      <c r="K5175" s="27" t="s">
        <v>22</v>
      </c>
    </row>
    <row r="5176" spans="1:11" x14ac:dyDescent="0.2">
      <c r="A5176" s="24" t="s">
        <v>12365</v>
      </c>
      <c r="B5176" s="24" t="s">
        <v>12366</v>
      </c>
      <c r="C5176" s="24" t="s">
        <v>1912</v>
      </c>
      <c r="D5176" s="24" t="s">
        <v>17</v>
      </c>
      <c r="E5176" s="24" t="s">
        <v>26</v>
      </c>
      <c r="F5176" s="24" t="s">
        <v>27</v>
      </c>
      <c r="G5176" s="24" t="s">
        <v>217</v>
      </c>
      <c r="H5176" s="26">
        <v>255</v>
      </c>
      <c r="I5176" s="24" t="s">
        <v>29</v>
      </c>
      <c r="J5176" s="36">
        <v>45748</v>
      </c>
      <c r="K5176" s="24" t="s">
        <v>22</v>
      </c>
    </row>
    <row r="5177" spans="1:11" x14ac:dyDescent="0.2">
      <c r="A5177" s="27" t="s">
        <v>12367</v>
      </c>
      <c r="B5177" s="27" t="s">
        <v>12368</v>
      </c>
      <c r="C5177" s="27" t="s">
        <v>6457</v>
      </c>
      <c r="D5177" s="27" t="s">
        <v>17</v>
      </c>
      <c r="E5177" s="27" t="s">
        <v>18</v>
      </c>
      <c r="F5177" s="27" t="s">
        <v>19</v>
      </c>
      <c r="G5177" s="27" t="s">
        <v>28</v>
      </c>
      <c r="H5177" s="29">
        <v>180</v>
      </c>
      <c r="I5177" s="27" t="s">
        <v>29</v>
      </c>
      <c r="J5177" s="37">
        <v>45757</v>
      </c>
      <c r="K5177" s="27" t="s">
        <v>22</v>
      </c>
    </row>
    <row r="5178" spans="1:11" x14ac:dyDescent="0.2">
      <c r="A5178" s="24" t="s">
        <v>12369</v>
      </c>
      <c r="B5178" s="24" t="s">
        <v>12370</v>
      </c>
      <c r="C5178" s="24" t="s">
        <v>792</v>
      </c>
      <c r="D5178" s="24" t="s">
        <v>17</v>
      </c>
      <c r="E5178" s="24" t="s">
        <v>81</v>
      </c>
      <c r="F5178" s="24" t="s">
        <v>82</v>
      </c>
      <c r="G5178" s="24" t="s">
        <v>20</v>
      </c>
      <c r="H5178" s="26">
        <v>180</v>
      </c>
      <c r="I5178" s="24" t="s">
        <v>21</v>
      </c>
      <c r="J5178" s="36">
        <v>45748</v>
      </c>
      <c r="K5178" s="24" t="s">
        <v>22</v>
      </c>
    </row>
    <row r="5179" spans="1:11" x14ac:dyDescent="0.2">
      <c r="A5179" s="27" t="s">
        <v>12371</v>
      </c>
      <c r="B5179" s="27" t="s">
        <v>12372</v>
      </c>
      <c r="C5179" s="27" t="s">
        <v>12373</v>
      </c>
      <c r="D5179" s="27" t="s">
        <v>17</v>
      </c>
      <c r="E5179" s="27" t="s">
        <v>18</v>
      </c>
      <c r="F5179" s="27" t="s">
        <v>19</v>
      </c>
      <c r="G5179" s="27" t="s">
        <v>28</v>
      </c>
      <c r="H5179" s="29">
        <v>26</v>
      </c>
      <c r="I5179" s="27" t="s">
        <v>29</v>
      </c>
      <c r="J5179" s="37">
        <v>45761</v>
      </c>
      <c r="K5179" s="27" t="s">
        <v>22</v>
      </c>
    </row>
    <row r="5180" spans="1:11" x14ac:dyDescent="0.2">
      <c r="A5180" s="24" t="s">
        <v>12374</v>
      </c>
      <c r="B5180" s="24" t="s">
        <v>12375</v>
      </c>
      <c r="C5180" s="24" t="s">
        <v>10383</v>
      </c>
      <c r="D5180" s="24" t="s">
        <v>17</v>
      </c>
      <c r="E5180" s="24" t="s">
        <v>42</v>
      </c>
      <c r="F5180" s="24" t="s">
        <v>43</v>
      </c>
      <c r="G5180" s="24" t="s">
        <v>28</v>
      </c>
      <c r="H5180" s="26">
        <v>312</v>
      </c>
      <c r="I5180" s="24" t="s">
        <v>29</v>
      </c>
      <c r="J5180" s="36">
        <v>45748</v>
      </c>
      <c r="K5180" s="24" t="s">
        <v>22</v>
      </c>
    </row>
    <row r="5181" spans="1:11" x14ac:dyDescent="0.2">
      <c r="A5181" s="27" t="s">
        <v>12376</v>
      </c>
      <c r="B5181" s="27" t="s">
        <v>12377</v>
      </c>
      <c r="C5181" s="27" t="s">
        <v>708</v>
      </c>
      <c r="D5181" s="27" t="s">
        <v>17</v>
      </c>
      <c r="E5181" s="27" t="s">
        <v>18</v>
      </c>
      <c r="F5181" s="27" t="s">
        <v>19</v>
      </c>
      <c r="G5181" s="27" t="s">
        <v>28</v>
      </c>
      <c r="H5181" s="29">
        <v>132</v>
      </c>
      <c r="I5181" s="27" t="s">
        <v>29</v>
      </c>
      <c r="J5181" s="37">
        <v>45775</v>
      </c>
      <c r="K5181" s="27" t="s">
        <v>22</v>
      </c>
    </row>
    <row r="5182" spans="1:11" x14ac:dyDescent="0.2">
      <c r="A5182" s="24" t="s">
        <v>12378</v>
      </c>
      <c r="B5182" s="24" t="s">
        <v>12379</v>
      </c>
      <c r="C5182" s="24" t="s">
        <v>2944</v>
      </c>
      <c r="D5182" s="24" t="s">
        <v>17</v>
      </c>
      <c r="E5182" s="24" t="s">
        <v>42</v>
      </c>
      <c r="F5182" s="24" t="s">
        <v>43</v>
      </c>
      <c r="G5182" s="24" t="s">
        <v>28</v>
      </c>
      <c r="H5182" s="26">
        <v>388</v>
      </c>
      <c r="I5182" s="24" t="s">
        <v>29</v>
      </c>
      <c r="J5182" s="36">
        <v>45758</v>
      </c>
      <c r="K5182" s="24" t="s">
        <v>22</v>
      </c>
    </row>
    <row r="5183" spans="1:11" x14ac:dyDescent="0.2">
      <c r="A5183" s="27" t="s">
        <v>12380</v>
      </c>
      <c r="B5183" s="27" t="s">
        <v>12381</v>
      </c>
      <c r="C5183" s="27" t="s">
        <v>437</v>
      </c>
      <c r="D5183" s="27" t="s">
        <v>17</v>
      </c>
      <c r="E5183" s="27" t="s">
        <v>18</v>
      </c>
      <c r="F5183" s="27" t="s">
        <v>19</v>
      </c>
      <c r="G5183" s="27" t="s">
        <v>20</v>
      </c>
      <c r="H5183" s="29">
        <v>57</v>
      </c>
      <c r="I5183" s="27" t="s">
        <v>21</v>
      </c>
      <c r="J5183" s="37">
        <v>45764</v>
      </c>
      <c r="K5183" s="27" t="s">
        <v>22</v>
      </c>
    </row>
    <row r="5184" spans="1:11" x14ac:dyDescent="0.2">
      <c r="A5184" s="24" t="s">
        <v>12382</v>
      </c>
      <c r="B5184" s="24" t="s">
        <v>12383</v>
      </c>
      <c r="C5184" s="24" t="s">
        <v>1059</v>
      </c>
      <c r="D5184" s="24" t="s">
        <v>17</v>
      </c>
      <c r="E5184" s="24" t="s">
        <v>18</v>
      </c>
      <c r="F5184" s="24" t="s">
        <v>19</v>
      </c>
      <c r="G5184" s="24" t="s">
        <v>217</v>
      </c>
      <c r="H5184" s="26">
        <v>48</v>
      </c>
      <c r="I5184" s="24" t="s">
        <v>29</v>
      </c>
      <c r="J5184" s="36">
        <v>45768</v>
      </c>
      <c r="K5184" s="24" t="s">
        <v>22</v>
      </c>
    </row>
    <row r="5185" spans="1:11" x14ac:dyDescent="0.2">
      <c r="A5185" s="27" t="s">
        <v>12384</v>
      </c>
      <c r="B5185" s="27" t="s">
        <v>12385</v>
      </c>
      <c r="C5185" s="27" t="s">
        <v>3239</v>
      </c>
      <c r="D5185" s="27" t="s">
        <v>17</v>
      </c>
      <c r="E5185" s="27" t="s">
        <v>18</v>
      </c>
      <c r="F5185" s="27" t="s">
        <v>19</v>
      </c>
      <c r="G5185" s="27" t="s">
        <v>217</v>
      </c>
      <c r="H5185" s="29">
        <v>6</v>
      </c>
      <c r="I5185" s="27" t="s">
        <v>29</v>
      </c>
      <c r="J5185" s="37">
        <v>45748</v>
      </c>
      <c r="K5185" s="27" t="s">
        <v>22</v>
      </c>
    </row>
    <row r="5186" spans="1:11" x14ac:dyDescent="0.2">
      <c r="A5186" s="24" t="s">
        <v>12386</v>
      </c>
      <c r="B5186" s="24" t="s">
        <v>12387</v>
      </c>
      <c r="C5186" s="24" t="s">
        <v>91</v>
      </c>
      <c r="D5186" s="24" t="s">
        <v>17</v>
      </c>
      <c r="E5186" s="24" t="s">
        <v>42</v>
      </c>
      <c r="F5186" s="24" t="s">
        <v>43</v>
      </c>
      <c r="G5186" s="24" t="s">
        <v>28</v>
      </c>
      <c r="H5186" s="26">
        <v>350</v>
      </c>
      <c r="I5186" s="24" t="s">
        <v>29</v>
      </c>
      <c r="J5186" s="36">
        <v>45750</v>
      </c>
      <c r="K5186" s="24" t="s">
        <v>22</v>
      </c>
    </row>
    <row r="5187" spans="1:11" x14ac:dyDescent="0.2">
      <c r="A5187" s="27" t="s">
        <v>12388</v>
      </c>
      <c r="B5187" s="27" t="s">
        <v>12389</v>
      </c>
      <c r="C5187" s="27" t="s">
        <v>2515</v>
      </c>
      <c r="D5187" s="27" t="s">
        <v>17</v>
      </c>
      <c r="E5187" s="27" t="s">
        <v>48</v>
      </c>
      <c r="F5187" s="27" t="s">
        <v>49</v>
      </c>
      <c r="G5187" s="27" t="s">
        <v>217</v>
      </c>
      <c r="H5187" s="29">
        <v>150</v>
      </c>
      <c r="I5187" s="27" t="s">
        <v>29</v>
      </c>
      <c r="J5187" s="37">
        <v>45748</v>
      </c>
      <c r="K5187" s="27" t="s">
        <v>22</v>
      </c>
    </row>
    <row r="5188" spans="1:11" x14ac:dyDescent="0.2">
      <c r="A5188" s="24" t="s">
        <v>12390</v>
      </c>
      <c r="B5188" s="24" t="s">
        <v>12391</v>
      </c>
      <c r="C5188" s="24" t="s">
        <v>4536</v>
      </c>
      <c r="D5188" s="24" t="s">
        <v>17</v>
      </c>
      <c r="E5188" s="24" t="s">
        <v>42</v>
      </c>
      <c r="F5188" s="24" t="s">
        <v>43</v>
      </c>
      <c r="G5188" s="24" t="s">
        <v>227</v>
      </c>
      <c r="H5188" s="26">
        <v>125</v>
      </c>
      <c r="I5188" s="24" t="s">
        <v>29</v>
      </c>
      <c r="J5188" s="36">
        <v>45769</v>
      </c>
      <c r="K5188" s="24" t="s">
        <v>22</v>
      </c>
    </row>
    <row r="5189" spans="1:11" x14ac:dyDescent="0.2">
      <c r="A5189" s="27" t="s">
        <v>12392</v>
      </c>
      <c r="B5189" s="27" t="s">
        <v>12393</v>
      </c>
      <c r="C5189" s="27" t="s">
        <v>1663</v>
      </c>
      <c r="D5189" s="27" t="s">
        <v>17</v>
      </c>
      <c r="E5189" s="27" t="s">
        <v>42</v>
      </c>
      <c r="F5189" s="27" t="s">
        <v>43</v>
      </c>
      <c r="G5189" s="27" t="s">
        <v>217</v>
      </c>
      <c r="H5189" s="29">
        <v>772</v>
      </c>
      <c r="I5189" s="27" t="s">
        <v>29</v>
      </c>
      <c r="J5189" s="37">
        <v>45774</v>
      </c>
      <c r="K5189" s="27" t="s">
        <v>22</v>
      </c>
    </row>
    <row r="5190" spans="1:11" x14ac:dyDescent="0.2">
      <c r="A5190" s="24" t="s">
        <v>12394</v>
      </c>
      <c r="B5190" s="24" t="s">
        <v>12395</v>
      </c>
      <c r="C5190" s="24" t="s">
        <v>12396</v>
      </c>
      <c r="D5190" s="24" t="s">
        <v>17</v>
      </c>
      <c r="E5190" s="24" t="s">
        <v>18</v>
      </c>
      <c r="F5190" s="24" t="s">
        <v>19</v>
      </c>
      <c r="G5190" s="24" t="s">
        <v>28</v>
      </c>
      <c r="H5190" s="26">
        <v>40</v>
      </c>
      <c r="I5190" s="24" t="s">
        <v>29</v>
      </c>
      <c r="J5190" s="36">
        <v>45749</v>
      </c>
      <c r="K5190" s="24" t="s">
        <v>22</v>
      </c>
    </row>
    <row r="5191" spans="1:11" x14ac:dyDescent="0.2">
      <c r="A5191" s="27" t="s">
        <v>12397</v>
      </c>
      <c r="B5191" s="27" t="s">
        <v>12398</v>
      </c>
      <c r="C5191" s="27" t="s">
        <v>11724</v>
      </c>
      <c r="D5191" s="27" t="s">
        <v>17</v>
      </c>
      <c r="E5191" s="27" t="s">
        <v>18</v>
      </c>
      <c r="F5191" s="27" t="s">
        <v>19</v>
      </c>
      <c r="G5191" s="27" t="s">
        <v>28</v>
      </c>
      <c r="H5191" s="29">
        <v>100</v>
      </c>
      <c r="I5191" s="27" t="s">
        <v>29</v>
      </c>
      <c r="J5191" s="37">
        <v>45771</v>
      </c>
      <c r="K5191" s="27" t="s">
        <v>22</v>
      </c>
    </row>
    <row r="5192" spans="1:11" x14ac:dyDescent="0.2">
      <c r="A5192" s="24" t="s">
        <v>12399</v>
      </c>
      <c r="B5192" s="24" t="s">
        <v>12400</v>
      </c>
      <c r="C5192" s="24" t="s">
        <v>8254</v>
      </c>
      <c r="D5192" s="24" t="s">
        <v>17</v>
      </c>
      <c r="E5192" s="24" t="s">
        <v>26</v>
      </c>
      <c r="F5192" s="24" t="s">
        <v>27</v>
      </c>
      <c r="G5192" s="24" t="s">
        <v>28</v>
      </c>
      <c r="H5192" s="26">
        <v>132</v>
      </c>
      <c r="I5192" s="24" t="s">
        <v>29</v>
      </c>
      <c r="J5192" s="36">
        <v>45758</v>
      </c>
      <c r="K5192" s="24" t="s">
        <v>22</v>
      </c>
    </row>
    <row r="5193" spans="1:11" x14ac:dyDescent="0.2">
      <c r="A5193" s="27" t="s">
        <v>12401</v>
      </c>
      <c r="B5193" s="27" t="s">
        <v>12402</v>
      </c>
      <c r="C5193" s="27" t="s">
        <v>844</v>
      </c>
      <c r="D5193" s="27" t="s">
        <v>17</v>
      </c>
      <c r="E5193" s="27" t="s">
        <v>48</v>
      </c>
      <c r="F5193" s="27" t="s">
        <v>49</v>
      </c>
      <c r="G5193" s="27" t="s">
        <v>227</v>
      </c>
      <c r="H5193" s="29">
        <v>184</v>
      </c>
      <c r="I5193" s="27" t="s">
        <v>29</v>
      </c>
      <c r="J5193" s="37">
        <v>45756</v>
      </c>
      <c r="K5193" s="27" t="s">
        <v>22</v>
      </c>
    </row>
    <row r="5194" spans="1:11" x14ac:dyDescent="0.2">
      <c r="A5194" s="24" t="s">
        <v>12403</v>
      </c>
      <c r="B5194" s="24" t="s">
        <v>12404</v>
      </c>
      <c r="C5194" s="24" t="s">
        <v>2515</v>
      </c>
      <c r="D5194" s="24" t="s">
        <v>17</v>
      </c>
      <c r="E5194" s="24" t="s">
        <v>42</v>
      </c>
      <c r="F5194" s="24" t="s">
        <v>43</v>
      </c>
      <c r="G5194" s="24" t="s">
        <v>217</v>
      </c>
      <c r="H5194" s="26">
        <v>166</v>
      </c>
      <c r="I5194" s="24" t="s">
        <v>29</v>
      </c>
      <c r="J5194" s="36">
        <v>45748</v>
      </c>
      <c r="K5194" s="24" t="s">
        <v>22</v>
      </c>
    </row>
    <row r="5195" spans="1:11" x14ac:dyDescent="0.2">
      <c r="A5195" s="27" t="s">
        <v>12405</v>
      </c>
      <c r="B5195" s="27" t="s">
        <v>12406</v>
      </c>
      <c r="C5195" s="27" t="s">
        <v>12407</v>
      </c>
      <c r="D5195" s="27" t="s">
        <v>17</v>
      </c>
      <c r="E5195" s="27" t="s">
        <v>42</v>
      </c>
      <c r="F5195" s="27" t="s">
        <v>43</v>
      </c>
      <c r="G5195" s="27" t="s">
        <v>227</v>
      </c>
      <c r="H5195" s="29">
        <v>615</v>
      </c>
      <c r="I5195" s="27" t="s">
        <v>29</v>
      </c>
      <c r="J5195" s="37">
        <v>45756</v>
      </c>
      <c r="K5195" s="27" t="s">
        <v>22</v>
      </c>
    </row>
    <row r="5196" spans="1:11" x14ac:dyDescent="0.2">
      <c r="A5196" s="24" t="s">
        <v>12408</v>
      </c>
      <c r="B5196" s="24" t="s">
        <v>12409</v>
      </c>
      <c r="C5196" s="24" t="s">
        <v>9361</v>
      </c>
      <c r="D5196" s="24" t="s">
        <v>17</v>
      </c>
      <c r="E5196" s="24" t="s">
        <v>42</v>
      </c>
      <c r="F5196" s="24" t="s">
        <v>43</v>
      </c>
      <c r="G5196" s="24" t="s">
        <v>44</v>
      </c>
      <c r="H5196" s="26">
        <v>149</v>
      </c>
      <c r="I5196" s="24" t="s">
        <v>21</v>
      </c>
      <c r="J5196" s="36">
        <v>45761</v>
      </c>
      <c r="K5196" s="24" t="s">
        <v>22</v>
      </c>
    </row>
    <row r="5197" spans="1:11" x14ac:dyDescent="0.2">
      <c r="A5197" s="27" t="s">
        <v>12410</v>
      </c>
      <c r="B5197" s="27" t="s">
        <v>12411</v>
      </c>
      <c r="C5197" s="27" t="s">
        <v>388</v>
      </c>
      <c r="D5197" s="27" t="s">
        <v>17</v>
      </c>
      <c r="E5197" s="27" t="s">
        <v>42</v>
      </c>
      <c r="F5197" s="27" t="s">
        <v>43</v>
      </c>
      <c r="G5197" s="27" t="s">
        <v>20</v>
      </c>
      <c r="H5197" s="29">
        <v>80</v>
      </c>
      <c r="I5197" s="27" t="s">
        <v>21</v>
      </c>
      <c r="J5197" s="37">
        <v>45772</v>
      </c>
      <c r="K5197" s="27" t="s">
        <v>22</v>
      </c>
    </row>
    <row r="5198" spans="1:11" x14ac:dyDescent="0.2">
      <c r="A5198" s="24" t="s">
        <v>12412</v>
      </c>
      <c r="B5198" s="24" t="s">
        <v>12413</v>
      </c>
      <c r="C5198" s="24" t="s">
        <v>11610</v>
      </c>
      <c r="D5198" s="24" t="s">
        <v>17</v>
      </c>
      <c r="E5198" s="24" t="s">
        <v>42</v>
      </c>
      <c r="F5198" s="24" t="s">
        <v>43</v>
      </c>
      <c r="G5198" s="24" t="s">
        <v>28</v>
      </c>
      <c r="H5198" s="26">
        <v>360</v>
      </c>
      <c r="I5198" s="24" t="s">
        <v>29</v>
      </c>
      <c r="J5198" s="36">
        <v>45750</v>
      </c>
      <c r="K5198" s="24" t="s">
        <v>22</v>
      </c>
    </row>
    <row r="5199" spans="1:11" x14ac:dyDescent="0.2">
      <c r="A5199" s="27" t="s">
        <v>12414</v>
      </c>
      <c r="B5199" s="27" t="s">
        <v>12415</v>
      </c>
      <c r="C5199" s="27" t="s">
        <v>301</v>
      </c>
      <c r="D5199" s="27" t="s">
        <v>17</v>
      </c>
      <c r="E5199" s="27" t="s">
        <v>42</v>
      </c>
      <c r="F5199" s="27" t="s">
        <v>43</v>
      </c>
      <c r="G5199" s="27" t="s">
        <v>44</v>
      </c>
      <c r="H5199" s="29">
        <v>752</v>
      </c>
      <c r="I5199" s="27" t="s">
        <v>21</v>
      </c>
      <c r="J5199" s="37">
        <v>45762</v>
      </c>
      <c r="K5199" s="27" t="s">
        <v>22</v>
      </c>
    </row>
    <row r="5200" spans="1:11" x14ac:dyDescent="0.2">
      <c r="A5200" s="24" t="s">
        <v>12416</v>
      </c>
      <c r="B5200" s="24" t="s">
        <v>12417</v>
      </c>
      <c r="C5200" s="24" t="s">
        <v>12418</v>
      </c>
      <c r="D5200" s="24" t="s">
        <v>17</v>
      </c>
      <c r="E5200" s="24" t="s">
        <v>18</v>
      </c>
      <c r="F5200" s="24" t="s">
        <v>19</v>
      </c>
      <c r="G5200" s="24" t="s">
        <v>28</v>
      </c>
      <c r="H5200" s="26">
        <v>40</v>
      </c>
      <c r="I5200" s="24" t="s">
        <v>29</v>
      </c>
      <c r="J5200" s="36">
        <v>45761</v>
      </c>
      <c r="K5200" s="24" t="s">
        <v>22</v>
      </c>
    </row>
    <row r="5201" spans="1:11" x14ac:dyDescent="0.2">
      <c r="A5201" s="27" t="s">
        <v>12419</v>
      </c>
      <c r="B5201" s="27" t="s">
        <v>12420</v>
      </c>
      <c r="C5201" s="27" t="s">
        <v>5939</v>
      </c>
      <c r="D5201" s="27" t="s">
        <v>17</v>
      </c>
      <c r="E5201" s="27" t="s">
        <v>18</v>
      </c>
      <c r="F5201" s="27" t="s">
        <v>19</v>
      </c>
      <c r="G5201" s="27" t="s">
        <v>227</v>
      </c>
      <c r="H5201" s="29">
        <v>54</v>
      </c>
      <c r="I5201" s="27" t="s">
        <v>29</v>
      </c>
      <c r="J5201" s="37">
        <v>45768</v>
      </c>
      <c r="K5201" s="27" t="s">
        <v>22</v>
      </c>
    </row>
    <row r="5202" spans="1:11" x14ac:dyDescent="0.2">
      <c r="A5202" s="24" t="s">
        <v>12421</v>
      </c>
      <c r="B5202" s="24" t="s">
        <v>12422</v>
      </c>
      <c r="C5202" s="24" t="s">
        <v>185</v>
      </c>
      <c r="D5202" s="24" t="s">
        <v>17</v>
      </c>
      <c r="E5202" s="24" t="s">
        <v>18</v>
      </c>
      <c r="F5202" s="24" t="s">
        <v>19</v>
      </c>
      <c r="G5202" s="24" t="s">
        <v>28</v>
      </c>
      <c r="H5202" s="26">
        <v>144</v>
      </c>
      <c r="I5202" s="24" t="s">
        <v>29</v>
      </c>
      <c r="J5202" s="36">
        <v>45763</v>
      </c>
      <c r="K5202" s="24" t="s">
        <v>22</v>
      </c>
    </row>
    <row r="5203" spans="1:11" x14ac:dyDescent="0.2">
      <c r="A5203" s="27" t="s">
        <v>12423</v>
      </c>
      <c r="B5203" s="27" t="s">
        <v>12424</v>
      </c>
      <c r="C5203" s="27" t="s">
        <v>85</v>
      </c>
      <c r="D5203" s="27" t="s">
        <v>17</v>
      </c>
      <c r="E5203" s="27" t="s">
        <v>18</v>
      </c>
      <c r="F5203" s="27" t="s">
        <v>19</v>
      </c>
      <c r="G5203" s="27" t="s">
        <v>28</v>
      </c>
      <c r="H5203" s="29">
        <v>232</v>
      </c>
      <c r="I5203" s="27" t="s">
        <v>29</v>
      </c>
      <c r="J5203" s="37">
        <v>45761</v>
      </c>
      <c r="K5203" s="27" t="s">
        <v>22</v>
      </c>
    </row>
    <row r="5204" spans="1:11" x14ac:dyDescent="0.2">
      <c r="A5204" s="24" t="s">
        <v>12425</v>
      </c>
      <c r="B5204" s="24" t="s">
        <v>12426</v>
      </c>
      <c r="C5204" s="24" t="s">
        <v>12427</v>
      </c>
      <c r="D5204" s="24" t="s">
        <v>17</v>
      </c>
      <c r="E5204" s="24" t="s">
        <v>18</v>
      </c>
      <c r="F5204" s="24" t="s">
        <v>19</v>
      </c>
      <c r="G5204" s="24" t="s">
        <v>28</v>
      </c>
      <c r="H5204" s="26">
        <v>18</v>
      </c>
      <c r="I5204" s="24" t="s">
        <v>29</v>
      </c>
      <c r="J5204" s="36">
        <v>45754</v>
      </c>
      <c r="K5204" s="24" t="s">
        <v>22</v>
      </c>
    </row>
    <row r="5205" spans="1:11" x14ac:dyDescent="0.2">
      <c r="A5205" s="27" t="s">
        <v>12428</v>
      </c>
      <c r="B5205" s="27" t="s">
        <v>12429</v>
      </c>
      <c r="C5205" s="27" t="s">
        <v>71</v>
      </c>
      <c r="D5205" s="27" t="s">
        <v>17</v>
      </c>
      <c r="E5205" s="27" t="s">
        <v>18</v>
      </c>
      <c r="F5205" s="27" t="s">
        <v>19</v>
      </c>
      <c r="G5205" s="27" t="s">
        <v>217</v>
      </c>
      <c r="H5205" s="29">
        <v>149</v>
      </c>
      <c r="I5205" s="27" t="s">
        <v>29</v>
      </c>
      <c r="J5205" s="37">
        <v>45748</v>
      </c>
      <c r="K5205" s="27" t="s">
        <v>22</v>
      </c>
    </row>
    <row r="5206" spans="1:11" x14ac:dyDescent="0.2">
      <c r="A5206" s="24" t="s">
        <v>12430</v>
      </c>
      <c r="B5206" s="24" t="s">
        <v>12431</v>
      </c>
      <c r="C5206" s="24" t="s">
        <v>4090</v>
      </c>
      <c r="D5206" s="24" t="s">
        <v>17</v>
      </c>
      <c r="E5206" s="24" t="s">
        <v>48</v>
      </c>
      <c r="F5206" s="24" t="s">
        <v>49</v>
      </c>
      <c r="G5206" s="24" t="s">
        <v>28</v>
      </c>
      <c r="H5206" s="26">
        <v>270</v>
      </c>
      <c r="I5206" s="24" t="s">
        <v>29</v>
      </c>
      <c r="J5206" s="36">
        <v>45758</v>
      </c>
      <c r="K5206" s="24" t="s">
        <v>22</v>
      </c>
    </row>
    <row r="5207" spans="1:11" x14ac:dyDescent="0.2">
      <c r="A5207" s="27" t="s">
        <v>12432</v>
      </c>
      <c r="B5207" s="27" t="s">
        <v>12433</v>
      </c>
      <c r="C5207" s="27" t="s">
        <v>9644</v>
      </c>
      <c r="D5207" s="27" t="s">
        <v>17</v>
      </c>
      <c r="E5207" s="27" t="s">
        <v>48</v>
      </c>
      <c r="F5207" s="27" t="s">
        <v>49</v>
      </c>
      <c r="G5207" s="27" t="s">
        <v>20</v>
      </c>
      <c r="H5207" s="29">
        <v>70</v>
      </c>
      <c r="I5207" s="27" t="s">
        <v>21</v>
      </c>
      <c r="J5207" s="37">
        <v>45762</v>
      </c>
      <c r="K5207" s="27" t="s">
        <v>22</v>
      </c>
    </row>
    <row r="5208" spans="1:11" x14ac:dyDescent="0.2">
      <c r="A5208" s="24" t="s">
        <v>12434</v>
      </c>
      <c r="B5208" s="24" t="s">
        <v>12435</v>
      </c>
      <c r="C5208" s="24" t="s">
        <v>6184</v>
      </c>
      <c r="D5208" s="24" t="s">
        <v>17</v>
      </c>
      <c r="E5208" s="24" t="s">
        <v>33</v>
      </c>
      <c r="F5208" s="24" t="s">
        <v>34</v>
      </c>
      <c r="G5208" s="24" t="s">
        <v>44</v>
      </c>
      <c r="H5208" s="26">
        <v>1054</v>
      </c>
      <c r="I5208" s="24" t="s">
        <v>21</v>
      </c>
      <c r="J5208" s="36">
        <v>45763</v>
      </c>
      <c r="K5208" s="24" t="s">
        <v>22</v>
      </c>
    </row>
    <row r="5209" spans="1:11" x14ac:dyDescent="0.2">
      <c r="A5209" s="27" t="s">
        <v>12436</v>
      </c>
      <c r="B5209" s="27" t="s">
        <v>12437</v>
      </c>
      <c r="C5209" s="27" t="s">
        <v>146</v>
      </c>
      <c r="D5209" s="27" t="s">
        <v>17</v>
      </c>
      <c r="E5209" s="27" t="s">
        <v>42</v>
      </c>
      <c r="F5209" s="27" t="s">
        <v>43</v>
      </c>
      <c r="G5209" s="27" t="s">
        <v>28</v>
      </c>
      <c r="H5209" s="29">
        <v>900</v>
      </c>
      <c r="I5209" s="27" t="s">
        <v>29</v>
      </c>
      <c r="J5209" s="37">
        <v>45764</v>
      </c>
      <c r="K5209" s="27" t="s">
        <v>22</v>
      </c>
    </row>
    <row r="5210" spans="1:11" x14ac:dyDescent="0.2">
      <c r="A5210" s="24" t="s">
        <v>12438</v>
      </c>
      <c r="B5210" s="24" t="s">
        <v>12439</v>
      </c>
      <c r="C5210" s="24" t="s">
        <v>146</v>
      </c>
      <c r="D5210" s="24" t="s">
        <v>17</v>
      </c>
      <c r="E5210" s="24" t="s">
        <v>81</v>
      </c>
      <c r="F5210" s="24" t="s">
        <v>82</v>
      </c>
      <c r="G5210" s="24" t="s">
        <v>217</v>
      </c>
      <c r="H5210" s="26">
        <v>67</v>
      </c>
      <c r="I5210" s="24" t="s">
        <v>29</v>
      </c>
      <c r="J5210" s="36">
        <v>45769</v>
      </c>
      <c r="K5210" s="24" t="s">
        <v>22</v>
      </c>
    </row>
    <row r="5211" spans="1:11" x14ac:dyDescent="0.2">
      <c r="A5211" s="27" t="s">
        <v>12440</v>
      </c>
      <c r="B5211" s="27" t="s">
        <v>12441</v>
      </c>
      <c r="C5211" s="27" t="s">
        <v>239</v>
      </c>
      <c r="D5211" s="27" t="s">
        <v>17</v>
      </c>
      <c r="E5211" s="27" t="s">
        <v>48</v>
      </c>
      <c r="F5211" s="27" t="s">
        <v>49</v>
      </c>
      <c r="G5211" s="27" t="s">
        <v>28</v>
      </c>
      <c r="H5211" s="29">
        <v>60</v>
      </c>
      <c r="I5211" s="27" t="s">
        <v>29</v>
      </c>
      <c r="J5211" s="37">
        <v>45755</v>
      </c>
      <c r="K5211" s="27" t="s">
        <v>22</v>
      </c>
    </row>
    <row r="5212" spans="1:11" x14ac:dyDescent="0.2">
      <c r="A5212" s="24" t="s">
        <v>12442</v>
      </c>
      <c r="B5212" s="24" t="s">
        <v>12443</v>
      </c>
      <c r="C5212" s="24" t="s">
        <v>2550</v>
      </c>
      <c r="D5212" s="24" t="s">
        <v>17</v>
      </c>
      <c r="E5212" s="24" t="s">
        <v>18</v>
      </c>
      <c r="F5212" s="24" t="s">
        <v>19</v>
      </c>
      <c r="G5212" s="24" t="s">
        <v>20</v>
      </c>
      <c r="H5212" s="26">
        <v>38</v>
      </c>
      <c r="I5212" s="24" t="s">
        <v>21</v>
      </c>
      <c r="J5212" s="36">
        <v>45755</v>
      </c>
      <c r="K5212" s="24" t="s">
        <v>22</v>
      </c>
    </row>
    <row r="5213" spans="1:11" x14ac:dyDescent="0.2">
      <c r="A5213" s="27" t="s">
        <v>12444</v>
      </c>
      <c r="B5213" s="27" t="s">
        <v>12445</v>
      </c>
      <c r="C5213" s="27" t="s">
        <v>12446</v>
      </c>
      <c r="D5213" s="27" t="s">
        <v>17</v>
      </c>
      <c r="E5213" s="27" t="s">
        <v>33</v>
      </c>
      <c r="F5213" s="27" t="s">
        <v>34</v>
      </c>
      <c r="G5213" s="27" t="s">
        <v>227</v>
      </c>
      <c r="H5213" s="29">
        <v>24</v>
      </c>
      <c r="I5213" s="27" t="s">
        <v>29</v>
      </c>
      <c r="J5213" s="37">
        <v>45769</v>
      </c>
      <c r="K5213" s="27" t="s">
        <v>22</v>
      </c>
    </row>
    <row r="5214" spans="1:11" x14ac:dyDescent="0.2">
      <c r="A5214" s="24" t="s">
        <v>12447</v>
      </c>
      <c r="B5214" s="24" t="s">
        <v>12448</v>
      </c>
      <c r="C5214" s="24" t="s">
        <v>12449</v>
      </c>
      <c r="D5214" s="24" t="s">
        <v>17</v>
      </c>
      <c r="E5214" s="24" t="s">
        <v>18</v>
      </c>
      <c r="F5214" s="24" t="s">
        <v>19</v>
      </c>
      <c r="G5214" s="24" t="s">
        <v>28</v>
      </c>
      <c r="H5214" s="26">
        <v>32</v>
      </c>
      <c r="I5214" s="24" t="s">
        <v>29</v>
      </c>
      <c r="J5214" s="36">
        <v>45758</v>
      </c>
      <c r="K5214" s="24" t="s">
        <v>22</v>
      </c>
    </row>
    <row r="5215" spans="1:11" x14ac:dyDescent="0.2">
      <c r="A5215" s="27" t="s">
        <v>12450</v>
      </c>
      <c r="B5215" s="27" t="s">
        <v>12451</v>
      </c>
      <c r="C5215" s="27" t="s">
        <v>3176</v>
      </c>
      <c r="D5215" s="27" t="s">
        <v>17</v>
      </c>
      <c r="E5215" s="27" t="s">
        <v>48</v>
      </c>
      <c r="F5215" s="27" t="s">
        <v>49</v>
      </c>
      <c r="G5215" s="27" t="s">
        <v>28</v>
      </c>
      <c r="H5215" s="29">
        <v>340</v>
      </c>
      <c r="I5215" s="27" t="s">
        <v>29</v>
      </c>
      <c r="J5215" s="37">
        <v>45764</v>
      </c>
      <c r="K5215" s="27" t="s">
        <v>22</v>
      </c>
    </row>
    <row r="5216" spans="1:11" x14ac:dyDescent="0.2">
      <c r="A5216" s="24" t="s">
        <v>12452</v>
      </c>
      <c r="B5216" s="24" t="s">
        <v>12453</v>
      </c>
      <c r="C5216" s="24" t="s">
        <v>12454</v>
      </c>
      <c r="D5216" s="24" t="s">
        <v>17</v>
      </c>
      <c r="E5216" s="24" t="s">
        <v>48</v>
      </c>
      <c r="F5216" s="24" t="s">
        <v>49</v>
      </c>
      <c r="G5216" s="24" t="s">
        <v>28</v>
      </c>
      <c r="H5216" s="26">
        <v>40</v>
      </c>
      <c r="I5216" s="24" t="s">
        <v>29</v>
      </c>
      <c r="J5216" s="36">
        <v>45777</v>
      </c>
      <c r="K5216" s="24" t="s">
        <v>22</v>
      </c>
    </row>
    <row r="5217" spans="1:11" x14ac:dyDescent="0.2">
      <c r="A5217" s="27" t="s">
        <v>12455</v>
      </c>
      <c r="B5217" s="27" t="s">
        <v>12456</v>
      </c>
      <c r="C5217" s="27" t="s">
        <v>251</v>
      </c>
      <c r="D5217" s="27" t="s">
        <v>17</v>
      </c>
      <c r="E5217" s="27" t="s">
        <v>42</v>
      </c>
      <c r="F5217" s="27" t="s">
        <v>43</v>
      </c>
      <c r="G5217" s="27" t="s">
        <v>28</v>
      </c>
      <c r="H5217" s="29">
        <v>340</v>
      </c>
      <c r="I5217" s="27" t="s">
        <v>29</v>
      </c>
      <c r="J5217" s="37">
        <v>45777</v>
      </c>
      <c r="K5217" s="27" t="s">
        <v>22</v>
      </c>
    </row>
    <row r="5218" spans="1:11" x14ac:dyDescent="0.2">
      <c r="A5218" s="24" t="s">
        <v>12457</v>
      </c>
      <c r="B5218" s="24" t="s">
        <v>12458</v>
      </c>
      <c r="C5218" s="24" t="s">
        <v>1938</v>
      </c>
      <c r="D5218" s="24" t="s">
        <v>17</v>
      </c>
      <c r="E5218" s="24" t="s">
        <v>26</v>
      </c>
      <c r="F5218" s="24" t="s">
        <v>27</v>
      </c>
      <c r="G5218" s="24" t="s">
        <v>217</v>
      </c>
      <c r="H5218" s="26">
        <v>260</v>
      </c>
      <c r="I5218" s="24" t="s">
        <v>29</v>
      </c>
      <c r="J5218" s="36">
        <v>45762</v>
      </c>
      <c r="K5218" s="24" t="s">
        <v>22</v>
      </c>
    </row>
    <row r="5219" spans="1:11" x14ac:dyDescent="0.2">
      <c r="A5219" s="27" t="s">
        <v>12459</v>
      </c>
      <c r="B5219" s="27" t="s">
        <v>12460</v>
      </c>
      <c r="C5219" s="27" t="s">
        <v>2015</v>
      </c>
      <c r="D5219" s="27" t="s">
        <v>17</v>
      </c>
      <c r="E5219" s="27" t="s">
        <v>42</v>
      </c>
      <c r="F5219" s="27" t="s">
        <v>43</v>
      </c>
      <c r="G5219" s="27" t="s">
        <v>20</v>
      </c>
      <c r="H5219" s="29">
        <v>184</v>
      </c>
      <c r="I5219" s="27" t="s">
        <v>21</v>
      </c>
      <c r="J5219" s="37">
        <v>45768</v>
      </c>
      <c r="K5219" s="27" t="s">
        <v>22</v>
      </c>
    </row>
    <row r="5220" spans="1:11" x14ac:dyDescent="0.2">
      <c r="A5220" s="24" t="s">
        <v>12461</v>
      </c>
      <c r="B5220" s="24" t="s">
        <v>12462</v>
      </c>
      <c r="C5220" s="24" t="s">
        <v>91</v>
      </c>
      <c r="D5220" s="24" t="s">
        <v>17</v>
      </c>
      <c r="E5220" s="24" t="s">
        <v>48</v>
      </c>
      <c r="F5220" s="24" t="s">
        <v>49</v>
      </c>
      <c r="G5220" s="24" t="s">
        <v>217</v>
      </c>
      <c r="H5220" s="26">
        <v>150</v>
      </c>
      <c r="I5220" s="24" t="s">
        <v>29</v>
      </c>
      <c r="J5220" s="36">
        <v>45748</v>
      </c>
      <c r="K5220" s="24" t="s">
        <v>22</v>
      </c>
    </row>
    <row r="5221" spans="1:11" x14ac:dyDescent="0.2">
      <c r="A5221" s="27" t="s">
        <v>12463</v>
      </c>
      <c r="B5221" s="27" t="s">
        <v>12464</v>
      </c>
      <c r="C5221" s="27" t="s">
        <v>97</v>
      </c>
      <c r="D5221" s="27" t="s">
        <v>17</v>
      </c>
      <c r="E5221" s="27" t="s">
        <v>26</v>
      </c>
      <c r="F5221" s="27" t="s">
        <v>27</v>
      </c>
      <c r="G5221" s="27" t="s">
        <v>28</v>
      </c>
      <c r="H5221" s="29">
        <v>117</v>
      </c>
      <c r="I5221" s="27" t="s">
        <v>29</v>
      </c>
      <c r="J5221" s="37">
        <v>45776</v>
      </c>
      <c r="K5221" s="27" t="s">
        <v>22</v>
      </c>
    </row>
    <row r="5222" spans="1:11" x14ac:dyDescent="0.2">
      <c r="A5222" s="24" t="s">
        <v>12465</v>
      </c>
      <c r="B5222" s="24" t="s">
        <v>12466</v>
      </c>
      <c r="C5222" s="24" t="s">
        <v>97</v>
      </c>
      <c r="D5222" s="24" t="s">
        <v>17</v>
      </c>
      <c r="E5222" s="24" t="s">
        <v>18</v>
      </c>
      <c r="F5222" s="24" t="s">
        <v>19</v>
      </c>
      <c r="G5222" s="24" t="s">
        <v>28</v>
      </c>
      <c r="H5222" s="26">
        <v>8</v>
      </c>
      <c r="I5222" s="24" t="s">
        <v>29</v>
      </c>
      <c r="J5222" s="36">
        <v>45749</v>
      </c>
      <c r="K5222" s="24" t="s">
        <v>22</v>
      </c>
    </row>
    <row r="5223" spans="1:11" x14ac:dyDescent="0.2">
      <c r="A5223" s="27" t="s">
        <v>12467</v>
      </c>
      <c r="B5223" s="27" t="s">
        <v>12468</v>
      </c>
      <c r="C5223" s="27" t="s">
        <v>500</v>
      </c>
      <c r="D5223" s="27" t="s">
        <v>17</v>
      </c>
      <c r="E5223" s="27" t="s">
        <v>18</v>
      </c>
      <c r="F5223" s="27" t="s">
        <v>19</v>
      </c>
      <c r="G5223" s="27" t="s">
        <v>20</v>
      </c>
      <c r="H5223" s="29">
        <v>42</v>
      </c>
      <c r="I5223" s="27" t="s">
        <v>21</v>
      </c>
      <c r="J5223" s="37">
        <v>45777</v>
      </c>
      <c r="K5223" s="27" t="s">
        <v>22</v>
      </c>
    </row>
    <row r="5224" spans="1:11" x14ac:dyDescent="0.2">
      <c r="A5224" s="24" t="s">
        <v>12469</v>
      </c>
      <c r="B5224" s="24" t="s">
        <v>12470</v>
      </c>
      <c r="C5224" s="24" t="s">
        <v>12471</v>
      </c>
      <c r="D5224" s="24" t="s">
        <v>17</v>
      </c>
      <c r="E5224" s="24" t="s">
        <v>48</v>
      </c>
      <c r="F5224" s="24" t="s">
        <v>49</v>
      </c>
      <c r="G5224" s="24" t="s">
        <v>28</v>
      </c>
      <c r="H5224" s="26">
        <v>120</v>
      </c>
      <c r="I5224" s="24" t="s">
        <v>29</v>
      </c>
      <c r="J5224" s="36">
        <v>45775</v>
      </c>
      <c r="K5224" s="24" t="s">
        <v>22</v>
      </c>
    </row>
    <row r="5225" spans="1:11" x14ac:dyDescent="0.2">
      <c r="A5225" s="27" t="s">
        <v>12472</v>
      </c>
      <c r="B5225" s="27" t="s">
        <v>12473</v>
      </c>
      <c r="C5225" s="27" t="s">
        <v>12474</v>
      </c>
      <c r="D5225" s="27" t="s">
        <v>17</v>
      </c>
      <c r="E5225" s="27" t="s">
        <v>26</v>
      </c>
      <c r="F5225" s="27" t="s">
        <v>27</v>
      </c>
      <c r="G5225" s="27" t="s">
        <v>28</v>
      </c>
      <c r="H5225" s="29">
        <v>220</v>
      </c>
      <c r="I5225" s="27" t="s">
        <v>29</v>
      </c>
      <c r="J5225" s="37">
        <v>45762</v>
      </c>
      <c r="K5225" s="27" t="s">
        <v>22</v>
      </c>
    </row>
    <row r="5226" spans="1:11" x14ac:dyDescent="0.2">
      <c r="A5226" s="24" t="s">
        <v>12475</v>
      </c>
      <c r="B5226" s="24" t="s">
        <v>12476</v>
      </c>
      <c r="C5226" s="24" t="s">
        <v>2669</v>
      </c>
      <c r="D5226" s="24" t="s">
        <v>17</v>
      </c>
      <c r="E5226" s="24" t="s">
        <v>18</v>
      </c>
      <c r="F5226" s="24" t="s">
        <v>19</v>
      </c>
      <c r="G5226" s="24" t="s">
        <v>44</v>
      </c>
      <c r="H5226" s="26">
        <v>40</v>
      </c>
      <c r="I5226" s="24" t="s">
        <v>21</v>
      </c>
      <c r="J5226" s="36">
        <v>45755</v>
      </c>
      <c r="K5226" s="24" t="s">
        <v>22</v>
      </c>
    </row>
    <row r="5227" spans="1:11" x14ac:dyDescent="0.2">
      <c r="A5227" s="27" t="s">
        <v>12477</v>
      </c>
      <c r="B5227" s="27" t="s">
        <v>12478</v>
      </c>
      <c r="C5227" s="27" t="s">
        <v>12479</v>
      </c>
      <c r="D5227" s="27" t="s">
        <v>17</v>
      </c>
      <c r="E5227" s="27" t="s">
        <v>48</v>
      </c>
      <c r="F5227" s="27" t="s">
        <v>49</v>
      </c>
      <c r="G5227" s="27" t="s">
        <v>28</v>
      </c>
      <c r="H5227" s="29">
        <v>32</v>
      </c>
      <c r="I5227" s="27" t="s">
        <v>29</v>
      </c>
      <c r="J5227" s="37">
        <v>45753</v>
      </c>
      <c r="K5227" s="27" t="s">
        <v>22</v>
      </c>
    </row>
    <row r="5228" spans="1:11" x14ac:dyDescent="0.2">
      <c r="A5228" s="24" t="s">
        <v>12480</v>
      </c>
      <c r="B5228" s="24" t="s">
        <v>12481</v>
      </c>
      <c r="C5228" s="24" t="s">
        <v>3475</v>
      </c>
      <c r="D5228" s="24" t="s">
        <v>17</v>
      </c>
      <c r="E5228" s="24" t="s">
        <v>18</v>
      </c>
      <c r="F5228" s="24" t="s">
        <v>19</v>
      </c>
      <c r="G5228" s="24" t="s">
        <v>217</v>
      </c>
      <c r="H5228" s="26">
        <v>13</v>
      </c>
      <c r="I5228" s="24" t="s">
        <v>29</v>
      </c>
      <c r="J5228" s="36">
        <v>45748</v>
      </c>
      <c r="K5228" s="24" t="s">
        <v>22</v>
      </c>
    </row>
    <row r="5229" spans="1:11" x14ac:dyDescent="0.2">
      <c r="A5229" s="27" t="s">
        <v>12482</v>
      </c>
      <c r="B5229" s="27" t="s">
        <v>12483</v>
      </c>
      <c r="C5229" s="27" t="s">
        <v>1931</v>
      </c>
      <c r="D5229" s="27" t="s">
        <v>17</v>
      </c>
      <c r="E5229" s="27" t="s">
        <v>18</v>
      </c>
      <c r="F5229" s="27" t="s">
        <v>19</v>
      </c>
      <c r="G5229" s="27" t="s">
        <v>20</v>
      </c>
      <c r="H5229" s="29">
        <v>37</v>
      </c>
      <c r="I5229" s="27" t="s">
        <v>21</v>
      </c>
      <c r="J5229" s="37">
        <v>45750</v>
      </c>
      <c r="K5229" s="27" t="s">
        <v>22</v>
      </c>
    </row>
    <row r="5230" spans="1:11" x14ac:dyDescent="0.2">
      <c r="A5230" s="24" t="s">
        <v>12484</v>
      </c>
      <c r="B5230" s="24" t="s">
        <v>12485</v>
      </c>
      <c r="C5230" s="24" t="s">
        <v>3512</v>
      </c>
      <c r="D5230" s="24" t="s">
        <v>17</v>
      </c>
      <c r="E5230" s="24" t="s">
        <v>42</v>
      </c>
      <c r="F5230" s="24" t="s">
        <v>43</v>
      </c>
      <c r="G5230" s="24" t="s">
        <v>28</v>
      </c>
      <c r="H5230" s="26">
        <v>144</v>
      </c>
      <c r="I5230" s="24" t="s">
        <v>29</v>
      </c>
      <c r="J5230" s="36">
        <v>45761</v>
      </c>
      <c r="K5230" s="24" t="s">
        <v>22</v>
      </c>
    </row>
    <row r="5231" spans="1:11" x14ac:dyDescent="0.2">
      <c r="A5231" s="27" t="s">
        <v>12486</v>
      </c>
      <c r="B5231" s="27" t="s">
        <v>12487</v>
      </c>
      <c r="C5231" s="27" t="s">
        <v>97</v>
      </c>
      <c r="D5231" s="27" t="s">
        <v>17</v>
      </c>
      <c r="E5231" s="27" t="s">
        <v>42</v>
      </c>
      <c r="F5231" s="27" t="s">
        <v>43</v>
      </c>
      <c r="G5231" s="27" t="s">
        <v>28</v>
      </c>
      <c r="H5231" s="29">
        <v>830</v>
      </c>
      <c r="I5231" s="27" t="s">
        <v>29</v>
      </c>
      <c r="J5231" s="37">
        <v>45757</v>
      </c>
      <c r="K5231" s="27" t="s">
        <v>22</v>
      </c>
    </row>
    <row r="5232" spans="1:11" x14ac:dyDescent="0.2">
      <c r="A5232" s="24" t="s">
        <v>12488</v>
      </c>
      <c r="B5232" s="24" t="s">
        <v>12489</v>
      </c>
      <c r="C5232" s="24" t="s">
        <v>8768</v>
      </c>
      <c r="D5232" s="24" t="s">
        <v>17</v>
      </c>
      <c r="E5232" s="24" t="s">
        <v>48</v>
      </c>
      <c r="F5232" s="24" t="s">
        <v>49</v>
      </c>
      <c r="G5232" s="24" t="s">
        <v>44</v>
      </c>
      <c r="H5232" s="26">
        <v>221</v>
      </c>
      <c r="I5232" s="24" t="s">
        <v>21</v>
      </c>
      <c r="J5232" s="36">
        <v>45769</v>
      </c>
      <c r="K5232" s="24" t="s">
        <v>22</v>
      </c>
    </row>
    <row r="5233" spans="1:11" x14ac:dyDescent="0.2">
      <c r="A5233" s="27" t="s">
        <v>12490</v>
      </c>
      <c r="B5233" s="27" t="s">
        <v>12491</v>
      </c>
      <c r="C5233" s="27" t="s">
        <v>12492</v>
      </c>
      <c r="D5233" s="27" t="s">
        <v>17</v>
      </c>
      <c r="E5233" s="27" t="s">
        <v>18</v>
      </c>
      <c r="F5233" s="27" t="s">
        <v>19</v>
      </c>
      <c r="G5233" s="27" t="s">
        <v>217</v>
      </c>
      <c r="H5233" s="29">
        <v>72</v>
      </c>
      <c r="I5233" s="27" t="s">
        <v>29</v>
      </c>
      <c r="J5233" s="37">
        <v>45748</v>
      </c>
      <c r="K5233" s="27" t="s">
        <v>22</v>
      </c>
    </row>
    <row r="5234" spans="1:11" x14ac:dyDescent="0.2">
      <c r="A5234" s="24" t="s">
        <v>12493</v>
      </c>
      <c r="B5234" s="24" t="s">
        <v>12494</v>
      </c>
      <c r="C5234" s="24" t="s">
        <v>1663</v>
      </c>
      <c r="D5234" s="24" t="s">
        <v>17</v>
      </c>
      <c r="E5234" s="24" t="s">
        <v>48</v>
      </c>
      <c r="F5234" s="24" t="s">
        <v>49</v>
      </c>
      <c r="G5234" s="24" t="s">
        <v>28</v>
      </c>
      <c r="H5234" s="26">
        <v>167</v>
      </c>
      <c r="I5234" s="24" t="s">
        <v>29</v>
      </c>
      <c r="J5234" s="36">
        <v>45769</v>
      </c>
      <c r="K5234" s="24" t="s">
        <v>22</v>
      </c>
    </row>
    <row r="5235" spans="1:11" x14ac:dyDescent="0.2">
      <c r="A5235" s="27" t="s">
        <v>12495</v>
      </c>
      <c r="B5235" s="27" t="s">
        <v>12496</v>
      </c>
      <c r="C5235" s="27" t="s">
        <v>1663</v>
      </c>
      <c r="D5235" s="27" t="s">
        <v>17</v>
      </c>
      <c r="E5235" s="27" t="s">
        <v>48</v>
      </c>
      <c r="F5235" s="27" t="s">
        <v>49</v>
      </c>
      <c r="G5235" s="27" t="s">
        <v>28</v>
      </c>
      <c r="H5235" s="29">
        <v>50</v>
      </c>
      <c r="I5235" s="27" t="s">
        <v>29</v>
      </c>
      <c r="J5235" s="37">
        <v>45763</v>
      </c>
      <c r="K5235" s="27" t="s">
        <v>22</v>
      </c>
    </row>
    <row r="5236" spans="1:11" x14ac:dyDescent="0.2">
      <c r="A5236" s="24" t="s">
        <v>12497</v>
      </c>
      <c r="B5236" s="24" t="s">
        <v>12498</v>
      </c>
      <c r="C5236" s="24" t="s">
        <v>4398</v>
      </c>
      <c r="D5236" s="24" t="s">
        <v>17</v>
      </c>
      <c r="E5236" s="24" t="s">
        <v>26</v>
      </c>
      <c r="F5236" s="24" t="s">
        <v>27</v>
      </c>
      <c r="G5236" s="24" t="s">
        <v>217</v>
      </c>
      <c r="H5236" s="26">
        <v>24</v>
      </c>
      <c r="I5236" s="24" t="s">
        <v>29</v>
      </c>
      <c r="J5236" s="36">
        <v>45762</v>
      </c>
      <c r="K5236" s="24" t="s">
        <v>22</v>
      </c>
    </row>
    <row r="5237" spans="1:11" x14ac:dyDescent="0.2">
      <c r="A5237" s="27" t="s">
        <v>12499</v>
      </c>
      <c r="B5237" s="27" t="s">
        <v>12500</v>
      </c>
      <c r="C5237" s="27" t="s">
        <v>526</v>
      </c>
      <c r="D5237" s="27" t="s">
        <v>17</v>
      </c>
      <c r="E5237" s="27" t="s">
        <v>18</v>
      </c>
      <c r="F5237" s="27" t="s">
        <v>19</v>
      </c>
      <c r="G5237" s="27" t="s">
        <v>20</v>
      </c>
      <c r="H5237" s="29">
        <v>30</v>
      </c>
      <c r="I5237" s="27" t="s">
        <v>21</v>
      </c>
      <c r="J5237" s="37">
        <v>45768</v>
      </c>
      <c r="K5237" s="27" t="s">
        <v>22</v>
      </c>
    </row>
    <row r="5238" spans="1:11" x14ac:dyDescent="0.2">
      <c r="A5238" s="24" t="s">
        <v>12501</v>
      </c>
      <c r="B5238" s="24" t="s">
        <v>12502</v>
      </c>
      <c r="C5238" s="24" t="s">
        <v>3208</v>
      </c>
      <c r="D5238" s="24" t="s">
        <v>17</v>
      </c>
      <c r="E5238" s="24" t="s">
        <v>48</v>
      </c>
      <c r="F5238" s="24" t="s">
        <v>49</v>
      </c>
      <c r="G5238" s="24" t="s">
        <v>44</v>
      </c>
      <c r="H5238" s="26">
        <v>250</v>
      </c>
      <c r="I5238" s="24" t="s">
        <v>29</v>
      </c>
      <c r="J5238" s="36">
        <v>45748</v>
      </c>
      <c r="K5238" s="24" t="s">
        <v>22</v>
      </c>
    </row>
    <row r="5239" spans="1:11" x14ac:dyDescent="0.2">
      <c r="A5239" s="27" t="s">
        <v>12503</v>
      </c>
      <c r="B5239" s="27" t="s">
        <v>12504</v>
      </c>
      <c r="C5239" s="27" t="s">
        <v>12505</v>
      </c>
      <c r="D5239" s="27" t="s">
        <v>17</v>
      </c>
      <c r="E5239" s="27" t="s">
        <v>42</v>
      </c>
      <c r="F5239" s="27" t="s">
        <v>43</v>
      </c>
      <c r="G5239" s="27" t="s">
        <v>20</v>
      </c>
      <c r="H5239" s="29">
        <v>104</v>
      </c>
      <c r="I5239" s="27" t="s">
        <v>21</v>
      </c>
      <c r="J5239" s="37">
        <v>45754</v>
      </c>
      <c r="K5239" s="27" t="s">
        <v>22</v>
      </c>
    </row>
    <row r="5240" spans="1:11" x14ac:dyDescent="0.2">
      <c r="A5240" s="24" t="s">
        <v>12506</v>
      </c>
      <c r="B5240" s="24" t="s">
        <v>12507</v>
      </c>
      <c r="C5240" s="24" t="s">
        <v>11903</v>
      </c>
      <c r="D5240" s="24" t="s">
        <v>17</v>
      </c>
      <c r="E5240" s="24" t="s">
        <v>18</v>
      </c>
      <c r="F5240" s="24" t="s">
        <v>19</v>
      </c>
      <c r="G5240" s="24" t="s">
        <v>28</v>
      </c>
      <c r="H5240" s="26">
        <v>50</v>
      </c>
      <c r="I5240" s="24" t="s">
        <v>29</v>
      </c>
      <c r="J5240" s="36">
        <v>45749</v>
      </c>
      <c r="K5240" s="24" t="s">
        <v>22</v>
      </c>
    </row>
    <row r="5241" spans="1:11" x14ac:dyDescent="0.2">
      <c r="A5241" s="27" t="s">
        <v>12508</v>
      </c>
      <c r="B5241" s="27" t="s">
        <v>12509</v>
      </c>
      <c r="C5241" s="27" t="s">
        <v>1376</v>
      </c>
      <c r="D5241" s="27" t="s">
        <v>17</v>
      </c>
      <c r="E5241" s="27" t="s">
        <v>42</v>
      </c>
      <c r="F5241" s="27" t="s">
        <v>43</v>
      </c>
      <c r="G5241" s="27" t="s">
        <v>28</v>
      </c>
      <c r="H5241" s="29">
        <v>630</v>
      </c>
      <c r="I5241" s="27" t="s">
        <v>29</v>
      </c>
      <c r="J5241" s="37">
        <v>45771</v>
      </c>
      <c r="K5241" s="27" t="s">
        <v>22</v>
      </c>
    </row>
    <row r="5242" spans="1:11" x14ac:dyDescent="0.2">
      <c r="A5242" s="24" t="s">
        <v>12510</v>
      </c>
      <c r="B5242" s="24" t="s">
        <v>12511</v>
      </c>
      <c r="C5242" s="24" t="s">
        <v>12512</v>
      </c>
      <c r="D5242" s="24" t="s">
        <v>17</v>
      </c>
      <c r="E5242" s="24" t="s">
        <v>26</v>
      </c>
      <c r="F5242" s="24" t="s">
        <v>27</v>
      </c>
      <c r="G5242" s="24" t="s">
        <v>217</v>
      </c>
      <c r="H5242" s="26">
        <v>27</v>
      </c>
      <c r="I5242" s="24" t="s">
        <v>29</v>
      </c>
      <c r="J5242" s="36">
        <v>45748</v>
      </c>
      <c r="K5242" s="24" t="s">
        <v>22</v>
      </c>
    </row>
    <row r="5243" spans="1:11" x14ac:dyDescent="0.2">
      <c r="A5243" s="27" t="s">
        <v>12513</v>
      </c>
      <c r="B5243" s="27" t="s">
        <v>12514</v>
      </c>
      <c r="C5243" s="27" t="s">
        <v>618</v>
      </c>
      <c r="D5243" s="27" t="s">
        <v>17</v>
      </c>
      <c r="E5243" s="27" t="s">
        <v>48</v>
      </c>
      <c r="F5243" s="27" t="s">
        <v>49</v>
      </c>
      <c r="G5243" s="27" t="s">
        <v>217</v>
      </c>
      <c r="H5243" s="29">
        <v>305</v>
      </c>
      <c r="I5243" s="27" t="s">
        <v>29</v>
      </c>
      <c r="J5243" s="37">
        <v>45756</v>
      </c>
      <c r="K5243" s="27" t="s">
        <v>22</v>
      </c>
    </row>
    <row r="5244" spans="1:11" x14ac:dyDescent="0.2">
      <c r="A5244" s="24" t="s">
        <v>12515</v>
      </c>
      <c r="B5244" s="24" t="s">
        <v>12516</v>
      </c>
      <c r="C5244" s="24" t="s">
        <v>213</v>
      </c>
      <c r="D5244" s="24" t="s">
        <v>17</v>
      </c>
      <c r="E5244" s="24" t="s">
        <v>18</v>
      </c>
      <c r="F5244" s="24" t="s">
        <v>19</v>
      </c>
      <c r="G5244" s="24" t="s">
        <v>116</v>
      </c>
      <c r="H5244" s="26">
        <v>0</v>
      </c>
      <c r="I5244" s="24" t="s">
        <v>21</v>
      </c>
      <c r="J5244" s="36">
        <v>45775</v>
      </c>
      <c r="K5244" s="24" t="s">
        <v>22</v>
      </c>
    </row>
    <row r="5245" spans="1:11" x14ac:dyDescent="0.2">
      <c r="A5245" s="27" t="s">
        <v>12517</v>
      </c>
      <c r="B5245" s="27" t="s">
        <v>12518</v>
      </c>
      <c r="C5245" s="27" t="s">
        <v>55</v>
      </c>
      <c r="D5245" s="27" t="s">
        <v>17</v>
      </c>
      <c r="E5245" s="27" t="s">
        <v>18</v>
      </c>
      <c r="F5245" s="27" t="s">
        <v>19</v>
      </c>
      <c r="G5245" s="27" t="s">
        <v>20</v>
      </c>
      <c r="H5245" s="29">
        <v>16</v>
      </c>
      <c r="I5245" s="27" t="s">
        <v>21</v>
      </c>
      <c r="J5245" s="37">
        <v>45775</v>
      </c>
      <c r="K5245" s="27" t="s">
        <v>22</v>
      </c>
    </row>
    <row r="5246" spans="1:11" x14ac:dyDescent="0.2">
      <c r="A5246" s="24" t="s">
        <v>12519</v>
      </c>
      <c r="B5246" s="24" t="s">
        <v>12520</v>
      </c>
      <c r="C5246" s="24" t="s">
        <v>526</v>
      </c>
      <c r="D5246" s="24" t="s">
        <v>17</v>
      </c>
      <c r="E5246" s="24" t="s">
        <v>18</v>
      </c>
      <c r="F5246" s="24" t="s">
        <v>19</v>
      </c>
      <c r="G5246" s="24" t="s">
        <v>28</v>
      </c>
      <c r="H5246" s="26">
        <v>201</v>
      </c>
      <c r="I5246" s="24" t="s">
        <v>29</v>
      </c>
      <c r="J5246" s="36">
        <v>45770</v>
      </c>
      <c r="K5246" s="24" t="s">
        <v>22</v>
      </c>
    </row>
    <row r="5247" spans="1:11" x14ac:dyDescent="0.2">
      <c r="A5247" s="27" t="s">
        <v>12521</v>
      </c>
      <c r="B5247" s="27" t="s">
        <v>12522</v>
      </c>
      <c r="C5247" s="27" t="s">
        <v>1199</v>
      </c>
      <c r="D5247" s="27" t="s">
        <v>17</v>
      </c>
      <c r="E5247" s="27" t="s">
        <v>26</v>
      </c>
      <c r="F5247" s="27" t="s">
        <v>27</v>
      </c>
      <c r="G5247" s="27" t="s">
        <v>28</v>
      </c>
      <c r="H5247" s="29">
        <v>100</v>
      </c>
      <c r="I5247" s="27" t="s">
        <v>29</v>
      </c>
      <c r="J5247" s="37">
        <v>45772</v>
      </c>
      <c r="K5247" s="27" t="s">
        <v>22</v>
      </c>
    </row>
    <row r="5248" spans="1:11" x14ac:dyDescent="0.2">
      <c r="A5248" s="24" t="s">
        <v>12523</v>
      </c>
      <c r="B5248" s="24" t="s">
        <v>12524</v>
      </c>
      <c r="C5248" s="24" t="s">
        <v>12525</v>
      </c>
      <c r="D5248" s="24" t="s">
        <v>17</v>
      </c>
      <c r="E5248" s="24" t="s">
        <v>42</v>
      </c>
      <c r="F5248" s="24" t="s">
        <v>43</v>
      </c>
      <c r="G5248" s="24" t="s">
        <v>28</v>
      </c>
      <c r="H5248" s="26">
        <v>360</v>
      </c>
      <c r="I5248" s="24" t="s">
        <v>29</v>
      </c>
      <c r="J5248" s="36">
        <v>45776</v>
      </c>
      <c r="K5248" s="24" t="s">
        <v>22</v>
      </c>
    </row>
    <row r="5249" spans="1:11" x14ac:dyDescent="0.2">
      <c r="A5249" s="27" t="s">
        <v>12526</v>
      </c>
      <c r="B5249" s="27" t="s">
        <v>12527</v>
      </c>
      <c r="C5249" s="27" t="s">
        <v>12528</v>
      </c>
      <c r="D5249" s="27" t="s">
        <v>17</v>
      </c>
      <c r="E5249" s="27" t="s">
        <v>48</v>
      </c>
      <c r="F5249" s="27" t="s">
        <v>49</v>
      </c>
      <c r="G5249" s="27" t="s">
        <v>217</v>
      </c>
      <c r="H5249" s="29">
        <v>80</v>
      </c>
      <c r="I5249" s="27" t="s">
        <v>29</v>
      </c>
      <c r="J5249" s="37">
        <v>45775</v>
      </c>
      <c r="K5249" s="27" t="s">
        <v>22</v>
      </c>
    </row>
    <row r="5250" spans="1:11" x14ac:dyDescent="0.2">
      <c r="A5250" s="24" t="s">
        <v>12529</v>
      </c>
      <c r="B5250" s="24" t="s">
        <v>12530</v>
      </c>
      <c r="C5250" s="24" t="s">
        <v>4269</v>
      </c>
      <c r="D5250" s="24" t="s">
        <v>17</v>
      </c>
      <c r="E5250" s="24" t="s">
        <v>18</v>
      </c>
      <c r="F5250" s="24" t="s">
        <v>19</v>
      </c>
      <c r="G5250" s="24" t="s">
        <v>20</v>
      </c>
      <c r="H5250" s="26">
        <v>43</v>
      </c>
      <c r="I5250" s="24" t="s">
        <v>21</v>
      </c>
      <c r="J5250" s="36">
        <v>45764</v>
      </c>
      <c r="K5250" s="24" t="s">
        <v>22</v>
      </c>
    </row>
    <row r="5251" spans="1:11" x14ac:dyDescent="0.2">
      <c r="A5251" s="27" t="s">
        <v>12531</v>
      </c>
      <c r="B5251" s="27" t="s">
        <v>12532</v>
      </c>
      <c r="C5251" s="27" t="s">
        <v>1886</v>
      </c>
      <c r="D5251" s="27" t="s">
        <v>17</v>
      </c>
      <c r="E5251" s="27" t="s">
        <v>18</v>
      </c>
      <c r="F5251" s="27" t="s">
        <v>19</v>
      </c>
      <c r="G5251" s="27" t="s">
        <v>44</v>
      </c>
      <c r="H5251" s="29">
        <v>90</v>
      </c>
      <c r="I5251" s="27" t="s">
        <v>29</v>
      </c>
      <c r="J5251" s="37">
        <v>45762</v>
      </c>
      <c r="K5251" s="27" t="s">
        <v>22</v>
      </c>
    </row>
    <row r="5252" spans="1:11" x14ac:dyDescent="0.2">
      <c r="A5252" s="24" t="s">
        <v>12533</v>
      </c>
      <c r="B5252" s="24" t="s">
        <v>12534</v>
      </c>
      <c r="C5252" s="24" t="s">
        <v>2355</v>
      </c>
      <c r="D5252" s="24" t="s">
        <v>17</v>
      </c>
      <c r="E5252" s="24" t="s">
        <v>42</v>
      </c>
      <c r="F5252" s="24" t="s">
        <v>43</v>
      </c>
      <c r="G5252" s="24" t="s">
        <v>28</v>
      </c>
      <c r="H5252" s="26">
        <v>6</v>
      </c>
      <c r="I5252" s="24" t="s">
        <v>29</v>
      </c>
      <c r="J5252" s="36">
        <v>45765</v>
      </c>
      <c r="K5252" s="24" t="s">
        <v>22</v>
      </c>
    </row>
    <row r="5253" spans="1:11" x14ac:dyDescent="0.2">
      <c r="A5253" s="27" t="s">
        <v>12535</v>
      </c>
      <c r="B5253" s="27" t="s">
        <v>12536</v>
      </c>
      <c r="C5253" s="27" t="s">
        <v>12537</v>
      </c>
      <c r="D5253" s="27" t="s">
        <v>17</v>
      </c>
      <c r="E5253" s="27" t="s">
        <v>26</v>
      </c>
      <c r="F5253" s="27" t="s">
        <v>27</v>
      </c>
      <c r="G5253" s="27" t="s">
        <v>217</v>
      </c>
      <c r="H5253" s="29">
        <v>91</v>
      </c>
      <c r="I5253" s="27" t="s">
        <v>29</v>
      </c>
      <c r="J5253" s="37">
        <v>45748</v>
      </c>
      <c r="K5253" s="27" t="s">
        <v>22</v>
      </c>
    </row>
    <row r="5254" spans="1:11" x14ac:dyDescent="0.2">
      <c r="A5254" s="24" t="s">
        <v>12538</v>
      </c>
      <c r="B5254" s="24" t="s">
        <v>12539</v>
      </c>
      <c r="C5254" s="24" t="s">
        <v>4445</v>
      </c>
      <c r="D5254" s="24" t="s">
        <v>17</v>
      </c>
      <c r="E5254" s="24" t="s">
        <v>18</v>
      </c>
      <c r="F5254" s="24" t="s">
        <v>19</v>
      </c>
      <c r="G5254" s="24" t="s">
        <v>44</v>
      </c>
      <c r="H5254" s="26">
        <v>9</v>
      </c>
      <c r="I5254" s="24" t="s">
        <v>29</v>
      </c>
      <c r="J5254" s="36">
        <v>45754</v>
      </c>
      <c r="K5254" s="24" t="s">
        <v>22</v>
      </c>
    </row>
    <row r="5255" spans="1:11" x14ac:dyDescent="0.2">
      <c r="A5255" s="27" t="s">
        <v>12540</v>
      </c>
      <c r="B5255" s="27" t="s">
        <v>12541</v>
      </c>
      <c r="C5255" s="27" t="s">
        <v>8470</v>
      </c>
      <c r="D5255" s="27" t="s">
        <v>17</v>
      </c>
      <c r="E5255" s="27" t="s">
        <v>81</v>
      </c>
      <c r="F5255" s="27" t="s">
        <v>82</v>
      </c>
      <c r="G5255" s="27" t="s">
        <v>28</v>
      </c>
      <c r="H5255" s="29">
        <v>300</v>
      </c>
      <c r="I5255" s="27" t="s">
        <v>29</v>
      </c>
      <c r="J5255" s="37">
        <v>45769</v>
      </c>
      <c r="K5255" s="27" t="s">
        <v>22</v>
      </c>
    </row>
    <row r="5256" spans="1:11" x14ac:dyDescent="0.2">
      <c r="A5256" s="24" t="s">
        <v>12542</v>
      </c>
      <c r="B5256" s="24" t="s">
        <v>12543</v>
      </c>
      <c r="C5256" s="24" t="s">
        <v>921</v>
      </c>
      <c r="D5256" s="24" t="s">
        <v>17</v>
      </c>
      <c r="E5256" s="24" t="s">
        <v>48</v>
      </c>
      <c r="F5256" s="24" t="s">
        <v>49</v>
      </c>
      <c r="G5256" s="24" t="s">
        <v>217</v>
      </c>
      <c r="H5256" s="26">
        <v>256</v>
      </c>
      <c r="I5256" s="24" t="s">
        <v>29</v>
      </c>
      <c r="J5256" s="36">
        <v>45748</v>
      </c>
      <c r="K5256" s="24" t="s">
        <v>22</v>
      </c>
    </row>
    <row r="5257" spans="1:11" x14ac:dyDescent="0.2">
      <c r="A5257" s="27" t="s">
        <v>12544</v>
      </c>
      <c r="B5257" s="27" t="s">
        <v>12545</v>
      </c>
      <c r="C5257" s="27" t="s">
        <v>2154</v>
      </c>
      <c r="D5257" s="27" t="s">
        <v>17</v>
      </c>
      <c r="E5257" s="27" t="s">
        <v>18</v>
      </c>
      <c r="F5257" s="27" t="s">
        <v>19</v>
      </c>
      <c r="G5257" s="27" t="s">
        <v>28</v>
      </c>
      <c r="H5257" s="29">
        <v>18</v>
      </c>
      <c r="I5257" s="27" t="s">
        <v>29</v>
      </c>
      <c r="J5257" s="37">
        <v>45748</v>
      </c>
      <c r="K5257" s="27" t="s">
        <v>22</v>
      </c>
    </row>
    <row r="5258" spans="1:11" x14ac:dyDescent="0.2">
      <c r="A5258" s="24" t="s">
        <v>12546</v>
      </c>
      <c r="B5258" s="24" t="s">
        <v>12547</v>
      </c>
      <c r="C5258" s="24" t="s">
        <v>512</v>
      </c>
      <c r="D5258" s="24" t="s">
        <v>17</v>
      </c>
      <c r="E5258" s="24" t="s">
        <v>18</v>
      </c>
      <c r="F5258" s="24" t="s">
        <v>19</v>
      </c>
      <c r="G5258" s="24" t="s">
        <v>28</v>
      </c>
      <c r="H5258" s="26">
        <v>60</v>
      </c>
      <c r="I5258" s="24" t="s">
        <v>29</v>
      </c>
      <c r="J5258" s="36">
        <v>45775</v>
      </c>
      <c r="K5258" s="24" t="s">
        <v>22</v>
      </c>
    </row>
    <row r="5259" spans="1:11" x14ac:dyDescent="0.2">
      <c r="A5259" s="27" t="s">
        <v>12548</v>
      </c>
      <c r="B5259" s="27" t="s">
        <v>12549</v>
      </c>
      <c r="C5259" s="27" t="s">
        <v>354</v>
      </c>
      <c r="D5259" s="27" t="s">
        <v>17</v>
      </c>
      <c r="E5259" s="27" t="s">
        <v>18</v>
      </c>
      <c r="F5259" s="27" t="s">
        <v>19</v>
      </c>
      <c r="G5259" s="27" t="s">
        <v>20</v>
      </c>
      <c r="H5259" s="29">
        <v>68</v>
      </c>
      <c r="I5259" s="27" t="s">
        <v>21</v>
      </c>
      <c r="J5259" s="37">
        <v>45748</v>
      </c>
      <c r="K5259" s="27" t="s">
        <v>22</v>
      </c>
    </row>
    <row r="5260" spans="1:11" x14ac:dyDescent="0.2">
      <c r="A5260" s="24" t="s">
        <v>12550</v>
      </c>
      <c r="B5260" s="24" t="s">
        <v>12551</v>
      </c>
      <c r="C5260" s="24" t="s">
        <v>1663</v>
      </c>
      <c r="D5260" s="24" t="s">
        <v>17</v>
      </c>
      <c r="E5260" s="24" t="s">
        <v>42</v>
      </c>
      <c r="F5260" s="24" t="s">
        <v>43</v>
      </c>
      <c r="G5260" s="24" t="s">
        <v>217</v>
      </c>
      <c r="H5260" s="26">
        <v>386</v>
      </c>
      <c r="I5260" s="24" t="s">
        <v>29</v>
      </c>
      <c r="J5260" s="36">
        <v>45748</v>
      </c>
      <c r="K5260" s="24" t="s">
        <v>22</v>
      </c>
    </row>
    <row r="5261" spans="1:11" x14ac:dyDescent="0.2">
      <c r="A5261" s="27" t="s">
        <v>12552</v>
      </c>
      <c r="B5261" s="27" t="s">
        <v>12553</v>
      </c>
      <c r="C5261" s="27" t="s">
        <v>526</v>
      </c>
      <c r="D5261" s="27" t="s">
        <v>17</v>
      </c>
      <c r="E5261" s="27" t="s">
        <v>42</v>
      </c>
      <c r="F5261" s="27" t="s">
        <v>43</v>
      </c>
      <c r="G5261" s="27" t="s">
        <v>28</v>
      </c>
      <c r="H5261" s="29">
        <v>974</v>
      </c>
      <c r="I5261" s="27" t="s">
        <v>29</v>
      </c>
      <c r="J5261" s="37">
        <v>45777</v>
      </c>
      <c r="K5261" s="27" t="s">
        <v>22</v>
      </c>
    </row>
    <row r="5262" spans="1:11" x14ac:dyDescent="0.2">
      <c r="A5262" s="24" t="s">
        <v>12554</v>
      </c>
      <c r="B5262" s="24" t="s">
        <v>12555</v>
      </c>
      <c r="C5262" s="24" t="s">
        <v>4261</v>
      </c>
      <c r="D5262" s="24" t="s">
        <v>17</v>
      </c>
      <c r="E5262" s="24" t="s">
        <v>18</v>
      </c>
      <c r="F5262" s="24" t="s">
        <v>19</v>
      </c>
      <c r="G5262" s="24" t="s">
        <v>20</v>
      </c>
      <c r="H5262" s="26">
        <v>32</v>
      </c>
      <c r="I5262" s="24" t="s">
        <v>21</v>
      </c>
      <c r="J5262" s="36">
        <v>45769</v>
      </c>
      <c r="K5262" s="24" t="s">
        <v>22</v>
      </c>
    </row>
    <row r="5263" spans="1:11" x14ac:dyDescent="0.2">
      <c r="A5263" s="27" t="s">
        <v>12556</v>
      </c>
      <c r="B5263" s="27" t="s">
        <v>12557</v>
      </c>
      <c r="C5263" s="27" t="s">
        <v>85</v>
      </c>
      <c r="D5263" s="27" t="s">
        <v>17</v>
      </c>
      <c r="E5263" s="27" t="s">
        <v>48</v>
      </c>
      <c r="F5263" s="27" t="s">
        <v>49</v>
      </c>
      <c r="G5263" s="27" t="s">
        <v>28</v>
      </c>
      <c r="H5263" s="29">
        <v>315</v>
      </c>
      <c r="I5263" s="27" t="s">
        <v>29</v>
      </c>
      <c r="J5263" s="37">
        <v>45776</v>
      </c>
      <c r="K5263" s="27" t="s">
        <v>22</v>
      </c>
    </row>
    <row r="5264" spans="1:11" x14ac:dyDescent="0.2">
      <c r="A5264" s="24" t="s">
        <v>12558</v>
      </c>
      <c r="B5264" s="24" t="s">
        <v>12559</v>
      </c>
      <c r="C5264" s="24" t="s">
        <v>97</v>
      </c>
      <c r="D5264" s="24" t="s">
        <v>17</v>
      </c>
      <c r="E5264" s="24" t="s">
        <v>18</v>
      </c>
      <c r="F5264" s="24" t="s">
        <v>19</v>
      </c>
      <c r="G5264" s="24" t="s">
        <v>20</v>
      </c>
      <c r="H5264" s="26">
        <v>28</v>
      </c>
      <c r="I5264" s="24" t="s">
        <v>21</v>
      </c>
      <c r="J5264" s="36">
        <v>45769</v>
      </c>
      <c r="K5264" s="24" t="s">
        <v>22</v>
      </c>
    </row>
    <row r="5265" spans="1:11" x14ac:dyDescent="0.2">
      <c r="A5265" s="27" t="s">
        <v>12560</v>
      </c>
      <c r="B5265" s="27" t="s">
        <v>12561</v>
      </c>
      <c r="C5265" s="27" t="s">
        <v>662</v>
      </c>
      <c r="D5265" s="27" t="s">
        <v>17</v>
      </c>
      <c r="E5265" s="27" t="s">
        <v>26</v>
      </c>
      <c r="F5265" s="27" t="s">
        <v>27</v>
      </c>
      <c r="G5265" s="27" t="s">
        <v>28</v>
      </c>
      <c r="H5265" s="29">
        <v>84</v>
      </c>
      <c r="I5265" s="27" t="s">
        <v>29</v>
      </c>
      <c r="J5265" s="37">
        <v>45754</v>
      </c>
      <c r="K5265" s="27" t="s">
        <v>22</v>
      </c>
    </row>
    <row r="5266" spans="1:11" x14ac:dyDescent="0.2">
      <c r="A5266" s="24" t="s">
        <v>12562</v>
      </c>
      <c r="B5266" s="24" t="s">
        <v>12563</v>
      </c>
      <c r="C5266" s="24" t="s">
        <v>12564</v>
      </c>
      <c r="D5266" s="24" t="s">
        <v>17</v>
      </c>
      <c r="E5266" s="24" t="s">
        <v>18</v>
      </c>
      <c r="F5266" s="24" t="s">
        <v>19</v>
      </c>
      <c r="G5266" s="24" t="s">
        <v>217</v>
      </c>
      <c r="H5266" s="26">
        <v>48</v>
      </c>
      <c r="I5266" s="24" t="s">
        <v>29</v>
      </c>
      <c r="J5266" s="36">
        <v>45777</v>
      </c>
      <c r="K5266" s="24" t="s">
        <v>22</v>
      </c>
    </row>
    <row r="5267" spans="1:11" x14ac:dyDescent="0.2">
      <c r="A5267" s="27" t="s">
        <v>12565</v>
      </c>
      <c r="B5267" s="27" t="s">
        <v>12566</v>
      </c>
      <c r="C5267" s="27" t="s">
        <v>55</v>
      </c>
      <c r="D5267" s="27" t="s">
        <v>17</v>
      </c>
      <c r="E5267" s="27" t="s">
        <v>18</v>
      </c>
      <c r="F5267" s="27" t="s">
        <v>19</v>
      </c>
      <c r="G5267" s="27" t="s">
        <v>20</v>
      </c>
      <c r="H5267" s="29">
        <v>24</v>
      </c>
      <c r="I5267" s="27" t="s">
        <v>21</v>
      </c>
      <c r="J5267" s="37">
        <v>45754</v>
      </c>
      <c r="K5267" s="27" t="s">
        <v>22</v>
      </c>
    </row>
    <row r="5268" spans="1:11" x14ac:dyDescent="0.2">
      <c r="A5268" s="24" t="s">
        <v>12567</v>
      </c>
      <c r="B5268" s="24" t="s">
        <v>12568</v>
      </c>
      <c r="C5268" s="24" t="s">
        <v>55</v>
      </c>
      <c r="D5268" s="24" t="s">
        <v>17</v>
      </c>
      <c r="E5268" s="24" t="s">
        <v>18</v>
      </c>
      <c r="F5268" s="24" t="s">
        <v>19</v>
      </c>
      <c r="G5268" s="24" t="s">
        <v>44</v>
      </c>
      <c r="H5268" s="26">
        <v>12</v>
      </c>
      <c r="I5268" s="24" t="s">
        <v>29</v>
      </c>
      <c r="J5268" s="36">
        <v>45762</v>
      </c>
      <c r="K5268" s="24" t="s">
        <v>22</v>
      </c>
    </row>
    <row r="5269" spans="1:11" x14ac:dyDescent="0.2">
      <c r="A5269" s="27" t="s">
        <v>12569</v>
      </c>
      <c r="B5269" s="27" t="s">
        <v>12570</v>
      </c>
      <c r="C5269" s="27" t="s">
        <v>68</v>
      </c>
      <c r="D5269" s="27" t="s">
        <v>17</v>
      </c>
      <c r="E5269" s="27" t="s">
        <v>48</v>
      </c>
      <c r="F5269" s="27" t="s">
        <v>49</v>
      </c>
      <c r="G5269" s="27" t="s">
        <v>217</v>
      </c>
      <c r="H5269" s="29">
        <v>147</v>
      </c>
      <c r="I5269" s="27" t="s">
        <v>29</v>
      </c>
      <c r="J5269" s="37">
        <v>45748</v>
      </c>
      <c r="K5269" s="27" t="s">
        <v>22</v>
      </c>
    </row>
    <row r="5270" spans="1:11" x14ac:dyDescent="0.2">
      <c r="A5270" s="24" t="s">
        <v>12571</v>
      </c>
      <c r="B5270" s="24" t="s">
        <v>12572</v>
      </c>
      <c r="C5270" s="24" t="s">
        <v>4925</v>
      </c>
      <c r="D5270" s="24" t="s">
        <v>17</v>
      </c>
      <c r="E5270" s="24" t="s">
        <v>42</v>
      </c>
      <c r="F5270" s="24" t="s">
        <v>43</v>
      </c>
      <c r="G5270" s="24" t="s">
        <v>20</v>
      </c>
      <c r="H5270" s="26">
        <v>145</v>
      </c>
      <c r="I5270" s="24" t="s">
        <v>21</v>
      </c>
      <c r="J5270" s="36">
        <v>45750</v>
      </c>
      <c r="K5270" s="24" t="s">
        <v>22</v>
      </c>
    </row>
    <row r="5271" spans="1:11" x14ac:dyDescent="0.2">
      <c r="A5271" s="27" t="s">
        <v>12573</v>
      </c>
      <c r="B5271" s="27" t="s">
        <v>12574</v>
      </c>
      <c r="C5271" s="27" t="s">
        <v>526</v>
      </c>
      <c r="D5271" s="27" t="s">
        <v>17</v>
      </c>
      <c r="E5271" s="27" t="s">
        <v>18</v>
      </c>
      <c r="F5271" s="27" t="s">
        <v>19</v>
      </c>
      <c r="G5271" s="27" t="s">
        <v>28</v>
      </c>
      <c r="H5271" s="29">
        <v>33</v>
      </c>
      <c r="I5271" s="27" t="s">
        <v>29</v>
      </c>
      <c r="J5271" s="37">
        <v>45770</v>
      </c>
      <c r="K5271" s="27" t="s">
        <v>22</v>
      </c>
    </row>
    <row r="5272" spans="1:11" x14ac:dyDescent="0.2">
      <c r="A5272" s="24" t="s">
        <v>12575</v>
      </c>
      <c r="B5272" s="24" t="s">
        <v>12576</v>
      </c>
      <c r="C5272" s="24" t="s">
        <v>1938</v>
      </c>
      <c r="D5272" s="24" t="s">
        <v>17</v>
      </c>
      <c r="E5272" s="24" t="s">
        <v>26</v>
      </c>
      <c r="F5272" s="24" t="s">
        <v>27</v>
      </c>
      <c r="G5272" s="24" t="s">
        <v>217</v>
      </c>
      <c r="H5272" s="26">
        <v>188</v>
      </c>
      <c r="I5272" s="24" t="s">
        <v>29</v>
      </c>
      <c r="J5272" s="36">
        <v>45748</v>
      </c>
      <c r="K5272" s="24" t="s">
        <v>22</v>
      </c>
    </row>
    <row r="5273" spans="1:11" x14ac:dyDescent="0.2">
      <c r="A5273" s="27" t="s">
        <v>12577</v>
      </c>
      <c r="B5273" s="27" t="s">
        <v>12578</v>
      </c>
      <c r="C5273" s="27" t="s">
        <v>6264</v>
      </c>
      <c r="D5273" s="27" t="s">
        <v>17</v>
      </c>
      <c r="E5273" s="27" t="s">
        <v>48</v>
      </c>
      <c r="F5273" s="27" t="s">
        <v>49</v>
      </c>
      <c r="G5273" s="27" t="s">
        <v>20</v>
      </c>
      <c r="H5273" s="29">
        <v>21</v>
      </c>
      <c r="I5273" s="27" t="s">
        <v>21</v>
      </c>
      <c r="J5273" s="37">
        <v>45761</v>
      </c>
      <c r="K5273" s="27" t="s">
        <v>22</v>
      </c>
    </row>
    <row r="5274" spans="1:11" x14ac:dyDescent="0.2">
      <c r="A5274" s="24" t="s">
        <v>12579</v>
      </c>
      <c r="B5274" s="24" t="s">
        <v>12580</v>
      </c>
      <c r="C5274" s="24" t="s">
        <v>1295</v>
      </c>
      <c r="D5274" s="24" t="s">
        <v>17</v>
      </c>
      <c r="E5274" s="24" t="s">
        <v>18</v>
      </c>
      <c r="F5274" s="24" t="s">
        <v>19</v>
      </c>
      <c r="G5274" s="24" t="s">
        <v>44</v>
      </c>
      <c r="H5274" s="26">
        <v>120</v>
      </c>
      <c r="I5274" s="24" t="s">
        <v>29</v>
      </c>
      <c r="J5274" s="36">
        <v>45757</v>
      </c>
      <c r="K5274" s="24" t="s">
        <v>22</v>
      </c>
    </row>
    <row r="5275" spans="1:11" x14ac:dyDescent="0.2">
      <c r="A5275" s="27" t="s">
        <v>12581</v>
      </c>
      <c r="B5275" s="27" t="s">
        <v>12582</v>
      </c>
      <c r="C5275" s="27" t="s">
        <v>2484</v>
      </c>
      <c r="D5275" s="27" t="s">
        <v>17</v>
      </c>
      <c r="E5275" s="27" t="s">
        <v>42</v>
      </c>
      <c r="F5275" s="27" t="s">
        <v>43</v>
      </c>
      <c r="G5275" s="27" t="s">
        <v>28</v>
      </c>
      <c r="H5275" s="29">
        <v>40</v>
      </c>
      <c r="I5275" s="27" t="s">
        <v>29</v>
      </c>
      <c r="J5275" s="37">
        <v>45754</v>
      </c>
      <c r="K5275" s="27" t="s">
        <v>22</v>
      </c>
    </row>
    <row r="5276" spans="1:11" x14ac:dyDescent="0.2">
      <c r="A5276" s="24" t="s">
        <v>12583</v>
      </c>
      <c r="B5276" s="24" t="s">
        <v>12584</v>
      </c>
      <c r="C5276" s="24" t="s">
        <v>1295</v>
      </c>
      <c r="D5276" s="24" t="s">
        <v>17</v>
      </c>
      <c r="E5276" s="24" t="s">
        <v>18</v>
      </c>
      <c r="F5276" s="24" t="s">
        <v>19</v>
      </c>
      <c r="G5276" s="24" t="s">
        <v>28</v>
      </c>
      <c r="H5276" s="26">
        <v>120</v>
      </c>
      <c r="I5276" s="24" t="s">
        <v>29</v>
      </c>
      <c r="J5276" s="36">
        <v>45775</v>
      </c>
      <c r="K5276" s="24" t="s">
        <v>22</v>
      </c>
    </row>
    <row r="5277" spans="1:11" x14ac:dyDescent="0.2">
      <c r="A5277" s="27" t="s">
        <v>12585</v>
      </c>
      <c r="B5277" s="27" t="s">
        <v>12586</v>
      </c>
      <c r="C5277" s="27" t="s">
        <v>376</v>
      </c>
      <c r="D5277" s="27" t="s">
        <v>17</v>
      </c>
      <c r="E5277" s="27" t="s">
        <v>48</v>
      </c>
      <c r="F5277" s="27" t="s">
        <v>49</v>
      </c>
      <c r="G5277" s="27" t="s">
        <v>28</v>
      </c>
      <c r="H5277" s="29">
        <v>40</v>
      </c>
      <c r="I5277" s="27" t="s">
        <v>29</v>
      </c>
      <c r="J5277" s="37">
        <v>45775</v>
      </c>
      <c r="K5277" s="27" t="s">
        <v>22</v>
      </c>
    </row>
    <row r="5278" spans="1:11" x14ac:dyDescent="0.2">
      <c r="A5278" s="24" t="s">
        <v>12587</v>
      </c>
      <c r="B5278" s="24" t="s">
        <v>12588</v>
      </c>
      <c r="C5278" s="24" t="s">
        <v>12589</v>
      </c>
      <c r="D5278" s="24" t="s">
        <v>17</v>
      </c>
      <c r="E5278" s="24" t="s">
        <v>18</v>
      </c>
      <c r="F5278" s="24" t="s">
        <v>19</v>
      </c>
      <c r="G5278" s="24" t="s">
        <v>28</v>
      </c>
      <c r="H5278" s="26">
        <v>32</v>
      </c>
      <c r="I5278" s="24" t="s">
        <v>29</v>
      </c>
      <c r="J5278" s="36">
        <v>45750</v>
      </c>
      <c r="K5278" s="24" t="s">
        <v>22</v>
      </c>
    </row>
    <row r="5279" spans="1:11" x14ac:dyDescent="0.2">
      <c r="A5279" s="27" t="s">
        <v>12590</v>
      </c>
      <c r="B5279" s="27" t="s">
        <v>12591</v>
      </c>
      <c r="C5279" s="27" t="s">
        <v>8786</v>
      </c>
      <c r="D5279" s="27" t="s">
        <v>17</v>
      </c>
      <c r="E5279" s="27" t="s">
        <v>33</v>
      </c>
      <c r="F5279" s="27" t="s">
        <v>34</v>
      </c>
      <c r="G5279" s="27" t="s">
        <v>28</v>
      </c>
      <c r="H5279" s="29">
        <v>200</v>
      </c>
      <c r="I5279" s="27" t="s">
        <v>29</v>
      </c>
      <c r="J5279" s="37">
        <v>45762</v>
      </c>
      <c r="K5279" s="27" t="s">
        <v>22</v>
      </c>
    </row>
    <row r="5280" spans="1:11" x14ac:dyDescent="0.2">
      <c r="A5280" s="24" t="s">
        <v>12592</v>
      </c>
      <c r="B5280" s="24" t="s">
        <v>12593</v>
      </c>
      <c r="C5280" s="24" t="s">
        <v>91</v>
      </c>
      <c r="D5280" s="24" t="s">
        <v>17</v>
      </c>
      <c r="E5280" s="24" t="s">
        <v>33</v>
      </c>
      <c r="F5280" s="24" t="s">
        <v>34</v>
      </c>
      <c r="G5280" s="24" t="s">
        <v>217</v>
      </c>
      <c r="H5280" s="26">
        <v>390</v>
      </c>
      <c r="I5280" s="24" t="s">
        <v>29</v>
      </c>
      <c r="J5280" s="36">
        <v>45748</v>
      </c>
      <c r="K5280" s="24" t="s">
        <v>22</v>
      </c>
    </row>
    <row r="5281" spans="1:11" x14ac:dyDescent="0.2">
      <c r="A5281" s="27" t="s">
        <v>12594</v>
      </c>
      <c r="B5281" s="27" t="s">
        <v>12595</v>
      </c>
      <c r="C5281" s="27" t="s">
        <v>1470</v>
      </c>
      <c r="D5281" s="27" t="s">
        <v>17</v>
      </c>
      <c r="E5281" s="27" t="s">
        <v>18</v>
      </c>
      <c r="F5281" s="27" t="s">
        <v>19</v>
      </c>
      <c r="G5281" s="27" t="s">
        <v>217</v>
      </c>
      <c r="H5281" s="29">
        <v>55</v>
      </c>
      <c r="I5281" s="27" t="s">
        <v>29</v>
      </c>
      <c r="J5281" s="37">
        <v>45748</v>
      </c>
      <c r="K5281" s="27" t="s">
        <v>22</v>
      </c>
    </row>
    <row r="5282" spans="1:11" x14ac:dyDescent="0.2">
      <c r="A5282" s="24" t="s">
        <v>12596</v>
      </c>
      <c r="B5282" s="24" t="s">
        <v>12597</v>
      </c>
      <c r="C5282" s="24" t="s">
        <v>3269</v>
      </c>
      <c r="D5282" s="24" t="s">
        <v>17</v>
      </c>
      <c r="E5282" s="24" t="s">
        <v>48</v>
      </c>
      <c r="F5282" s="24" t="s">
        <v>49</v>
      </c>
      <c r="G5282" s="24" t="s">
        <v>227</v>
      </c>
      <c r="H5282" s="26">
        <v>14</v>
      </c>
      <c r="I5282" s="24" t="s">
        <v>29</v>
      </c>
      <c r="J5282" s="36">
        <v>45751</v>
      </c>
      <c r="K5282" s="24" t="s">
        <v>22</v>
      </c>
    </row>
    <row r="5283" spans="1:11" x14ac:dyDescent="0.2">
      <c r="A5283" s="27" t="s">
        <v>12598</v>
      </c>
      <c r="B5283" s="27" t="s">
        <v>12599</v>
      </c>
      <c r="C5283" s="27" t="s">
        <v>12600</v>
      </c>
      <c r="D5283" s="27" t="s">
        <v>17</v>
      </c>
      <c r="E5283" s="27" t="s">
        <v>48</v>
      </c>
      <c r="F5283" s="27" t="s">
        <v>49</v>
      </c>
      <c r="G5283" s="27" t="s">
        <v>28</v>
      </c>
      <c r="H5283" s="29">
        <v>60</v>
      </c>
      <c r="I5283" s="27" t="s">
        <v>29</v>
      </c>
      <c r="J5283" s="37">
        <v>45772</v>
      </c>
      <c r="K5283" s="27" t="s">
        <v>22</v>
      </c>
    </row>
    <row r="5284" spans="1:11" x14ac:dyDescent="0.2">
      <c r="A5284" s="24" t="s">
        <v>12601</v>
      </c>
      <c r="B5284" s="24" t="s">
        <v>12602</v>
      </c>
      <c r="C5284" s="24" t="s">
        <v>12603</v>
      </c>
      <c r="D5284" s="24" t="s">
        <v>17</v>
      </c>
      <c r="E5284" s="24" t="s">
        <v>48</v>
      </c>
      <c r="F5284" s="24" t="s">
        <v>49</v>
      </c>
      <c r="G5284" s="24" t="s">
        <v>44</v>
      </c>
      <c r="H5284" s="26">
        <v>206</v>
      </c>
      <c r="I5284" s="24" t="s">
        <v>21</v>
      </c>
      <c r="J5284" s="36">
        <v>45757</v>
      </c>
      <c r="K5284" s="24" t="s">
        <v>22</v>
      </c>
    </row>
    <row r="5285" spans="1:11" x14ac:dyDescent="0.2">
      <c r="A5285" s="27" t="s">
        <v>12604</v>
      </c>
      <c r="B5285" s="27" t="s">
        <v>12605</v>
      </c>
      <c r="C5285" s="27" t="s">
        <v>68</v>
      </c>
      <c r="D5285" s="27" t="s">
        <v>17</v>
      </c>
      <c r="E5285" s="27" t="s">
        <v>18</v>
      </c>
      <c r="F5285" s="27" t="s">
        <v>19</v>
      </c>
      <c r="G5285" s="27" t="s">
        <v>20</v>
      </c>
      <c r="H5285" s="29">
        <v>53</v>
      </c>
      <c r="I5285" s="27" t="s">
        <v>21</v>
      </c>
      <c r="J5285" s="37">
        <v>45770</v>
      </c>
      <c r="K5285" s="27" t="s">
        <v>22</v>
      </c>
    </row>
    <row r="5286" spans="1:11" x14ac:dyDescent="0.2">
      <c r="A5286" s="24" t="s">
        <v>12606</v>
      </c>
      <c r="B5286" s="24" t="s">
        <v>12607</v>
      </c>
      <c r="C5286" s="24" t="s">
        <v>12608</v>
      </c>
      <c r="D5286" s="24" t="s">
        <v>17</v>
      </c>
      <c r="E5286" s="24" t="s">
        <v>26</v>
      </c>
      <c r="F5286" s="24" t="s">
        <v>27</v>
      </c>
      <c r="G5286" s="24" t="s">
        <v>116</v>
      </c>
      <c r="H5286" s="26">
        <v>0</v>
      </c>
      <c r="I5286" s="24" t="s">
        <v>21</v>
      </c>
      <c r="J5286" s="36">
        <v>45748</v>
      </c>
      <c r="K5286" s="24" t="s">
        <v>22</v>
      </c>
    </row>
    <row r="5287" spans="1:11" x14ac:dyDescent="0.2">
      <c r="A5287" s="27" t="s">
        <v>12609</v>
      </c>
      <c r="B5287" s="27" t="s">
        <v>12610</v>
      </c>
      <c r="C5287" s="27" t="s">
        <v>12611</v>
      </c>
      <c r="D5287" s="27" t="s">
        <v>17</v>
      </c>
      <c r="E5287" s="27" t="s">
        <v>33</v>
      </c>
      <c r="F5287" s="27" t="s">
        <v>34</v>
      </c>
      <c r="G5287" s="27" t="s">
        <v>28</v>
      </c>
      <c r="H5287" s="29">
        <v>630</v>
      </c>
      <c r="I5287" s="27" t="s">
        <v>29</v>
      </c>
      <c r="J5287" s="37">
        <v>45777</v>
      </c>
      <c r="K5287" s="27" t="s">
        <v>22</v>
      </c>
    </row>
    <row r="5288" spans="1:11" x14ac:dyDescent="0.2">
      <c r="A5288" s="24" t="s">
        <v>12612</v>
      </c>
      <c r="B5288" s="24" t="s">
        <v>12613</v>
      </c>
      <c r="C5288" s="24" t="s">
        <v>12614</v>
      </c>
      <c r="D5288" s="24" t="s">
        <v>17</v>
      </c>
      <c r="E5288" s="24" t="s">
        <v>33</v>
      </c>
      <c r="F5288" s="24" t="s">
        <v>34</v>
      </c>
      <c r="G5288" s="24" t="s">
        <v>217</v>
      </c>
      <c r="H5288" s="26">
        <v>415</v>
      </c>
      <c r="I5288" s="24" t="s">
        <v>29</v>
      </c>
      <c r="J5288" s="36">
        <v>45748</v>
      </c>
      <c r="K5288" s="24" t="s">
        <v>22</v>
      </c>
    </row>
    <row r="5289" spans="1:11" x14ac:dyDescent="0.2">
      <c r="A5289" s="27" t="s">
        <v>12615</v>
      </c>
      <c r="B5289" s="27" t="s">
        <v>12616</v>
      </c>
      <c r="C5289" s="27" t="s">
        <v>2494</v>
      </c>
      <c r="D5289" s="27" t="s">
        <v>17</v>
      </c>
      <c r="E5289" s="27" t="s">
        <v>163</v>
      </c>
      <c r="F5289" s="27" t="s">
        <v>164</v>
      </c>
      <c r="G5289" s="27" t="s">
        <v>217</v>
      </c>
      <c r="H5289" s="29">
        <v>18</v>
      </c>
      <c r="I5289" s="27" t="s">
        <v>29</v>
      </c>
      <c r="J5289" s="37">
        <v>45777</v>
      </c>
      <c r="K5289" s="27" t="s">
        <v>22</v>
      </c>
    </row>
    <row r="5290" spans="1:11" x14ac:dyDescent="0.2">
      <c r="A5290" s="24" t="s">
        <v>12617</v>
      </c>
      <c r="B5290" s="24" t="s">
        <v>12618</v>
      </c>
      <c r="C5290" s="24" t="s">
        <v>12619</v>
      </c>
      <c r="D5290" s="24" t="s">
        <v>17</v>
      </c>
      <c r="E5290" s="24" t="s">
        <v>81</v>
      </c>
      <c r="F5290" s="24" t="s">
        <v>82</v>
      </c>
      <c r="G5290" s="24" t="s">
        <v>217</v>
      </c>
      <c r="H5290" s="26">
        <v>800</v>
      </c>
      <c r="I5290" s="24" t="s">
        <v>29</v>
      </c>
      <c r="J5290" s="36">
        <v>45748</v>
      </c>
      <c r="K5290" s="24" t="s">
        <v>22</v>
      </c>
    </row>
    <row r="5291" spans="1:11" x14ac:dyDescent="0.2">
      <c r="A5291" s="27" t="s">
        <v>12620</v>
      </c>
      <c r="B5291" s="27" t="s">
        <v>12621</v>
      </c>
      <c r="C5291" s="27" t="s">
        <v>1199</v>
      </c>
      <c r="D5291" s="27" t="s">
        <v>17</v>
      </c>
      <c r="E5291" s="27" t="s">
        <v>33</v>
      </c>
      <c r="F5291" s="27" t="s">
        <v>34</v>
      </c>
      <c r="G5291" s="27" t="s">
        <v>28</v>
      </c>
      <c r="H5291" s="29">
        <v>840</v>
      </c>
      <c r="I5291" s="27" t="s">
        <v>29</v>
      </c>
      <c r="J5291" s="37">
        <v>45772</v>
      </c>
      <c r="K5291" s="27" t="s">
        <v>22</v>
      </c>
    </row>
    <row r="5292" spans="1:11" x14ac:dyDescent="0.2">
      <c r="A5292" s="24" t="s">
        <v>12622</v>
      </c>
      <c r="B5292" s="24" t="s">
        <v>12623</v>
      </c>
      <c r="C5292" s="24" t="s">
        <v>12624</v>
      </c>
      <c r="D5292" s="24" t="s">
        <v>17</v>
      </c>
      <c r="E5292" s="24" t="s">
        <v>48</v>
      </c>
      <c r="F5292" s="24" t="s">
        <v>49</v>
      </c>
      <c r="G5292" s="24" t="s">
        <v>217</v>
      </c>
      <c r="H5292" s="26">
        <v>45</v>
      </c>
      <c r="I5292" s="24" t="s">
        <v>29</v>
      </c>
      <c r="J5292" s="36">
        <v>45777</v>
      </c>
      <c r="K5292" s="24" t="s">
        <v>22</v>
      </c>
    </row>
    <row r="5293" spans="1:11" x14ac:dyDescent="0.2">
      <c r="A5293" s="27" t="s">
        <v>12625</v>
      </c>
      <c r="B5293" s="27" t="s">
        <v>12626</v>
      </c>
      <c r="C5293" s="27" t="s">
        <v>1883</v>
      </c>
      <c r="D5293" s="27" t="s">
        <v>17</v>
      </c>
      <c r="E5293" s="27" t="s">
        <v>48</v>
      </c>
      <c r="F5293" s="27" t="s">
        <v>49</v>
      </c>
      <c r="G5293" s="27" t="s">
        <v>28</v>
      </c>
      <c r="H5293" s="29">
        <v>216</v>
      </c>
      <c r="I5293" s="27" t="s">
        <v>29</v>
      </c>
      <c r="J5293" s="37">
        <v>45777</v>
      </c>
      <c r="K5293" s="27" t="s">
        <v>22</v>
      </c>
    </row>
    <row r="5294" spans="1:11" x14ac:dyDescent="0.2">
      <c r="A5294" s="24" t="s">
        <v>12627</v>
      </c>
      <c r="B5294" s="24" t="s">
        <v>12628</v>
      </c>
      <c r="C5294" s="24" t="s">
        <v>12629</v>
      </c>
      <c r="D5294" s="24" t="s">
        <v>17</v>
      </c>
      <c r="E5294" s="24" t="s">
        <v>26</v>
      </c>
      <c r="F5294" s="24" t="s">
        <v>27</v>
      </c>
      <c r="G5294" s="24" t="s">
        <v>28</v>
      </c>
      <c r="H5294" s="26">
        <v>112</v>
      </c>
      <c r="I5294" s="24" t="s">
        <v>29</v>
      </c>
      <c r="J5294" s="36">
        <v>45775</v>
      </c>
      <c r="K5294" s="24" t="s">
        <v>22</v>
      </c>
    </row>
    <row r="5295" spans="1:11" x14ac:dyDescent="0.2">
      <c r="A5295" s="27" t="s">
        <v>12630</v>
      </c>
      <c r="B5295" s="27" t="s">
        <v>12631</v>
      </c>
      <c r="C5295" s="27" t="s">
        <v>97</v>
      </c>
      <c r="D5295" s="27" t="s">
        <v>17</v>
      </c>
      <c r="E5295" s="27" t="s">
        <v>18</v>
      </c>
      <c r="F5295" s="27" t="s">
        <v>19</v>
      </c>
      <c r="G5295" s="27" t="s">
        <v>20</v>
      </c>
      <c r="H5295" s="29">
        <v>254</v>
      </c>
      <c r="I5295" s="27" t="s">
        <v>21</v>
      </c>
      <c r="J5295" s="37">
        <v>45754</v>
      </c>
      <c r="K5295" s="27" t="s">
        <v>22</v>
      </c>
    </row>
    <row r="5296" spans="1:11" x14ac:dyDescent="0.2">
      <c r="A5296" s="24" t="s">
        <v>12632</v>
      </c>
      <c r="B5296" s="24" t="s">
        <v>12633</v>
      </c>
      <c r="C5296" s="24" t="s">
        <v>921</v>
      </c>
      <c r="D5296" s="24" t="s">
        <v>17</v>
      </c>
      <c r="E5296" s="24" t="s">
        <v>18</v>
      </c>
      <c r="F5296" s="24" t="s">
        <v>19</v>
      </c>
      <c r="G5296" s="24" t="s">
        <v>217</v>
      </c>
      <c r="H5296" s="26">
        <v>66</v>
      </c>
      <c r="I5296" s="24" t="s">
        <v>29</v>
      </c>
      <c r="J5296" s="36">
        <v>45748</v>
      </c>
      <c r="K5296" s="24" t="s">
        <v>22</v>
      </c>
    </row>
    <row r="5297" spans="1:11" x14ac:dyDescent="0.2">
      <c r="A5297" s="27" t="s">
        <v>12634</v>
      </c>
      <c r="B5297" s="27" t="s">
        <v>12635</v>
      </c>
      <c r="C5297" s="27" t="s">
        <v>1346</v>
      </c>
      <c r="D5297" s="27" t="s">
        <v>17</v>
      </c>
      <c r="E5297" s="27" t="s">
        <v>18</v>
      </c>
      <c r="F5297" s="27" t="s">
        <v>19</v>
      </c>
      <c r="G5297" s="27" t="s">
        <v>217</v>
      </c>
      <c r="H5297" s="29">
        <v>6</v>
      </c>
      <c r="I5297" s="27" t="s">
        <v>29</v>
      </c>
      <c r="J5297" s="37">
        <v>45754</v>
      </c>
      <c r="K5297" s="27" t="s">
        <v>22</v>
      </c>
    </row>
    <row r="5298" spans="1:11" x14ac:dyDescent="0.2">
      <c r="A5298" s="24" t="s">
        <v>12636</v>
      </c>
      <c r="B5298" s="24" t="s">
        <v>12637</v>
      </c>
      <c r="C5298" s="24" t="s">
        <v>526</v>
      </c>
      <c r="D5298" s="24" t="s">
        <v>17</v>
      </c>
      <c r="E5298" s="24" t="s">
        <v>42</v>
      </c>
      <c r="F5298" s="24" t="s">
        <v>43</v>
      </c>
      <c r="G5298" s="24" t="s">
        <v>44</v>
      </c>
      <c r="H5298" s="26">
        <v>206</v>
      </c>
      <c r="I5298" s="24" t="s">
        <v>29</v>
      </c>
      <c r="J5298" s="36">
        <v>45768</v>
      </c>
      <c r="K5298" s="24" t="s">
        <v>22</v>
      </c>
    </row>
    <row r="5299" spans="1:11" x14ac:dyDescent="0.2">
      <c r="A5299" s="27" t="s">
        <v>12638</v>
      </c>
      <c r="B5299" s="27" t="s">
        <v>12639</v>
      </c>
      <c r="C5299" s="27" t="s">
        <v>298</v>
      </c>
      <c r="D5299" s="27" t="s">
        <v>17</v>
      </c>
      <c r="E5299" s="27" t="s">
        <v>26</v>
      </c>
      <c r="F5299" s="27" t="s">
        <v>27</v>
      </c>
      <c r="G5299" s="27" t="s">
        <v>28</v>
      </c>
      <c r="H5299" s="29">
        <v>100</v>
      </c>
      <c r="I5299" s="27" t="s">
        <v>29</v>
      </c>
      <c r="J5299" s="37">
        <v>45777</v>
      </c>
      <c r="K5299" s="27" t="s">
        <v>22</v>
      </c>
    </row>
    <row r="5300" spans="1:11" x14ac:dyDescent="0.2">
      <c r="A5300" s="24" t="s">
        <v>12640</v>
      </c>
      <c r="B5300" s="24" t="s">
        <v>12641</v>
      </c>
      <c r="C5300" s="24" t="s">
        <v>3136</v>
      </c>
      <c r="D5300" s="24" t="s">
        <v>17</v>
      </c>
      <c r="E5300" s="24" t="s">
        <v>18</v>
      </c>
      <c r="F5300" s="24" t="s">
        <v>19</v>
      </c>
      <c r="G5300" s="24" t="s">
        <v>20</v>
      </c>
      <c r="H5300" s="26">
        <v>16</v>
      </c>
      <c r="I5300" s="24" t="s">
        <v>21</v>
      </c>
      <c r="J5300" s="36">
        <v>45770</v>
      </c>
      <c r="K5300" s="24" t="s">
        <v>22</v>
      </c>
    </row>
    <row r="5301" spans="1:11" x14ac:dyDescent="0.2">
      <c r="A5301" s="27" t="s">
        <v>12642</v>
      </c>
      <c r="B5301" s="27" t="s">
        <v>12643</v>
      </c>
      <c r="C5301" s="27" t="s">
        <v>1053</v>
      </c>
      <c r="D5301" s="27" t="s">
        <v>17</v>
      </c>
      <c r="E5301" s="27" t="s">
        <v>42</v>
      </c>
      <c r="F5301" s="27" t="s">
        <v>43</v>
      </c>
      <c r="G5301" s="27" t="s">
        <v>28</v>
      </c>
      <c r="H5301" s="29">
        <v>194</v>
      </c>
      <c r="I5301" s="27" t="s">
        <v>29</v>
      </c>
      <c r="J5301" s="37">
        <v>45755</v>
      </c>
      <c r="K5301" s="27" t="s">
        <v>22</v>
      </c>
    </row>
    <row r="5302" spans="1:11" x14ac:dyDescent="0.2">
      <c r="A5302" s="24" t="s">
        <v>12644</v>
      </c>
      <c r="B5302" s="24" t="s">
        <v>12645</v>
      </c>
      <c r="C5302" s="24" t="s">
        <v>1199</v>
      </c>
      <c r="D5302" s="24" t="s">
        <v>17</v>
      </c>
      <c r="E5302" s="24" t="s">
        <v>42</v>
      </c>
      <c r="F5302" s="24" t="s">
        <v>43</v>
      </c>
      <c r="G5302" s="24" t="s">
        <v>28</v>
      </c>
      <c r="H5302" s="26">
        <v>380</v>
      </c>
      <c r="I5302" s="24" t="s">
        <v>29</v>
      </c>
      <c r="J5302" s="36">
        <v>45776</v>
      </c>
      <c r="K5302" s="24" t="s">
        <v>22</v>
      </c>
    </row>
    <row r="5303" spans="1:11" x14ac:dyDescent="0.2">
      <c r="A5303" s="27" t="s">
        <v>12646</v>
      </c>
      <c r="B5303" s="27" t="s">
        <v>12647</v>
      </c>
      <c r="C5303" s="27" t="s">
        <v>203</v>
      </c>
      <c r="D5303" s="27" t="s">
        <v>17</v>
      </c>
      <c r="E5303" s="27" t="s">
        <v>48</v>
      </c>
      <c r="F5303" s="27" t="s">
        <v>49</v>
      </c>
      <c r="G5303" s="27" t="s">
        <v>28</v>
      </c>
      <c r="H5303" s="29">
        <v>50</v>
      </c>
      <c r="I5303" s="27" t="s">
        <v>29</v>
      </c>
      <c r="J5303" s="37">
        <v>45749</v>
      </c>
      <c r="K5303" s="27" t="s">
        <v>22</v>
      </c>
    </row>
    <row r="5304" spans="1:11" x14ac:dyDescent="0.2">
      <c r="A5304" s="24" t="s">
        <v>12648</v>
      </c>
      <c r="B5304" s="24" t="s">
        <v>12649</v>
      </c>
      <c r="C5304" s="24" t="s">
        <v>236</v>
      </c>
      <c r="D5304" s="24" t="s">
        <v>17</v>
      </c>
      <c r="E5304" s="24" t="s">
        <v>18</v>
      </c>
      <c r="F5304" s="24" t="s">
        <v>19</v>
      </c>
      <c r="G5304" s="24" t="s">
        <v>28</v>
      </c>
      <c r="H5304" s="26">
        <v>160</v>
      </c>
      <c r="I5304" s="24" t="s">
        <v>29</v>
      </c>
      <c r="J5304" s="36">
        <v>45750</v>
      </c>
      <c r="K5304" s="24" t="s">
        <v>22</v>
      </c>
    </row>
    <row r="5305" spans="1:11" x14ac:dyDescent="0.2">
      <c r="A5305" s="27" t="s">
        <v>12650</v>
      </c>
      <c r="B5305" s="27" t="s">
        <v>12651</v>
      </c>
      <c r="C5305" s="27" t="s">
        <v>68</v>
      </c>
      <c r="D5305" s="27" t="s">
        <v>17</v>
      </c>
      <c r="E5305" s="27" t="s">
        <v>18</v>
      </c>
      <c r="F5305" s="27" t="s">
        <v>19</v>
      </c>
      <c r="G5305" s="27" t="s">
        <v>20</v>
      </c>
      <c r="H5305" s="29">
        <v>20</v>
      </c>
      <c r="I5305" s="27" t="s">
        <v>21</v>
      </c>
      <c r="J5305" s="37">
        <v>45775</v>
      </c>
      <c r="K5305" s="27" t="s">
        <v>22</v>
      </c>
    </row>
    <row r="5306" spans="1:11" x14ac:dyDescent="0.2">
      <c r="A5306" s="24" t="s">
        <v>12652</v>
      </c>
      <c r="B5306" s="24" t="s">
        <v>12653</v>
      </c>
      <c r="C5306" s="24" t="s">
        <v>12654</v>
      </c>
      <c r="D5306" s="24" t="s">
        <v>17</v>
      </c>
      <c r="E5306" s="24" t="s">
        <v>42</v>
      </c>
      <c r="F5306" s="24" t="s">
        <v>43</v>
      </c>
      <c r="G5306" s="24" t="s">
        <v>28</v>
      </c>
      <c r="H5306" s="26">
        <v>500</v>
      </c>
      <c r="I5306" s="24" t="s">
        <v>29</v>
      </c>
      <c r="J5306" s="36">
        <v>45764</v>
      </c>
      <c r="K5306" s="24" t="s">
        <v>22</v>
      </c>
    </row>
    <row r="5307" spans="1:11" x14ac:dyDescent="0.2">
      <c r="A5307" s="27" t="s">
        <v>12655</v>
      </c>
      <c r="B5307" s="27" t="s">
        <v>12656</v>
      </c>
      <c r="C5307" s="27" t="s">
        <v>12657</v>
      </c>
      <c r="D5307" s="27" t="s">
        <v>17</v>
      </c>
      <c r="E5307" s="27" t="s">
        <v>42</v>
      </c>
      <c r="F5307" s="27" t="s">
        <v>43</v>
      </c>
      <c r="G5307" s="27" t="s">
        <v>28</v>
      </c>
      <c r="H5307" s="29">
        <v>150</v>
      </c>
      <c r="I5307" s="27" t="s">
        <v>29</v>
      </c>
      <c r="J5307" s="37">
        <v>45751</v>
      </c>
      <c r="K5307" s="27" t="s">
        <v>22</v>
      </c>
    </row>
    <row r="5308" spans="1:11" x14ac:dyDescent="0.2">
      <c r="A5308" s="24" t="s">
        <v>12658</v>
      </c>
      <c r="B5308" s="24" t="s">
        <v>12659</v>
      </c>
      <c r="C5308" s="24" t="s">
        <v>2550</v>
      </c>
      <c r="D5308" s="24" t="s">
        <v>17</v>
      </c>
      <c r="E5308" s="24" t="s">
        <v>42</v>
      </c>
      <c r="F5308" s="24" t="s">
        <v>43</v>
      </c>
      <c r="G5308" s="24" t="s">
        <v>44</v>
      </c>
      <c r="H5308" s="26">
        <v>880</v>
      </c>
      <c r="I5308" s="24" t="s">
        <v>29</v>
      </c>
      <c r="J5308" s="36">
        <v>45754</v>
      </c>
      <c r="K5308" s="24" t="s">
        <v>22</v>
      </c>
    </row>
    <row r="5309" spans="1:11" x14ac:dyDescent="0.2">
      <c r="A5309" s="27" t="s">
        <v>12660</v>
      </c>
      <c r="B5309" s="27" t="s">
        <v>12661</v>
      </c>
      <c r="C5309" s="27" t="s">
        <v>12662</v>
      </c>
      <c r="D5309" s="27" t="s">
        <v>17</v>
      </c>
      <c r="E5309" s="27" t="s">
        <v>42</v>
      </c>
      <c r="F5309" s="27" t="s">
        <v>43</v>
      </c>
      <c r="G5309" s="27" t="s">
        <v>28</v>
      </c>
      <c r="H5309" s="29">
        <v>110</v>
      </c>
      <c r="I5309" s="27" t="s">
        <v>29</v>
      </c>
      <c r="J5309" s="37">
        <v>45754</v>
      </c>
      <c r="K5309" s="27" t="s">
        <v>22</v>
      </c>
    </row>
    <row r="5310" spans="1:11" x14ac:dyDescent="0.2">
      <c r="A5310" s="24" t="s">
        <v>12663</v>
      </c>
      <c r="B5310" s="24" t="s">
        <v>12664</v>
      </c>
      <c r="C5310" s="24" t="s">
        <v>1346</v>
      </c>
      <c r="D5310" s="24" t="s">
        <v>17</v>
      </c>
      <c r="E5310" s="24" t="s">
        <v>18</v>
      </c>
      <c r="F5310" s="24" t="s">
        <v>19</v>
      </c>
      <c r="G5310" s="24" t="s">
        <v>44</v>
      </c>
      <c r="H5310" s="26">
        <v>16</v>
      </c>
      <c r="I5310" s="24" t="s">
        <v>29</v>
      </c>
      <c r="J5310" s="36">
        <v>45755</v>
      </c>
      <c r="K5310" s="24" t="s">
        <v>22</v>
      </c>
    </row>
    <row r="5311" spans="1:11" x14ac:dyDescent="0.2">
      <c r="A5311" s="27" t="s">
        <v>12665</v>
      </c>
      <c r="B5311" s="27" t="s">
        <v>12666</v>
      </c>
      <c r="C5311" s="27" t="s">
        <v>526</v>
      </c>
      <c r="D5311" s="27" t="s">
        <v>17</v>
      </c>
      <c r="E5311" s="27" t="s">
        <v>42</v>
      </c>
      <c r="F5311" s="27" t="s">
        <v>43</v>
      </c>
      <c r="G5311" s="27" t="s">
        <v>44</v>
      </c>
      <c r="H5311" s="29">
        <v>905</v>
      </c>
      <c r="I5311" s="27" t="s">
        <v>29</v>
      </c>
      <c r="J5311" s="37">
        <v>45772</v>
      </c>
      <c r="K5311" s="27" t="s">
        <v>22</v>
      </c>
    </row>
    <row r="5312" spans="1:11" x14ac:dyDescent="0.2">
      <c r="A5312" s="24" t="s">
        <v>12667</v>
      </c>
      <c r="B5312" s="24" t="s">
        <v>12668</v>
      </c>
      <c r="C5312" s="24" t="s">
        <v>85</v>
      </c>
      <c r="D5312" s="24" t="s">
        <v>17</v>
      </c>
      <c r="E5312" s="24" t="s">
        <v>48</v>
      </c>
      <c r="F5312" s="24" t="s">
        <v>49</v>
      </c>
      <c r="G5312" s="24" t="s">
        <v>28</v>
      </c>
      <c r="H5312" s="26">
        <v>390</v>
      </c>
      <c r="I5312" s="24" t="s">
        <v>29</v>
      </c>
      <c r="J5312" s="36">
        <v>45771</v>
      </c>
      <c r="K5312" s="24" t="s">
        <v>22</v>
      </c>
    </row>
    <row r="5313" spans="1:11" x14ac:dyDescent="0.2">
      <c r="A5313" s="27" t="s">
        <v>12669</v>
      </c>
      <c r="B5313" s="27" t="s">
        <v>12670</v>
      </c>
      <c r="C5313" s="27" t="s">
        <v>1050</v>
      </c>
      <c r="D5313" s="27" t="s">
        <v>17</v>
      </c>
      <c r="E5313" s="27" t="s">
        <v>18</v>
      </c>
      <c r="F5313" s="27" t="s">
        <v>19</v>
      </c>
      <c r="G5313" s="27" t="s">
        <v>217</v>
      </c>
      <c r="H5313" s="29">
        <v>382</v>
      </c>
      <c r="I5313" s="27" t="s">
        <v>29</v>
      </c>
      <c r="J5313" s="37">
        <v>45777</v>
      </c>
      <c r="K5313" s="27" t="s">
        <v>22</v>
      </c>
    </row>
    <row r="5314" spans="1:11" x14ac:dyDescent="0.2">
      <c r="A5314" s="24" t="s">
        <v>12671</v>
      </c>
      <c r="B5314" s="24" t="s">
        <v>12672</v>
      </c>
      <c r="C5314" s="24" t="s">
        <v>4128</v>
      </c>
      <c r="D5314" s="24" t="s">
        <v>17</v>
      </c>
      <c r="E5314" s="24" t="s">
        <v>18</v>
      </c>
      <c r="F5314" s="24" t="s">
        <v>19</v>
      </c>
      <c r="G5314" s="24" t="s">
        <v>20</v>
      </c>
      <c r="H5314" s="26">
        <v>20</v>
      </c>
      <c r="I5314" s="24" t="s">
        <v>21</v>
      </c>
      <c r="J5314" s="36">
        <v>45755</v>
      </c>
      <c r="K5314" s="24" t="s">
        <v>22</v>
      </c>
    </row>
    <row r="5315" spans="1:11" x14ac:dyDescent="0.2">
      <c r="A5315" s="27" t="s">
        <v>12673</v>
      </c>
      <c r="B5315" s="27" t="s">
        <v>12674</v>
      </c>
      <c r="C5315" s="27" t="s">
        <v>12675</v>
      </c>
      <c r="D5315" s="27" t="s">
        <v>17</v>
      </c>
      <c r="E5315" s="27" t="s">
        <v>18</v>
      </c>
      <c r="F5315" s="27" t="s">
        <v>19</v>
      </c>
      <c r="G5315" s="27" t="s">
        <v>28</v>
      </c>
      <c r="H5315" s="29">
        <v>30</v>
      </c>
      <c r="I5315" s="27" t="s">
        <v>29</v>
      </c>
      <c r="J5315" s="37">
        <v>45754</v>
      </c>
      <c r="K5315" s="27" t="s">
        <v>22</v>
      </c>
    </row>
    <row r="5316" spans="1:11" x14ac:dyDescent="0.2">
      <c r="A5316" s="24" t="s">
        <v>12676</v>
      </c>
      <c r="B5316" s="24" t="s">
        <v>12677</v>
      </c>
      <c r="C5316" s="24" t="s">
        <v>5230</v>
      </c>
      <c r="D5316" s="24" t="s">
        <v>17</v>
      </c>
      <c r="E5316" s="24" t="s">
        <v>26</v>
      </c>
      <c r="F5316" s="24" t="s">
        <v>27</v>
      </c>
      <c r="G5316" s="24" t="s">
        <v>28</v>
      </c>
      <c r="H5316" s="26">
        <v>80</v>
      </c>
      <c r="I5316" s="24" t="s">
        <v>29</v>
      </c>
      <c r="J5316" s="36">
        <v>45750</v>
      </c>
      <c r="K5316" s="24" t="s">
        <v>22</v>
      </c>
    </row>
    <row r="5317" spans="1:11" x14ac:dyDescent="0.2">
      <c r="A5317" s="27" t="s">
        <v>12678</v>
      </c>
      <c r="B5317" s="27" t="s">
        <v>12679</v>
      </c>
      <c r="C5317" s="27" t="s">
        <v>8254</v>
      </c>
      <c r="D5317" s="27" t="s">
        <v>17</v>
      </c>
      <c r="E5317" s="27" t="s">
        <v>42</v>
      </c>
      <c r="F5317" s="27" t="s">
        <v>43</v>
      </c>
      <c r="G5317" s="27" t="s">
        <v>28</v>
      </c>
      <c r="H5317" s="29">
        <v>120</v>
      </c>
      <c r="I5317" s="27" t="s">
        <v>29</v>
      </c>
      <c r="J5317" s="37">
        <v>45757</v>
      </c>
      <c r="K5317" s="27" t="s">
        <v>22</v>
      </c>
    </row>
    <row r="5318" spans="1:11" x14ac:dyDescent="0.2">
      <c r="A5318" s="24" t="s">
        <v>12680</v>
      </c>
      <c r="B5318" s="24" t="s">
        <v>12681</v>
      </c>
      <c r="C5318" s="24" t="s">
        <v>8544</v>
      </c>
      <c r="D5318" s="24" t="s">
        <v>17</v>
      </c>
      <c r="E5318" s="24" t="s">
        <v>18</v>
      </c>
      <c r="F5318" s="24" t="s">
        <v>19</v>
      </c>
      <c r="G5318" s="24" t="s">
        <v>28</v>
      </c>
      <c r="H5318" s="26">
        <v>154</v>
      </c>
      <c r="I5318" s="24" t="s">
        <v>29</v>
      </c>
      <c r="J5318" s="36">
        <v>45748</v>
      </c>
      <c r="K5318" s="24" t="s">
        <v>22</v>
      </c>
    </row>
    <row r="5319" spans="1:11" x14ac:dyDescent="0.2">
      <c r="A5319" s="27" t="s">
        <v>12682</v>
      </c>
      <c r="B5319" s="27" t="s">
        <v>12683</v>
      </c>
      <c r="C5319" s="27" t="s">
        <v>12684</v>
      </c>
      <c r="D5319" s="27" t="s">
        <v>17</v>
      </c>
      <c r="E5319" s="27" t="s">
        <v>26</v>
      </c>
      <c r="F5319" s="27" t="s">
        <v>27</v>
      </c>
      <c r="G5319" s="27" t="s">
        <v>28</v>
      </c>
      <c r="H5319" s="29">
        <v>76</v>
      </c>
      <c r="I5319" s="27" t="s">
        <v>29</v>
      </c>
      <c r="J5319" s="37">
        <v>45769</v>
      </c>
      <c r="K5319" s="27" t="s">
        <v>22</v>
      </c>
    </row>
    <row r="5320" spans="1:11" x14ac:dyDescent="0.2">
      <c r="A5320" s="24" t="s">
        <v>12685</v>
      </c>
      <c r="B5320" s="24" t="s">
        <v>12686</v>
      </c>
      <c r="C5320" s="24" t="s">
        <v>12687</v>
      </c>
      <c r="D5320" s="24" t="s">
        <v>17</v>
      </c>
      <c r="E5320" s="24" t="s">
        <v>48</v>
      </c>
      <c r="F5320" s="24" t="s">
        <v>49</v>
      </c>
      <c r="G5320" s="24" t="s">
        <v>28</v>
      </c>
      <c r="H5320" s="26">
        <v>30</v>
      </c>
      <c r="I5320" s="24" t="s">
        <v>29</v>
      </c>
      <c r="J5320" s="36">
        <v>45762</v>
      </c>
      <c r="K5320" s="24" t="s">
        <v>22</v>
      </c>
    </row>
    <row r="5321" spans="1:11" x14ac:dyDescent="0.2">
      <c r="A5321" s="27" t="s">
        <v>12688</v>
      </c>
      <c r="B5321" s="27" t="s">
        <v>12689</v>
      </c>
      <c r="C5321" s="27" t="s">
        <v>8379</v>
      </c>
      <c r="D5321" s="27" t="s">
        <v>17</v>
      </c>
      <c r="E5321" s="27" t="s">
        <v>18</v>
      </c>
      <c r="F5321" s="27" t="s">
        <v>19</v>
      </c>
      <c r="G5321" s="27" t="s">
        <v>20</v>
      </c>
      <c r="H5321" s="29">
        <v>54</v>
      </c>
      <c r="I5321" s="27" t="s">
        <v>21</v>
      </c>
      <c r="J5321" s="37">
        <v>45761</v>
      </c>
      <c r="K5321" s="27" t="s">
        <v>22</v>
      </c>
    </row>
    <row r="5322" spans="1:11" x14ac:dyDescent="0.2">
      <c r="A5322" s="24" t="s">
        <v>12690</v>
      </c>
      <c r="B5322" s="24" t="s">
        <v>12691</v>
      </c>
      <c r="C5322" s="24" t="s">
        <v>1895</v>
      </c>
      <c r="D5322" s="24" t="s">
        <v>17</v>
      </c>
      <c r="E5322" s="24" t="s">
        <v>26</v>
      </c>
      <c r="F5322" s="24" t="s">
        <v>27</v>
      </c>
      <c r="G5322" s="24" t="s">
        <v>28</v>
      </c>
      <c r="H5322" s="26">
        <v>645</v>
      </c>
      <c r="I5322" s="24" t="s">
        <v>29</v>
      </c>
      <c r="J5322" s="36">
        <v>45751</v>
      </c>
      <c r="K5322" s="24" t="s">
        <v>22</v>
      </c>
    </row>
    <row r="5323" spans="1:11" x14ac:dyDescent="0.2">
      <c r="A5323" s="27" t="s">
        <v>12692</v>
      </c>
      <c r="B5323" s="27" t="s">
        <v>12693</v>
      </c>
      <c r="C5323" s="27" t="s">
        <v>55</v>
      </c>
      <c r="D5323" s="27" t="s">
        <v>17</v>
      </c>
      <c r="E5323" s="27" t="s">
        <v>18</v>
      </c>
      <c r="F5323" s="27" t="s">
        <v>19</v>
      </c>
      <c r="G5323" s="27" t="s">
        <v>20</v>
      </c>
      <c r="H5323" s="29">
        <v>5</v>
      </c>
      <c r="I5323" s="27" t="s">
        <v>21</v>
      </c>
      <c r="J5323" s="37">
        <v>45770</v>
      </c>
      <c r="K5323" s="27" t="s">
        <v>22</v>
      </c>
    </row>
    <row r="5324" spans="1:11" x14ac:dyDescent="0.2">
      <c r="A5324" s="24" t="s">
        <v>12694</v>
      </c>
      <c r="B5324" s="24" t="s">
        <v>12695</v>
      </c>
      <c r="C5324" s="24" t="s">
        <v>6054</v>
      </c>
      <c r="D5324" s="24" t="s">
        <v>17</v>
      </c>
      <c r="E5324" s="24" t="s">
        <v>48</v>
      </c>
      <c r="F5324" s="24" t="s">
        <v>49</v>
      </c>
      <c r="G5324" s="24" t="s">
        <v>28</v>
      </c>
      <c r="H5324" s="26">
        <v>66</v>
      </c>
      <c r="I5324" s="24" t="s">
        <v>29</v>
      </c>
      <c r="J5324" s="36">
        <v>45754</v>
      </c>
      <c r="K5324" s="24" t="s">
        <v>22</v>
      </c>
    </row>
    <row r="5325" spans="1:11" x14ac:dyDescent="0.2">
      <c r="A5325" s="27" t="s">
        <v>12696</v>
      </c>
      <c r="B5325" s="27" t="s">
        <v>12697</v>
      </c>
      <c r="C5325" s="27" t="s">
        <v>1110</v>
      </c>
      <c r="D5325" s="27" t="s">
        <v>17</v>
      </c>
      <c r="E5325" s="27" t="s">
        <v>42</v>
      </c>
      <c r="F5325" s="27" t="s">
        <v>43</v>
      </c>
      <c r="G5325" s="27" t="s">
        <v>28</v>
      </c>
      <c r="H5325" s="29">
        <v>450</v>
      </c>
      <c r="I5325" s="27" t="s">
        <v>29</v>
      </c>
      <c r="J5325" s="37">
        <v>45756</v>
      </c>
      <c r="K5325" s="27" t="s">
        <v>22</v>
      </c>
    </row>
    <row r="5326" spans="1:11" x14ac:dyDescent="0.2">
      <c r="A5326" s="24" t="s">
        <v>12698</v>
      </c>
      <c r="B5326" s="24" t="s">
        <v>12699</v>
      </c>
      <c r="C5326" s="24" t="s">
        <v>429</v>
      </c>
      <c r="D5326" s="24" t="s">
        <v>17</v>
      </c>
      <c r="E5326" s="24" t="s">
        <v>48</v>
      </c>
      <c r="F5326" s="24" t="s">
        <v>49</v>
      </c>
      <c r="G5326" s="24" t="s">
        <v>28</v>
      </c>
      <c r="H5326" s="26">
        <v>141</v>
      </c>
      <c r="I5326" s="24" t="s">
        <v>29</v>
      </c>
      <c r="J5326" s="36">
        <v>45748</v>
      </c>
      <c r="K5326" s="24" t="s">
        <v>22</v>
      </c>
    </row>
    <row r="5327" spans="1:11" x14ac:dyDescent="0.2">
      <c r="A5327" s="27" t="s">
        <v>12700</v>
      </c>
      <c r="B5327" s="27" t="s">
        <v>12701</v>
      </c>
      <c r="C5327" s="27" t="s">
        <v>1663</v>
      </c>
      <c r="D5327" s="27" t="s">
        <v>17</v>
      </c>
      <c r="E5327" s="27" t="s">
        <v>42</v>
      </c>
      <c r="F5327" s="27" t="s">
        <v>43</v>
      </c>
      <c r="G5327" s="27" t="s">
        <v>217</v>
      </c>
      <c r="H5327" s="29">
        <v>656</v>
      </c>
      <c r="I5327" s="27" t="s">
        <v>29</v>
      </c>
      <c r="J5327" s="37">
        <v>45777</v>
      </c>
      <c r="K5327" s="27" t="s">
        <v>22</v>
      </c>
    </row>
    <row r="5328" spans="1:11" x14ac:dyDescent="0.2">
      <c r="A5328" s="24" t="s">
        <v>12702</v>
      </c>
      <c r="B5328" s="24" t="s">
        <v>12703</v>
      </c>
      <c r="C5328" s="24" t="s">
        <v>6457</v>
      </c>
      <c r="D5328" s="24" t="s">
        <v>17</v>
      </c>
      <c r="E5328" s="24" t="s">
        <v>18</v>
      </c>
      <c r="F5328" s="24" t="s">
        <v>19</v>
      </c>
      <c r="G5328" s="24" t="s">
        <v>28</v>
      </c>
      <c r="H5328" s="26">
        <v>132</v>
      </c>
      <c r="I5328" s="24" t="s">
        <v>29</v>
      </c>
      <c r="J5328" s="36">
        <v>45750</v>
      </c>
      <c r="K5328" s="24" t="s">
        <v>22</v>
      </c>
    </row>
    <row r="5329" spans="1:11" x14ac:dyDescent="0.2">
      <c r="A5329" s="27" t="s">
        <v>12704</v>
      </c>
      <c r="B5329" s="27" t="s">
        <v>12705</v>
      </c>
      <c r="C5329" s="27" t="s">
        <v>55</v>
      </c>
      <c r="D5329" s="27" t="s">
        <v>17</v>
      </c>
      <c r="E5329" s="27" t="s">
        <v>48</v>
      </c>
      <c r="F5329" s="27" t="s">
        <v>49</v>
      </c>
      <c r="G5329" s="27" t="s">
        <v>28</v>
      </c>
      <c r="H5329" s="29">
        <v>594</v>
      </c>
      <c r="I5329" s="27" t="s">
        <v>29</v>
      </c>
      <c r="J5329" s="37">
        <v>45758</v>
      </c>
      <c r="K5329" s="27" t="s">
        <v>22</v>
      </c>
    </row>
    <row r="5330" spans="1:11" x14ac:dyDescent="0.2">
      <c r="A5330" s="24" t="s">
        <v>12706</v>
      </c>
      <c r="B5330" s="24" t="s">
        <v>12707</v>
      </c>
      <c r="C5330" s="24" t="s">
        <v>618</v>
      </c>
      <c r="D5330" s="24" t="s">
        <v>17</v>
      </c>
      <c r="E5330" s="24" t="s">
        <v>42</v>
      </c>
      <c r="F5330" s="24" t="s">
        <v>43</v>
      </c>
      <c r="G5330" s="24" t="s">
        <v>217</v>
      </c>
      <c r="H5330" s="26">
        <v>117</v>
      </c>
      <c r="I5330" s="24" t="s">
        <v>29</v>
      </c>
      <c r="J5330" s="36">
        <v>45777</v>
      </c>
      <c r="K5330" s="24" t="s">
        <v>22</v>
      </c>
    </row>
    <row r="5331" spans="1:11" x14ac:dyDescent="0.2">
      <c r="A5331" s="27" t="s">
        <v>12708</v>
      </c>
      <c r="B5331" s="27" t="s">
        <v>12709</v>
      </c>
      <c r="C5331" s="27" t="s">
        <v>12710</v>
      </c>
      <c r="D5331" s="27" t="s">
        <v>17</v>
      </c>
      <c r="E5331" s="27" t="s">
        <v>18</v>
      </c>
      <c r="F5331" s="27" t="s">
        <v>19</v>
      </c>
      <c r="G5331" s="27" t="s">
        <v>28</v>
      </c>
      <c r="H5331" s="29">
        <v>16</v>
      </c>
      <c r="I5331" s="27" t="s">
        <v>29</v>
      </c>
      <c r="J5331" s="37">
        <v>45763</v>
      </c>
      <c r="K5331" s="27" t="s">
        <v>22</v>
      </c>
    </row>
    <row r="5332" spans="1:11" x14ac:dyDescent="0.2">
      <c r="A5332" s="24" t="s">
        <v>12711</v>
      </c>
      <c r="B5332" s="24" t="s">
        <v>12712</v>
      </c>
      <c r="C5332" s="24" t="s">
        <v>298</v>
      </c>
      <c r="D5332" s="24" t="s">
        <v>17</v>
      </c>
      <c r="E5332" s="24" t="s">
        <v>42</v>
      </c>
      <c r="F5332" s="24" t="s">
        <v>43</v>
      </c>
      <c r="G5332" s="24" t="s">
        <v>28</v>
      </c>
      <c r="H5332" s="26">
        <v>695</v>
      </c>
      <c r="I5332" s="24" t="s">
        <v>29</v>
      </c>
      <c r="J5332" s="36">
        <v>45751</v>
      </c>
      <c r="K5332" s="24" t="s">
        <v>22</v>
      </c>
    </row>
    <row r="5333" spans="1:11" x14ac:dyDescent="0.2">
      <c r="A5333" s="27" t="s">
        <v>12713</v>
      </c>
      <c r="B5333" s="27" t="s">
        <v>12714</v>
      </c>
      <c r="C5333" s="27" t="s">
        <v>5041</v>
      </c>
      <c r="D5333" s="27" t="s">
        <v>17</v>
      </c>
      <c r="E5333" s="27" t="s">
        <v>18</v>
      </c>
      <c r="F5333" s="27" t="s">
        <v>19</v>
      </c>
      <c r="G5333" s="27" t="s">
        <v>20</v>
      </c>
      <c r="H5333" s="29">
        <v>180</v>
      </c>
      <c r="I5333" s="27" t="s">
        <v>21</v>
      </c>
      <c r="J5333" s="37">
        <v>45752</v>
      </c>
      <c r="K5333" s="27" t="s">
        <v>22</v>
      </c>
    </row>
    <row r="5334" spans="1:11" x14ac:dyDescent="0.2">
      <c r="A5334" s="24" t="s">
        <v>12715</v>
      </c>
      <c r="B5334" s="24" t="s">
        <v>12716</v>
      </c>
      <c r="C5334" s="24" t="s">
        <v>708</v>
      </c>
      <c r="D5334" s="24" t="s">
        <v>17</v>
      </c>
      <c r="E5334" s="24" t="s">
        <v>48</v>
      </c>
      <c r="F5334" s="24" t="s">
        <v>49</v>
      </c>
      <c r="G5334" s="24" t="s">
        <v>59</v>
      </c>
      <c r="H5334" s="26">
        <v>34</v>
      </c>
      <c r="I5334" s="24" t="s">
        <v>21</v>
      </c>
      <c r="J5334" s="36">
        <v>45763</v>
      </c>
      <c r="K5334" s="24" t="s">
        <v>22</v>
      </c>
    </row>
    <row r="5335" spans="1:11" x14ac:dyDescent="0.2">
      <c r="A5335" s="27" t="s">
        <v>12717</v>
      </c>
      <c r="B5335" s="27" t="s">
        <v>12718</v>
      </c>
      <c r="C5335" s="27" t="s">
        <v>12719</v>
      </c>
      <c r="D5335" s="27" t="s">
        <v>17</v>
      </c>
      <c r="E5335" s="27" t="s">
        <v>18</v>
      </c>
      <c r="F5335" s="27" t="s">
        <v>19</v>
      </c>
      <c r="G5335" s="27" t="s">
        <v>28</v>
      </c>
      <c r="H5335" s="29">
        <v>125</v>
      </c>
      <c r="I5335" s="27" t="s">
        <v>29</v>
      </c>
      <c r="J5335" s="37">
        <v>45775</v>
      </c>
      <c r="K5335" s="27" t="s">
        <v>22</v>
      </c>
    </row>
    <row r="5336" spans="1:11" x14ac:dyDescent="0.2">
      <c r="A5336" s="24" t="s">
        <v>12720</v>
      </c>
      <c r="B5336" s="24" t="s">
        <v>12721</v>
      </c>
      <c r="C5336" s="24" t="s">
        <v>12722</v>
      </c>
      <c r="D5336" s="24" t="s">
        <v>17</v>
      </c>
      <c r="E5336" s="24" t="s">
        <v>26</v>
      </c>
      <c r="F5336" s="24" t="s">
        <v>27</v>
      </c>
      <c r="G5336" s="24" t="s">
        <v>28</v>
      </c>
      <c r="H5336" s="26">
        <v>36</v>
      </c>
      <c r="I5336" s="24" t="s">
        <v>29</v>
      </c>
      <c r="J5336" s="36">
        <v>45772</v>
      </c>
      <c r="K5336" s="24" t="s">
        <v>22</v>
      </c>
    </row>
    <row r="5337" spans="1:11" x14ac:dyDescent="0.2">
      <c r="A5337" s="27" t="s">
        <v>12723</v>
      </c>
      <c r="B5337" s="27" t="s">
        <v>12724</v>
      </c>
      <c r="C5337" s="27" t="s">
        <v>2484</v>
      </c>
      <c r="D5337" s="27" t="s">
        <v>17</v>
      </c>
      <c r="E5337" s="27" t="s">
        <v>18</v>
      </c>
      <c r="F5337" s="27" t="s">
        <v>19</v>
      </c>
      <c r="G5337" s="27" t="s">
        <v>28</v>
      </c>
      <c r="H5337" s="29">
        <v>32</v>
      </c>
      <c r="I5337" s="27" t="s">
        <v>29</v>
      </c>
      <c r="J5337" s="37">
        <v>45775</v>
      </c>
      <c r="K5337" s="27" t="s">
        <v>22</v>
      </c>
    </row>
    <row r="5338" spans="1:11" x14ac:dyDescent="0.2">
      <c r="A5338" s="24" t="s">
        <v>12725</v>
      </c>
      <c r="B5338" s="24" t="s">
        <v>12726</v>
      </c>
      <c r="C5338" s="24" t="s">
        <v>12727</v>
      </c>
      <c r="D5338" s="24" t="s">
        <v>17</v>
      </c>
      <c r="E5338" s="24" t="s">
        <v>42</v>
      </c>
      <c r="F5338" s="24" t="s">
        <v>43</v>
      </c>
      <c r="G5338" s="24" t="s">
        <v>28</v>
      </c>
      <c r="H5338" s="26">
        <v>266</v>
      </c>
      <c r="I5338" s="24" t="s">
        <v>29</v>
      </c>
      <c r="J5338" s="36">
        <v>45765</v>
      </c>
      <c r="K5338" s="24" t="s">
        <v>22</v>
      </c>
    </row>
    <row r="5339" spans="1:11" x14ac:dyDescent="0.2">
      <c r="A5339" s="27" t="s">
        <v>12728</v>
      </c>
      <c r="B5339" s="27" t="s">
        <v>12729</v>
      </c>
      <c r="C5339" s="27" t="s">
        <v>1110</v>
      </c>
      <c r="D5339" s="27" t="s">
        <v>17</v>
      </c>
      <c r="E5339" s="27" t="s">
        <v>48</v>
      </c>
      <c r="F5339" s="27" t="s">
        <v>49</v>
      </c>
      <c r="G5339" s="27" t="s">
        <v>28</v>
      </c>
      <c r="H5339" s="29">
        <v>50</v>
      </c>
      <c r="I5339" s="27" t="s">
        <v>29</v>
      </c>
      <c r="J5339" s="37">
        <v>45751</v>
      </c>
      <c r="K5339" s="27" t="s">
        <v>22</v>
      </c>
    </row>
    <row r="5340" spans="1:11" x14ac:dyDescent="0.2">
      <c r="A5340" s="24" t="s">
        <v>12730</v>
      </c>
      <c r="B5340" s="24" t="s">
        <v>12731</v>
      </c>
      <c r="C5340" s="24" t="s">
        <v>8886</v>
      </c>
      <c r="D5340" s="24" t="s">
        <v>17</v>
      </c>
      <c r="E5340" s="24" t="s">
        <v>18</v>
      </c>
      <c r="F5340" s="24" t="s">
        <v>19</v>
      </c>
      <c r="G5340" s="24" t="s">
        <v>20</v>
      </c>
      <c r="H5340" s="26">
        <v>16</v>
      </c>
      <c r="I5340" s="24" t="s">
        <v>21</v>
      </c>
      <c r="J5340" s="36">
        <v>45761</v>
      </c>
      <c r="K5340" s="24" t="s">
        <v>22</v>
      </c>
    </row>
    <row r="5341" spans="1:11" x14ac:dyDescent="0.2">
      <c r="A5341" s="27" t="s">
        <v>12732</v>
      </c>
      <c r="B5341" s="27" t="s">
        <v>12733</v>
      </c>
      <c r="C5341" s="27" t="s">
        <v>2779</v>
      </c>
      <c r="D5341" s="27" t="s">
        <v>17</v>
      </c>
      <c r="E5341" s="27" t="s">
        <v>42</v>
      </c>
      <c r="F5341" s="27" t="s">
        <v>43</v>
      </c>
      <c r="G5341" s="27" t="s">
        <v>28</v>
      </c>
      <c r="H5341" s="29">
        <v>250</v>
      </c>
      <c r="I5341" s="27" t="s">
        <v>29</v>
      </c>
      <c r="J5341" s="37">
        <v>45757</v>
      </c>
      <c r="K5341" s="27" t="s">
        <v>22</v>
      </c>
    </row>
    <row r="5342" spans="1:11" x14ac:dyDescent="0.2">
      <c r="A5342" s="24" t="s">
        <v>12734</v>
      </c>
      <c r="B5342" s="24" t="s">
        <v>12735</v>
      </c>
      <c r="C5342" s="24" t="s">
        <v>2331</v>
      </c>
      <c r="D5342" s="24" t="s">
        <v>17</v>
      </c>
      <c r="E5342" s="24" t="s">
        <v>26</v>
      </c>
      <c r="F5342" s="24" t="s">
        <v>27</v>
      </c>
      <c r="G5342" s="24" t="s">
        <v>28</v>
      </c>
      <c r="H5342" s="26">
        <v>380</v>
      </c>
      <c r="I5342" s="24" t="s">
        <v>29</v>
      </c>
      <c r="J5342" s="36">
        <v>45770</v>
      </c>
      <c r="K5342" s="24" t="s">
        <v>22</v>
      </c>
    </row>
    <row r="5343" spans="1:11" x14ac:dyDescent="0.2">
      <c r="A5343" s="27" t="s">
        <v>12736</v>
      </c>
      <c r="B5343" s="27" t="s">
        <v>12737</v>
      </c>
      <c r="C5343" s="27" t="s">
        <v>7296</v>
      </c>
      <c r="D5343" s="27" t="s">
        <v>17</v>
      </c>
      <c r="E5343" s="27" t="s">
        <v>18</v>
      </c>
      <c r="F5343" s="27" t="s">
        <v>19</v>
      </c>
      <c r="G5343" s="27" t="s">
        <v>116</v>
      </c>
      <c r="H5343" s="29">
        <v>0</v>
      </c>
      <c r="I5343" s="27" t="s">
        <v>21</v>
      </c>
      <c r="J5343" s="37">
        <v>45763</v>
      </c>
      <c r="K5343" s="27" t="s">
        <v>22</v>
      </c>
    </row>
    <row r="5344" spans="1:11" x14ac:dyDescent="0.2">
      <c r="A5344" s="24" t="s">
        <v>12738</v>
      </c>
      <c r="B5344" s="24" t="s">
        <v>12739</v>
      </c>
      <c r="C5344" s="24" t="s">
        <v>810</v>
      </c>
      <c r="D5344" s="24" t="s">
        <v>17</v>
      </c>
      <c r="E5344" s="24" t="s">
        <v>18</v>
      </c>
      <c r="F5344" s="24" t="s">
        <v>19</v>
      </c>
      <c r="G5344" s="24" t="s">
        <v>44</v>
      </c>
      <c r="H5344" s="26">
        <v>32</v>
      </c>
      <c r="I5344" s="24" t="s">
        <v>21</v>
      </c>
      <c r="J5344" s="36">
        <v>45761</v>
      </c>
      <c r="K5344" s="24" t="s">
        <v>22</v>
      </c>
    </row>
    <row r="5345" spans="1:11" x14ac:dyDescent="0.2">
      <c r="A5345" s="27" t="s">
        <v>12740</v>
      </c>
      <c r="B5345" s="27" t="s">
        <v>12741</v>
      </c>
      <c r="C5345" s="27" t="s">
        <v>55</v>
      </c>
      <c r="D5345" s="27" t="s">
        <v>17</v>
      </c>
      <c r="E5345" s="27" t="s">
        <v>18</v>
      </c>
      <c r="F5345" s="27" t="s">
        <v>19</v>
      </c>
      <c r="G5345" s="27" t="s">
        <v>20</v>
      </c>
      <c r="H5345" s="29">
        <v>34</v>
      </c>
      <c r="I5345" s="27" t="s">
        <v>21</v>
      </c>
      <c r="J5345" s="37">
        <v>45754</v>
      </c>
      <c r="K5345" s="27" t="s">
        <v>22</v>
      </c>
    </row>
    <row r="5346" spans="1:11" x14ac:dyDescent="0.2">
      <c r="A5346" s="24" t="s">
        <v>12742</v>
      </c>
      <c r="B5346" s="24" t="s">
        <v>12743</v>
      </c>
      <c r="C5346" s="24" t="s">
        <v>618</v>
      </c>
      <c r="D5346" s="24" t="s">
        <v>17</v>
      </c>
      <c r="E5346" s="24" t="s">
        <v>18</v>
      </c>
      <c r="F5346" s="24" t="s">
        <v>19</v>
      </c>
      <c r="G5346" s="24" t="s">
        <v>28</v>
      </c>
      <c r="H5346" s="26">
        <v>1050</v>
      </c>
      <c r="I5346" s="24" t="s">
        <v>29</v>
      </c>
      <c r="J5346" s="36">
        <v>45762</v>
      </c>
      <c r="K5346" s="24" t="s">
        <v>22</v>
      </c>
    </row>
    <row r="5347" spans="1:11" x14ac:dyDescent="0.2">
      <c r="A5347" s="27" t="s">
        <v>12744</v>
      </c>
      <c r="B5347" s="27" t="s">
        <v>12745</v>
      </c>
      <c r="C5347" s="27" t="s">
        <v>12746</v>
      </c>
      <c r="D5347" s="27" t="s">
        <v>17</v>
      </c>
      <c r="E5347" s="27" t="s">
        <v>18</v>
      </c>
      <c r="F5347" s="27" t="s">
        <v>19</v>
      </c>
      <c r="G5347" s="27" t="s">
        <v>28</v>
      </c>
      <c r="H5347" s="29">
        <v>53</v>
      </c>
      <c r="I5347" s="27" t="s">
        <v>29</v>
      </c>
      <c r="J5347" s="37">
        <v>45749</v>
      </c>
      <c r="K5347" s="27" t="s">
        <v>22</v>
      </c>
    </row>
    <row r="5348" spans="1:11" x14ac:dyDescent="0.2">
      <c r="A5348" s="24" t="s">
        <v>12747</v>
      </c>
      <c r="B5348" s="24" t="s">
        <v>12748</v>
      </c>
      <c r="C5348" s="24" t="s">
        <v>4398</v>
      </c>
      <c r="D5348" s="24" t="s">
        <v>17</v>
      </c>
      <c r="E5348" s="24" t="s">
        <v>26</v>
      </c>
      <c r="F5348" s="24" t="s">
        <v>27</v>
      </c>
      <c r="G5348" s="24" t="s">
        <v>217</v>
      </c>
      <c r="H5348" s="26">
        <v>12</v>
      </c>
      <c r="I5348" s="24" t="s">
        <v>29</v>
      </c>
      <c r="J5348" s="36">
        <v>45762</v>
      </c>
      <c r="K5348" s="24" t="s">
        <v>22</v>
      </c>
    </row>
    <row r="5349" spans="1:11" x14ac:dyDescent="0.2">
      <c r="A5349" s="27" t="s">
        <v>12749</v>
      </c>
      <c r="B5349" s="27" t="s">
        <v>12750</v>
      </c>
      <c r="C5349" s="27" t="s">
        <v>2550</v>
      </c>
      <c r="D5349" s="27" t="s">
        <v>17</v>
      </c>
      <c r="E5349" s="27" t="s">
        <v>18</v>
      </c>
      <c r="F5349" s="27" t="s">
        <v>19</v>
      </c>
      <c r="G5349" s="27" t="s">
        <v>28</v>
      </c>
      <c r="H5349" s="29">
        <v>28</v>
      </c>
      <c r="I5349" s="27" t="s">
        <v>29</v>
      </c>
      <c r="J5349" s="37">
        <v>45756</v>
      </c>
      <c r="K5349" s="27" t="s">
        <v>22</v>
      </c>
    </row>
    <row r="5350" spans="1:11" x14ac:dyDescent="0.2">
      <c r="A5350" s="24" t="s">
        <v>12751</v>
      </c>
      <c r="B5350" s="24" t="s">
        <v>12752</v>
      </c>
      <c r="C5350" s="24" t="s">
        <v>55</v>
      </c>
      <c r="D5350" s="24" t="s">
        <v>17</v>
      </c>
      <c r="E5350" s="24" t="s">
        <v>26</v>
      </c>
      <c r="F5350" s="24" t="s">
        <v>27</v>
      </c>
      <c r="G5350" s="24" t="s">
        <v>28</v>
      </c>
      <c r="H5350" s="26">
        <v>280</v>
      </c>
      <c r="I5350" s="24" t="s">
        <v>29</v>
      </c>
      <c r="J5350" s="36">
        <v>45762</v>
      </c>
      <c r="K5350" s="24" t="s">
        <v>22</v>
      </c>
    </row>
    <row r="5351" spans="1:11" x14ac:dyDescent="0.2">
      <c r="A5351" s="27" t="s">
        <v>12753</v>
      </c>
      <c r="B5351" s="27" t="s">
        <v>12754</v>
      </c>
      <c r="C5351" s="27" t="s">
        <v>437</v>
      </c>
      <c r="D5351" s="27" t="s">
        <v>17</v>
      </c>
      <c r="E5351" s="27" t="s">
        <v>18</v>
      </c>
      <c r="F5351" s="27" t="s">
        <v>19</v>
      </c>
      <c r="G5351" s="27" t="s">
        <v>59</v>
      </c>
      <c r="H5351" s="29">
        <v>48</v>
      </c>
      <c r="I5351" s="27" t="s">
        <v>21</v>
      </c>
      <c r="J5351" s="37">
        <v>45755</v>
      </c>
      <c r="K5351" s="27" t="s">
        <v>22</v>
      </c>
    </row>
    <row r="5352" spans="1:11" x14ac:dyDescent="0.2">
      <c r="A5352" s="24" t="s">
        <v>12755</v>
      </c>
      <c r="B5352" s="24" t="s">
        <v>12756</v>
      </c>
      <c r="C5352" s="24" t="s">
        <v>55</v>
      </c>
      <c r="D5352" s="24" t="s">
        <v>17</v>
      </c>
      <c r="E5352" s="24" t="s">
        <v>42</v>
      </c>
      <c r="F5352" s="24" t="s">
        <v>43</v>
      </c>
      <c r="G5352" s="24" t="s">
        <v>28</v>
      </c>
      <c r="H5352" s="26">
        <v>770</v>
      </c>
      <c r="I5352" s="24" t="s">
        <v>29</v>
      </c>
      <c r="J5352" s="36">
        <v>45756</v>
      </c>
      <c r="K5352" s="24" t="s">
        <v>22</v>
      </c>
    </row>
    <row r="5353" spans="1:11" x14ac:dyDescent="0.2">
      <c r="A5353" s="27" t="s">
        <v>12757</v>
      </c>
      <c r="B5353" s="27" t="s">
        <v>12758</v>
      </c>
      <c r="C5353" s="27" t="s">
        <v>1110</v>
      </c>
      <c r="D5353" s="27" t="s">
        <v>17</v>
      </c>
      <c r="E5353" s="27" t="s">
        <v>18</v>
      </c>
      <c r="F5353" s="27" t="s">
        <v>19</v>
      </c>
      <c r="G5353" s="27" t="s">
        <v>28</v>
      </c>
      <c r="H5353" s="29">
        <v>345</v>
      </c>
      <c r="I5353" s="27" t="s">
        <v>29</v>
      </c>
      <c r="J5353" s="37">
        <v>45777</v>
      </c>
      <c r="K5353" s="27" t="s">
        <v>22</v>
      </c>
    </row>
    <row r="5354" spans="1:11" x14ac:dyDescent="0.2">
      <c r="A5354" s="24" t="s">
        <v>12759</v>
      </c>
      <c r="B5354" s="24" t="s">
        <v>12760</v>
      </c>
      <c r="C5354" s="24" t="s">
        <v>6436</v>
      </c>
      <c r="D5354" s="24" t="s">
        <v>17</v>
      </c>
      <c r="E5354" s="24" t="s">
        <v>48</v>
      </c>
      <c r="F5354" s="24" t="s">
        <v>49</v>
      </c>
      <c r="G5354" s="24" t="s">
        <v>44</v>
      </c>
      <c r="H5354" s="26">
        <v>83</v>
      </c>
      <c r="I5354" s="24" t="s">
        <v>21</v>
      </c>
      <c r="J5354" s="36">
        <v>45770</v>
      </c>
      <c r="K5354" s="24" t="s">
        <v>22</v>
      </c>
    </row>
    <row r="5355" spans="1:11" x14ac:dyDescent="0.2">
      <c r="A5355" s="27" t="s">
        <v>12761</v>
      </c>
      <c r="B5355" s="27" t="s">
        <v>12762</v>
      </c>
      <c r="C5355" s="27" t="s">
        <v>12763</v>
      </c>
      <c r="D5355" s="27" t="s">
        <v>17</v>
      </c>
      <c r="E5355" s="27" t="s">
        <v>42</v>
      </c>
      <c r="F5355" s="27" t="s">
        <v>43</v>
      </c>
      <c r="G5355" s="27" t="s">
        <v>116</v>
      </c>
      <c r="H5355" s="29">
        <v>0</v>
      </c>
      <c r="I5355" s="27" t="s">
        <v>21</v>
      </c>
      <c r="J5355" s="37">
        <v>45765</v>
      </c>
      <c r="K5355" s="27" t="s">
        <v>22</v>
      </c>
    </row>
    <row r="5356" spans="1:11" x14ac:dyDescent="0.2">
      <c r="A5356" s="24" t="s">
        <v>12764</v>
      </c>
      <c r="B5356" s="24" t="s">
        <v>12765</v>
      </c>
      <c r="C5356" s="24" t="s">
        <v>12766</v>
      </c>
      <c r="D5356" s="24" t="s">
        <v>17</v>
      </c>
      <c r="E5356" s="24" t="s">
        <v>18</v>
      </c>
      <c r="F5356" s="24" t="s">
        <v>19</v>
      </c>
      <c r="G5356" s="24" t="s">
        <v>217</v>
      </c>
      <c r="H5356" s="26">
        <v>48</v>
      </c>
      <c r="I5356" s="24" t="s">
        <v>29</v>
      </c>
      <c r="J5356" s="36">
        <v>45748</v>
      </c>
      <c r="K5356" s="24" t="s">
        <v>22</v>
      </c>
    </row>
    <row r="5357" spans="1:11" x14ac:dyDescent="0.2">
      <c r="A5357" s="27" t="s">
        <v>12767</v>
      </c>
      <c r="B5357" s="27" t="s">
        <v>12768</v>
      </c>
      <c r="C5357" s="27" t="s">
        <v>10928</v>
      </c>
      <c r="D5357" s="27" t="s">
        <v>17</v>
      </c>
      <c r="E5357" s="27" t="s">
        <v>18</v>
      </c>
      <c r="F5357" s="27" t="s">
        <v>19</v>
      </c>
      <c r="G5357" s="27" t="s">
        <v>28</v>
      </c>
      <c r="H5357" s="29">
        <v>40</v>
      </c>
      <c r="I5357" s="27" t="s">
        <v>29</v>
      </c>
      <c r="J5357" s="37">
        <v>45754</v>
      </c>
      <c r="K5357" s="27" t="s">
        <v>22</v>
      </c>
    </row>
    <row r="5358" spans="1:11" x14ac:dyDescent="0.2">
      <c r="A5358" s="24" t="s">
        <v>12769</v>
      </c>
      <c r="B5358" s="24" t="s">
        <v>12770</v>
      </c>
      <c r="C5358" s="24" t="s">
        <v>3687</v>
      </c>
      <c r="D5358" s="24" t="s">
        <v>17</v>
      </c>
      <c r="E5358" s="24" t="s">
        <v>48</v>
      </c>
      <c r="F5358" s="24" t="s">
        <v>49</v>
      </c>
      <c r="G5358" s="24" t="s">
        <v>28</v>
      </c>
      <c r="H5358" s="26">
        <v>48</v>
      </c>
      <c r="I5358" s="24" t="s">
        <v>29</v>
      </c>
      <c r="J5358" s="36">
        <v>45756</v>
      </c>
      <c r="K5358" s="24" t="s">
        <v>22</v>
      </c>
    </row>
    <row r="5359" spans="1:11" x14ac:dyDescent="0.2">
      <c r="A5359" s="27" t="s">
        <v>12771</v>
      </c>
      <c r="B5359" s="27" t="s">
        <v>12772</v>
      </c>
      <c r="C5359" s="27" t="s">
        <v>1059</v>
      </c>
      <c r="D5359" s="27" t="s">
        <v>17</v>
      </c>
      <c r="E5359" s="27" t="s">
        <v>18</v>
      </c>
      <c r="F5359" s="27" t="s">
        <v>19</v>
      </c>
      <c r="G5359" s="27" t="s">
        <v>28</v>
      </c>
      <c r="H5359" s="29">
        <v>48</v>
      </c>
      <c r="I5359" s="27" t="s">
        <v>29</v>
      </c>
      <c r="J5359" s="37">
        <v>45748</v>
      </c>
      <c r="K5359" s="27" t="s">
        <v>22</v>
      </c>
    </row>
    <row r="5360" spans="1:11" x14ac:dyDescent="0.2">
      <c r="A5360" s="24" t="s">
        <v>12773</v>
      </c>
      <c r="B5360" s="24" t="s">
        <v>12774</v>
      </c>
      <c r="C5360" s="24" t="s">
        <v>55</v>
      </c>
      <c r="D5360" s="24" t="s">
        <v>17</v>
      </c>
      <c r="E5360" s="24" t="s">
        <v>48</v>
      </c>
      <c r="F5360" s="24" t="s">
        <v>49</v>
      </c>
      <c r="G5360" s="24" t="s">
        <v>44</v>
      </c>
      <c r="H5360" s="26">
        <v>160</v>
      </c>
      <c r="I5360" s="24" t="s">
        <v>29</v>
      </c>
      <c r="J5360" s="36">
        <v>45748</v>
      </c>
      <c r="K5360" s="24" t="s">
        <v>22</v>
      </c>
    </row>
    <row r="5361" spans="1:11" x14ac:dyDescent="0.2">
      <c r="A5361" s="27" t="s">
        <v>12775</v>
      </c>
      <c r="B5361" s="27" t="s">
        <v>12776</v>
      </c>
      <c r="C5361" s="27" t="s">
        <v>429</v>
      </c>
      <c r="D5361" s="27" t="s">
        <v>17</v>
      </c>
      <c r="E5361" s="27" t="s">
        <v>26</v>
      </c>
      <c r="F5361" s="27" t="s">
        <v>27</v>
      </c>
      <c r="G5361" s="27" t="s">
        <v>28</v>
      </c>
      <c r="H5361" s="29">
        <v>250</v>
      </c>
      <c r="I5361" s="27" t="s">
        <v>29</v>
      </c>
      <c r="J5361" s="37">
        <v>45765</v>
      </c>
      <c r="K5361" s="27" t="s">
        <v>22</v>
      </c>
    </row>
    <row r="5362" spans="1:11" x14ac:dyDescent="0.2">
      <c r="A5362" s="24" t="s">
        <v>12777</v>
      </c>
      <c r="B5362" s="24" t="s">
        <v>12778</v>
      </c>
      <c r="C5362" s="24" t="s">
        <v>5735</v>
      </c>
      <c r="D5362" s="24" t="s">
        <v>17</v>
      </c>
      <c r="E5362" s="24" t="s">
        <v>26</v>
      </c>
      <c r="F5362" s="24" t="s">
        <v>27</v>
      </c>
      <c r="G5362" s="24" t="s">
        <v>28</v>
      </c>
      <c r="H5362" s="26">
        <v>33</v>
      </c>
      <c r="I5362" s="24" t="s">
        <v>29</v>
      </c>
      <c r="J5362" s="36">
        <v>45750</v>
      </c>
      <c r="K5362" s="24" t="s">
        <v>22</v>
      </c>
    </row>
    <row r="5363" spans="1:11" x14ac:dyDescent="0.2">
      <c r="A5363" s="27" t="s">
        <v>12779</v>
      </c>
      <c r="B5363" s="27" t="s">
        <v>12780</v>
      </c>
      <c r="C5363" s="27" t="s">
        <v>251</v>
      </c>
      <c r="D5363" s="27" t="s">
        <v>17</v>
      </c>
      <c r="E5363" s="27" t="s">
        <v>26</v>
      </c>
      <c r="F5363" s="27" t="s">
        <v>27</v>
      </c>
      <c r="G5363" s="27" t="s">
        <v>28</v>
      </c>
      <c r="H5363" s="29">
        <v>280</v>
      </c>
      <c r="I5363" s="27" t="s">
        <v>29</v>
      </c>
      <c r="J5363" s="37">
        <v>45750</v>
      </c>
      <c r="K5363" s="27" t="s">
        <v>22</v>
      </c>
    </row>
    <row r="5364" spans="1:11" x14ac:dyDescent="0.2">
      <c r="A5364" s="24" t="s">
        <v>12781</v>
      </c>
      <c r="B5364" s="24" t="s">
        <v>12782</v>
      </c>
      <c r="C5364" s="24" t="s">
        <v>4128</v>
      </c>
      <c r="D5364" s="24" t="s">
        <v>17</v>
      </c>
      <c r="E5364" s="24" t="s">
        <v>18</v>
      </c>
      <c r="F5364" s="24" t="s">
        <v>19</v>
      </c>
      <c r="G5364" s="24" t="s">
        <v>20</v>
      </c>
      <c r="H5364" s="26">
        <v>20</v>
      </c>
      <c r="I5364" s="24" t="s">
        <v>21</v>
      </c>
      <c r="J5364" s="36">
        <v>45763</v>
      </c>
      <c r="K5364" s="24" t="s">
        <v>22</v>
      </c>
    </row>
    <row r="5365" spans="1:11" x14ac:dyDescent="0.2">
      <c r="A5365" s="27" t="s">
        <v>12783</v>
      </c>
      <c r="B5365" s="27" t="s">
        <v>12784</v>
      </c>
      <c r="C5365" s="27" t="s">
        <v>331</v>
      </c>
      <c r="D5365" s="27" t="s">
        <v>17</v>
      </c>
      <c r="E5365" s="27" t="s">
        <v>42</v>
      </c>
      <c r="F5365" s="27" t="s">
        <v>43</v>
      </c>
      <c r="G5365" s="27" t="s">
        <v>28</v>
      </c>
      <c r="H5365" s="29">
        <v>572</v>
      </c>
      <c r="I5365" s="27" t="s">
        <v>29</v>
      </c>
      <c r="J5365" s="37">
        <v>45749</v>
      </c>
      <c r="K5365" s="27" t="s">
        <v>22</v>
      </c>
    </row>
    <row r="5366" spans="1:11" x14ac:dyDescent="0.2">
      <c r="A5366" s="24" t="s">
        <v>12785</v>
      </c>
      <c r="B5366" s="24" t="s">
        <v>12786</v>
      </c>
      <c r="C5366" s="24" t="s">
        <v>12787</v>
      </c>
      <c r="D5366" s="24" t="s">
        <v>17</v>
      </c>
      <c r="E5366" s="24" t="s">
        <v>18</v>
      </c>
      <c r="F5366" s="24" t="s">
        <v>19</v>
      </c>
      <c r="G5366" s="24" t="s">
        <v>217</v>
      </c>
      <c r="H5366" s="26">
        <v>330</v>
      </c>
      <c r="I5366" s="24" t="s">
        <v>29</v>
      </c>
      <c r="J5366" s="36">
        <v>45771</v>
      </c>
      <c r="K5366" s="24" t="s">
        <v>22</v>
      </c>
    </row>
    <row r="5367" spans="1:11" x14ac:dyDescent="0.2">
      <c r="A5367" s="27" t="s">
        <v>12788</v>
      </c>
      <c r="B5367" s="27" t="s">
        <v>12789</v>
      </c>
      <c r="C5367" s="27" t="s">
        <v>526</v>
      </c>
      <c r="D5367" s="27" t="s">
        <v>17</v>
      </c>
      <c r="E5367" s="27" t="s">
        <v>42</v>
      </c>
      <c r="F5367" s="27" t="s">
        <v>43</v>
      </c>
      <c r="G5367" s="27" t="s">
        <v>28</v>
      </c>
      <c r="H5367" s="29">
        <v>487</v>
      </c>
      <c r="I5367" s="27" t="s">
        <v>29</v>
      </c>
      <c r="J5367" s="37">
        <v>45777</v>
      </c>
      <c r="K5367" s="27" t="s">
        <v>22</v>
      </c>
    </row>
    <row r="5368" spans="1:11" x14ac:dyDescent="0.2">
      <c r="A5368" s="24" t="s">
        <v>12790</v>
      </c>
      <c r="B5368" s="24" t="s">
        <v>12791</v>
      </c>
      <c r="C5368" s="24" t="s">
        <v>213</v>
      </c>
      <c r="D5368" s="24" t="s">
        <v>17</v>
      </c>
      <c r="E5368" s="24" t="s">
        <v>42</v>
      </c>
      <c r="F5368" s="24" t="s">
        <v>43</v>
      </c>
      <c r="G5368" s="24" t="s">
        <v>28</v>
      </c>
      <c r="H5368" s="26">
        <v>550</v>
      </c>
      <c r="I5368" s="24" t="s">
        <v>29</v>
      </c>
      <c r="J5368" s="36">
        <v>45763</v>
      </c>
      <c r="K5368" s="24" t="s">
        <v>22</v>
      </c>
    </row>
    <row r="5369" spans="1:11" x14ac:dyDescent="0.2">
      <c r="A5369" s="27" t="s">
        <v>12792</v>
      </c>
      <c r="B5369" s="27" t="s">
        <v>12793</v>
      </c>
      <c r="C5369" s="27" t="s">
        <v>12794</v>
      </c>
      <c r="D5369" s="27" t="s">
        <v>17</v>
      </c>
      <c r="E5369" s="27" t="s">
        <v>48</v>
      </c>
      <c r="F5369" s="27" t="s">
        <v>49</v>
      </c>
      <c r="G5369" s="27" t="s">
        <v>28</v>
      </c>
      <c r="H5369" s="29">
        <v>60</v>
      </c>
      <c r="I5369" s="27" t="s">
        <v>29</v>
      </c>
      <c r="J5369" s="37">
        <v>45749</v>
      </c>
      <c r="K5369" s="27" t="s">
        <v>22</v>
      </c>
    </row>
    <row r="5370" spans="1:11" x14ac:dyDescent="0.2">
      <c r="A5370" s="24" t="s">
        <v>12795</v>
      </c>
      <c r="B5370" s="24" t="s">
        <v>12796</v>
      </c>
      <c r="C5370" s="24" t="s">
        <v>12797</v>
      </c>
      <c r="D5370" s="24" t="s">
        <v>17</v>
      </c>
      <c r="E5370" s="24" t="s">
        <v>18</v>
      </c>
      <c r="F5370" s="24" t="s">
        <v>19</v>
      </c>
      <c r="G5370" s="24" t="s">
        <v>28</v>
      </c>
      <c r="H5370" s="26">
        <v>30</v>
      </c>
      <c r="I5370" s="24" t="s">
        <v>29</v>
      </c>
      <c r="J5370" s="36">
        <v>45777</v>
      </c>
      <c r="K5370" s="24" t="s">
        <v>22</v>
      </c>
    </row>
    <row r="5371" spans="1:11" x14ac:dyDescent="0.2">
      <c r="A5371" s="27" t="s">
        <v>12798</v>
      </c>
      <c r="B5371" s="27" t="s">
        <v>12799</v>
      </c>
      <c r="C5371" s="27" t="s">
        <v>12800</v>
      </c>
      <c r="D5371" s="27" t="s">
        <v>17</v>
      </c>
      <c r="E5371" s="27" t="s">
        <v>18</v>
      </c>
      <c r="F5371" s="27" t="s">
        <v>19</v>
      </c>
      <c r="G5371" s="27" t="s">
        <v>28</v>
      </c>
      <c r="H5371" s="29">
        <v>285</v>
      </c>
      <c r="I5371" s="27" t="s">
        <v>29</v>
      </c>
      <c r="J5371" s="37">
        <v>45776</v>
      </c>
      <c r="K5371" s="27" t="s">
        <v>22</v>
      </c>
    </row>
    <row r="5372" spans="1:11" x14ac:dyDescent="0.2">
      <c r="A5372" s="24" t="s">
        <v>12801</v>
      </c>
      <c r="B5372" s="24" t="s">
        <v>12802</v>
      </c>
      <c r="C5372" s="24" t="s">
        <v>12803</v>
      </c>
      <c r="D5372" s="24" t="s">
        <v>17</v>
      </c>
      <c r="E5372" s="24" t="s">
        <v>81</v>
      </c>
      <c r="F5372" s="24" t="s">
        <v>82</v>
      </c>
      <c r="G5372" s="24" t="s">
        <v>28</v>
      </c>
      <c r="H5372" s="26">
        <v>46</v>
      </c>
      <c r="I5372" s="24" t="s">
        <v>29</v>
      </c>
      <c r="J5372" s="36">
        <v>45763</v>
      </c>
      <c r="K5372" s="24" t="s">
        <v>22</v>
      </c>
    </row>
    <row r="5373" spans="1:11" x14ac:dyDescent="0.2">
      <c r="A5373" s="27" t="s">
        <v>12804</v>
      </c>
      <c r="B5373" s="27" t="s">
        <v>12805</v>
      </c>
      <c r="C5373" s="27" t="s">
        <v>494</v>
      </c>
      <c r="D5373" s="27" t="s">
        <v>17</v>
      </c>
      <c r="E5373" s="27" t="s">
        <v>42</v>
      </c>
      <c r="F5373" s="27" t="s">
        <v>43</v>
      </c>
      <c r="G5373" s="27" t="s">
        <v>28</v>
      </c>
      <c r="H5373" s="29">
        <v>199</v>
      </c>
      <c r="I5373" s="27" t="s">
        <v>29</v>
      </c>
      <c r="J5373" s="37">
        <v>45777</v>
      </c>
      <c r="K5373" s="27" t="s">
        <v>22</v>
      </c>
    </row>
    <row r="5374" spans="1:11" x14ac:dyDescent="0.2">
      <c r="A5374" s="24" t="s">
        <v>12806</v>
      </c>
      <c r="B5374" s="24" t="s">
        <v>12807</v>
      </c>
      <c r="C5374" s="24" t="s">
        <v>494</v>
      </c>
      <c r="D5374" s="24" t="s">
        <v>17</v>
      </c>
      <c r="E5374" s="24" t="s">
        <v>48</v>
      </c>
      <c r="F5374" s="24" t="s">
        <v>49</v>
      </c>
      <c r="G5374" s="24" t="s">
        <v>28</v>
      </c>
      <c r="H5374" s="26">
        <v>134</v>
      </c>
      <c r="I5374" s="24" t="s">
        <v>29</v>
      </c>
      <c r="J5374" s="36">
        <v>45754</v>
      </c>
      <c r="K5374" s="24" t="s">
        <v>22</v>
      </c>
    </row>
    <row r="5375" spans="1:11" x14ac:dyDescent="0.2">
      <c r="A5375" s="27" t="s">
        <v>12808</v>
      </c>
      <c r="B5375" s="27" t="s">
        <v>12809</v>
      </c>
      <c r="C5375" s="27" t="s">
        <v>5813</v>
      </c>
      <c r="D5375" s="27" t="s">
        <v>17</v>
      </c>
      <c r="E5375" s="27" t="s">
        <v>42</v>
      </c>
      <c r="F5375" s="27" t="s">
        <v>43</v>
      </c>
      <c r="G5375" s="27" t="s">
        <v>217</v>
      </c>
      <c r="H5375" s="29">
        <v>8000</v>
      </c>
      <c r="I5375" s="27" t="s">
        <v>29</v>
      </c>
      <c r="J5375" s="37">
        <v>45762</v>
      </c>
      <c r="K5375" s="27" t="s">
        <v>22</v>
      </c>
    </row>
    <row r="5376" spans="1:11" x14ac:dyDescent="0.2">
      <c r="A5376" s="24" t="s">
        <v>12810</v>
      </c>
      <c r="B5376" s="24" t="s">
        <v>12811</v>
      </c>
      <c r="C5376" s="24" t="s">
        <v>6436</v>
      </c>
      <c r="D5376" s="24" t="s">
        <v>17</v>
      </c>
      <c r="E5376" s="24" t="s">
        <v>48</v>
      </c>
      <c r="F5376" s="24" t="s">
        <v>49</v>
      </c>
      <c r="G5376" s="24" t="s">
        <v>217</v>
      </c>
      <c r="H5376" s="26">
        <v>264</v>
      </c>
      <c r="I5376" s="24" t="s">
        <v>29</v>
      </c>
      <c r="J5376" s="36">
        <v>45777</v>
      </c>
      <c r="K5376" s="24" t="s">
        <v>22</v>
      </c>
    </row>
    <row r="5377" spans="1:11" x14ac:dyDescent="0.2">
      <c r="A5377" s="27" t="s">
        <v>12812</v>
      </c>
      <c r="B5377" s="27" t="s">
        <v>12813</v>
      </c>
      <c r="C5377" s="27" t="s">
        <v>140</v>
      </c>
      <c r="D5377" s="27" t="s">
        <v>17</v>
      </c>
      <c r="E5377" s="27" t="s">
        <v>48</v>
      </c>
      <c r="F5377" s="27" t="s">
        <v>49</v>
      </c>
      <c r="G5377" s="27" t="s">
        <v>44</v>
      </c>
      <c r="H5377" s="29">
        <v>50</v>
      </c>
      <c r="I5377" s="27" t="s">
        <v>21</v>
      </c>
      <c r="J5377" s="37">
        <v>45771</v>
      </c>
      <c r="K5377" s="27" t="s">
        <v>22</v>
      </c>
    </row>
    <row r="5378" spans="1:11" x14ac:dyDescent="0.2">
      <c r="A5378" s="24" t="s">
        <v>12814</v>
      </c>
      <c r="B5378" s="24" t="s">
        <v>12815</v>
      </c>
      <c r="C5378" s="24" t="s">
        <v>2010</v>
      </c>
      <c r="D5378" s="24" t="s">
        <v>17</v>
      </c>
      <c r="E5378" s="24" t="s">
        <v>48</v>
      </c>
      <c r="F5378" s="24" t="s">
        <v>49</v>
      </c>
      <c r="G5378" s="24" t="s">
        <v>217</v>
      </c>
      <c r="H5378" s="26">
        <v>144</v>
      </c>
      <c r="I5378" s="24" t="s">
        <v>29</v>
      </c>
      <c r="J5378" s="36">
        <v>45757</v>
      </c>
      <c r="K5378" s="24" t="s">
        <v>22</v>
      </c>
    </row>
    <row r="5379" spans="1:11" x14ac:dyDescent="0.2">
      <c r="A5379" s="27" t="s">
        <v>12816</v>
      </c>
      <c r="B5379" s="27" t="s">
        <v>12817</v>
      </c>
      <c r="C5379" s="27" t="s">
        <v>97</v>
      </c>
      <c r="D5379" s="27" t="s">
        <v>17</v>
      </c>
      <c r="E5379" s="27" t="s">
        <v>18</v>
      </c>
      <c r="F5379" s="27" t="s">
        <v>19</v>
      </c>
      <c r="G5379" s="27" t="s">
        <v>20</v>
      </c>
      <c r="H5379" s="29">
        <v>12</v>
      </c>
      <c r="I5379" s="27" t="s">
        <v>21</v>
      </c>
      <c r="J5379" s="37">
        <v>45764</v>
      </c>
      <c r="K5379" s="27" t="s">
        <v>22</v>
      </c>
    </row>
    <row r="5380" spans="1:11" x14ac:dyDescent="0.2">
      <c r="A5380" s="24" t="s">
        <v>12818</v>
      </c>
      <c r="B5380" s="24" t="s">
        <v>12819</v>
      </c>
      <c r="C5380" s="24" t="s">
        <v>9855</v>
      </c>
      <c r="D5380" s="24" t="s">
        <v>17</v>
      </c>
      <c r="E5380" s="24" t="s">
        <v>18</v>
      </c>
      <c r="F5380" s="24" t="s">
        <v>19</v>
      </c>
      <c r="G5380" s="24" t="s">
        <v>20</v>
      </c>
      <c r="H5380" s="26">
        <v>24</v>
      </c>
      <c r="I5380" s="24" t="s">
        <v>21</v>
      </c>
      <c r="J5380" s="36">
        <v>45765</v>
      </c>
      <c r="K5380" s="24" t="s">
        <v>22</v>
      </c>
    </row>
    <row r="5381" spans="1:11" x14ac:dyDescent="0.2">
      <c r="A5381" s="27" t="s">
        <v>12820</v>
      </c>
      <c r="B5381" s="27" t="s">
        <v>12821</v>
      </c>
      <c r="C5381" s="27" t="s">
        <v>526</v>
      </c>
      <c r="D5381" s="27" t="s">
        <v>17</v>
      </c>
      <c r="E5381" s="27" t="s">
        <v>18</v>
      </c>
      <c r="F5381" s="27" t="s">
        <v>19</v>
      </c>
      <c r="G5381" s="27" t="s">
        <v>28</v>
      </c>
      <c r="H5381" s="29">
        <v>48</v>
      </c>
      <c r="I5381" s="27" t="s">
        <v>29</v>
      </c>
      <c r="J5381" s="37">
        <v>45755</v>
      </c>
      <c r="K5381" s="27" t="s">
        <v>22</v>
      </c>
    </row>
    <row r="5382" spans="1:11" x14ac:dyDescent="0.2">
      <c r="A5382" s="24" t="s">
        <v>12822</v>
      </c>
      <c r="B5382" s="24" t="s">
        <v>12823</v>
      </c>
      <c r="C5382" s="24" t="s">
        <v>12824</v>
      </c>
      <c r="D5382" s="24" t="s">
        <v>17</v>
      </c>
      <c r="E5382" s="24" t="s">
        <v>48</v>
      </c>
      <c r="F5382" s="24" t="s">
        <v>49</v>
      </c>
      <c r="G5382" s="24" t="s">
        <v>28</v>
      </c>
      <c r="H5382" s="26">
        <v>42</v>
      </c>
      <c r="I5382" s="24" t="s">
        <v>29</v>
      </c>
      <c r="J5382" s="36">
        <v>45756</v>
      </c>
      <c r="K5382" s="24" t="s">
        <v>22</v>
      </c>
    </row>
    <row r="5383" spans="1:11" x14ac:dyDescent="0.2">
      <c r="A5383" s="27" t="s">
        <v>12825</v>
      </c>
      <c r="B5383" s="27" t="s">
        <v>12826</v>
      </c>
      <c r="C5383" s="27" t="s">
        <v>12247</v>
      </c>
      <c r="D5383" s="27" t="s">
        <v>17</v>
      </c>
      <c r="E5383" s="27" t="s">
        <v>42</v>
      </c>
      <c r="F5383" s="27" t="s">
        <v>43</v>
      </c>
      <c r="G5383" s="27" t="s">
        <v>44</v>
      </c>
      <c r="H5383" s="29">
        <v>75</v>
      </c>
      <c r="I5383" s="27" t="s">
        <v>29</v>
      </c>
      <c r="J5383" s="37">
        <v>45776</v>
      </c>
      <c r="K5383" s="27" t="s">
        <v>22</v>
      </c>
    </row>
    <row r="5384" spans="1:11" x14ac:dyDescent="0.2">
      <c r="A5384" s="24" t="s">
        <v>12827</v>
      </c>
      <c r="B5384" s="24" t="s">
        <v>12828</v>
      </c>
      <c r="C5384" s="24" t="s">
        <v>1199</v>
      </c>
      <c r="D5384" s="24" t="s">
        <v>17</v>
      </c>
      <c r="E5384" s="24" t="s">
        <v>42</v>
      </c>
      <c r="F5384" s="24" t="s">
        <v>43</v>
      </c>
      <c r="G5384" s="24" t="s">
        <v>28</v>
      </c>
      <c r="H5384" s="26">
        <v>280</v>
      </c>
      <c r="I5384" s="24" t="s">
        <v>29</v>
      </c>
      <c r="J5384" s="36">
        <v>45771</v>
      </c>
      <c r="K5384" s="24" t="s">
        <v>22</v>
      </c>
    </row>
    <row r="5385" spans="1:11" x14ac:dyDescent="0.2">
      <c r="A5385" s="27" t="s">
        <v>12829</v>
      </c>
      <c r="B5385" s="27" t="s">
        <v>12830</v>
      </c>
      <c r="C5385" s="27" t="s">
        <v>2397</v>
      </c>
      <c r="D5385" s="27" t="s">
        <v>17</v>
      </c>
      <c r="E5385" s="27" t="s">
        <v>48</v>
      </c>
      <c r="F5385" s="27" t="s">
        <v>49</v>
      </c>
      <c r="G5385" s="27" t="s">
        <v>217</v>
      </c>
      <c r="H5385" s="29">
        <v>150</v>
      </c>
      <c r="I5385" s="27" t="s">
        <v>29</v>
      </c>
      <c r="J5385" s="37">
        <v>45748</v>
      </c>
      <c r="K5385" s="27" t="s">
        <v>22</v>
      </c>
    </row>
    <row r="5386" spans="1:11" x14ac:dyDescent="0.2">
      <c r="A5386" s="24" t="s">
        <v>12831</v>
      </c>
      <c r="B5386" s="24" t="s">
        <v>12832</v>
      </c>
      <c r="C5386" s="24" t="s">
        <v>8608</v>
      </c>
      <c r="D5386" s="24" t="s">
        <v>17</v>
      </c>
      <c r="E5386" s="24" t="s">
        <v>48</v>
      </c>
      <c r="F5386" s="24" t="s">
        <v>49</v>
      </c>
      <c r="G5386" s="24" t="s">
        <v>20</v>
      </c>
      <c r="H5386" s="26">
        <v>110</v>
      </c>
      <c r="I5386" s="24" t="s">
        <v>21</v>
      </c>
      <c r="J5386" s="36">
        <v>45754</v>
      </c>
      <c r="K5386" s="24" t="s">
        <v>22</v>
      </c>
    </row>
    <row r="5387" spans="1:11" x14ac:dyDescent="0.2">
      <c r="A5387" s="27" t="s">
        <v>12833</v>
      </c>
      <c r="B5387" s="27" t="s">
        <v>12834</v>
      </c>
      <c r="C5387" s="27" t="s">
        <v>12835</v>
      </c>
      <c r="D5387" s="27" t="s">
        <v>17</v>
      </c>
      <c r="E5387" s="27" t="s">
        <v>81</v>
      </c>
      <c r="F5387" s="27" t="s">
        <v>82</v>
      </c>
      <c r="G5387" s="27" t="s">
        <v>28</v>
      </c>
      <c r="H5387" s="29">
        <v>224</v>
      </c>
      <c r="I5387" s="27" t="s">
        <v>29</v>
      </c>
      <c r="J5387" s="37">
        <v>45768</v>
      </c>
      <c r="K5387" s="27" t="s">
        <v>22</v>
      </c>
    </row>
    <row r="5388" spans="1:11" x14ac:dyDescent="0.2">
      <c r="A5388" s="24" t="s">
        <v>12836</v>
      </c>
      <c r="B5388" s="24" t="s">
        <v>12837</v>
      </c>
      <c r="C5388" s="24" t="s">
        <v>526</v>
      </c>
      <c r="D5388" s="24" t="s">
        <v>17</v>
      </c>
      <c r="E5388" s="24" t="s">
        <v>18</v>
      </c>
      <c r="F5388" s="24" t="s">
        <v>19</v>
      </c>
      <c r="G5388" s="24" t="s">
        <v>20</v>
      </c>
      <c r="H5388" s="26">
        <v>188</v>
      </c>
      <c r="I5388" s="24" t="s">
        <v>21</v>
      </c>
      <c r="J5388" s="36">
        <v>45756</v>
      </c>
      <c r="K5388" s="24" t="s">
        <v>22</v>
      </c>
    </row>
    <row r="5389" spans="1:11" x14ac:dyDescent="0.2">
      <c r="A5389" s="27" t="s">
        <v>12838</v>
      </c>
      <c r="B5389" s="27" t="s">
        <v>12839</v>
      </c>
      <c r="C5389" s="27" t="s">
        <v>12840</v>
      </c>
      <c r="D5389" s="27" t="s">
        <v>17</v>
      </c>
      <c r="E5389" s="27" t="s">
        <v>18</v>
      </c>
      <c r="F5389" s="27" t="s">
        <v>19</v>
      </c>
      <c r="G5389" s="27" t="s">
        <v>28</v>
      </c>
      <c r="H5389" s="29">
        <v>120</v>
      </c>
      <c r="I5389" s="27" t="s">
        <v>29</v>
      </c>
      <c r="J5389" s="37">
        <v>45754</v>
      </c>
      <c r="K5389" s="27" t="s">
        <v>22</v>
      </c>
    </row>
    <row r="5390" spans="1:11" x14ac:dyDescent="0.2">
      <c r="A5390" s="24" t="s">
        <v>12841</v>
      </c>
      <c r="B5390" s="24" t="s">
        <v>12842</v>
      </c>
      <c r="C5390" s="24" t="s">
        <v>526</v>
      </c>
      <c r="D5390" s="24" t="s">
        <v>17</v>
      </c>
      <c r="E5390" s="24" t="s">
        <v>42</v>
      </c>
      <c r="F5390" s="24" t="s">
        <v>43</v>
      </c>
      <c r="G5390" s="24" t="s">
        <v>28</v>
      </c>
      <c r="H5390" s="26">
        <v>487</v>
      </c>
      <c r="I5390" s="24" t="s">
        <v>29</v>
      </c>
      <c r="J5390" s="36">
        <v>45777</v>
      </c>
      <c r="K5390" s="24" t="s">
        <v>22</v>
      </c>
    </row>
    <row r="5391" spans="1:11" x14ac:dyDescent="0.2">
      <c r="A5391" s="27" t="s">
        <v>12843</v>
      </c>
      <c r="B5391" s="27" t="s">
        <v>12844</v>
      </c>
      <c r="C5391" s="27" t="s">
        <v>518</v>
      </c>
      <c r="D5391" s="27" t="s">
        <v>17</v>
      </c>
      <c r="E5391" s="27" t="s">
        <v>48</v>
      </c>
      <c r="F5391" s="27" t="s">
        <v>49</v>
      </c>
      <c r="G5391" s="27" t="s">
        <v>28</v>
      </c>
      <c r="H5391" s="29">
        <v>30</v>
      </c>
      <c r="I5391" s="27" t="s">
        <v>29</v>
      </c>
      <c r="J5391" s="37">
        <v>45771</v>
      </c>
      <c r="K5391" s="27" t="s">
        <v>22</v>
      </c>
    </row>
    <row r="5392" spans="1:11" x14ac:dyDescent="0.2">
      <c r="A5392" s="24" t="s">
        <v>12845</v>
      </c>
      <c r="B5392" s="24" t="s">
        <v>12846</v>
      </c>
      <c r="C5392" s="24" t="s">
        <v>8477</v>
      </c>
      <c r="D5392" s="24" t="s">
        <v>17</v>
      </c>
      <c r="E5392" s="24" t="s">
        <v>18</v>
      </c>
      <c r="F5392" s="24" t="s">
        <v>19</v>
      </c>
      <c r="G5392" s="24" t="s">
        <v>217</v>
      </c>
      <c r="H5392" s="26">
        <v>15</v>
      </c>
      <c r="I5392" s="24" t="s">
        <v>29</v>
      </c>
      <c r="J5392" s="36">
        <v>45748</v>
      </c>
      <c r="K5392" s="24" t="s">
        <v>22</v>
      </c>
    </row>
    <row r="5393" spans="1:11" x14ac:dyDescent="0.2">
      <c r="A5393" s="27" t="s">
        <v>12847</v>
      </c>
      <c r="B5393" s="27" t="s">
        <v>12848</v>
      </c>
      <c r="C5393" s="27" t="s">
        <v>1158</v>
      </c>
      <c r="D5393" s="27" t="s">
        <v>17</v>
      </c>
      <c r="E5393" s="27" t="s">
        <v>81</v>
      </c>
      <c r="F5393" s="27" t="s">
        <v>82</v>
      </c>
      <c r="G5393" s="27" t="s">
        <v>28</v>
      </c>
      <c r="H5393" s="29">
        <v>30</v>
      </c>
      <c r="I5393" s="27" t="s">
        <v>29</v>
      </c>
      <c r="J5393" s="37">
        <v>45764</v>
      </c>
      <c r="K5393" s="27" t="s">
        <v>22</v>
      </c>
    </row>
    <row r="5394" spans="1:11" x14ac:dyDescent="0.2">
      <c r="A5394" s="24" t="s">
        <v>12849</v>
      </c>
      <c r="B5394" s="24" t="s">
        <v>12850</v>
      </c>
      <c r="C5394" s="24" t="s">
        <v>921</v>
      </c>
      <c r="D5394" s="24" t="s">
        <v>17</v>
      </c>
      <c r="E5394" s="24" t="s">
        <v>48</v>
      </c>
      <c r="F5394" s="24" t="s">
        <v>49</v>
      </c>
      <c r="G5394" s="24" t="s">
        <v>28</v>
      </c>
      <c r="H5394" s="26">
        <v>50</v>
      </c>
      <c r="I5394" s="24" t="s">
        <v>29</v>
      </c>
      <c r="J5394" s="36">
        <v>45765</v>
      </c>
      <c r="K5394" s="24" t="s">
        <v>22</v>
      </c>
    </row>
    <row r="5395" spans="1:11" x14ac:dyDescent="0.2">
      <c r="A5395" s="27" t="s">
        <v>12851</v>
      </c>
      <c r="B5395" s="27" t="s">
        <v>12852</v>
      </c>
      <c r="C5395" s="27" t="s">
        <v>494</v>
      </c>
      <c r="D5395" s="27" t="s">
        <v>17</v>
      </c>
      <c r="E5395" s="27" t="s">
        <v>26</v>
      </c>
      <c r="F5395" s="27" t="s">
        <v>27</v>
      </c>
      <c r="G5395" s="27" t="s">
        <v>28</v>
      </c>
      <c r="H5395" s="29">
        <v>90</v>
      </c>
      <c r="I5395" s="27" t="s">
        <v>29</v>
      </c>
      <c r="J5395" s="37">
        <v>45770</v>
      </c>
      <c r="K5395" s="27" t="s">
        <v>22</v>
      </c>
    </row>
    <row r="5396" spans="1:11" x14ac:dyDescent="0.2">
      <c r="A5396" s="24" t="s">
        <v>12853</v>
      </c>
      <c r="B5396" s="24" t="s">
        <v>12854</v>
      </c>
      <c r="C5396" s="24" t="s">
        <v>12855</v>
      </c>
      <c r="D5396" s="24" t="s">
        <v>17</v>
      </c>
      <c r="E5396" s="24" t="s">
        <v>42</v>
      </c>
      <c r="F5396" s="24" t="s">
        <v>43</v>
      </c>
      <c r="G5396" s="24" t="s">
        <v>28</v>
      </c>
      <c r="H5396" s="26">
        <v>221</v>
      </c>
      <c r="I5396" s="24" t="s">
        <v>29</v>
      </c>
      <c r="J5396" s="36">
        <v>45757</v>
      </c>
      <c r="K5396" s="24" t="s">
        <v>22</v>
      </c>
    </row>
    <row r="5397" spans="1:11" x14ac:dyDescent="0.2">
      <c r="A5397" s="27" t="s">
        <v>12856</v>
      </c>
      <c r="B5397" s="27" t="s">
        <v>12857</v>
      </c>
      <c r="C5397" s="27" t="s">
        <v>4131</v>
      </c>
      <c r="D5397" s="27" t="s">
        <v>17</v>
      </c>
      <c r="E5397" s="27" t="s">
        <v>18</v>
      </c>
      <c r="F5397" s="27" t="s">
        <v>19</v>
      </c>
      <c r="G5397" s="27" t="s">
        <v>20</v>
      </c>
      <c r="H5397" s="29">
        <v>120</v>
      </c>
      <c r="I5397" s="27" t="s">
        <v>21</v>
      </c>
      <c r="J5397" s="37">
        <v>45760</v>
      </c>
      <c r="K5397" s="27" t="s">
        <v>22</v>
      </c>
    </row>
    <row r="5398" spans="1:11" x14ac:dyDescent="0.2">
      <c r="A5398" s="24" t="s">
        <v>12858</v>
      </c>
      <c r="B5398" s="24" t="s">
        <v>12859</v>
      </c>
      <c r="C5398" s="24" t="s">
        <v>1307</v>
      </c>
      <c r="D5398" s="24" t="s">
        <v>17</v>
      </c>
      <c r="E5398" s="24" t="s">
        <v>48</v>
      </c>
      <c r="F5398" s="24" t="s">
        <v>49</v>
      </c>
      <c r="G5398" s="24" t="s">
        <v>28</v>
      </c>
      <c r="H5398" s="26">
        <v>225</v>
      </c>
      <c r="I5398" s="24" t="s">
        <v>29</v>
      </c>
      <c r="J5398" s="36">
        <v>45757</v>
      </c>
      <c r="K5398" s="24" t="s">
        <v>22</v>
      </c>
    </row>
    <row r="5399" spans="1:11" x14ac:dyDescent="0.2">
      <c r="A5399" s="27" t="s">
        <v>12860</v>
      </c>
      <c r="B5399" s="27" t="s">
        <v>12861</v>
      </c>
      <c r="C5399" s="27" t="s">
        <v>1422</v>
      </c>
      <c r="D5399" s="27" t="s">
        <v>17</v>
      </c>
      <c r="E5399" s="27" t="s">
        <v>48</v>
      </c>
      <c r="F5399" s="27" t="s">
        <v>49</v>
      </c>
      <c r="G5399" s="27" t="s">
        <v>217</v>
      </c>
      <c r="H5399" s="29">
        <v>38</v>
      </c>
      <c r="I5399" s="27" t="s">
        <v>29</v>
      </c>
      <c r="J5399" s="37">
        <v>45748</v>
      </c>
      <c r="K5399" s="27" t="s">
        <v>22</v>
      </c>
    </row>
    <row r="5400" spans="1:11" x14ac:dyDescent="0.2">
      <c r="A5400" s="24" t="s">
        <v>12862</v>
      </c>
      <c r="B5400" s="24" t="s">
        <v>12863</v>
      </c>
      <c r="C5400" s="24" t="s">
        <v>68</v>
      </c>
      <c r="D5400" s="24" t="s">
        <v>17</v>
      </c>
      <c r="E5400" s="24" t="s">
        <v>26</v>
      </c>
      <c r="F5400" s="24" t="s">
        <v>27</v>
      </c>
      <c r="G5400" s="24" t="s">
        <v>28</v>
      </c>
      <c r="H5400" s="26">
        <v>84</v>
      </c>
      <c r="I5400" s="24" t="s">
        <v>29</v>
      </c>
      <c r="J5400" s="36">
        <v>45771</v>
      </c>
      <c r="K5400" s="24" t="s">
        <v>22</v>
      </c>
    </row>
    <row r="5401" spans="1:11" x14ac:dyDescent="0.2">
      <c r="A5401" s="27" t="s">
        <v>12864</v>
      </c>
      <c r="B5401" s="27" t="s">
        <v>12865</v>
      </c>
      <c r="C5401" s="27" t="s">
        <v>10398</v>
      </c>
      <c r="D5401" s="27" t="s">
        <v>17</v>
      </c>
      <c r="E5401" s="27" t="s">
        <v>18</v>
      </c>
      <c r="F5401" s="27" t="s">
        <v>19</v>
      </c>
      <c r="G5401" s="27" t="s">
        <v>28</v>
      </c>
      <c r="H5401" s="29">
        <v>36</v>
      </c>
      <c r="I5401" s="27" t="s">
        <v>29</v>
      </c>
      <c r="J5401" s="37">
        <v>45763</v>
      </c>
      <c r="K5401" s="27" t="s">
        <v>22</v>
      </c>
    </row>
    <row r="5402" spans="1:11" x14ac:dyDescent="0.2">
      <c r="A5402" s="24" t="s">
        <v>12866</v>
      </c>
      <c r="B5402" s="24" t="s">
        <v>12867</v>
      </c>
      <c r="C5402" s="24" t="s">
        <v>12868</v>
      </c>
      <c r="D5402" s="24" t="s">
        <v>17</v>
      </c>
      <c r="E5402" s="24" t="s">
        <v>18</v>
      </c>
      <c r="F5402" s="24" t="s">
        <v>19</v>
      </c>
      <c r="G5402" s="24" t="s">
        <v>44</v>
      </c>
      <c r="H5402" s="26">
        <v>72</v>
      </c>
      <c r="I5402" s="24" t="s">
        <v>29</v>
      </c>
      <c r="J5402" s="36">
        <v>45755</v>
      </c>
      <c r="K5402" s="24" t="s">
        <v>22</v>
      </c>
    </row>
    <row r="5403" spans="1:11" x14ac:dyDescent="0.2">
      <c r="A5403" s="27" t="s">
        <v>12869</v>
      </c>
      <c r="B5403" s="27" t="s">
        <v>12870</v>
      </c>
      <c r="C5403" s="27" t="s">
        <v>5124</v>
      </c>
      <c r="D5403" s="27" t="s">
        <v>17</v>
      </c>
      <c r="E5403" s="27" t="s">
        <v>18</v>
      </c>
      <c r="F5403" s="27" t="s">
        <v>19</v>
      </c>
      <c r="G5403" s="27" t="s">
        <v>20</v>
      </c>
      <c r="H5403" s="29">
        <v>26</v>
      </c>
      <c r="I5403" s="27" t="s">
        <v>21</v>
      </c>
      <c r="J5403" s="37">
        <v>45775</v>
      </c>
      <c r="K5403" s="27" t="s">
        <v>22</v>
      </c>
    </row>
    <row r="5404" spans="1:11" x14ac:dyDescent="0.2">
      <c r="A5404" s="24" t="s">
        <v>12871</v>
      </c>
      <c r="B5404" s="24" t="s">
        <v>12872</v>
      </c>
      <c r="C5404" s="24" t="s">
        <v>12873</v>
      </c>
      <c r="D5404" s="24" t="s">
        <v>17</v>
      </c>
      <c r="E5404" s="24" t="s">
        <v>42</v>
      </c>
      <c r="F5404" s="24" t="s">
        <v>43</v>
      </c>
      <c r="G5404" s="24" t="s">
        <v>28</v>
      </c>
      <c r="H5404" s="26">
        <v>736</v>
      </c>
      <c r="I5404" s="24" t="s">
        <v>29</v>
      </c>
      <c r="J5404" s="36">
        <v>45749</v>
      </c>
      <c r="K5404" s="24" t="s">
        <v>22</v>
      </c>
    </row>
    <row r="5405" spans="1:11" x14ac:dyDescent="0.2">
      <c r="A5405" s="27" t="s">
        <v>12874</v>
      </c>
      <c r="B5405" s="27" t="s">
        <v>12875</v>
      </c>
      <c r="C5405" s="27" t="s">
        <v>12876</v>
      </c>
      <c r="D5405" s="27" t="s">
        <v>17</v>
      </c>
      <c r="E5405" s="27" t="s">
        <v>26</v>
      </c>
      <c r="F5405" s="27" t="s">
        <v>27</v>
      </c>
      <c r="G5405" s="27" t="s">
        <v>28</v>
      </c>
      <c r="H5405" s="29">
        <v>60</v>
      </c>
      <c r="I5405" s="27" t="s">
        <v>29</v>
      </c>
      <c r="J5405" s="37">
        <v>45757</v>
      </c>
      <c r="K5405" s="27" t="s">
        <v>22</v>
      </c>
    </row>
    <row r="5406" spans="1:11" x14ac:dyDescent="0.2">
      <c r="A5406" s="24" t="s">
        <v>12877</v>
      </c>
      <c r="B5406" s="24" t="s">
        <v>12878</v>
      </c>
      <c r="C5406" s="24" t="s">
        <v>251</v>
      </c>
      <c r="D5406" s="24" t="s">
        <v>17</v>
      </c>
      <c r="E5406" s="24" t="s">
        <v>26</v>
      </c>
      <c r="F5406" s="24" t="s">
        <v>27</v>
      </c>
      <c r="G5406" s="24" t="s">
        <v>28</v>
      </c>
      <c r="H5406" s="26">
        <v>15</v>
      </c>
      <c r="I5406" s="24" t="s">
        <v>29</v>
      </c>
      <c r="J5406" s="36">
        <v>45769</v>
      </c>
      <c r="K5406" s="24" t="s">
        <v>22</v>
      </c>
    </row>
    <row r="5407" spans="1:11" x14ac:dyDescent="0.2">
      <c r="A5407" s="27" t="s">
        <v>12879</v>
      </c>
      <c r="B5407" s="27" t="s">
        <v>12880</v>
      </c>
      <c r="C5407" s="27" t="s">
        <v>494</v>
      </c>
      <c r="D5407" s="27" t="s">
        <v>17</v>
      </c>
      <c r="E5407" s="27" t="s">
        <v>26</v>
      </c>
      <c r="F5407" s="27" t="s">
        <v>27</v>
      </c>
      <c r="G5407" s="27" t="s">
        <v>28</v>
      </c>
      <c r="H5407" s="29">
        <v>72</v>
      </c>
      <c r="I5407" s="27" t="s">
        <v>29</v>
      </c>
      <c r="J5407" s="37">
        <v>45758</v>
      </c>
      <c r="K5407" s="27" t="s">
        <v>22</v>
      </c>
    </row>
    <row r="5408" spans="1:11" x14ac:dyDescent="0.2">
      <c r="A5408" s="24" t="s">
        <v>12881</v>
      </c>
      <c r="B5408" s="24" t="s">
        <v>12882</v>
      </c>
      <c r="C5408" s="24" t="s">
        <v>106</v>
      </c>
      <c r="D5408" s="24" t="s">
        <v>17</v>
      </c>
      <c r="E5408" s="24" t="s">
        <v>18</v>
      </c>
      <c r="F5408" s="24" t="s">
        <v>19</v>
      </c>
      <c r="G5408" s="24" t="s">
        <v>20</v>
      </c>
      <c r="H5408" s="26">
        <v>20</v>
      </c>
      <c r="I5408" s="24" t="s">
        <v>21</v>
      </c>
      <c r="J5408" s="36">
        <v>45776</v>
      </c>
      <c r="K5408" s="24" t="s">
        <v>22</v>
      </c>
    </row>
    <row r="5409" spans="1:11" x14ac:dyDescent="0.2">
      <c r="A5409" s="27" t="s">
        <v>12883</v>
      </c>
      <c r="B5409" s="27" t="s">
        <v>12884</v>
      </c>
      <c r="C5409" s="27" t="s">
        <v>9491</v>
      </c>
      <c r="D5409" s="27" t="s">
        <v>17</v>
      </c>
      <c r="E5409" s="27" t="s">
        <v>18</v>
      </c>
      <c r="F5409" s="27" t="s">
        <v>19</v>
      </c>
      <c r="G5409" s="27" t="s">
        <v>28</v>
      </c>
      <c r="H5409" s="29">
        <v>32</v>
      </c>
      <c r="I5409" s="27" t="s">
        <v>29</v>
      </c>
      <c r="J5409" s="37">
        <v>45758</v>
      </c>
      <c r="K5409" s="27" t="s">
        <v>22</v>
      </c>
    </row>
    <row r="5410" spans="1:11" x14ac:dyDescent="0.2">
      <c r="A5410" s="24" t="s">
        <v>12885</v>
      </c>
      <c r="B5410" s="24" t="s">
        <v>12886</v>
      </c>
      <c r="C5410" s="24" t="s">
        <v>97</v>
      </c>
      <c r="D5410" s="24" t="s">
        <v>17</v>
      </c>
      <c r="E5410" s="24" t="s">
        <v>18</v>
      </c>
      <c r="F5410" s="24" t="s">
        <v>19</v>
      </c>
      <c r="G5410" s="24" t="s">
        <v>20</v>
      </c>
      <c r="H5410" s="26">
        <v>32</v>
      </c>
      <c r="I5410" s="24" t="s">
        <v>21</v>
      </c>
      <c r="J5410" s="36">
        <v>45770</v>
      </c>
      <c r="K5410" s="24" t="s">
        <v>22</v>
      </c>
    </row>
    <row r="5411" spans="1:11" x14ac:dyDescent="0.2">
      <c r="A5411" s="27" t="s">
        <v>12887</v>
      </c>
      <c r="B5411" s="27" t="s">
        <v>12888</v>
      </c>
      <c r="C5411" s="27" t="s">
        <v>3141</v>
      </c>
      <c r="D5411" s="27" t="s">
        <v>17</v>
      </c>
      <c r="E5411" s="27" t="s">
        <v>26</v>
      </c>
      <c r="F5411" s="27" t="s">
        <v>27</v>
      </c>
      <c r="G5411" s="27" t="s">
        <v>28</v>
      </c>
      <c r="H5411" s="29">
        <v>46</v>
      </c>
      <c r="I5411" s="27" t="s">
        <v>29</v>
      </c>
      <c r="J5411" s="37">
        <v>45765</v>
      </c>
      <c r="K5411" s="27" t="s">
        <v>22</v>
      </c>
    </row>
    <row r="5412" spans="1:11" x14ac:dyDescent="0.2">
      <c r="A5412" s="24" t="s">
        <v>12889</v>
      </c>
      <c r="B5412" s="24" t="s">
        <v>12890</v>
      </c>
      <c r="C5412" s="24" t="s">
        <v>12891</v>
      </c>
      <c r="D5412" s="24" t="s">
        <v>17</v>
      </c>
      <c r="E5412" s="24" t="s">
        <v>26</v>
      </c>
      <c r="F5412" s="24" t="s">
        <v>27</v>
      </c>
      <c r="G5412" s="24" t="s">
        <v>28</v>
      </c>
      <c r="H5412" s="26">
        <v>85</v>
      </c>
      <c r="I5412" s="24" t="s">
        <v>29</v>
      </c>
      <c r="J5412" s="36">
        <v>45769</v>
      </c>
      <c r="K5412" s="24" t="s">
        <v>22</v>
      </c>
    </row>
    <row r="5413" spans="1:11" x14ac:dyDescent="0.2">
      <c r="A5413" s="27" t="s">
        <v>12892</v>
      </c>
      <c r="B5413" s="27" t="s">
        <v>12893</v>
      </c>
      <c r="C5413" s="27" t="s">
        <v>354</v>
      </c>
      <c r="D5413" s="27" t="s">
        <v>17</v>
      </c>
      <c r="E5413" s="27" t="s">
        <v>48</v>
      </c>
      <c r="F5413" s="27" t="s">
        <v>49</v>
      </c>
      <c r="G5413" s="27" t="s">
        <v>227</v>
      </c>
      <c r="H5413" s="29">
        <v>44</v>
      </c>
      <c r="I5413" s="27" t="s">
        <v>29</v>
      </c>
      <c r="J5413" s="37">
        <v>45775</v>
      </c>
      <c r="K5413" s="27" t="s">
        <v>22</v>
      </c>
    </row>
    <row r="5414" spans="1:11" x14ac:dyDescent="0.2">
      <c r="A5414" s="24" t="s">
        <v>12894</v>
      </c>
      <c r="B5414" s="24" t="s">
        <v>12895</v>
      </c>
      <c r="C5414" s="24" t="s">
        <v>6033</v>
      </c>
      <c r="D5414" s="24" t="s">
        <v>17</v>
      </c>
      <c r="E5414" s="24" t="s">
        <v>42</v>
      </c>
      <c r="F5414" s="24" t="s">
        <v>43</v>
      </c>
      <c r="G5414" s="24" t="s">
        <v>28</v>
      </c>
      <c r="H5414" s="26">
        <v>300</v>
      </c>
      <c r="I5414" s="24" t="s">
        <v>29</v>
      </c>
      <c r="J5414" s="36">
        <v>45775</v>
      </c>
      <c r="K5414" s="24" t="s">
        <v>22</v>
      </c>
    </row>
    <row r="5415" spans="1:11" x14ac:dyDescent="0.2">
      <c r="A5415" s="27" t="s">
        <v>12896</v>
      </c>
      <c r="B5415" s="27" t="s">
        <v>12897</v>
      </c>
      <c r="C5415" s="27" t="s">
        <v>12898</v>
      </c>
      <c r="D5415" s="27" t="s">
        <v>17</v>
      </c>
      <c r="E5415" s="27" t="s">
        <v>18</v>
      </c>
      <c r="F5415" s="27" t="s">
        <v>19</v>
      </c>
      <c r="G5415" s="27" t="s">
        <v>28</v>
      </c>
      <c r="H5415" s="29">
        <v>38</v>
      </c>
      <c r="I5415" s="27" t="s">
        <v>29</v>
      </c>
      <c r="J5415" s="37">
        <v>45756</v>
      </c>
      <c r="K5415" s="27" t="s">
        <v>22</v>
      </c>
    </row>
    <row r="5416" spans="1:11" x14ac:dyDescent="0.2">
      <c r="A5416" s="24" t="s">
        <v>12899</v>
      </c>
      <c r="B5416" s="24" t="s">
        <v>12900</v>
      </c>
      <c r="C5416" s="24" t="s">
        <v>12901</v>
      </c>
      <c r="D5416" s="24" t="s">
        <v>17</v>
      </c>
      <c r="E5416" s="24" t="s">
        <v>18</v>
      </c>
      <c r="F5416" s="24" t="s">
        <v>19</v>
      </c>
      <c r="G5416" s="24" t="s">
        <v>28</v>
      </c>
      <c r="H5416" s="26">
        <v>54</v>
      </c>
      <c r="I5416" s="24" t="s">
        <v>29</v>
      </c>
      <c r="J5416" s="36">
        <v>45772</v>
      </c>
      <c r="K5416" s="24" t="s">
        <v>22</v>
      </c>
    </row>
    <row r="5417" spans="1:11" x14ac:dyDescent="0.2">
      <c r="A5417" s="27" t="s">
        <v>12902</v>
      </c>
      <c r="B5417" s="27" t="s">
        <v>12903</v>
      </c>
      <c r="C5417" s="27" t="s">
        <v>203</v>
      </c>
      <c r="D5417" s="27" t="s">
        <v>17</v>
      </c>
      <c r="E5417" s="27" t="s">
        <v>18</v>
      </c>
      <c r="F5417" s="27" t="s">
        <v>19</v>
      </c>
      <c r="G5417" s="27" t="s">
        <v>28</v>
      </c>
      <c r="H5417" s="29">
        <v>60</v>
      </c>
      <c r="I5417" s="27" t="s">
        <v>29</v>
      </c>
      <c r="J5417" s="37">
        <v>45768</v>
      </c>
      <c r="K5417" s="27" t="s">
        <v>22</v>
      </c>
    </row>
    <row r="5418" spans="1:11" x14ac:dyDescent="0.2">
      <c r="A5418" s="24" t="s">
        <v>12904</v>
      </c>
      <c r="B5418" s="24" t="s">
        <v>12905</v>
      </c>
      <c r="C5418" s="24" t="s">
        <v>494</v>
      </c>
      <c r="D5418" s="24" t="s">
        <v>17</v>
      </c>
      <c r="E5418" s="24" t="s">
        <v>42</v>
      </c>
      <c r="F5418" s="24" t="s">
        <v>43</v>
      </c>
      <c r="G5418" s="24" t="s">
        <v>28</v>
      </c>
      <c r="H5418" s="26">
        <v>144</v>
      </c>
      <c r="I5418" s="24" t="s">
        <v>29</v>
      </c>
      <c r="J5418" s="36">
        <v>45765</v>
      </c>
      <c r="K5418" s="24" t="s">
        <v>22</v>
      </c>
    </row>
    <row r="5419" spans="1:11" x14ac:dyDescent="0.2">
      <c r="A5419" s="27" t="s">
        <v>12906</v>
      </c>
      <c r="B5419" s="27" t="s">
        <v>12907</v>
      </c>
      <c r="C5419" s="27" t="s">
        <v>3585</v>
      </c>
      <c r="D5419" s="27" t="s">
        <v>17</v>
      </c>
      <c r="E5419" s="27" t="s">
        <v>18</v>
      </c>
      <c r="F5419" s="27" t="s">
        <v>19</v>
      </c>
      <c r="G5419" s="27" t="s">
        <v>28</v>
      </c>
      <c r="H5419" s="29">
        <v>66</v>
      </c>
      <c r="I5419" s="27" t="s">
        <v>29</v>
      </c>
      <c r="J5419" s="37">
        <v>45755</v>
      </c>
      <c r="K5419" s="27" t="s">
        <v>22</v>
      </c>
    </row>
    <row r="5420" spans="1:11" x14ac:dyDescent="0.2">
      <c r="A5420" s="24" t="s">
        <v>12908</v>
      </c>
      <c r="B5420" s="24" t="s">
        <v>12909</v>
      </c>
      <c r="C5420" s="24" t="s">
        <v>984</v>
      </c>
      <c r="D5420" s="24" t="s">
        <v>17</v>
      </c>
      <c r="E5420" s="24" t="s">
        <v>48</v>
      </c>
      <c r="F5420" s="24" t="s">
        <v>49</v>
      </c>
      <c r="G5420" s="24" t="s">
        <v>28</v>
      </c>
      <c r="H5420" s="26">
        <v>180</v>
      </c>
      <c r="I5420" s="24" t="s">
        <v>29</v>
      </c>
      <c r="J5420" s="36">
        <v>45763</v>
      </c>
      <c r="K5420" s="24" t="s">
        <v>22</v>
      </c>
    </row>
    <row r="5421" spans="1:11" x14ac:dyDescent="0.2">
      <c r="A5421" s="27" t="s">
        <v>12910</v>
      </c>
      <c r="B5421" s="27" t="s">
        <v>12911</v>
      </c>
      <c r="C5421" s="27" t="s">
        <v>55</v>
      </c>
      <c r="D5421" s="27" t="s">
        <v>17</v>
      </c>
      <c r="E5421" s="27" t="s">
        <v>18</v>
      </c>
      <c r="F5421" s="27" t="s">
        <v>19</v>
      </c>
      <c r="G5421" s="27" t="s">
        <v>20</v>
      </c>
      <c r="H5421" s="29">
        <v>40</v>
      </c>
      <c r="I5421" s="27" t="s">
        <v>21</v>
      </c>
      <c r="J5421" s="37">
        <v>45749</v>
      </c>
      <c r="K5421" s="27" t="s">
        <v>22</v>
      </c>
    </row>
    <row r="5422" spans="1:11" x14ac:dyDescent="0.2">
      <c r="A5422" s="24" t="s">
        <v>12912</v>
      </c>
      <c r="B5422" s="24" t="s">
        <v>12913</v>
      </c>
      <c r="C5422" s="24" t="s">
        <v>1260</v>
      </c>
      <c r="D5422" s="24" t="s">
        <v>17</v>
      </c>
      <c r="E5422" s="24" t="s">
        <v>18</v>
      </c>
      <c r="F5422" s="24" t="s">
        <v>19</v>
      </c>
      <c r="G5422" s="24" t="s">
        <v>44</v>
      </c>
      <c r="H5422" s="26">
        <v>65</v>
      </c>
      <c r="I5422" s="24" t="s">
        <v>21</v>
      </c>
      <c r="J5422" s="36">
        <v>45769</v>
      </c>
      <c r="K5422" s="24" t="s">
        <v>22</v>
      </c>
    </row>
    <row r="5423" spans="1:11" x14ac:dyDescent="0.2">
      <c r="A5423" s="27" t="s">
        <v>12914</v>
      </c>
      <c r="B5423" s="27" t="s">
        <v>12915</v>
      </c>
      <c r="C5423" s="27" t="s">
        <v>690</v>
      </c>
      <c r="D5423" s="27" t="s">
        <v>17</v>
      </c>
      <c r="E5423" s="27" t="s">
        <v>42</v>
      </c>
      <c r="F5423" s="27" t="s">
        <v>43</v>
      </c>
      <c r="G5423" s="27" t="s">
        <v>28</v>
      </c>
      <c r="H5423" s="29">
        <v>420</v>
      </c>
      <c r="I5423" s="27" t="s">
        <v>29</v>
      </c>
      <c r="J5423" s="37">
        <v>45768</v>
      </c>
      <c r="K5423" s="27" t="s">
        <v>22</v>
      </c>
    </row>
    <row r="5424" spans="1:11" x14ac:dyDescent="0.2">
      <c r="A5424" s="24" t="s">
        <v>12916</v>
      </c>
      <c r="B5424" s="24" t="s">
        <v>12917</v>
      </c>
      <c r="C5424" s="24" t="s">
        <v>827</v>
      </c>
      <c r="D5424" s="24" t="s">
        <v>17</v>
      </c>
      <c r="E5424" s="24" t="s">
        <v>26</v>
      </c>
      <c r="F5424" s="24" t="s">
        <v>27</v>
      </c>
      <c r="G5424" s="24" t="s">
        <v>28</v>
      </c>
      <c r="H5424" s="26">
        <v>135</v>
      </c>
      <c r="I5424" s="24" t="s">
        <v>29</v>
      </c>
      <c r="J5424" s="36">
        <v>45777</v>
      </c>
      <c r="K5424" s="24" t="s">
        <v>22</v>
      </c>
    </row>
    <row r="5425" spans="1:11" x14ac:dyDescent="0.2">
      <c r="A5425" s="27" t="s">
        <v>12918</v>
      </c>
      <c r="B5425" s="27" t="s">
        <v>12919</v>
      </c>
      <c r="C5425" s="27" t="s">
        <v>12920</v>
      </c>
      <c r="D5425" s="27" t="s">
        <v>17</v>
      </c>
      <c r="E5425" s="27" t="s">
        <v>26</v>
      </c>
      <c r="F5425" s="27" t="s">
        <v>27</v>
      </c>
      <c r="G5425" s="27" t="s">
        <v>28</v>
      </c>
      <c r="H5425" s="29">
        <v>153</v>
      </c>
      <c r="I5425" s="27" t="s">
        <v>29</v>
      </c>
      <c r="J5425" s="37">
        <v>45755</v>
      </c>
      <c r="K5425" s="27" t="s">
        <v>22</v>
      </c>
    </row>
    <row r="5426" spans="1:11" x14ac:dyDescent="0.2">
      <c r="A5426" s="24" t="s">
        <v>12921</v>
      </c>
      <c r="B5426" s="24" t="s">
        <v>12922</v>
      </c>
      <c r="C5426" s="24" t="s">
        <v>1307</v>
      </c>
      <c r="D5426" s="24" t="s">
        <v>17</v>
      </c>
      <c r="E5426" s="24" t="s">
        <v>48</v>
      </c>
      <c r="F5426" s="24" t="s">
        <v>49</v>
      </c>
      <c r="G5426" s="24" t="s">
        <v>28</v>
      </c>
      <c r="H5426" s="26">
        <v>300</v>
      </c>
      <c r="I5426" s="24" t="s">
        <v>29</v>
      </c>
      <c r="J5426" s="36">
        <v>45775</v>
      </c>
      <c r="K5426" s="24" t="s">
        <v>22</v>
      </c>
    </row>
    <row r="5427" spans="1:11" x14ac:dyDescent="0.2">
      <c r="A5427" s="27" t="s">
        <v>12923</v>
      </c>
      <c r="B5427" s="27" t="s">
        <v>12924</v>
      </c>
      <c r="C5427" s="27" t="s">
        <v>1812</v>
      </c>
      <c r="D5427" s="27" t="s">
        <v>17</v>
      </c>
      <c r="E5427" s="27" t="s">
        <v>18</v>
      </c>
      <c r="F5427" s="27" t="s">
        <v>19</v>
      </c>
      <c r="G5427" s="27" t="s">
        <v>227</v>
      </c>
      <c r="H5427" s="29">
        <v>18</v>
      </c>
      <c r="I5427" s="27" t="s">
        <v>29</v>
      </c>
      <c r="J5427" s="37">
        <v>45769</v>
      </c>
      <c r="K5427" s="27" t="s">
        <v>22</v>
      </c>
    </row>
    <row r="5428" spans="1:11" x14ac:dyDescent="0.2">
      <c r="A5428" s="24" t="s">
        <v>12925</v>
      </c>
      <c r="B5428" s="24" t="s">
        <v>12926</v>
      </c>
      <c r="C5428" s="24" t="s">
        <v>749</v>
      </c>
      <c r="D5428" s="24" t="s">
        <v>17</v>
      </c>
      <c r="E5428" s="24" t="s">
        <v>42</v>
      </c>
      <c r="F5428" s="24" t="s">
        <v>43</v>
      </c>
      <c r="G5428" s="24" t="s">
        <v>28</v>
      </c>
      <c r="H5428" s="26">
        <v>869</v>
      </c>
      <c r="I5428" s="24" t="s">
        <v>29</v>
      </c>
      <c r="J5428" s="36">
        <v>45756</v>
      </c>
      <c r="K5428" s="24" t="s">
        <v>22</v>
      </c>
    </row>
    <row r="5429" spans="1:11" x14ac:dyDescent="0.2">
      <c r="A5429" s="27" t="s">
        <v>12927</v>
      </c>
      <c r="B5429" s="27" t="s">
        <v>12928</v>
      </c>
      <c r="C5429" s="27" t="s">
        <v>456</v>
      </c>
      <c r="D5429" s="27" t="s">
        <v>17</v>
      </c>
      <c r="E5429" s="27" t="s">
        <v>42</v>
      </c>
      <c r="F5429" s="27" t="s">
        <v>43</v>
      </c>
      <c r="G5429" s="27" t="s">
        <v>28</v>
      </c>
      <c r="H5429" s="29">
        <v>56</v>
      </c>
      <c r="I5429" s="27" t="s">
        <v>29</v>
      </c>
      <c r="J5429" s="37">
        <v>45771</v>
      </c>
      <c r="K5429" s="27" t="s">
        <v>22</v>
      </c>
    </row>
    <row r="5430" spans="1:11" x14ac:dyDescent="0.2">
      <c r="A5430" s="24" t="s">
        <v>12929</v>
      </c>
      <c r="B5430" s="24" t="s">
        <v>12930</v>
      </c>
      <c r="C5430" s="24" t="s">
        <v>134</v>
      </c>
      <c r="D5430" s="24" t="s">
        <v>17</v>
      </c>
      <c r="E5430" s="24" t="s">
        <v>18</v>
      </c>
      <c r="F5430" s="24" t="s">
        <v>19</v>
      </c>
      <c r="G5430" s="24" t="s">
        <v>20</v>
      </c>
      <c r="H5430" s="26">
        <v>24</v>
      </c>
      <c r="I5430" s="24" t="s">
        <v>21</v>
      </c>
      <c r="J5430" s="36">
        <v>45776</v>
      </c>
      <c r="K5430" s="24" t="s">
        <v>22</v>
      </c>
    </row>
    <row r="5431" spans="1:11" x14ac:dyDescent="0.2">
      <c r="A5431" s="27" t="s">
        <v>12931</v>
      </c>
      <c r="B5431" s="27" t="s">
        <v>12932</v>
      </c>
      <c r="C5431" s="27" t="s">
        <v>12933</v>
      </c>
      <c r="D5431" s="27" t="s">
        <v>17</v>
      </c>
      <c r="E5431" s="27" t="s">
        <v>18</v>
      </c>
      <c r="F5431" s="27" t="s">
        <v>19</v>
      </c>
      <c r="G5431" s="27" t="s">
        <v>44</v>
      </c>
      <c r="H5431" s="29">
        <v>48</v>
      </c>
      <c r="I5431" s="27" t="s">
        <v>29</v>
      </c>
      <c r="J5431" s="37">
        <v>45776</v>
      </c>
      <c r="K5431" s="27" t="s">
        <v>22</v>
      </c>
    </row>
    <row r="5432" spans="1:11" x14ac:dyDescent="0.2">
      <c r="A5432" s="24" t="s">
        <v>12934</v>
      </c>
      <c r="B5432" s="24" t="s">
        <v>12935</v>
      </c>
      <c r="C5432" s="24" t="s">
        <v>896</v>
      </c>
      <c r="D5432" s="24" t="s">
        <v>17</v>
      </c>
      <c r="E5432" s="24" t="s">
        <v>42</v>
      </c>
      <c r="F5432" s="24" t="s">
        <v>43</v>
      </c>
      <c r="G5432" s="24" t="s">
        <v>28</v>
      </c>
      <c r="H5432" s="26">
        <v>108</v>
      </c>
      <c r="I5432" s="24" t="s">
        <v>29</v>
      </c>
      <c r="J5432" s="36">
        <v>45762</v>
      </c>
      <c r="K5432" s="24" t="s">
        <v>22</v>
      </c>
    </row>
    <row r="5433" spans="1:11" x14ac:dyDescent="0.2">
      <c r="A5433" s="27" t="s">
        <v>12936</v>
      </c>
      <c r="B5433" s="27" t="s">
        <v>12937</v>
      </c>
      <c r="C5433" s="27" t="s">
        <v>401</v>
      </c>
      <c r="D5433" s="27" t="s">
        <v>17</v>
      </c>
      <c r="E5433" s="27" t="s">
        <v>48</v>
      </c>
      <c r="F5433" s="27" t="s">
        <v>49</v>
      </c>
      <c r="G5433" s="27" t="s">
        <v>28</v>
      </c>
      <c r="H5433" s="29">
        <v>400</v>
      </c>
      <c r="I5433" s="27" t="s">
        <v>29</v>
      </c>
      <c r="J5433" s="37">
        <v>45750</v>
      </c>
      <c r="K5433" s="27" t="s">
        <v>22</v>
      </c>
    </row>
    <row r="5434" spans="1:11" x14ac:dyDescent="0.2">
      <c r="A5434" s="24" t="s">
        <v>12938</v>
      </c>
      <c r="B5434" s="24" t="s">
        <v>12939</v>
      </c>
      <c r="C5434" s="24" t="s">
        <v>12940</v>
      </c>
      <c r="D5434" s="24" t="s">
        <v>17</v>
      </c>
      <c r="E5434" s="24" t="s">
        <v>26</v>
      </c>
      <c r="F5434" s="24" t="s">
        <v>27</v>
      </c>
      <c r="G5434" s="24" t="s">
        <v>28</v>
      </c>
      <c r="H5434" s="26">
        <v>84</v>
      </c>
      <c r="I5434" s="24" t="s">
        <v>29</v>
      </c>
      <c r="J5434" s="36">
        <v>45763</v>
      </c>
      <c r="K5434" s="24" t="s">
        <v>22</v>
      </c>
    </row>
    <row r="5435" spans="1:11" x14ac:dyDescent="0.2">
      <c r="A5435" s="27" t="s">
        <v>12941</v>
      </c>
      <c r="B5435" s="27" t="s">
        <v>12942</v>
      </c>
      <c r="C5435" s="27" t="s">
        <v>5990</v>
      </c>
      <c r="D5435" s="27" t="s">
        <v>17</v>
      </c>
      <c r="E5435" s="27" t="s">
        <v>48</v>
      </c>
      <c r="F5435" s="27" t="s">
        <v>49</v>
      </c>
      <c r="G5435" s="27" t="s">
        <v>28</v>
      </c>
      <c r="H5435" s="29">
        <v>28</v>
      </c>
      <c r="I5435" s="27" t="s">
        <v>29</v>
      </c>
      <c r="J5435" s="37">
        <v>45756</v>
      </c>
      <c r="K5435" s="27" t="s">
        <v>22</v>
      </c>
    </row>
    <row r="5436" spans="1:11" x14ac:dyDescent="0.2">
      <c r="A5436" s="24" t="s">
        <v>12943</v>
      </c>
      <c r="B5436" s="24" t="s">
        <v>12944</v>
      </c>
      <c r="C5436" s="24" t="s">
        <v>203</v>
      </c>
      <c r="D5436" s="24" t="s">
        <v>17</v>
      </c>
      <c r="E5436" s="24" t="s">
        <v>48</v>
      </c>
      <c r="F5436" s="24" t="s">
        <v>49</v>
      </c>
      <c r="G5436" s="24" t="s">
        <v>44</v>
      </c>
      <c r="H5436" s="26">
        <v>240</v>
      </c>
      <c r="I5436" s="24" t="s">
        <v>29</v>
      </c>
      <c r="J5436" s="36">
        <v>45771</v>
      </c>
      <c r="K5436" s="24" t="s">
        <v>22</v>
      </c>
    </row>
    <row r="5437" spans="1:11" x14ac:dyDescent="0.2">
      <c r="A5437" s="27" t="s">
        <v>12945</v>
      </c>
      <c r="B5437" s="27" t="s">
        <v>12946</v>
      </c>
      <c r="C5437" s="27" t="s">
        <v>12947</v>
      </c>
      <c r="D5437" s="27" t="s">
        <v>17</v>
      </c>
      <c r="E5437" s="27" t="s">
        <v>48</v>
      </c>
      <c r="F5437" s="27" t="s">
        <v>49</v>
      </c>
      <c r="G5437" s="27" t="s">
        <v>28</v>
      </c>
      <c r="H5437" s="29">
        <v>10</v>
      </c>
      <c r="I5437" s="27" t="s">
        <v>29</v>
      </c>
      <c r="J5437" s="37">
        <v>45769</v>
      </c>
      <c r="K5437" s="27" t="s">
        <v>22</v>
      </c>
    </row>
    <row r="5438" spans="1:11" x14ac:dyDescent="0.2">
      <c r="A5438" s="24" t="s">
        <v>12948</v>
      </c>
      <c r="B5438" s="24" t="s">
        <v>12949</v>
      </c>
      <c r="C5438" s="24" t="s">
        <v>5617</v>
      </c>
      <c r="D5438" s="24" t="s">
        <v>17</v>
      </c>
      <c r="E5438" s="24" t="s">
        <v>18</v>
      </c>
      <c r="F5438" s="24" t="s">
        <v>19</v>
      </c>
      <c r="G5438" s="24" t="s">
        <v>20</v>
      </c>
      <c r="H5438" s="26">
        <v>28</v>
      </c>
      <c r="I5438" s="24" t="s">
        <v>21</v>
      </c>
      <c r="J5438" s="36">
        <v>45765</v>
      </c>
      <c r="K5438" s="24" t="s">
        <v>22</v>
      </c>
    </row>
    <row r="5439" spans="1:11" x14ac:dyDescent="0.2">
      <c r="A5439" s="27" t="s">
        <v>12950</v>
      </c>
      <c r="B5439" s="27" t="s">
        <v>12951</v>
      </c>
      <c r="C5439" s="27" t="s">
        <v>12952</v>
      </c>
      <c r="D5439" s="27" t="s">
        <v>17</v>
      </c>
      <c r="E5439" s="27" t="s">
        <v>26</v>
      </c>
      <c r="F5439" s="27" t="s">
        <v>27</v>
      </c>
      <c r="G5439" s="27" t="s">
        <v>28</v>
      </c>
      <c r="H5439" s="29">
        <v>42</v>
      </c>
      <c r="I5439" s="27" t="s">
        <v>29</v>
      </c>
      <c r="J5439" s="37">
        <v>45777</v>
      </c>
      <c r="K5439" s="27" t="s">
        <v>22</v>
      </c>
    </row>
    <row r="5440" spans="1:11" x14ac:dyDescent="0.2">
      <c r="A5440" s="24" t="s">
        <v>12953</v>
      </c>
      <c r="B5440" s="24" t="s">
        <v>12954</v>
      </c>
      <c r="C5440" s="24" t="s">
        <v>2669</v>
      </c>
      <c r="D5440" s="24" t="s">
        <v>17</v>
      </c>
      <c r="E5440" s="24" t="s">
        <v>48</v>
      </c>
      <c r="F5440" s="24" t="s">
        <v>49</v>
      </c>
      <c r="G5440" s="24" t="s">
        <v>217</v>
      </c>
      <c r="H5440" s="26">
        <v>60</v>
      </c>
      <c r="I5440" s="24" t="s">
        <v>29</v>
      </c>
      <c r="J5440" s="36">
        <v>45748</v>
      </c>
      <c r="K5440" s="24" t="s">
        <v>22</v>
      </c>
    </row>
    <row r="5441" spans="1:11" x14ac:dyDescent="0.2">
      <c r="A5441" s="27" t="s">
        <v>12955</v>
      </c>
      <c r="B5441" s="27" t="s">
        <v>12956</v>
      </c>
      <c r="C5441" s="27" t="s">
        <v>12957</v>
      </c>
      <c r="D5441" s="27" t="s">
        <v>17</v>
      </c>
      <c r="E5441" s="27" t="s">
        <v>42</v>
      </c>
      <c r="F5441" s="27" t="s">
        <v>43</v>
      </c>
      <c r="G5441" s="27" t="s">
        <v>217</v>
      </c>
      <c r="H5441" s="29">
        <v>279</v>
      </c>
      <c r="I5441" s="27" t="s">
        <v>29</v>
      </c>
      <c r="J5441" s="37">
        <v>45762</v>
      </c>
      <c r="K5441" s="27" t="s">
        <v>22</v>
      </c>
    </row>
    <row r="5442" spans="1:11" x14ac:dyDescent="0.2">
      <c r="A5442" s="24" t="s">
        <v>12958</v>
      </c>
      <c r="B5442" s="24" t="s">
        <v>12959</v>
      </c>
      <c r="C5442" s="24" t="s">
        <v>822</v>
      </c>
      <c r="D5442" s="24" t="s">
        <v>17</v>
      </c>
      <c r="E5442" s="24" t="s">
        <v>48</v>
      </c>
      <c r="F5442" s="24" t="s">
        <v>49</v>
      </c>
      <c r="G5442" s="24" t="s">
        <v>28</v>
      </c>
      <c r="H5442" s="26">
        <v>24</v>
      </c>
      <c r="I5442" s="24" t="s">
        <v>29</v>
      </c>
      <c r="J5442" s="36">
        <v>45777</v>
      </c>
      <c r="K5442" s="24" t="s">
        <v>22</v>
      </c>
    </row>
    <row r="5443" spans="1:11" x14ac:dyDescent="0.2">
      <c r="A5443" s="27" t="s">
        <v>12960</v>
      </c>
      <c r="B5443" s="27" t="s">
        <v>12961</v>
      </c>
      <c r="C5443" s="27" t="s">
        <v>251</v>
      </c>
      <c r="D5443" s="27" t="s">
        <v>17</v>
      </c>
      <c r="E5443" s="27" t="s">
        <v>48</v>
      </c>
      <c r="F5443" s="27" t="s">
        <v>49</v>
      </c>
      <c r="G5443" s="27" t="s">
        <v>28</v>
      </c>
      <c r="H5443" s="29">
        <v>130</v>
      </c>
      <c r="I5443" s="27" t="s">
        <v>29</v>
      </c>
      <c r="J5443" s="37">
        <v>45775</v>
      </c>
      <c r="K5443" s="27" t="s">
        <v>22</v>
      </c>
    </row>
    <row r="5444" spans="1:11" x14ac:dyDescent="0.2">
      <c r="A5444" s="24" t="s">
        <v>12962</v>
      </c>
      <c r="B5444" s="24" t="s">
        <v>12963</v>
      </c>
      <c r="C5444" s="24" t="s">
        <v>12964</v>
      </c>
      <c r="D5444" s="24" t="s">
        <v>17</v>
      </c>
      <c r="E5444" s="24" t="s">
        <v>18</v>
      </c>
      <c r="F5444" s="24" t="s">
        <v>19</v>
      </c>
      <c r="G5444" s="24" t="s">
        <v>59</v>
      </c>
      <c r="H5444" s="26">
        <v>3</v>
      </c>
      <c r="I5444" s="24" t="s">
        <v>21</v>
      </c>
      <c r="J5444" s="36">
        <v>45754</v>
      </c>
      <c r="K5444" s="24" t="s">
        <v>22</v>
      </c>
    </row>
    <row r="5445" spans="1:11" x14ac:dyDescent="0.2">
      <c r="A5445" s="27" t="s">
        <v>12965</v>
      </c>
      <c r="B5445" s="27" t="s">
        <v>12966</v>
      </c>
      <c r="C5445" s="27" t="s">
        <v>4244</v>
      </c>
      <c r="D5445" s="27" t="s">
        <v>17</v>
      </c>
      <c r="E5445" s="27" t="s">
        <v>18</v>
      </c>
      <c r="F5445" s="27" t="s">
        <v>19</v>
      </c>
      <c r="G5445" s="27" t="s">
        <v>28</v>
      </c>
      <c r="H5445" s="29">
        <v>116</v>
      </c>
      <c r="I5445" s="27" t="s">
        <v>29</v>
      </c>
      <c r="J5445" s="37">
        <v>45754</v>
      </c>
      <c r="K5445" s="27" t="s">
        <v>22</v>
      </c>
    </row>
    <row r="5446" spans="1:11" x14ac:dyDescent="0.2">
      <c r="A5446" s="24" t="s">
        <v>12967</v>
      </c>
      <c r="B5446" s="24" t="s">
        <v>12968</v>
      </c>
      <c r="C5446" s="24" t="s">
        <v>2461</v>
      </c>
      <c r="D5446" s="24" t="s">
        <v>17</v>
      </c>
      <c r="E5446" s="24" t="s">
        <v>18</v>
      </c>
      <c r="F5446" s="24" t="s">
        <v>19</v>
      </c>
      <c r="G5446" s="24" t="s">
        <v>28</v>
      </c>
      <c r="H5446" s="26">
        <v>36</v>
      </c>
      <c r="I5446" s="24" t="s">
        <v>29</v>
      </c>
      <c r="J5446" s="36">
        <v>45771</v>
      </c>
      <c r="K5446" s="24" t="s">
        <v>22</v>
      </c>
    </row>
    <row r="5447" spans="1:11" x14ac:dyDescent="0.2">
      <c r="A5447" s="27" t="s">
        <v>12969</v>
      </c>
      <c r="B5447" s="27" t="s">
        <v>12970</v>
      </c>
      <c r="C5447" s="27" t="s">
        <v>2179</v>
      </c>
      <c r="D5447" s="27" t="s">
        <v>17</v>
      </c>
      <c r="E5447" s="27" t="s">
        <v>18</v>
      </c>
      <c r="F5447" s="27" t="s">
        <v>19</v>
      </c>
      <c r="G5447" s="27" t="s">
        <v>28</v>
      </c>
      <c r="H5447" s="29">
        <v>70</v>
      </c>
      <c r="I5447" s="27" t="s">
        <v>29</v>
      </c>
      <c r="J5447" s="37">
        <v>45758</v>
      </c>
      <c r="K5447" s="27" t="s">
        <v>22</v>
      </c>
    </row>
    <row r="5448" spans="1:11" x14ac:dyDescent="0.2">
      <c r="A5448" s="24" t="s">
        <v>12971</v>
      </c>
      <c r="B5448" s="24" t="s">
        <v>12972</v>
      </c>
      <c r="C5448" s="24" t="s">
        <v>11824</v>
      </c>
      <c r="D5448" s="24" t="s">
        <v>17</v>
      </c>
      <c r="E5448" s="24" t="s">
        <v>18</v>
      </c>
      <c r="F5448" s="24" t="s">
        <v>19</v>
      </c>
      <c r="G5448" s="24" t="s">
        <v>28</v>
      </c>
      <c r="H5448" s="26">
        <v>96</v>
      </c>
      <c r="I5448" s="24" t="s">
        <v>29</v>
      </c>
      <c r="J5448" s="36">
        <v>45750</v>
      </c>
      <c r="K5448" s="24" t="s">
        <v>22</v>
      </c>
    </row>
    <row r="5449" spans="1:11" x14ac:dyDescent="0.2">
      <c r="A5449" s="27" t="s">
        <v>12973</v>
      </c>
      <c r="B5449" s="27" t="s">
        <v>12974</v>
      </c>
      <c r="C5449" s="27" t="s">
        <v>10787</v>
      </c>
      <c r="D5449" s="27" t="s">
        <v>17</v>
      </c>
      <c r="E5449" s="27" t="s">
        <v>18</v>
      </c>
      <c r="F5449" s="27" t="s">
        <v>19</v>
      </c>
      <c r="G5449" s="27" t="s">
        <v>28</v>
      </c>
      <c r="H5449" s="29">
        <v>32</v>
      </c>
      <c r="I5449" s="27" t="s">
        <v>29</v>
      </c>
      <c r="J5449" s="37">
        <v>45775</v>
      </c>
      <c r="K5449" s="27" t="s">
        <v>22</v>
      </c>
    </row>
    <row r="5450" spans="1:11" x14ac:dyDescent="0.2">
      <c r="A5450" s="24" t="s">
        <v>12975</v>
      </c>
      <c r="B5450" s="24" t="s">
        <v>12976</v>
      </c>
      <c r="C5450" s="24" t="s">
        <v>1110</v>
      </c>
      <c r="D5450" s="24" t="s">
        <v>17</v>
      </c>
      <c r="E5450" s="24" t="s">
        <v>18</v>
      </c>
      <c r="F5450" s="24" t="s">
        <v>19</v>
      </c>
      <c r="G5450" s="24" t="s">
        <v>44</v>
      </c>
      <c r="H5450" s="26">
        <v>50</v>
      </c>
      <c r="I5450" s="24" t="s">
        <v>29</v>
      </c>
      <c r="J5450" s="36">
        <v>45761</v>
      </c>
      <c r="K5450" s="24" t="s">
        <v>22</v>
      </c>
    </row>
    <row r="5451" spans="1:11" x14ac:dyDescent="0.2">
      <c r="A5451" s="27" t="s">
        <v>12977</v>
      </c>
      <c r="B5451" s="27" t="s">
        <v>12978</v>
      </c>
      <c r="C5451" s="27" t="s">
        <v>85</v>
      </c>
      <c r="D5451" s="27" t="s">
        <v>17</v>
      </c>
      <c r="E5451" s="27" t="s">
        <v>18</v>
      </c>
      <c r="F5451" s="27" t="s">
        <v>19</v>
      </c>
      <c r="G5451" s="27" t="s">
        <v>20</v>
      </c>
      <c r="H5451" s="29">
        <v>263</v>
      </c>
      <c r="I5451" s="27" t="s">
        <v>21</v>
      </c>
      <c r="J5451" s="37">
        <v>45768</v>
      </c>
      <c r="K5451" s="27" t="s">
        <v>22</v>
      </c>
    </row>
    <row r="5452" spans="1:11" x14ac:dyDescent="0.2">
      <c r="A5452" s="24" t="s">
        <v>12979</v>
      </c>
      <c r="B5452" s="24" t="s">
        <v>12980</v>
      </c>
      <c r="C5452" s="24" t="s">
        <v>6838</v>
      </c>
      <c r="D5452" s="24" t="s">
        <v>17</v>
      </c>
      <c r="E5452" s="24" t="s">
        <v>18</v>
      </c>
      <c r="F5452" s="24" t="s">
        <v>19</v>
      </c>
      <c r="G5452" s="24" t="s">
        <v>20</v>
      </c>
      <c r="H5452" s="26">
        <v>40</v>
      </c>
      <c r="I5452" s="24" t="s">
        <v>21</v>
      </c>
      <c r="J5452" s="36">
        <v>45775</v>
      </c>
      <c r="K5452" s="24" t="s">
        <v>22</v>
      </c>
    </row>
    <row r="5453" spans="1:11" x14ac:dyDescent="0.2">
      <c r="A5453" s="27" t="s">
        <v>12981</v>
      </c>
      <c r="B5453" s="27" t="s">
        <v>12982</v>
      </c>
      <c r="C5453" s="27" t="s">
        <v>3136</v>
      </c>
      <c r="D5453" s="27" t="s">
        <v>17</v>
      </c>
      <c r="E5453" s="27" t="s">
        <v>18</v>
      </c>
      <c r="F5453" s="27" t="s">
        <v>19</v>
      </c>
      <c r="G5453" s="27" t="s">
        <v>28</v>
      </c>
      <c r="H5453" s="29">
        <v>48</v>
      </c>
      <c r="I5453" s="27" t="s">
        <v>29</v>
      </c>
      <c r="J5453" s="37">
        <v>45776</v>
      </c>
      <c r="K5453" s="27" t="s">
        <v>22</v>
      </c>
    </row>
    <row r="5454" spans="1:11" x14ac:dyDescent="0.2">
      <c r="A5454" s="24" t="s">
        <v>12983</v>
      </c>
      <c r="B5454" s="24" t="s">
        <v>12984</v>
      </c>
      <c r="C5454" s="24" t="s">
        <v>7671</v>
      </c>
      <c r="D5454" s="24" t="s">
        <v>17</v>
      </c>
      <c r="E5454" s="24" t="s">
        <v>18</v>
      </c>
      <c r="F5454" s="24" t="s">
        <v>19</v>
      </c>
      <c r="G5454" s="24" t="s">
        <v>20</v>
      </c>
      <c r="H5454" s="26">
        <v>22</v>
      </c>
      <c r="I5454" s="24" t="s">
        <v>21</v>
      </c>
      <c r="J5454" s="36">
        <v>45764</v>
      </c>
      <c r="K5454" s="24" t="s">
        <v>22</v>
      </c>
    </row>
    <row r="5455" spans="1:11" x14ac:dyDescent="0.2">
      <c r="A5455" s="27" t="s">
        <v>12985</v>
      </c>
      <c r="B5455" s="27" t="s">
        <v>12986</v>
      </c>
      <c r="C5455" s="27" t="s">
        <v>85</v>
      </c>
      <c r="D5455" s="27" t="s">
        <v>17</v>
      </c>
      <c r="E5455" s="27" t="s">
        <v>18</v>
      </c>
      <c r="F5455" s="27" t="s">
        <v>19</v>
      </c>
      <c r="G5455" s="27" t="s">
        <v>44</v>
      </c>
      <c r="H5455" s="29">
        <v>100</v>
      </c>
      <c r="I5455" s="27" t="s">
        <v>21</v>
      </c>
      <c r="J5455" s="37">
        <v>45750</v>
      </c>
      <c r="K5455" s="27" t="s">
        <v>22</v>
      </c>
    </row>
    <row r="5456" spans="1:11" x14ac:dyDescent="0.2">
      <c r="A5456" s="24" t="s">
        <v>12987</v>
      </c>
      <c r="B5456" s="24" t="s">
        <v>12988</v>
      </c>
      <c r="C5456" s="24" t="s">
        <v>12989</v>
      </c>
      <c r="D5456" s="24" t="s">
        <v>17</v>
      </c>
      <c r="E5456" s="24" t="s">
        <v>26</v>
      </c>
      <c r="F5456" s="24" t="s">
        <v>27</v>
      </c>
      <c r="G5456" s="24" t="s">
        <v>28</v>
      </c>
      <c r="H5456" s="26">
        <v>80</v>
      </c>
      <c r="I5456" s="24" t="s">
        <v>29</v>
      </c>
      <c r="J5456" s="36">
        <v>45775</v>
      </c>
      <c r="K5456" s="24" t="s">
        <v>22</v>
      </c>
    </row>
    <row r="5457" spans="1:11" x14ac:dyDescent="0.2">
      <c r="A5457" s="27" t="s">
        <v>12990</v>
      </c>
      <c r="B5457" s="27" t="s">
        <v>12991</v>
      </c>
      <c r="C5457" s="27" t="s">
        <v>55</v>
      </c>
      <c r="D5457" s="27" t="s">
        <v>17</v>
      </c>
      <c r="E5457" s="27" t="s">
        <v>48</v>
      </c>
      <c r="F5457" s="27" t="s">
        <v>49</v>
      </c>
      <c r="G5457" s="27" t="s">
        <v>44</v>
      </c>
      <c r="H5457" s="29">
        <v>150</v>
      </c>
      <c r="I5457" s="27" t="s">
        <v>29</v>
      </c>
      <c r="J5457" s="37">
        <v>45761</v>
      </c>
      <c r="K5457" s="27" t="s">
        <v>22</v>
      </c>
    </row>
    <row r="5458" spans="1:11" x14ac:dyDescent="0.2">
      <c r="A5458" s="24" t="s">
        <v>12992</v>
      </c>
      <c r="B5458" s="24" t="s">
        <v>12993</v>
      </c>
      <c r="C5458" s="24" t="s">
        <v>11937</v>
      </c>
      <c r="D5458" s="24" t="s">
        <v>17</v>
      </c>
      <c r="E5458" s="24" t="s">
        <v>18</v>
      </c>
      <c r="F5458" s="24" t="s">
        <v>19</v>
      </c>
      <c r="G5458" s="24" t="s">
        <v>44</v>
      </c>
      <c r="H5458" s="26">
        <v>135</v>
      </c>
      <c r="I5458" s="24" t="s">
        <v>29</v>
      </c>
      <c r="J5458" s="36">
        <v>45777</v>
      </c>
      <c r="K5458" s="24" t="s">
        <v>22</v>
      </c>
    </row>
    <row r="5459" spans="1:11" x14ac:dyDescent="0.2">
      <c r="A5459" s="27" t="s">
        <v>12994</v>
      </c>
      <c r="B5459" s="27" t="s">
        <v>12995</v>
      </c>
      <c r="C5459" s="27" t="s">
        <v>85</v>
      </c>
      <c r="D5459" s="27" t="s">
        <v>17</v>
      </c>
      <c r="E5459" s="27" t="s">
        <v>48</v>
      </c>
      <c r="F5459" s="27" t="s">
        <v>49</v>
      </c>
      <c r="G5459" s="27" t="s">
        <v>28</v>
      </c>
      <c r="H5459" s="29">
        <v>120</v>
      </c>
      <c r="I5459" s="27" t="s">
        <v>29</v>
      </c>
      <c r="J5459" s="37">
        <v>45758</v>
      </c>
      <c r="K5459" s="27" t="s">
        <v>22</v>
      </c>
    </row>
    <row r="5460" spans="1:11" x14ac:dyDescent="0.2">
      <c r="A5460" s="24" t="s">
        <v>12996</v>
      </c>
      <c r="B5460" s="24" t="s">
        <v>12997</v>
      </c>
      <c r="C5460" s="24" t="s">
        <v>68</v>
      </c>
      <c r="D5460" s="24" t="s">
        <v>17</v>
      </c>
      <c r="E5460" s="24" t="s">
        <v>26</v>
      </c>
      <c r="F5460" s="24" t="s">
        <v>27</v>
      </c>
      <c r="G5460" s="24" t="s">
        <v>217</v>
      </c>
      <c r="H5460" s="26">
        <v>27</v>
      </c>
      <c r="I5460" s="24" t="s">
        <v>29</v>
      </c>
      <c r="J5460" s="36">
        <v>45748</v>
      </c>
      <c r="K5460" s="24" t="s">
        <v>22</v>
      </c>
    </row>
    <row r="5461" spans="1:11" x14ac:dyDescent="0.2">
      <c r="A5461" s="27" t="s">
        <v>12998</v>
      </c>
      <c r="B5461" s="27" t="s">
        <v>12999</v>
      </c>
      <c r="C5461" s="27" t="s">
        <v>1307</v>
      </c>
      <c r="D5461" s="27" t="s">
        <v>17</v>
      </c>
      <c r="E5461" s="27" t="s">
        <v>42</v>
      </c>
      <c r="F5461" s="27" t="s">
        <v>43</v>
      </c>
      <c r="G5461" s="27" t="s">
        <v>44</v>
      </c>
      <c r="H5461" s="29">
        <v>556</v>
      </c>
      <c r="I5461" s="27" t="s">
        <v>21</v>
      </c>
      <c r="J5461" s="37">
        <v>45756</v>
      </c>
      <c r="K5461" s="27" t="s">
        <v>22</v>
      </c>
    </row>
    <row r="5462" spans="1:11" x14ac:dyDescent="0.2">
      <c r="A5462" s="24" t="s">
        <v>13000</v>
      </c>
      <c r="B5462" s="24" t="s">
        <v>13001</v>
      </c>
      <c r="C5462" s="24" t="s">
        <v>115</v>
      </c>
      <c r="D5462" s="24" t="s">
        <v>17</v>
      </c>
      <c r="E5462" s="24" t="s">
        <v>18</v>
      </c>
      <c r="F5462" s="24" t="s">
        <v>19</v>
      </c>
      <c r="G5462" s="24" t="s">
        <v>20</v>
      </c>
      <c r="H5462" s="26">
        <v>64</v>
      </c>
      <c r="I5462" s="24" t="s">
        <v>21</v>
      </c>
      <c r="J5462" s="36">
        <v>45769</v>
      </c>
      <c r="K5462" s="24" t="s">
        <v>22</v>
      </c>
    </row>
    <row r="5463" spans="1:11" x14ac:dyDescent="0.2">
      <c r="A5463" s="27" t="s">
        <v>13002</v>
      </c>
      <c r="B5463" s="27" t="s">
        <v>13003</v>
      </c>
      <c r="C5463" s="27" t="s">
        <v>708</v>
      </c>
      <c r="D5463" s="27" t="s">
        <v>17</v>
      </c>
      <c r="E5463" s="27" t="s">
        <v>48</v>
      </c>
      <c r="F5463" s="27" t="s">
        <v>49</v>
      </c>
      <c r="G5463" s="27" t="s">
        <v>227</v>
      </c>
      <c r="H5463" s="29">
        <v>48</v>
      </c>
      <c r="I5463" s="27" t="s">
        <v>29</v>
      </c>
      <c r="J5463" s="37">
        <v>45761</v>
      </c>
      <c r="K5463" s="27" t="s">
        <v>22</v>
      </c>
    </row>
    <row r="5464" spans="1:11" x14ac:dyDescent="0.2">
      <c r="A5464" s="24" t="s">
        <v>13004</v>
      </c>
      <c r="B5464" s="24" t="s">
        <v>13005</v>
      </c>
      <c r="C5464" s="24" t="s">
        <v>13006</v>
      </c>
      <c r="D5464" s="24" t="s">
        <v>17</v>
      </c>
      <c r="E5464" s="24" t="s">
        <v>18</v>
      </c>
      <c r="F5464" s="24" t="s">
        <v>19</v>
      </c>
      <c r="G5464" s="24" t="s">
        <v>59</v>
      </c>
      <c r="H5464" s="26">
        <v>1</v>
      </c>
      <c r="I5464" s="24" t="s">
        <v>21</v>
      </c>
      <c r="J5464" s="36">
        <v>45768</v>
      </c>
      <c r="K5464" s="24" t="s">
        <v>22</v>
      </c>
    </row>
    <row r="5465" spans="1:11" x14ac:dyDescent="0.2">
      <c r="A5465" s="27" t="s">
        <v>13007</v>
      </c>
      <c r="B5465" s="27" t="s">
        <v>13008</v>
      </c>
      <c r="C5465" s="27" t="s">
        <v>1093</v>
      </c>
      <c r="D5465" s="27" t="s">
        <v>17</v>
      </c>
      <c r="E5465" s="27" t="s">
        <v>42</v>
      </c>
      <c r="F5465" s="27" t="s">
        <v>43</v>
      </c>
      <c r="G5465" s="27" t="s">
        <v>20</v>
      </c>
      <c r="H5465" s="29">
        <v>241</v>
      </c>
      <c r="I5465" s="27" t="s">
        <v>21</v>
      </c>
      <c r="J5465" s="37">
        <v>45776</v>
      </c>
      <c r="K5465" s="27" t="s">
        <v>22</v>
      </c>
    </row>
    <row r="5466" spans="1:11" x14ac:dyDescent="0.2">
      <c r="A5466" s="24" t="s">
        <v>13009</v>
      </c>
      <c r="B5466" s="24" t="s">
        <v>13010</v>
      </c>
      <c r="C5466" s="24" t="s">
        <v>749</v>
      </c>
      <c r="D5466" s="24" t="s">
        <v>17</v>
      </c>
      <c r="E5466" s="24" t="s">
        <v>42</v>
      </c>
      <c r="F5466" s="24" t="s">
        <v>43</v>
      </c>
      <c r="G5466" s="24" t="s">
        <v>28</v>
      </c>
      <c r="H5466" s="26">
        <v>288</v>
      </c>
      <c r="I5466" s="24" t="s">
        <v>29</v>
      </c>
      <c r="J5466" s="36">
        <v>45771</v>
      </c>
      <c r="K5466" s="24" t="s">
        <v>22</v>
      </c>
    </row>
    <row r="5467" spans="1:11" x14ac:dyDescent="0.2">
      <c r="A5467" s="27" t="s">
        <v>13011</v>
      </c>
      <c r="B5467" s="27" t="s">
        <v>13012</v>
      </c>
      <c r="C5467" s="27" t="s">
        <v>71</v>
      </c>
      <c r="D5467" s="27" t="s">
        <v>17</v>
      </c>
      <c r="E5467" s="27" t="s">
        <v>42</v>
      </c>
      <c r="F5467" s="27" t="s">
        <v>43</v>
      </c>
      <c r="G5467" s="27" t="s">
        <v>217</v>
      </c>
      <c r="H5467" s="29">
        <v>402</v>
      </c>
      <c r="I5467" s="27" t="s">
        <v>29</v>
      </c>
      <c r="J5467" s="37">
        <v>45778</v>
      </c>
      <c r="K5467" s="27" t="s">
        <v>22</v>
      </c>
    </row>
    <row r="5468" spans="1:11" x14ac:dyDescent="0.2">
      <c r="A5468" s="24" t="s">
        <v>13013</v>
      </c>
      <c r="B5468" s="24" t="s">
        <v>13014</v>
      </c>
      <c r="C5468" s="24" t="s">
        <v>7864</v>
      </c>
      <c r="D5468" s="24" t="s">
        <v>17</v>
      </c>
      <c r="E5468" s="24" t="s">
        <v>18</v>
      </c>
      <c r="F5468" s="24" t="s">
        <v>19</v>
      </c>
      <c r="G5468" s="24" t="s">
        <v>20</v>
      </c>
      <c r="H5468" s="26">
        <v>34</v>
      </c>
      <c r="I5468" s="24" t="s">
        <v>21</v>
      </c>
      <c r="J5468" s="36">
        <v>45783</v>
      </c>
      <c r="K5468" s="24" t="s">
        <v>22</v>
      </c>
    </row>
    <row r="5469" spans="1:11" x14ac:dyDescent="0.2">
      <c r="A5469" s="27" t="s">
        <v>13015</v>
      </c>
      <c r="B5469" s="27" t="s">
        <v>13016</v>
      </c>
      <c r="C5469" s="27" t="s">
        <v>13017</v>
      </c>
      <c r="D5469" s="27" t="s">
        <v>17</v>
      </c>
      <c r="E5469" s="27" t="s">
        <v>18</v>
      </c>
      <c r="F5469" s="27" t="s">
        <v>19</v>
      </c>
      <c r="G5469" s="27" t="s">
        <v>217</v>
      </c>
      <c r="H5469" s="29">
        <v>12</v>
      </c>
      <c r="I5469" s="27" t="s">
        <v>29</v>
      </c>
      <c r="J5469" s="37">
        <v>45792</v>
      </c>
      <c r="K5469" s="27" t="s">
        <v>22</v>
      </c>
    </row>
    <row r="5470" spans="1:11" x14ac:dyDescent="0.2">
      <c r="A5470" s="24" t="s">
        <v>13018</v>
      </c>
      <c r="B5470" s="24" t="s">
        <v>13019</v>
      </c>
      <c r="C5470" s="24" t="s">
        <v>13020</v>
      </c>
      <c r="D5470" s="24" t="s">
        <v>17</v>
      </c>
      <c r="E5470" s="24" t="s">
        <v>18</v>
      </c>
      <c r="F5470" s="24" t="s">
        <v>19</v>
      </c>
      <c r="G5470" s="24" t="s">
        <v>217</v>
      </c>
      <c r="H5470" s="26">
        <v>18</v>
      </c>
      <c r="I5470" s="24" t="s">
        <v>29</v>
      </c>
      <c r="J5470" s="36">
        <v>45778</v>
      </c>
      <c r="K5470" s="24" t="s">
        <v>22</v>
      </c>
    </row>
    <row r="5471" spans="1:11" x14ac:dyDescent="0.2">
      <c r="A5471" s="27" t="s">
        <v>13021</v>
      </c>
      <c r="B5471" s="27" t="s">
        <v>13022</v>
      </c>
      <c r="C5471" s="27" t="s">
        <v>1737</v>
      </c>
      <c r="D5471" s="27" t="s">
        <v>17</v>
      </c>
      <c r="E5471" s="27" t="s">
        <v>26</v>
      </c>
      <c r="F5471" s="27" t="s">
        <v>27</v>
      </c>
      <c r="G5471" s="27" t="s">
        <v>28</v>
      </c>
      <c r="H5471" s="29">
        <v>60</v>
      </c>
      <c r="I5471" s="27" t="s">
        <v>29</v>
      </c>
      <c r="J5471" s="37">
        <v>45797</v>
      </c>
      <c r="K5471" s="27" t="s">
        <v>22</v>
      </c>
    </row>
    <row r="5472" spans="1:11" x14ac:dyDescent="0.2">
      <c r="A5472" s="24" t="s">
        <v>13023</v>
      </c>
      <c r="B5472" s="24" t="s">
        <v>13024</v>
      </c>
      <c r="C5472" s="24" t="s">
        <v>13025</v>
      </c>
      <c r="D5472" s="24" t="s">
        <v>17</v>
      </c>
      <c r="E5472" s="24" t="s">
        <v>18</v>
      </c>
      <c r="F5472" s="24" t="s">
        <v>19</v>
      </c>
      <c r="G5472" s="24" t="s">
        <v>44</v>
      </c>
      <c r="H5472" s="26">
        <v>36</v>
      </c>
      <c r="I5472" s="24" t="s">
        <v>29</v>
      </c>
      <c r="J5472" s="36">
        <v>45791</v>
      </c>
      <c r="K5472" s="24" t="s">
        <v>22</v>
      </c>
    </row>
    <row r="5473" spans="1:11" x14ac:dyDescent="0.2">
      <c r="A5473" s="27" t="s">
        <v>13026</v>
      </c>
      <c r="B5473" s="27" t="s">
        <v>13027</v>
      </c>
      <c r="C5473" s="27" t="s">
        <v>11774</v>
      </c>
      <c r="D5473" s="27" t="s">
        <v>17</v>
      </c>
      <c r="E5473" s="27" t="s">
        <v>18</v>
      </c>
      <c r="F5473" s="27" t="s">
        <v>19</v>
      </c>
      <c r="G5473" s="27" t="s">
        <v>20</v>
      </c>
      <c r="H5473" s="29">
        <v>36</v>
      </c>
      <c r="I5473" s="27" t="s">
        <v>21</v>
      </c>
      <c r="J5473" s="37">
        <v>45797</v>
      </c>
      <c r="K5473" s="27" t="s">
        <v>22</v>
      </c>
    </row>
    <row r="5474" spans="1:11" x14ac:dyDescent="0.2">
      <c r="A5474" s="24" t="s">
        <v>13028</v>
      </c>
      <c r="B5474" s="24" t="s">
        <v>13029</v>
      </c>
      <c r="C5474" s="24" t="s">
        <v>331</v>
      </c>
      <c r="D5474" s="24" t="s">
        <v>17</v>
      </c>
      <c r="E5474" s="24" t="s">
        <v>18</v>
      </c>
      <c r="F5474" s="24" t="s">
        <v>19</v>
      </c>
      <c r="G5474" s="24" t="s">
        <v>20</v>
      </c>
      <c r="H5474" s="26">
        <v>48</v>
      </c>
      <c r="I5474" s="24" t="s">
        <v>21</v>
      </c>
      <c r="J5474" s="36">
        <v>45789</v>
      </c>
      <c r="K5474" s="24" t="s">
        <v>22</v>
      </c>
    </row>
    <row r="5475" spans="1:11" x14ac:dyDescent="0.2">
      <c r="A5475" s="27" t="s">
        <v>13030</v>
      </c>
      <c r="B5475" s="27" t="s">
        <v>13031</v>
      </c>
      <c r="C5475" s="27" t="s">
        <v>13032</v>
      </c>
      <c r="D5475" s="27" t="s">
        <v>17</v>
      </c>
      <c r="E5475" s="27" t="s">
        <v>42</v>
      </c>
      <c r="F5475" s="27" t="s">
        <v>43</v>
      </c>
      <c r="G5475" s="27" t="s">
        <v>28</v>
      </c>
      <c r="H5475" s="29">
        <v>200</v>
      </c>
      <c r="I5475" s="27" t="s">
        <v>29</v>
      </c>
      <c r="J5475" s="37">
        <v>45791</v>
      </c>
      <c r="K5475" s="27" t="s">
        <v>22</v>
      </c>
    </row>
    <row r="5476" spans="1:11" x14ac:dyDescent="0.2">
      <c r="A5476" s="24" t="s">
        <v>13033</v>
      </c>
      <c r="B5476" s="24" t="s">
        <v>13034</v>
      </c>
      <c r="C5476" s="24" t="s">
        <v>13035</v>
      </c>
      <c r="D5476" s="24" t="s">
        <v>17</v>
      </c>
      <c r="E5476" s="24" t="s">
        <v>48</v>
      </c>
      <c r="F5476" s="24" t="s">
        <v>49</v>
      </c>
      <c r="G5476" s="24" t="s">
        <v>217</v>
      </c>
      <c r="H5476" s="26">
        <v>60</v>
      </c>
      <c r="I5476" s="24" t="s">
        <v>29</v>
      </c>
      <c r="J5476" s="36">
        <v>45787</v>
      </c>
      <c r="K5476" s="24" t="s">
        <v>22</v>
      </c>
    </row>
    <row r="5477" spans="1:11" x14ac:dyDescent="0.2">
      <c r="A5477" s="27" t="s">
        <v>13036</v>
      </c>
      <c r="B5477" s="27" t="s">
        <v>13037</v>
      </c>
      <c r="C5477" s="27" t="s">
        <v>3374</v>
      </c>
      <c r="D5477" s="27" t="s">
        <v>17</v>
      </c>
      <c r="E5477" s="27" t="s">
        <v>18</v>
      </c>
      <c r="F5477" s="27" t="s">
        <v>19</v>
      </c>
      <c r="G5477" s="27" t="s">
        <v>28</v>
      </c>
      <c r="H5477" s="29">
        <v>20</v>
      </c>
      <c r="I5477" s="27" t="s">
        <v>29</v>
      </c>
      <c r="J5477" s="37">
        <v>45794</v>
      </c>
      <c r="K5477" s="27" t="s">
        <v>22</v>
      </c>
    </row>
    <row r="5478" spans="1:11" x14ac:dyDescent="0.2">
      <c r="A5478" s="24" t="s">
        <v>13038</v>
      </c>
      <c r="B5478" s="24" t="s">
        <v>13039</v>
      </c>
      <c r="C5478" s="24" t="s">
        <v>1912</v>
      </c>
      <c r="D5478" s="24" t="s">
        <v>17</v>
      </c>
      <c r="E5478" s="24" t="s">
        <v>18</v>
      </c>
      <c r="F5478" s="24" t="s">
        <v>19</v>
      </c>
      <c r="G5478" s="24" t="s">
        <v>28</v>
      </c>
      <c r="H5478" s="26">
        <v>180</v>
      </c>
      <c r="I5478" s="24" t="s">
        <v>29</v>
      </c>
      <c r="J5478" s="36">
        <v>45785</v>
      </c>
      <c r="K5478" s="24" t="s">
        <v>22</v>
      </c>
    </row>
    <row r="5479" spans="1:11" x14ac:dyDescent="0.2">
      <c r="A5479" s="27" t="s">
        <v>13040</v>
      </c>
      <c r="B5479" s="27" t="s">
        <v>13041</v>
      </c>
      <c r="C5479" s="27" t="s">
        <v>2562</v>
      </c>
      <c r="D5479" s="27" t="s">
        <v>17</v>
      </c>
      <c r="E5479" s="27" t="s">
        <v>42</v>
      </c>
      <c r="F5479" s="27" t="s">
        <v>43</v>
      </c>
      <c r="G5479" s="27" t="s">
        <v>28</v>
      </c>
      <c r="H5479" s="29">
        <v>1900</v>
      </c>
      <c r="I5479" s="27" t="s">
        <v>29</v>
      </c>
      <c r="J5479" s="37">
        <v>45778</v>
      </c>
      <c r="K5479" s="27" t="s">
        <v>22</v>
      </c>
    </row>
    <row r="5480" spans="1:11" x14ac:dyDescent="0.2">
      <c r="A5480" s="24" t="s">
        <v>13042</v>
      </c>
      <c r="B5480" s="24" t="s">
        <v>13043</v>
      </c>
      <c r="C5480" s="24" t="s">
        <v>5477</v>
      </c>
      <c r="D5480" s="24" t="s">
        <v>17</v>
      </c>
      <c r="E5480" s="24" t="s">
        <v>26</v>
      </c>
      <c r="F5480" s="24" t="s">
        <v>27</v>
      </c>
      <c r="G5480" s="24" t="s">
        <v>28</v>
      </c>
      <c r="H5480" s="26">
        <v>620</v>
      </c>
      <c r="I5480" s="24" t="s">
        <v>29</v>
      </c>
      <c r="J5480" s="36">
        <v>45785</v>
      </c>
      <c r="K5480" s="24" t="s">
        <v>22</v>
      </c>
    </row>
    <row r="5481" spans="1:11" x14ac:dyDescent="0.2">
      <c r="A5481" s="27" t="s">
        <v>13044</v>
      </c>
      <c r="B5481" s="27" t="s">
        <v>13045</v>
      </c>
      <c r="C5481" s="27" t="s">
        <v>2063</v>
      </c>
      <c r="D5481" s="27" t="s">
        <v>17</v>
      </c>
      <c r="E5481" s="27" t="s">
        <v>33</v>
      </c>
      <c r="F5481" s="27" t="s">
        <v>34</v>
      </c>
      <c r="G5481" s="27" t="s">
        <v>28</v>
      </c>
      <c r="H5481" s="29">
        <v>740</v>
      </c>
      <c r="I5481" s="27" t="s">
        <v>29</v>
      </c>
      <c r="J5481" s="37">
        <v>45792</v>
      </c>
      <c r="K5481" s="27" t="s">
        <v>22</v>
      </c>
    </row>
    <row r="5482" spans="1:11" x14ac:dyDescent="0.2">
      <c r="A5482" s="24" t="s">
        <v>13046</v>
      </c>
      <c r="B5482" s="24" t="s">
        <v>13047</v>
      </c>
      <c r="C5482" s="24" t="s">
        <v>13048</v>
      </c>
      <c r="D5482" s="24" t="s">
        <v>17</v>
      </c>
      <c r="E5482" s="24" t="s">
        <v>18</v>
      </c>
      <c r="F5482" s="24" t="s">
        <v>19</v>
      </c>
      <c r="G5482" s="24" t="s">
        <v>217</v>
      </c>
      <c r="H5482" s="26">
        <v>30</v>
      </c>
      <c r="I5482" s="24" t="s">
        <v>29</v>
      </c>
      <c r="J5482" s="36">
        <v>45778</v>
      </c>
      <c r="K5482" s="24" t="s">
        <v>22</v>
      </c>
    </row>
    <row r="5483" spans="1:11" x14ac:dyDescent="0.2">
      <c r="A5483" s="27" t="s">
        <v>13049</v>
      </c>
      <c r="B5483" s="27" t="s">
        <v>13050</v>
      </c>
      <c r="C5483" s="27" t="s">
        <v>194</v>
      </c>
      <c r="D5483" s="27" t="s">
        <v>17</v>
      </c>
      <c r="E5483" s="27" t="s">
        <v>18</v>
      </c>
      <c r="F5483" s="27" t="s">
        <v>19</v>
      </c>
      <c r="G5483" s="27" t="s">
        <v>28</v>
      </c>
      <c r="H5483" s="29">
        <v>45</v>
      </c>
      <c r="I5483" s="27" t="s">
        <v>29</v>
      </c>
      <c r="J5483" s="37">
        <v>45792</v>
      </c>
      <c r="K5483" s="27" t="s">
        <v>22</v>
      </c>
    </row>
    <row r="5484" spans="1:11" x14ac:dyDescent="0.2">
      <c r="A5484" s="24" t="s">
        <v>13051</v>
      </c>
      <c r="B5484" s="24" t="s">
        <v>13052</v>
      </c>
      <c r="C5484" s="24" t="s">
        <v>71</v>
      </c>
      <c r="D5484" s="24" t="s">
        <v>17</v>
      </c>
      <c r="E5484" s="24" t="s">
        <v>26</v>
      </c>
      <c r="F5484" s="24" t="s">
        <v>27</v>
      </c>
      <c r="G5484" s="24" t="s">
        <v>28</v>
      </c>
      <c r="H5484" s="26">
        <v>90</v>
      </c>
      <c r="I5484" s="24" t="s">
        <v>29</v>
      </c>
      <c r="J5484" s="36">
        <v>45786</v>
      </c>
      <c r="K5484" s="24" t="s">
        <v>22</v>
      </c>
    </row>
    <row r="5485" spans="1:11" x14ac:dyDescent="0.2">
      <c r="A5485" s="27" t="s">
        <v>13053</v>
      </c>
      <c r="B5485" s="27" t="s">
        <v>13054</v>
      </c>
      <c r="C5485" s="27" t="s">
        <v>2690</v>
      </c>
      <c r="D5485" s="27" t="s">
        <v>17</v>
      </c>
      <c r="E5485" s="27" t="s">
        <v>48</v>
      </c>
      <c r="F5485" s="27" t="s">
        <v>49</v>
      </c>
      <c r="G5485" s="27" t="s">
        <v>28</v>
      </c>
      <c r="H5485" s="29">
        <v>164</v>
      </c>
      <c r="I5485" s="27" t="s">
        <v>29</v>
      </c>
      <c r="J5485" s="37">
        <v>45782</v>
      </c>
      <c r="K5485" s="27" t="s">
        <v>22</v>
      </c>
    </row>
    <row r="5486" spans="1:11" x14ac:dyDescent="0.2">
      <c r="A5486" s="24" t="s">
        <v>13055</v>
      </c>
      <c r="B5486" s="24" t="s">
        <v>13056</v>
      </c>
      <c r="C5486" s="24" t="s">
        <v>55</v>
      </c>
      <c r="D5486" s="24" t="s">
        <v>17</v>
      </c>
      <c r="E5486" s="24" t="s">
        <v>18</v>
      </c>
      <c r="F5486" s="24" t="s">
        <v>19</v>
      </c>
      <c r="G5486" s="24" t="s">
        <v>20</v>
      </c>
      <c r="H5486" s="26">
        <v>16</v>
      </c>
      <c r="I5486" s="24" t="s">
        <v>21</v>
      </c>
      <c r="J5486" s="36">
        <v>45790</v>
      </c>
      <c r="K5486" s="24" t="s">
        <v>22</v>
      </c>
    </row>
    <row r="5487" spans="1:11" x14ac:dyDescent="0.2">
      <c r="A5487" s="27" t="s">
        <v>13057</v>
      </c>
      <c r="B5487" s="27" t="s">
        <v>13058</v>
      </c>
      <c r="C5487" s="27" t="s">
        <v>115</v>
      </c>
      <c r="D5487" s="27" t="s">
        <v>17</v>
      </c>
      <c r="E5487" s="27" t="s">
        <v>48</v>
      </c>
      <c r="F5487" s="27" t="s">
        <v>49</v>
      </c>
      <c r="G5487" s="27" t="s">
        <v>28</v>
      </c>
      <c r="H5487" s="29">
        <v>88</v>
      </c>
      <c r="I5487" s="27" t="s">
        <v>29</v>
      </c>
      <c r="J5487" s="37">
        <v>45783</v>
      </c>
      <c r="K5487" s="27" t="s">
        <v>22</v>
      </c>
    </row>
    <row r="5488" spans="1:11" x14ac:dyDescent="0.2">
      <c r="A5488" s="24" t="s">
        <v>13059</v>
      </c>
      <c r="B5488" s="24" t="s">
        <v>13060</v>
      </c>
      <c r="C5488" s="24" t="s">
        <v>13061</v>
      </c>
      <c r="D5488" s="24" t="s">
        <v>17</v>
      </c>
      <c r="E5488" s="24" t="s">
        <v>26</v>
      </c>
      <c r="F5488" s="24" t="s">
        <v>27</v>
      </c>
      <c r="G5488" s="24" t="s">
        <v>28</v>
      </c>
      <c r="H5488" s="26">
        <v>49</v>
      </c>
      <c r="I5488" s="24" t="s">
        <v>29</v>
      </c>
      <c r="J5488" s="36">
        <v>45797</v>
      </c>
      <c r="K5488" s="24" t="s">
        <v>22</v>
      </c>
    </row>
    <row r="5489" spans="1:11" x14ac:dyDescent="0.2">
      <c r="A5489" s="27" t="s">
        <v>13062</v>
      </c>
      <c r="B5489" s="27" t="s">
        <v>13063</v>
      </c>
      <c r="C5489" s="27" t="s">
        <v>2669</v>
      </c>
      <c r="D5489" s="27" t="s">
        <v>17</v>
      </c>
      <c r="E5489" s="27" t="s">
        <v>18</v>
      </c>
      <c r="F5489" s="27" t="s">
        <v>19</v>
      </c>
      <c r="G5489" s="27" t="s">
        <v>20</v>
      </c>
      <c r="H5489" s="29">
        <v>12</v>
      </c>
      <c r="I5489" s="27" t="s">
        <v>21</v>
      </c>
      <c r="J5489" s="37">
        <v>45781</v>
      </c>
      <c r="K5489" s="27" t="s">
        <v>22</v>
      </c>
    </row>
    <row r="5490" spans="1:11" x14ac:dyDescent="0.2">
      <c r="A5490" s="24" t="s">
        <v>13064</v>
      </c>
      <c r="B5490" s="24" t="s">
        <v>13065</v>
      </c>
      <c r="C5490" s="24" t="s">
        <v>13066</v>
      </c>
      <c r="D5490" s="24" t="s">
        <v>17</v>
      </c>
      <c r="E5490" s="24" t="s">
        <v>48</v>
      </c>
      <c r="F5490" s="24" t="s">
        <v>49</v>
      </c>
      <c r="G5490" s="24" t="s">
        <v>217</v>
      </c>
      <c r="H5490" s="26">
        <v>150</v>
      </c>
      <c r="I5490" s="24" t="s">
        <v>29</v>
      </c>
      <c r="J5490" s="36">
        <v>45778</v>
      </c>
      <c r="K5490" s="24" t="s">
        <v>22</v>
      </c>
    </row>
    <row r="5491" spans="1:11" x14ac:dyDescent="0.2">
      <c r="A5491" s="27" t="s">
        <v>13067</v>
      </c>
      <c r="B5491" s="27" t="s">
        <v>13068</v>
      </c>
      <c r="C5491" s="27" t="s">
        <v>13069</v>
      </c>
      <c r="D5491" s="27" t="s">
        <v>17</v>
      </c>
      <c r="E5491" s="27" t="s">
        <v>18</v>
      </c>
      <c r="F5491" s="27" t="s">
        <v>19</v>
      </c>
      <c r="G5491" s="27" t="s">
        <v>28</v>
      </c>
      <c r="H5491" s="29">
        <v>76</v>
      </c>
      <c r="I5491" s="27" t="s">
        <v>29</v>
      </c>
      <c r="J5491" s="37">
        <v>45805</v>
      </c>
      <c r="K5491" s="27" t="s">
        <v>22</v>
      </c>
    </row>
    <row r="5492" spans="1:11" x14ac:dyDescent="0.2">
      <c r="A5492" s="24" t="s">
        <v>13070</v>
      </c>
      <c r="B5492" s="24" t="s">
        <v>13071</v>
      </c>
      <c r="C5492" s="24" t="s">
        <v>3944</v>
      </c>
      <c r="D5492" s="24" t="s">
        <v>17</v>
      </c>
      <c r="E5492" s="24" t="s">
        <v>18</v>
      </c>
      <c r="F5492" s="24" t="s">
        <v>19</v>
      </c>
      <c r="G5492" s="24" t="s">
        <v>20</v>
      </c>
      <c r="H5492" s="26">
        <v>46</v>
      </c>
      <c r="I5492" s="24" t="s">
        <v>21</v>
      </c>
      <c r="J5492" s="36">
        <v>45798</v>
      </c>
      <c r="K5492" s="24" t="s">
        <v>22</v>
      </c>
    </row>
    <row r="5493" spans="1:11" x14ac:dyDescent="0.2">
      <c r="A5493" s="27" t="s">
        <v>13072</v>
      </c>
      <c r="B5493" s="27" t="s">
        <v>13073</v>
      </c>
      <c r="C5493" s="27" t="s">
        <v>13074</v>
      </c>
      <c r="D5493" s="27" t="s">
        <v>17</v>
      </c>
      <c r="E5493" s="27" t="s">
        <v>163</v>
      </c>
      <c r="F5493" s="27" t="s">
        <v>164</v>
      </c>
      <c r="G5493" s="27" t="s">
        <v>28</v>
      </c>
      <c r="H5493" s="29">
        <v>30</v>
      </c>
      <c r="I5493" s="27" t="s">
        <v>29</v>
      </c>
      <c r="J5493" s="37">
        <v>45783</v>
      </c>
      <c r="K5493" s="27" t="s">
        <v>22</v>
      </c>
    </row>
    <row r="5494" spans="1:11" x14ac:dyDescent="0.2">
      <c r="A5494" s="24" t="s">
        <v>13075</v>
      </c>
      <c r="B5494" s="24" t="s">
        <v>13076</v>
      </c>
      <c r="C5494" s="24" t="s">
        <v>4253</v>
      </c>
      <c r="D5494" s="24" t="s">
        <v>17</v>
      </c>
      <c r="E5494" s="24" t="s">
        <v>26</v>
      </c>
      <c r="F5494" s="24" t="s">
        <v>27</v>
      </c>
      <c r="G5494" s="24" t="s">
        <v>217</v>
      </c>
      <c r="H5494" s="26">
        <v>40</v>
      </c>
      <c r="I5494" s="24" t="s">
        <v>29</v>
      </c>
      <c r="J5494" s="36">
        <v>45778</v>
      </c>
      <c r="K5494" s="24" t="s">
        <v>22</v>
      </c>
    </row>
    <row r="5495" spans="1:11" x14ac:dyDescent="0.2">
      <c r="A5495" s="27" t="s">
        <v>13077</v>
      </c>
      <c r="B5495" s="27" t="s">
        <v>13078</v>
      </c>
      <c r="C5495" s="27" t="s">
        <v>2238</v>
      </c>
      <c r="D5495" s="27" t="s">
        <v>17</v>
      </c>
      <c r="E5495" s="27" t="s">
        <v>18</v>
      </c>
      <c r="F5495" s="27" t="s">
        <v>19</v>
      </c>
      <c r="G5495" s="27" t="s">
        <v>28</v>
      </c>
      <c r="H5495" s="29">
        <v>48</v>
      </c>
      <c r="I5495" s="27" t="s">
        <v>29</v>
      </c>
      <c r="J5495" s="37">
        <v>45785</v>
      </c>
      <c r="K5495" s="27" t="s">
        <v>22</v>
      </c>
    </row>
    <row r="5496" spans="1:11" x14ac:dyDescent="0.2">
      <c r="A5496" s="24" t="s">
        <v>13079</v>
      </c>
      <c r="B5496" s="24" t="s">
        <v>13080</v>
      </c>
      <c r="C5496" s="24" t="s">
        <v>526</v>
      </c>
      <c r="D5496" s="24" t="s">
        <v>17</v>
      </c>
      <c r="E5496" s="24" t="s">
        <v>42</v>
      </c>
      <c r="F5496" s="24" t="s">
        <v>43</v>
      </c>
      <c r="G5496" s="24" t="s">
        <v>28</v>
      </c>
      <c r="H5496" s="26">
        <v>586</v>
      </c>
      <c r="I5496" s="24" t="s">
        <v>29</v>
      </c>
      <c r="J5496" s="36">
        <v>45806</v>
      </c>
      <c r="K5496" s="24" t="s">
        <v>22</v>
      </c>
    </row>
    <row r="5497" spans="1:11" x14ac:dyDescent="0.2">
      <c r="A5497" s="27" t="s">
        <v>13081</v>
      </c>
      <c r="B5497" s="27" t="s">
        <v>13082</v>
      </c>
      <c r="C5497" s="27" t="s">
        <v>13083</v>
      </c>
      <c r="D5497" s="27" t="s">
        <v>17</v>
      </c>
      <c r="E5497" s="27" t="s">
        <v>33</v>
      </c>
      <c r="F5497" s="27" t="s">
        <v>34</v>
      </c>
      <c r="G5497" s="27" t="s">
        <v>28</v>
      </c>
      <c r="H5497" s="29">
        <v>120</v>
      </c>
      <c r="I5497" s="27" t="s">
        <v>29</v>
      </c>
      <c r="J5497" s="37">
        <v>45804</v>
      </c>
      <c r="K5497" s="27" t="s">
        <v>22</v>
      </c>
    </row>
    <row r="5498" spans="1:11" x14ac:dyDescent="0.2">
      <c r="A5498" s="24" t="s">
        <v>13084</v>
      </c>
      <c r="B5498" s="24" t="s">
        <v>13085</v>
      </c>
      <c r="C5498" s="24" t="s">
        <v>251</v>
      </c>
      <c r="D5498" s="24" t="s">
        <v>17</v>
      </c>
      <c r="E5498" s="24" t="s">
        <v>48</v>
      </c>
      <c r="F5498" s="24" t="s">
        <v>49</v>
      </c>
      <c r="G5498" s="24" t="s">
        <v>28</v>
      </c>
      <c r="H5498" s="26">
        <v>224</v>
      </c>
      <c r="I5498" s="24" t="s">
        <v>29</v>
      </c>
      <c r="J5498" s="36">
        <v>45793</v>
      </c>
      <c r="K5498" s="24" t="s">
        <v>22</v>
      </c>
    </row>
    <row r="5499" spans="1:11" x14ac:dyDescent="0.2">
      <c r="A5499" s="27" t="s">
        <v>13086</v>
      </c>
      <c r="B5499" s="27" t="s">
        <v>13087</v>
      </c>
      <c r="C5499" s="27" t="s">
        <v>2331</v>
      </c>
      <c r="D5499" s="27" t="s">
        <v>17</v>
      </c>
      <c r="E5499" s="27" t="s">
        <v>26</v>
      </c>
      <c r="F5499" s="27" t="s">
        <v>27</v>
      </c>
      <c r="G5499" s="27" t="s">
        <v>28</v>
      </c>
      <c r="H5499" s="29">
        <v>594</v>
      </c>
      <c r="I5499" s="27" t="s">
        <v>29</v>
      </c>
      <c r="J5499" s="37">
        <v>45779</v>
      </c>
      <c r="K5499" s="27" t="s">
        <v>22</v>
      </c>
    </row>
    <row r="5500" spans="1:11" x14ac:dyDescent="0.2">
      <c r="A5500" s="24" t="s">
        <v>13088</v>
      </c>
      <c r="B5500" s="24" t="s">
        <v>13089</v>
      </c>
      <c r="C5500" s="24" t="s">
        <v>1359</v>
      </c>
      <c r="D5500" s="24" t="s">
        <v>17</v>
      </c>
      <c r="E5500" s="24" t="s">
        <v>18</v>
      </c>
      <c r="F5500" s="24" t="s">
        <v>19</v>
      </c>
      <c r="G5500" s="24" t="s">
        <v>20</v>
      </c>
      <c r="H5500" s="26">
        <v>24</v>
      </c>
      <c r="I5500" s="24" t="s">
        <v>21</v>
      </c>
      <c r="J5500" s="36">
        <v>45805</v>
      </c>
      <c r="K5500" s="24" t="s">
        <v>22</v>
      </c>
    </row>
    <row r="5501" spans="1:11" x14ac:dyDescent="0.2">
      <c r="A5501" s="27" t="s">
        <v>13090</v>
      </c>
      <c r="B5501" s="27" t="s">
        <v>13091</v>
      </c>
      <c r="C5501" s="27" t="s">
        <v>13092</v>
      </c>
      <c r="D5501" s="27" t="s">
        <v>17</v>
      </c>
      <c r="E5501" s="27" t="s">
        <v>18</v>
      </c>
      <c r="F5501" s="27" t="s">
        <v>19</v>
      </c>
      <c r="G5501" s="27" t="s">
        <v>28</v>
      </c>
      <c r="H5501" s="29">
        <v>144</v>
      </c>
      <c r="I5501" s="27" t="s">
        <v>29</v>
      </c>
      <c r="J5501" s="37">
        <v>45786</v>
      </c>
      <c r="K5501" s="27" t="s">
        <v>22</v>
      </c>
    </row>
    <row r="5502" spans="1:11" x14ac:dyDescent="0.2">
      <c r="A5502" s="24" t="s">
        <v>13093</v>
      </c>
      <c r="B5502" s="24" t="s">
        <v>13094</v>
      </c>
      <c r="C5502" s="24" t="s">
        <v>13095</v>
      </c>
      <c r="D5502" s="24" t="s">
        <v>17</v>
      </c>
      <c r="E5502" s="24" t="s">
        <v>18</v>
      </c>
      <c r="F5502" s="24" t="s">
        <v>19</v>
      </c>
      <c r="G5502" s="24" t="s">
        <v>28</v>
      </c>
      <c r="H5502" s="26">
        <v>94</v>
      </c>
      <c r="I5502" s="24" t="s">
        <v>29</v>
      </c>
      <c r="J5502" s="36">
        <v>45800</v>
      </c>
      <c r="K5502" s="24" t="s">
        <v>22</v>
      </c>
    </row>
    <row r="5503" spans="1:11" x14ac:dyDescent="0.2">
      <c r="A5503" s="27" t="s">
        <v>13096</v>
      </c>
      <c r="B5503" s="27" t="s">
        <v>13097</v>
      </c>
      <c r="C5503" s="27" t="s">
        <v>13098</v>
      </c>
      <c r="D5503" s="27" t="s">
        <v>17</v>
      </c>
      <c r="E5503" s="27" t="s">
        <v>48</v>
      </c>
      <c r="F5503" s="27" t="s">
        <v>49</v>
      </c>
      <c r="G5503" s="27" t="s">
        <v>44</v>
      </c>
      <c r="H5503" s="29">
        <v>270</v>
      </c>
      <c r="I5503" s="27" t="s">
        <v>29</v>
      </c>
      <c r="J5503" s="37">
        <v>45786</v>
      </c>
      <c r="K5503" s="27" t="s">
        <v>22</v>
      </c>
    </row>
    <row r="5504" spans="1:11" x14ac:dyDescent="0.2">
      <c r="A5504" s="24" t="s">
        <v>13099</v>
      </c>
      <c r="B5504" s="24" t="s">
        <v>13100</v>
      </c>
      <c r="C5504" s="24" t="s">
        <v>13101</v>
      </c>
      <c r="D5504" s="24" t="s">
        <v>17</v>
      </c>
      <c r="E5504" s="24" t="s">
        <v>26</v>
      </c>
      <c r="F5504" s="24" t="s">
        <v>27</v>
      </c>
      <c r="G5504" s="24" t="s">
        <v>28</v>
      </c>
      <c r="H5504" s="26">
        <v>32</v>
      </c>
      <c r="I5504" s="24" t="s">
        <v>29</v>
      </c>
      <c r="J5504" s="36">
        <v>45807</v>
      </c>
      <c r="K5504" s="24" t="s">
        <v>22</v>
      </c>
    </row>
    <row r="5505" spans="1:11" x14ac:dyDescent="0.2">
      <c r="A5505" s="27" t="s">
        <v>13102</v>
      </c>
      <c r="B5505" s="27" t="s">
        <v>13103</v>
      </c>
      <c r="C5505" s="27" t="s">
        <v>85</v>
      </c>
      <c r="D5505" s="27" t="s">
        <v>17</v>
      </c>
      <c r="E5505" s="27" t="s">
        <v>42</v>
      </c>
      <c r="F5505" s="27" t="s">
        <v>43</v>
      </c>
      <c r="G5505" s="27" t="s">
        <v>44</v>
      </c>
      <c r="H5505" s="29">
        <v>252</v>
      </c>
      <c r="I5505" s="27" t="s">
        <v>21</v>
      </c>
      <c r="J5505" s="37">
        <v>45803</v>
      </c>
      <c r="K5505" s="27" t="s">
        <v>22</v>
      </c>
    </row>
    <row r="5506" spans="1:11" x14ac:dyDescent="0.2">
      <c r="A5506" s="24" t="s">
        <v>13104</v>
      </c>
      <c r="B5506" s="24" t="s">
        <v>13105</v>
      </c>
      <c r="C5506" s="24" t="s">
        <v>13106</v>
      </c>
      <c r="D5506" s="24" t="s">
        <v>17</v>
      </c>
      <c r="E5506" s="24" t="s">
        <v>48</v>
      </c>
      <c r="F5506" s="24" t="s">
        <v>49</v>
      </c>
      <c r="G5506" s="24" t="s">
        <v>44</v>
      </c>
      <c r="H5506" s="26">
        <v>16</v>
      </c>
      <c r="I5506" s="24" t="s">
        <v>21</v>
      </c>
      <c r="J5506" s="36">
        <v>45786</v>
      </c>
      <c r="K5506" s="24" t="s">
        <v>22</v>
      </c>
    </row>
    <row r="5507" spans="1:11" x14ac:dyDescent="0.2">
      <c r="A5507" s="27" t="s">
        <v>13107</v>
      </c>
      <c r="B5507" s="27" t="s">
        <v>13108</v>
      </c>
      <c r="C5507" s="27" t="s">
        <v>1155</v>
      </c>
      <c r="D5507" s="27" t="s">
        <v>17</v>
      </c>
      <c r="E5507" s="27" t="s">
        <v>18</v>
      </c>
      <c r="F5507" s="27" t="s">
        <v>19</v>
      </c>
      <c r="G5507" s="27" t="s">
        <v>217</v>
      </c>
      <c r="H5507" s="29">
        <v>172</v>
      </c>
      <c r="I5507" s="27" t="s">
        <v>29</v>
      </c>
      <c r="J5507" s="37">
        <v>45778</v>
      </c>
      <c r="K5507" s="27" t="s">
        <v>22</v>
      </c>
    </row>
    <row r="5508" spans="1:11" x14ac:dyDescent="0.2">
      <c r="A5508" s="24" t="s">
        <v>13109</v>
      </c>
      <c r="B5508" s="24" t="s">
        <v>13110</v>
      </c>
      <c r="C5508" s="24" t="s">
        <v>2705</v>
      </c>
      <c r="D5508" s="24" t="s">
        <v>17</v>
      </c>
      <c r="E5508" s="24" t="s">
        <v>42</v>
      </c>
      <c r="F5508" s="24" t="s">
        <v>43</v>
      </c>
      <c r="G5508" s="24" t="s">
        <v>28</v>
      </c>
      <c r="H5508" s="26">
        <v>50</v>
      </c>
      <c r="I5508" s="24" t="s">
        <v>29</v>
      </c>
      <c r="J5508" s="36">
        <v>45804</v>
      </c>
      <c r="K5508" s="24" t="s">
        <v>22</v>
      </c>
    </row>
    <row r="5509" spans="1:11" x14ac:dyDescent="0.2">
      <c r="A5509" s="27" t="s">
        <v>13111</v>
      </c>
      <c r="B5509" s="27" t="s">
        <v>13112</v>
      </c>
      <c r="C5509" s="27" t="s">
        <v>97</v>
      </c>
      <c r="D5509" s="27" t="s">
        <v>17</v>
      </c>
      <c r="E5509" s="27" t="s">
        <v>18</v>
      </c>
      <c r="F5509" s="27" t="s">
        <v>19</v>
      </c>
      <c r="G5509" s="27" t="s">
        <v>20</v>
      </c>
      <c r="H5509" s="29">
        <v>8</v>
      </c>
      <c r="I5509" s="27" t="s">
        <v>21</v>
      </c>
      <c r="J5509" s="37">
        <v>45797</v>
      </c>
      <c r="K5509" s="27" t="s">
        <v>22</v>
      </c>
    </row>
    <row r="5510" spans="1:11" x14ac:dyDescent="0.2">
      <c r="A5510" s="24" t="s">
        <v>13113</v>
      </c>
      <c r="B5510" s="24" t="s">
        <v>13114</v>
      </c>
      <c r="C5510" s="24" t="s">
        <v>115</v>
      </c>
      <c r="D5510" s="24" t="s">
        <v>17</v>
      </c>
      <c r="E5510" s="24" t="s">
        <v>42</v>
      </c>
      <c r="F5510" s="24" t="s">
        <v>43</v>
      </c>
      <c r="G5510" s="24" t="s">
        <v>28</v>
      </c>
      <c r="H5510" s="26">
        <v>59</v>
      </c>
      <c r="I5510" s="24" t="s">
        <v>29</v>
      </c>
      <c r="J5510" s="36">
        <v>45783</v>
      </c>
      <c r="K5510" s="24" t="s">
        <v>22</v>
      </c>
    </row>
    <row r="5511" spans="1:11" x14ac:dyDescent="0.2">
      <c r="A5511" s="27" t="s">
        <v>13115</v>
      </c>
      <c r="B5511" s="27" t="s">
        <v>13116</v>
      </c>
      <c r="C5511" s="27" t="s">
        <v>13117</v>
      </c>
      <c r="D5511" s="27" t="s">
        <v>17</v>
      </c>
      <c r="E5511" s="27" t="s">
        <v>18</v>
      </c>
      <c r="F5511" s="27" t="s">
        <v>19</v>
      </c>
      <c r="G5511" s="27" t="s">
        <v>28</v>
      </c>
      <c r="H5511" s="29">
        <v>68</v>
      </c>
      <c r="I5511" s="27" t="s">
        <v>29</v>
      </c>
      <c r="J5511" s="37">
        <v>45804</v>
      </c>
      <c r="K5511" s="27" t="s">
        <v>22</v>
      </c>
    </row>
    <row r="5512" spans="1:11" x14ac:dyDescent="0.2">
      <c r="A5512" s="24" t="s">
        <v>13118</v>
      </c>
      <c r="B5512" s="24" t="s">
        <v>13119</v>
      </c>
      <c r="C5512" s="24" t="s">
        <v>1737</v>
      </c>
      <c r="D5512" s="24" t="s">
        <v>17</v>
      </c>
      <c r="E5512" s="24" t="s">
        <v>26</v>
      </c>
      <c r="F5512" s="24" t="s">
        <v>27</v>
      </c>
      <c r="G5512" s="24" t="s">
        <v>28</v>
      </c>
      <c r="H5512" s="26">
        <v>50</v>
      </c>
      <c r="I5512" s="24" t="s">
        <v>29</v>
      </c>
      <c r="J5512" s="36">
        <v>45800</v>
      </c>
      <c r="K5512" s="24" t="s">
        <v>22</v>
      </c>
    </row>
    <row r="5513" spans="1:11" x14ac:dyDescent="0.2">
      <c r="A5513" s="27" t="s">
        <v>13120</v>
      </c>
      <c r="B5513" s="27" t="s">
        <v>13121</v>
      </c>
      <c r="C5513" s="27" t="s">
        <v>12114</v>
      </c>
      <c r="D5513" s="27" t="s">
        <v>17</v>
      </c>
      <c r="E5513" s="27" t="s">
        <v>26</v>
      </c>
      <c r="F5513" s="27" t="s">
        <v>27</v>
      </c>
      <c r="G5513" s="27" t="s">
        <v>28</v>
      </c>
      <c r="H5513" s="29">
        <v>183</v>
      </c>
      <c r="I5513" s="27" t="s">
        <v>29</v>
      </c>
      <c r="J5513" s="37">
        <v>45808</v>
      </c>
      <c r="K5513" s="27" t="s">
        <v>22</v>
      </c>
    </row>
    <row r="5514" spans="1:11" x14ac:dyDescent="0.2">
      <c r="A5514" s="24" t="s">
        <v>13122</v>
      </c>
      <c r="B5514" s="24" t="s">
        <v>13123</v>
      </c>
      <c r="C5514" s="24" t="s">
        <v>429</v>
      </c>
      <c r="D5514" s="24" t="s">
        <v>17</v>
      </c>
      <c r="E5514" s="24" t="s">
        <v>18</v>
      </c>
      <c r="F5514" s="24" t="s">
        <v>19</v>
      </c>
      <c r="G5514" s="24" t="s">
        <v>28</v>
      </c>
      <c r="H5514" s="26">
        <v>60</v>
      </c>
      <c r="I5514" s="24" t="s">
        <v>29</v>
      </c>
      <c r="J5514" s="36">
        <v>45791</v>
      </c>
      <c r="K5514" s="24" t="s">
        <v>22</v>
      </c>
    </row>
    <row r="5515" spans="1:11" x14ac:dyDescent="0.2">
      <c r="A5515" s="27" t="s">
        <v>13124</v>
      </c>
      <c r="B5515" s="27" t="s">
        <v>13125</v>
      </c>
      <c r="C5515" s="27" t="s">
        <v>13126</v>
      </c>
      <c r="D5515" s="27" t="s">
        <v>17</v>
      </c>
      <c r="E5515" s="27" t="s">
        <v>42</v>
      </c>
      <c r="F5515" s="27" t="s">
        <v>43</v>
      </c>
      <c r="G5515" s="27" t="s">
        <v>28</v>
      </c>
      <c r="H5515" s="29">
        <v>172</v>
      </c>
      <c r="I5515" s="27" t="s">
        <v>29</v>
      </c>
      <c r="J5515" s="37">
        <v>45778</v>
      </c>
      <c r="K5515" s="27" t="s">
        <v>22</v>
      </c>
    </row>
    <row r="5516" spans="1:11" x14ac:dyDescent="0.2">
      <c r="A5516" s="24" t="s">
        <v>13127</v>
      </c>
      <c r="B5516" s="24" t="s">
        <v>13128</v>
      </c>
      <c r="C5516" s="24" t="s">
        <v>526</v>
      </c>
      <c r="D5516" s="24" t="s">
        <v>17</v>
      </c>
      <c r="E5516" s="24" t="s">
        <v>42</v>
      </c>
      <c r="F5516" s="24" t="s">
        <v>43</v>
      </c>
      <c r="G5516" s="24" t="s">
        <v>28</v>
      </c>
      <c r="H5516" s="26">
        <v>1200</v>
      </c>
      <c r="I5516" s="24" t="s">
        <v>29</v>
      </c>
      <c r="J5516" s="36">
        <v>45792</v>
      </c>
      <c r="K5516" s="24" t="s">
        <v>22</v>
      </c>
    </row>
    <row r="5517" spans="1:11" x14ac:dyDescent="0.2">
      <c r="A5517" s="27" t="s">
        <v>13129</v>
      </c>
      <c r="B5517" s="27" t="s">
        <v>13130</v>
      </c>
      <c r="C5517" s="27" t="s">
        <v>13131</v>
      </c>
      <c r="D5517" s="27" t="s">
        <v>17</v>
      </c>
      <c r="E5517" s="27" t="s">
        <v>81</v>
      </c>
      <c r="F5517" s="27" t="s">
        <v>82</v>
      </c>
      <c r="G5517" s="27" t="s">
        <v>28</v>
      </c>
      <c r="H5517" s="29">
        <v>600</v>
      </c>
      <c r="I5517" s="27" t="s">
        <v>29</v>
      </c>
      <c r="J5517" s="37">
        <v>45797</v>
      </c>
      <c r="K5517" s="27" t="s">
        <v>22</v>
      </c>
    </row>
    <row r="5518" spans="1:11" x14ac:dyDescent="0.2">
      <c r="A5518" s="24" t="s">
        <v>13132</v>
      </c>
      <c r="B5518" s="24" t="s">
        <v>13133</v>
      </c>
      <c r="C5518" s="24" t="s">
        <v>13134</v>
      </c>
      <c r="D5518" s="24" t="s">
        <v>17</v>
      </c>
      <c r="E5518" s="24" t="s">
        <v>48</v>
      </c>
      <c r="F5518" s="24" t="s">
        <v>49</v>
      </c>
      <c r="G5518" s="24" t="s">
        <v>28</v>
      </c>
      <c r="H5518" s="26">
        <v>12</v>
      </c>
      <c r="I5518" s="24" t="s">
        <v>29</v>
      </c>
      <c r="J5518" s="36">
        <v>45806</v>
      </c>
      <c r="K5518" s="24" t="s">
        <v>22</v>
      </c>
    </row>
    <row r="5519" spans="1:11" x14ac:dyDescent="0.2">
      <c r="A5519" s="27" t="s">
        <v>13135</v>
      </c>
      <c r="B5519" s="27" t="s">
        <v>13136</v>
      </c>
      <c r="C5519" s="27" t="s">
        <v>1212</v>
      </c>
      <c r="D5519" s="27" t="s">
        <v>17</v>
      </c>
      <c r="E5519" s="27" t="s">
        <v>48</v>
      </c>
      <c r="F5519" s="27" t="s">
        <v>49</v>
      </c>
      <c r="G5519" s="27" t="s">
        <v>28</v>
      </c>
      <c r="H5519" s="29">
        <v>120</v>
      </c>
      <c r="I5519" s="27" t="s">
        <v>29</v>
      </c>
      <c r="J5519" s="37">
        <v>45807</v>
      </c>
      <c r="K5519" s="27" t="s">
        <v>22</v>
      </c>
    </row>
    <row r="5520" spans="1:11" x14ac:dyDescent="0.2">
      <c r="A5520" s="24" t="s">
        <v>13137</v>
      </c>
      <c r="B5520" s="24" t="s">
        <v>13138</v>
      </c>
      <c r="C5520" s="24" t="s">
        <v>11610</v>
      </c>
      <c r="D5520" s="24" t="s">
        <v>17</v>
      </c>
      <c r="E5520" s="24" t="s">
        <v>42</v>
      </c>
      <c r="F5520" s="24" t="s">
        <v>43</v>
      </c>
      <c r="G5520" s="24" t="s">
        <v>217</v>
      </c>
      <c r="H5520" s="26">
        <v>396</v>
      </c>
      <c r="I5520" s="24" t="s">
        <v>29</v>
      </c>
      <c r="J5520" s="36">
        <v>45797</v>
      </c>
      <c r="K5520" s="24" t="s">
        <v>22</v>
      </c>
    </row>
    <row r="5521" spans="1:11" x14ac:dyDescent="0.2">
      <c r="A5521" s="27" t="s">
        <v>13139</v>
      </c>
      <c r="B5521" s="27" t="s">
        <v>13140</v>
      </c>
      <c r="C5521" s="27" t="s">
        <v>13141</v>
      </c>
      <c r="D5521" s="27" t="s">
        <v>17</v>
      </c>
      <c r="E5521" s="27" t="s">
        <v>18</v>
      </c>
      <c r="F5521" s="27" t="s">
        <v>19</v>
      </c>
      <c r="G5521" s="27" t="s">
        <v>217</v>
      </c>
      <c r="H5521" s="29">
        <v>141</v>
      </c>
      <c r="I5521" s="27" t="s">
        <v>29</v>
      </c>
      <c r="J5521" s="37">
        <v>45803</v>
      </c>
      <c r="K5521" s="27" t="s">
        <v>22</v>
      </c>
    </row>
    <row r="5522" spans="1:11" x14ac:dyDescent="0.2">
      <c r="A5522" s="24" t="s">
        <v>13142</v>
      </c>
      <c r="B5522" s="24" t="s">
        <v>13143</v>
      </c>
      <c r="C5522" s="24" t="s">
        <v>1212</v>
      </c>
      <c r="D5522" s="24" t="s">
        <v>17</v>
      </c>
      <c r="E5522" s="24" t="s">
        <v>18</v>
      </c>
      <c r="F5522" s="24" t="s">
        <v>19</v>
      </c>
      <c r="G5522" s="24" t="s">
        <v>20</v>
      </c>
      <c r="H5522" s="26">
        <v>60</v>
      </c>
      <c r="I5522" s="24" t="s">
        <v>21</v>
      </c>
      <c r="J5522" s="36">
        <v>45784</v>
      </c>
      <c r="K5522" s="24" t="s">
        <v>22</v>
      </c>
    </row>
    <row r="5523" spans="1:11" x14ac:dyDescent="0.2">
      <c r="A5523" s="27" t="s">
        <v>13144</v>
      </c>
      <c r="B5523" s="27" t="s">
        <v>13145</v>
      </c>
      <c r="C5523" s="27" t="s">
        <v>4501</v>
      </c>
      <c r="D5523" s="27" t="s">
        <v>17</v>
      </c>
      <c r="E5523" s="27" t="s">
        <v>33</v>
      </c>
      <c r="F5523" s="27" t="s">
        <v>34</v>
      </c>
      <c r="G5523" s="27" t="s">
        <v>28</v>
      </c>
      <c r="H5523" s="29">
        <v>1186</v>
      </c>
      <c r="I5523" s="27" t="s">
        <v>29</v>
      </c>
      <c r="J5523" s="37">
        <v>45807</v>
      </c>
      <c r="K5523" s="27" t="s">
        <v>22</v>
      </c>
    </row>
    <row r="5524" spans="1:11" x14ac:dyDescent="0.2">
      <c r="A5524" s="24" t="s">
        <v>13146</v>
      </c>
      <c r="B5524" s="24" t="s">
        <v>13147</v>
      </c>
      <c r="C5524" s="24" t="s">
        <v>5239</v>
      </c>
      <c r="D5524" s="24" t="s">
        <v>17</v>
      </c>
      <c r="E5524" s="24" t="s">
        <v>18</v>
      </c>
      <c r="F5524" s="24" t="s">
        <v>19</v>
      </c>
      <c r="G5524" s="24" t="s">
        <v>28</v>
      </c>
      <c r="H5524" s="26">
        <v>40</v>
      </c>
      <c r="I5524" s="24" t="s">
        <v>29</v>
      </c>
      <c r="J5524" s="36">
        <v>45797</v>
      </c>
      <c r="K5524" s="24" t="s">
        <v>22</v>
      </c>
    </row>
    <row r="5525" spans="1:11" x14ac:dyDescent="0.2">
      <c r="A5525" s="27" t="s">
        <v>13148</v>
      </c>
      <c r="B5525" s="27" t="s">
        <v>13149</v>
      </c>
      <c r="C5525" s="27" t="s">
        <v>106</v>
      </c>
      <c r="D5525" s="27" t="s">
        <v>17</v>
      </c>
      <c r="E5525" s="27" t="s">
        <v>26</v>
      </c>
      <c r="F5525" s="27" t="s">
        <v>27</v>
      </c>
      <c r="G5525" s="27" t="s">
        <v>44</v>
      </c>
      <c r="H5525" s="29">
        <v>5</v>
      </c>
      <c r="I5525" s="27" t="s">
        <v>29</v>
      </c>
      <c r="J5525" s="37">
        <v>45797</v>
      </c>
      <c r="K5525" s="27" t="s">
        <v>22</v>
      </c>
    </row>
    <row r="5526" spans="1:11" x14ac:dyDescent="0.2">
      <c r="A5526" s="24" t="s">
        <v>13150</v>
      </c>
      <c r="B5526" s="24" t="s">
        <v>13151</v>
      </c>
      <c r="C5526" s="24" t="s">
        <v>97</v>
      </c>
      <c r="D5526" s="24" t="s">
        <v>17</v>
      </c>
      <c r="E5526" s="24" t="s">
        <v>18</v>
      </c>
      <c r="F5526" s="24" t="s">
        <v>19</v>
      </c>
      <c r="G5526" s="24" t="s">
        <v>28</v>
      </c>
      <c r="H5526" s="26">
        <v>12</v>
      </c>
      <c r="I5526" s="24" t="s">
        <v>29</v>
      </c>
      <c r="J5526" s="36">
        <v>45803</v>
      </c>
      <c r="K5526" s="24" t="s">
        <v>22</v>
      </c>
    </row>
    <row r="5527" spans="1:11" x14ac:dyDescent="0.2">
      <c r="A5527" s="27" t="s">
        <v>13152</v>
      </c>
      <c r="B5527" s="27" t="s">
        <v>13153</v>
      </c>
      <c r="C5527" s="27" t="s">
        <v>106</v>
      </c>
      <c r="D5527" s="27" t="s">
        <v>17</v>
      </c>
      <c r="E5527" s="27" t="s">
        <v>18</v>
      </c>
      <c r="F5527" s="27" t="s">
        <v>19</v>
      </c>
      <c r="G5527" s="27" t="s">
        <v>20</v>
      </c>
      <c r="H5527" s="29">
        <v>14</v>
      </c>
      <c r="I5527" s="27" t="s">
        <v>21</v>
      </c>
      <c r="J5527" s="37">
        <v>45804</v>
      </c>
      <c r="K5527" s="27" t="s">
        <v>22</v>
      </c>
    </row>
    <row r="5528" spans="1:11" x14ac:dyDescent="0.2">
      <c r="A5528" s="24" t="s">
        <v>13154</v>
      </c>
      <c r="B5528" s="24" t="s">
        <v>13155</v>
      </c>
      <c r="C5528" s="24" t="s">
        <v>5894</v>
      </c>
      <c r="D5528" s="24" t="s">
        <v>17</v>
      </c>
      <c r="E5528" s="24" t="s">
        <v>48</v>
      </c>
      <c r="F5528" s="24" t="s">
        <v>49</v>
      </c>
      <c r="G5528" s="24" t="s">
        <v>28</v>
      </c>
      <c r="H5528" s="26">
        <v>96</v>
      </c>
      <c r="I5528" s="24" t="s">
        <v>29</v>
      </c>
      <c r="J5528" s="36">
        <v>45807</v>
      </c>
      <c r="K5528" s="24" t="s">
        <v>22</v>
      </c>
    </row>
    <row r="5529" spans="1:11" x14ac:dyDescent="0.2">
      <c r="A5529" s="27" t="s">
        <v>13156</v>
      </c>
      <c r="B5529" s="27" t="s">
        <v>13157</v>
      </c>
      <c r="C5529" s="27" t="s">
        <v>2779</v>
      </c>
      <c r="D5529" s="27" t="s">
        <v>17</v>
      </c>
      <c r="E5529" s="27" t="s">
        <v>42</v>
      </c>
      <c r="F5529" s="27" t="s">
        <v>43</v>
      </c>
      <c r="G5529" s="27" t="s">
        <v>28</v>
      </c>
      <c r="H5529" s="29">
        <v>150</v>
      </c>
      <c r="I5529" s="27" t="s">
        <v>29</v>
      </c>
      <c r="J5529" s="37">
        <v>45806</v>
      </c>
      <c r="K5529" s="27" t="s">
        <v>22</v>
      </c>
    </row>
    <row r="5530" spans="1:11" x14ac:dyDescent="0.2">
      <c r="A5530" s="24" t="s">
        <v>13158</v>
      </c>
      <c r="B5530" s="24" t="s">
        <v>13159</v>
      </c>
      <c r="C5530" s="24" t="s">
        <v>115</v>
      </c>
      <c r="D5530" s="24" t="s">
        <v>17</v>
      </c>
      <c r="E5530" s="24" t="s">
        <v>48</v>
      </c>
      <c r="F5530" s="24" t="s">
        <v>49</v>
      </c>
      <c r="G5530" s="24" t="s">
        <v>28</v>
      </c>
      <c r="H5530" s="26">
        <v>183</v>
      </c>
      <c r="I5530" s="24" t="s">
        <v>29</v>
      </c>
      <c r="J5530" s="36">
        <v>45805</v>
      </c>
      <c r="K5530" s="24" t="s">
        <v>22</v>
      </c>
    </row>
    <row r="5531" spans="1:11" x14ac:dyDescent="0.2">
      <c r="A5531" s="27" t="s">
        <v>13160</v>
      </c>
      <c r="B5531" s="27" t="s">
        <v>13161</v>
      </c>
      <c r="C5531" s="27" t="s">
        <v>13162</v>
      </c>
      <c r="D5531" s="27" t="s">
        <v>17</v>
      </c>
      <c r="E5531" s="27" t="s">
        <v>18</v>
      </c>
      <c r="F5531" s="27" t="s">
        <v>19</v>
      </c>
      <c r="G5531" s="27" t="s">
        <v>28</v>
      </c>
      <c r="H5531" s="29">
        <v>115</v>
      </c>
      <c r="I5531" s="27" t="s">
        <v>29</v>
      </c>
      <c r="J5531" s="37">
        <v>45779</v>
      </c>
      <c r="K5531" s="27" t="s">
        <v>22</v>
      </c>
    </row>
    <row r="5532" spans="1:11" x14ac:dyDescent="0.2">
      <c r="A5532" s="24" t="s">
        <v>13163</v>
      </c>
      <c r="B5532" s="24" t="s">
        <v>13164</v>
      </c>
      <c r="C5532" s="24" t="s">
        <v>2550</v>
      </c>
      <c r="D5532" s="24" t="s">
        <v>17</v>
      </c>
      <c r="E5532" s="24" t="s">
        <v>18</v>
      </c>
      <c r="F5532" s="24" t="s">
        <v>19</v>
      </c>
      <c r="G5532" s="24" t="s">
        <v>20</v>
      </c>
      <c r="H5532" s="26">
        <v>20</v>
      </c>
      <c r="I5532" s="24" t="s">
        <v>21</v>
      </c>
      <c r="J5532" s="36">
        <v>45786</v>
      </c>
      <c r="K5532" s="24" t="s">
        <v>22</v>
      </c>
    </row>
    <row r="5533" spans="1:11" x14ac:dyDescent="0.2">
      <c r="A5533" s="27" t="s">
        <v>13165</v>
      </c>
      <c r="B5533" s="27" t="s">
        <v>13166</v>
      </c>
      <c r="C5533" s="27" t="s">
        <v>1059</v>
      </c>
      <c r="D5533" s="27" t="s">
        <v>17</v>
      </c>
      <c r="E5533" s="27" t="s">
        <v>18</v>
      </c>
      <c r="F5533" s="27" t="s">
        <v>19</v>
      </c>
      <c r="G5533" s="27" t="s">
        <v>217</v>
      </c>
      <c r="H5533" s="29">
        <v>40</v>
      </c>
      <c r="I5533" s="27" t="s">
        <v>29</v>
      </c>
      <c r="J5533" s="37">
        <v>45778</v>
      </c>
      <c r="K5533" s="27" t="s">
        <v>22</v>
      </c>
    </row>
    <row r="5534" spans="1:11" x14ac:dyDescent="0.2">
      <c r="A5534" s="24" t="s">
        <v>13167</v>
      </c>
      <c r="B5534" s="24" t="s">
        <v>13168</v>
      </c>
      <c r="C5534" s="24" t="s">
        <v>106</v>
      </c>
      <c r="D5534" s="24" t="s">
        <v>17</v>
      </c>
      <c r="E5534" s="24" t="s">
        <v>18</v>
      </c>
      <c r="F5534" s="24" t="s">
        <v>19</v>
      </c>
      <c r="G5534" s="24" t="s">
        <v>28</v>
      </c>
      <c r="H5534" s="26">
        <v>90</v>
      </c>
      <c r="I5534" s="24" t="s">
        <v>29</v>
      </c>
      <c r="J5534" s="36">
        <v>45791</v>
      </c>
      <c r="K5534" s="24" t="s">
        <v>22</v>
      </c>
    </row>
    <row r="5535" spans="1:11" x14ac:dyDescent="0.2">
      <c r="A5535" s="27" t="s">
        <v>13169</v>
      </c>
      <c r="B5535" s="27" t="s">
        <v>13170</v>
      </c>
      <c r="C5535" s="27" t="s">
        <v>97</v>
      </c>
      <c r="D5535" s="27" t="s">
        <v>17</v>
      </c>
      <c r="E5535" s="27" t="s">
        <v>18</v>
      </c>
      <c r="F5535" s="27" t="s">
        <v>19</v>
      </c>
      <c r="G5535" s="27" t="s">
        <v>20</v>
      </c>
      <c r="H5535" s="29">
        <v>16</v>
      </c>
      <c r="I5535" s="27" t="s">
        <v>21</v>
      </c>
      <c r="J5535" s="37">
        <v>45799</v>
      </c>
      <c r="K5535" s="27" t="s">
        <v>22</v>
      </c>
    </row>
    <row r="5536" spans="1:11" x14ac:dyDescent="0.2">
      <c r="A5536" s="24" t="s">
        <v>13171</v>
      </c>
      <c r="B5536" s="24" t="s">
        <v>13172</v>
      </c>
      <c r="C5536" s="24" t="s">
        <v>106</v>
      </c>
      <c r="D5536" s="24" t="s">
        <v>17</v>
      </c>
      <c r="E5536" s="24" t="s">
        <v>18</v>
      </c>
      <c r="F5536" s="24" t="s">
        <v>19</v>
      </c>
      <c r="G5536" s="24" t="s">
        <v>20</v>
      </c>
      <c r="H5536" s="26">
        <v>16</v>
      </c>
      <c r="I5536" s="24" t="s">
        <v>21</v>
      </c>
      <c r="J5536" s="36">
        <v>45797</v>
      </c>
      <c r="K5536" s="24" t="s">
        <v>22</v>
      </c>
    </row>
    <row r="5537" spans="1:11" x14ac:dyDescent="0.2">
      <c r="A5537" s="27" t="s">
        <v>13173</v>
      </c>
      <c r="B5537" s="27" t="s">
        <v>13174</v>
      </c>
      <c r="C5537" s="27" t="s">
        <v>4448</v>
      </c>
      <c r="D5537" s="27" t="s">
        <v>17</v>
      </c>
      <c r="E5537" s="27" t="s">
        <v>81</v>
      </c>
      <c r="F5537" s="27" t="s">
        <v>82</v>
      </c>
      <c r="G5537" s="27" t="s">
        <v>20</v>
      </c>
      <c r="H5537" s="29">
        <v>20</v>
      </c>
      <c r="I5537" s="27" t="s">
        <v>21</v>
      </c>
      <c r="J5537" s="37">
        <v>45805</v>
      </c>
      <c r="K5537" s="27" t="s">
        <v>22</v>
      </c>
    </row>
    <row r="5538" spans="1:11" x14ac:dyDescent="0.2">
      <c r="A5538" s="24" t="s">
        <v>13175</v>
      </c>
      <c r="B5538" s="24" t="s">
        <v>13176</v>
      </c>
      <c r="C5538" s="24" t="s">
        <v>6649</v>
      </c>
      <c r="D5538" s="24" t="s">
        <v>17</v>
      </c>
      <c r="E5538" s="24" t="s">
        <v>48</v>
      </c>
      <c r="F5538" s="24" t="s">
        <v>49</v>
      </c>
      <c r="G5538" s="24" t="s">
        <v>28</v>
      </c>
      <c r="H5538" s="26">
        <v>12</v>
      </c>
      <c r="I5538" s="24" t="s">
        <v>29</v>
      </c>
      <c r="J5538" s="36">
        <v>45789</v>
      </c>
      <c r="K5538" s="24" t="s">
        <v>22</v>
      </c>
    </row>
    <row r="5539" spans="1:11" x14ac:dyDescent="0.2">
      <c r="A5539" s="27" t="s">
        <v>13177</v>
      </c>
      <c r="B5539" s="27" t="s">
        <v>13178</v>
      </c>
      <c r="C5539" s="27" t="s">
        <v>13179</v>
      </c>
      <c r="D5539" s="27" t="s">
        <v>17</v>
      </c>
      <c r="E5539" s="27" t="s">
        <v>26</v>
      </c>
      <c r="F5539" s="27" t="s">
        <v>27</v>
      </c>
      <c r="G5539" s="27" t="s">
        <v>28</v>
      </c>
      <c r="H5539" s="29">
        <v>188</v>
      </c>
      <c r="I5539" s="27" t="s">
        <v>29</v>
      </c>
      <c r="J5539" s="37">
        <v>45782</v>
      </c>
      <c r="K5539" s="27" t="s">
        <v>22</v>
      </c>
    </row>
    <row r="5540" spans="1:11" x14ac:dyDescent="0.2">
      <c r="A5540" s="24" t="s">
        <v>13180</v>
      </c>
      <c r="B5540" s="24" t="s">
        <v>13181</v>
      </c>
      <c r="C5540" s="24" t="s">
        <v>13182</v>
      </c>
      <c r="D5540" s="24" t="s">
        <v>17</v>
      </c>
      <c r="E5540" s="24" t="s">
        <v>81</v>
      </c>
      <c r="F5540" s="24" t="s">
        <v>82</v>
      </c>
      <c r="G5540" s="24" t="s">
        <v>116</v>
      </c>
      <c r="H5540" s="26">
        <v>0</v>
      </c>
      <c r="I5540" s="24" t="s">
        <v>21</v>
      </c>
      <c r="J5540" s="36">
        <v>45778</v>
      </c>
      <c r="K5540" s="24" t="s">
        <v>22</v>
      </c>
    </row>
    <row r="5541" spans="1:11" x14ac:dyDescent="0.2">
      <c r="A5541" s="27" t="s">
        <v>13183</v>
      </c>
      <c r="B5541" s="27" t="s">
        <v>13184</v>
      </c>
      <c r="C5541" s="27" t="s">
        <v>13185</v>
      </c>
      <c r="D5541" s="27" t="s">
        <v>17</v>
      </c>
      <c r="E5541" s="27" t="s">
        <v>48</v>
      </c>
      <c r="F5541" s="27" t="s">
        <v>49</v>
      </c>
      <c r="G5541" s="27" t="s">
        <v>217</v>
      </c>
      <c r="H5541" s="29">
        <v>39</v>
      </c>
      <c r="I5541" s="27" t="s">
        <v>29</v>
      </c>
      <c r="J5541" s="37">
        <v>45797</v>
      </c>
      <c r="K5541" s="27" t="s">
        <v>22</v>
      </c>
    </row>
    <row r="5542" spans="1:11" x14ac:dyDescent="0.2">
      <c r="A5542" s="24" t="s">
        <v>13186</v>
      </c>
      <c r="B5542" s="24" t="s">
        <v>13187</v>
      </c>
      <c r="C5542" s="24" t="s">
        <v>13188</v>
      </c>
      <c r="D5542" s="24" t="s">
        <v>17</v>
      </c>
      <c r="E5542" s="24" t="s">
        <v>48</v>
      </c>
      <c r="F5542" s="24" t="s">
        <v>49</v>
      </c>
      <c r="G5542" s="24" t="s">
        <v>28</v>
      </c>
      <c r="H5542" s="26">
        <v>12</v>
      </c>
      <c r="I5542" s="24" t="s">
        <v>29</v>
      </c>
      <c r="J5542" s="36">
        <v>45778</v>
      </c>
      <c r="K5542" s="24" t="s">
        <v>22</v>
      </c>
    </row>
    <row r="5543" spans="1:11" x14ac:dyDescent="0.2">
      <c r="A5543" s="27" t="s">
        <v>13189</v>
      </c>
      <c r="B5543" s="27" t="s">
        <v>13190</v>
      </c>
      <c r="C5543" s="27" t="s">
        <v>298</v>
      </c>
      <c r="D5543" s="27" t="s">
        <v>17</v>
      </c>
      <c r="E5543" s="27" t="s">
        <v>18</v>
      </c>
      <c r="F5543" s="27" t="s">
        <v>19</v>
      </c>
      <c r="G5543" s="27" t="s">
        <v>28</v>
      </c>
      <c r="H5543" s="29">
        <v>30</v>
      </c>
      <c r="I5543" s="27" t="s">
        <v>29</v>
      </c>
      <c r="J5543" s="37">
        <v>45806</v>
      </c>
      <c r="K5543" s="27" t="s">
        <v>22</v>
      </c>
    </row>
    <row r="5544" spans="1:11" x14ac:dyDescent="0.2">
      <c r="A5544" s="24" t="s">
        <v>13191</v>
      </c>
      <c r="B5544" s="24" t="s">
        <v>13192</v>
      </c>
      <c r="C5544" s="24" t="s">
        <v>7038</v>
      </c>
      <c r="D5544" s="24" t="s">
        <v>17</v>
      </c>
      <c r="E5544" s="24" t="s">
        <v>18</v>
      </c>
      <c r="F5544" s="24" t="s">
        <v>19</v>
      </c>
      <c r="G5544" s="24" t="s">
        <v>217</v>
      </c>
      <c r="H5544" s="26">
        <v>16</v>
      </c>
      <c r="I5544" s="24" t="s">
        <v>29</v>
      </c>
      <c r="J5544" s="36">
        <v>45789</v>
      </c>
      <c r="K5544" s="24" t="s">
        <v>22</v>
      </c>
    </row>
    <row r="5545" spans="1:11" x14ac:dyDescent="0.2">
      <c r="A5545" s="27" t="s">
        <v>13193</v>
      </c>
      <c r="B5545" s="27" t="s">
        <v>13194</v>
      </c>
      <c r="C5545" s="27" t="s">
        <v>13195</v>
      </c>
      <c r="D5545" s="27" t="s">
        <v>17</v>
      </c>
      <c r="E5545" s="27" t="s">
        <v>81</v>
      </c>
      <c r="F5545" s="27" t="s">
        <v>82</v>
      </c>
      <c r="G5545" s="27" t="s">
        <v>28</v>
      </c>
      <c r="H5545" s="29">
        <v>10</v>
      </c>
      <c r="I5545" s="27" t="s">
        <v>29</v>
      </c>
      <c r="J5545" s="37">
        <v>45778</v>
      </c>
      <c r="K5545" s="27" t="s">
        <v>22</v>
      </c>
    </row>
    <row r="5546" spans="1:11" x14ac:dyDescent="0.2">
      <c r="A5546" s="24" t="s">
        <v>13196</v>
      </c>
      <c r="B5546" s="24" t="s">
        <v>13197</v>
      </c>
      <c r="C5546" s="24" t="s">
        <v>7018</v>
      </c>
      <c r="D5546" s="24" t="s">
        <v>17</v>
      </c>
      <c r="E5546" s="24" t="s">
        <v>26</v>
      </c>
      <c r="F5546" s="24" t="s">
        <v>27</v>
      </c>
      <c r="G5546" s="24" t="s">
        <v>28</v>
      </c>
      <c r="H5546" s="26">
        <v>159</v>
      </c>
      <c r="I5546" s="24" t="s">
        <v>29</v>
      </c>
      <c r="J5546" s="36">
        <v>45806</v>
      </c>
      <c r="K5546" s="24" t="s">
        <v>22</v>
      </c>
    </row>
    <row r="5547" spans="1:11" x14ac:dyDescent="0.2">
      <c r="A5547" s="27" t="s">
        <v>13198</v>
      </c>
      <c r="B5547" s="27" t="s">
        <v>13199</v>
      </c>
      <c r="C5547" s="27" t="s">
        <v>298</v>
      </c>
      <c r="D5547" s="27" t="s">
        <v>17</v>
      </c>
      <c r="E5547" s="27" t="s">
        <v>18</v>
      </c>
      <c r="F5547" s="27" t="s">
        <v>19</v>
      </c>
      <c r="G5547" s="27" t="s">
        <v>28</v>
      </c>
      <c r="H5547" s="29">
        <v>75</v>
      </c>
      <c r="I5547" s="27" t="s">
        <v>29</v>
      </c>
      <c r="J5547" s="37">
        <v>45791</v>
      </c>
      <c r="K5547" s="27" t="s">
        <v>22</v>
      </c>
    </row>
    <row r="5548" spans="1:11" x14ac:dyDescent="0.2">
      <c r="A5548" s="24" t="s">
        <v>13200</v>
      </c>
      <c r="B5548" s="24" t="s">
        <v>13201</v>
      </c>
      <c r="C5548" s="24" t="s">
        <v>13202</v>
      </c>
      <c r="D5548" s="24" t="s">
        <v>17</v>
      </c>
      <c r="E5548" s="24" t="s">
        <v>48</v>
      </c>
      <c r="F5548" s="24" t="s">
        <v>49</v>
      </c>
      <c r="G5548" s="24" t="s">
        <v>44</v>
      </c>
      <c r="H5548" s="26">
        <v>162</v>
      </c>
      <c r="I5548" s="24" t="s">
        <v>29</v>
      </c>
      <c r="J5548" s="36">
        <v>45785</v>
      </c>
      <c r="K5548" s="24" t="s">
        <v>22</v>
      </c>
    </row>
    <row r="5549" spans="1:11" x14ac:dyDescent="0.2">
      <c r="A5549" s="27" t="s">
        <v>13203</v>
      </c>
      <c r="B5549" s="27" t="s">
        <v>13204</v>
      </c>
      <c r="C5549" s="27" t="s">
        <v>55</v>
      </c>
      <c r="D5549" s="27" t="s">
        <v>17</v>
      </c>
      <c r="E5549" s="27" t="s">
        <v>42</v>
      </c>
      <c r="F5549" s="27" t="s">
        <v>43</v>
      </c>
      <c r="G5549" s="27" t="s">
        <v>28</v>
      </c>
      <c r="H5549" s="29">
        <v>1440</v>
      </c>
      <c r="I5549" s="27" t="s">
        <v>29</v>
      </c>
      <c r="J5549" s="37">
        <v>45790</v>
      </c>
      <c r="K5549" s="27" t="s">
        <v>22</v>
      </c>
    </row>
    <row r="5550" spans="1:11" x14ac:dyDescent="0.2">
      <c r="A5550" s="24" t="s">
        <v>13205</v>
      </c>
      <c r="B5550" s="24" t="s">
        <v>13206</v>
      </c>
      <c r="C5550" s="24" t="s">
        <v>618</v>
      </c>
      <c r="D5550" s="24" t="s">
        <v>17</v>
      </c>
      <c r="E5550" s="24" t="s">
        <v>18</v>
      </c>
      <c r="F5550" s="24" t="s">
        <v>19</v>
      </c>
      <c r="G5550" s="24" t="s">
        <v>20</v>
      </c>
      <c r="H5550" s="26">
        <v>18</v>
      </c>
      <c r="I5550" s="24" t="s">
        <v>21</v>
      </c>
      <c r="J5550" s="36">
        <v>45805</v>
      </c>
      <c r="K5550" s="24" t="s">
        <v>22</v>
      </c>
    </row>
    <row r="5551" spans="1:11" x14ac:dyDescent="0.2">
      <c r="A5551" s="27" t="s">
        <v>13207</v>
      </c>
      <c r="B5551" s="27" t="s">
        <v>13208</v>
      </c>
      <c r="C5551" s="27" t="s">
        <v>2282</v>
      </c>
      <c r="D5551" s="27" t="s">
        <v>17</v>
      </c>
      <c r="E5551" s="27" t="s">
        <v>18</v>
      </c>
      <c r="F5551" s="27" t="s">
        <v>19</v>
      </c>
      <c r="G5551" s="27" t="s">
        <v>28</v>
      </c>
      <c r="H5551" s="29">
        <v>52</v>
      </c>
      <c r="I5551" s="27" t="s">
        <v>29</v>
      </c>
      <c r="J5551" s="37">
        <v>45800</v>
      </c>
      <c r="K5551" s="27" t="s">
        <v>22</v>
      </c>
    </row>
    <row r="5552" spans="1:11" x14ac:dyDescent="0.2">
      <c r="A5552" s="24" t="s">
        <v>13209</v>
      </c>
      <c r="B5552" s="24" t="s">
        <v>13210</v>
      </c>
      <c r="C5552" s="24" t="s">
        <v>55</v>
      </c>
      <c r="D5552" s="24" t="s">
        <v>17</v>
      </c>
      <c r="E5552" s="24" t="s">
        <v>48</v>
      </c>
      <c r="F5552" s="24" t="s">
        <v>49</v>
      </c>
      <c r="G5552" s="24" t="s">
        <v>44</v>
      </c>
      <c r="H5552" s="26">
        <v>130</v>
      </c>
      <c r="I5552" s="24" t="s">
        <v>29</v>
      </c>
      <c r="J5552" s="36">
        <v>45789</v>
      </c>
      <c r="K5552" s="24" t="s">
        <v>22</v>
      </c>
    </row>
    <row r="5553" spans="1:11" x14ac:dyDescent="0.2">
      <c r="A5553" s="27" t="s">
        <v>13211</v>
      </c>
      <c r="B5553" s="27" t="s">
        <v>13212</v>
      </c>
      <c r="C5553" s="27" t="s">
        <v>13213</v>
      </c>
      <c r="D5553" s="27" t="s">
        <v>17</v>
      </c>
      <c r="E5553" s="27" t="s">
        <v>48</v>
      </c>
      <c r="F5553" s="27" t="s">
        <v>49</v>
      </c>
      <c r="G5553" s="27" t="s">
        <v>28</v>
      </c>
      <c r="H5553" s="29">
        <v>35</v>
      </c>
      <c r="I5553" s="27" t="s">
        <v>29</v>
      </c>
      <c r="J5553" s="37">
        <v>45799</v>
      </c>
      <c r="K5553" s="27" t="s">
        <v>22</v>
      </c>
    </row>
    <row r="5554" spans="1:11" x14ac:dyDescent="0.2">
      <c r="A5554" s="24" t="s">
        <v>13214</v>
      </c>
      <c r="B5554" s="24" t="s">
        <v>13215</v>
      </c>
      <c r="C5554" s="24" t="s">
        <v>1883</v>
      </c>
      <c r="D5554" s="24" t="s">
        <v>17</v>
      </c>
      <c r="E5554" s="24" t="s">
        <v>18</v>
      </c>
      <c r="F5554" s="24" t="s">
        <v>19</v>
      </c>
      <c r="G5554" s="24" t="s">
        <v>28</v>
      </c>
      <c r="H5554" s="26">
        <v>72</v>
      </c>
      <c r="I5554" s="24" t="s">
        <v>29</v>
      </c>
      <c r="J5554" s="36">
        <v>45806</v>
      </c>
      <c r="K5554" s="24" t="s">
        <v>22</v>
      </c>
    </row>
    <row r="5555" spans="1:11" x14ac:dyDescent="0.2">
      <c r="A5555" s="27" t="s">
        <v>13216</v>
      </c>
      <c r="B5555" s="27" t="s">
        <v>13217</v>
      </c>
      <c r="C5555" s="27" t="s">
        <v>13218</v>
      </c>
      <c r="D5555" s="27" t="s">
        <v>17</v>
      </c>
      <c r="E5555" s="27" t="s">
        <v>48</v>
      </c>
      <c r="F5555" s="27" t="s">
        <v>49</v>
      </c>
      <c r="G5555" s="27" t="s">
        <v>217</v>
      </c>
      <c r="H5555" s="29">
        <v>180</v>
      </c>
      <c r="I5555" s="27" t="s">
        <v>29</v>
      </c>
      <c r="J5555" s="37">
        <v>45778</v>
      </c>
      <c r="K5555" s="27" t="s">
        <v>22</v>
      </c>
    </row>
    <row r="5556" spans="1:11" x14ac:dyDescent="0.2">
      <c r="A5556" s="24" t="s">
        <v>13219</v>
      </c>
      <c r="B5556" s="24" t="s">
        <v>13220</v>
      </c>
      <c r="C5556" s="24" t="s">
        <v>41</v>
      </c>
      <c r="D5556" s="24" t="s">
        <v>17</v>
      </c>
      <c r="E5556" s="24" t="s">
        <v>42</v>
      </c>
      <c r="F5556" s="24" t="s">
        <v>43</v>
      </c>
      <c r="G5556" s="24" t="s">
        <v>28</v>
      </c>
      <c r="H5556" s="26">
        <v>450</v>
      </c>
      <c r="I5556" s="24" t="s">
        <v>29</v>
      </c>
      <c r="J5556" s="36">
        <v>45796</v>
      </c>
      <c r="K5556" s="24" t="s">
        <v>22</v>
      </c>
    </row>
    <row r="5557" spans="1:11" x14ac:dyDescent="0.2">
      <c r="A5557" s="27" t="s">
        <v>13221</v>
      </c>
      <c r="B5557" s="27" t="s">
        <v>13222</v>
      </c>
      <c r="C5557" s="27" t="s">
        <v>526</v>
      </c>
      <c r="D5557" s="27" t="s">
        <v>17</v>
      </c>
      <c r="E5557" s="27" t="s">
        <v>18</v>
      </c>
      <c r="F5557" s="27" t="s">
        <v>19</v>
      </c>
      <c r="G5557" s="27" t="s">
        <v>44</v>
      </c>
      <c r="H5557" s="29">
        <v>90</v>
      </c>
      <c r="I5557" s="27" t="s">
        <v>29</v>
      </c>
      <c r="J5557" s="37">
        <v>45784</v>
      </c>
      <c r="K5557" s="27" t="s">
        <v>22</v>
      </c>
    </row>
    <row r="5558" spans="1:11" x14ac:dyDescent="0.2">
      <c r="A5558" s="24" t="s">
        <v>13223</v>
      </c>
      <c r="B5558" s="24" t="s">
        <v>13224</v>
      </c>
      <c r="C5558" s="24" t="s">
        <v>185</v>
      </c>
      <c r="D5558" s="24" t="s">
        <v>17</v>
      </c>
      <c r="E5558" s="24" t="s">
        <v>18</v>
      </c>
      <c r="F5558" s="24" t="s">
        <v>19</v>
      </c>
      <c r="G5558" s="24" t="s">
        <v>28</v>
      </c>
      <c r="H5558" s="26">
        <v>132</v>
      </c>
      <c r="I5558" s="24" t="s">
        <v>29</v>
      </c>
      <c r="J5558" s="36">
        <v>45779</v>
      </c>
      <c r="K5558" s="24" t="s">
        <v>22</v>
      </c>
    </row>
    <row r="5559" spans="1:11" x14ac:dyDescent="0.2">
      <c r="A5559" s="27" t="s">
        <v>13225</v>
      </c>
      <c r="B5559" s="27" t="s">
        <v>13226</v>
      </c>
      <c r="C5559" s="27" t="s">
        <v>13227</v>
      </c>
      <c r="D5559" s="27" t="s">
        <v>17</v>
      </c>
      <c r="E5559" s="27" t="s">
        <v>48</v>
      </c>
      <c r="F5559" s="27" t="s">
        <v>49</v>
      </c>
      <c r="G5559" s="27" t="s">
        <v>44</v>
      </c>
      <c r="H5559" s="29">
        <v>100</v>
      </c>
      <c r="I5559" s="27" t="s">
        <v>21</v>
      </c>
      <c r="J5559" s="37">
        <v>45792</v>
      </c>
      <c r="K5559" s="27" t="s">
        <v>22</v>
      </c>
    </row>
    <row r="5560" spans="1:11" x14ac:dyDescent="0.2">
      <c r="A5560" s="24" t="s">
        <v>13228</v>
      </c>
      <c r="B5560" s="24" t="s">
        <v>13229</v>
      </c>
      <c r="C5560" s="24" t="s">
        <v>5786</v>
      </c>
      <c r="D5560" s="24" t="s">
        <v>17</v>
      </c>
      <c r="E5560" s="24" t="s">
        <v>48</v>
      </c>
      <c r="F5560" s="24" t="s">
        <v>49</v>
      </c>
      <c r="G5560" s="24" t="s">
        <v>217</v>
      </c>
      <c r="H5560" s="26">
        <v>80</v>
      </c>
      <c r="I5560" s="24" t="s">
        <v>29</v>
      </c>
      <c r="J5560" s="36">
        <v>45778</v>
      </c>
      <c r="K5560" s="24" t="s">
        <v>22</v>
      </c>
    </row>
    <row r="5561" spans="1:11" x14ac:dyDescent="0.2">
      <c r="A5561" s="27" t="s">
        <v>13230</v>
      </c>
      <c r="B5561" s="27" t="s">
        <v>13231</v>
      </c>
      <c r="C5561" s="27" t="s">
        <v>9353</v>
      </c>
      <c r="D5561" s="27" t="s">
        <v>17</v>
      </c>
      <c r="E5561" s="27" t="s">
        <v>81</v>
      </c>
      <c r="F5561" s="27" t="s">
        <v>82</v>
      </c>
      <c r="G5561" s="27" t="s">
        <v>28</v>
      </c>
      <c r="H5561" s="29">
        <v>500</v>
      </c>
      <c r="I5561" s="27" t="s">
        <v>29</v>
      </c>
      <c r="J5561" s="37">
        <v>45797</v>
      </c>
      <c r="K5561" s="27" t="s">
        <v>22</v>
      </c>
    </row>
    <row r="5562" spans="1:11" x14ac:dyDescent="0.2">
      <c r="A5562" s="24" t="s">
        <v>13232</v>
      </c>
      <c r="B5562" s="24" t="s">
        <v>13233</v>
      </c>
      <c r="C5562" s="24" t="s">
        <v>1737</v>
      </c>
      <c r="D5562" s="24" t="s">
        <v>17</v>
      </c>
      <c r="E5562" s="24" t="s">
        <v>26</v>
      </c>
      <c r="F5562" s="24" t="s">
        <v>27</v>
      </c>
      <c r="G5562" s="24" t="s">
        <v>28</v>
      </c>
      <c r="H5562" s="26">
        <v>60</v>
      </c>
      <c r="I5562" s="24" t="s">
        <v>29</v>
      </c>
      <c r="J5562" s="36">
        <v>45793</v>
      </c>
      <c r="K5562" s="24" t="s">
        <v>22</v>
      </c>
    </row>
    <row r="5563" spans="1:11" x14ac:dyDescent="0.2">
      <c r="A5563" s="27" t="s">
        <v>13234</v>
      </c>
      <c r="B5563" s="27" t="s">
        <v>13235</v>
      </c>
      <c r="C5563" s="27" t="s">
        <v>13236</v>
      </c>
      <c r="D5563" s="27" t="s">
        <v>17</v>
      </c>
      <c r="E5563" s="27" t="s">
        <v>42</v>
      </c>
      <c r="F5563" s="27" t="s">
        <v>43</v>
      </c>
      <c r="G5563" s="27" t="s">
        <v>28</v>
      </c>
      <c r="H5563" s="29">
        <v>446</v>
      </c>
      <c r="I5563" s="27" t="s">
        <v>29</v>
      </c>
      <c r="J5563" s="37">
        <v>45783</v>
      </c>
      <c r="K5563" s="27" t="s">
        <v>22</v>
      </c>
    </row>
    <row r="5564" spans="1:11" x14ac:dyDescent="0.2">
      <c r="A5564" s="24" t="s">
        <v>13237</v>
      </c>
      <c r="B5564" s="24" t="s">
        <v>13238</v>
      </c>
      <c r="C5564" s="24" t="s">
        <v>1766</v>
      </c>
      <c r="D5564" s="24" t="s">
        <v>17</v>
      </c>
      <c r="E5564" s="24" t="s">
        <v>48</v>
      </c>
      <c r="F5564" s="24" t="s">
        <v>49</v>
      </c>
      <c r="G5564" s="24" t="s">
        <v>44</v>
      </c>
      <c r="H5564" s="26">
        <v>30</v>
      </c>
      <c r="I5564" s="24" t="s">
        <v>21</v>
      </c>
      <c r="J5564" s="36">
        <v>45790</v>
      </c>
      <c r="K5564" s="24" t="s">
        <v>22</v>
      </c>
    </row>
    <row r="5565" spans="1:11" x14ac:dyDescent="0.2">
      <c r="A5565" s="27" t="s">
        <v>13239</v>
      </c>
      <c r="B5565" s="27" t="s">
        <v>13240</v>
      </c>
      <c r="C5565" s="27" t="s">
        <v>882</v>
      </c>
      <c r="D5565" s="27" t="s">
        <v>17</v>
      </c>
      <c r="E5565" s="27" t="s">
        <v>18</v>
      </c>
      <c r="F5565" s="27" t="s">
        <v>19</v>
      </c>
      <c r="G5565" s="27" t="s">
        <v>28</v>
      </c>
      <c r="H5565" s="29">
        <v>102</v>
      </c>
      <c r="I5565" s="27" t="s">
        <v>29</v>
      </c>
      <c r="J5565" s="37">
        <v>45798</v>
      </c>
      <c r="K5565" s="27" t="s">
        <v>22</v>
      </c>
    </row>
    <row r="5566" spans="1:11" x14ac:dyDescent="0.2">
      <c r="A5566" s="24" t="s">
        <v>13241</v>
      </c>
      <c r="B5566" s="24" t="s">
        <v>13242</v>
      </c>
      <c r="C5566" s="24" t="s">
        <v>13243</v>
      </c>
      <c r="D5566" s="24" t="s">
        <v>17</v>
      </c>
      <c r="E5566" s="24" t="s">
        <v>18</v>
      </c>
      <c r="F5566" s="24" t="s">
        <v>19</v>
      </c>
      <c r="G5566" s="24" t="s">
        <v>20</v>
      </c>
      <c r="H5566" s="26">
        <v>24</v>
      </c>
      <c r="I5566" s="24" t="s">
        <v>21</v>
      </c>
      <c r="J5566" s="36">
        <v>45797</v>
      </c>
      <c r="K5566" s="24" t="s">
        <v>22</v>
      </c>
    </row>
    <row r="5567" spans="1:11" x14ac:dyDescent="0.2">
      <c r="A5567" s="27" t="s">
        <v>13244</v>
      </c>
      <c r="B5567" s="27" t="s">
        <v>13245</v>
      </c>
      <c r="C5567" s="27" t="s">
        <v>2015</v>
      </c>
      <c r="D5567" s="27" t="s">
        <v>17</v>
      </c>
      <c r="E5567" s="27" t="s">
        <v>18</v>
      </c>
      <c r="F5567" s="27" t="s">
        <v>19</v>
      </c>
      <c r="G5567" s="27" t="s">
        <v>20</v>
      </c>
      <c r="H5567" s="29">
        <v>55</v>
      </c>
      <c r="I5567" s="27" t="s">
        <v>21</v>
      </c>
      <c r="J5567" s="37">
        <v>45785</v>
      </c>
      <c r="K5567" s="27" t="s">
        <v>22</v>
      </c>
    </row>
    <row r="5568" spans="1:11" x14ac:dyDescent="0.2">
      <c r="A5568" s="24" t="s">
        <v>13246</v>
      </c>
      <c r="B5568" s="24" t="s">
        <v>13247</v>
      </c>
      <c r="C5568" s="24" t="s">
        <v>705</v>
      </c>
      <c r="D5568" s="24" t="s">
        <v>17</v>
      </c>
      <c r="E5568" s="24" t="s">
        <v>33</v>
      </c>
      <c r="F5568" s="24" t="s">
        <v>34</v>
      </c>
      <c r="G5568" s="24" t="s">
        <v>28</v>
      </c>
      <c r="H5568" s="26">
        <v>603</v>
      </c>
      <c r="I5568" s="24" t="s">
        <v>29</v>
      </c>
      <c r="J5568" s="36">
        <v>45786</v>
      </c>
      <c r="K5568" s="24" t="s">
        <v>22</v>
      </c>
    </row>
    <row r="5569" spans="1:11" x14ac:dyDescent="0.2">
      <c r="A5569" s="27" t="s">
        <v>13248</v>
      </c>
      <c r="B5569" s="27" t="s">
        <v>13249</v>
      </c>
      <c r="C5569" s="27" t="s">
        <v>12205</v>
      </c>
      <c r="D5569" s="27" t="s">
        <v>17</v>
      </c>
      <c r="E5569" s="27" t="s">
        <v>48</v>
      </c>
      <c r="F5569" s="27" t="s">
        <v>49</v>
      </c>
      <c r="G5569" s="27" t="s">
        <v>28</v>
      </c>
      <c r="H5569" s="29">
        <v>5</v>
      </c>
      <c r="I5569" s="27" t="s">
        <v>29</v>
      </c>
      <c r="J5569" s="37">
        <v>45796</v>
      </c>
      <c r="K5569" s="27" t="s">
        <v>22</v>
      </c>
    </row>
    <row r="5570" spans="1:11" x14ac:dyDescent="0.2">
      <c r="A5570" s="24" t="s">
        <v>13250</v>
      </c>
      <c r="B5570" s="24" t="s">
        <v>13251</v>
      </c>
      <c r="C5570" s="24" t="s">
        <v>13252</v>
      </c>
      <c r="D5570" s="24" t="s">
        <v>17</v>
      </c>
      <c r="E5570" s="24" t="s">
        <v>42</v>
      </c>
      <c r="F5570" s="24" t="s">
        <v>43</v>
      </c>
      <c r="G5570" s="24" t="s">
        <v>28</v>
      </c>
      <c r="H5570" s="26">
        <v>582</v>
      </c>
      <c r="I5570" s="24" t="s">
        <v>29</v>
      </c>
      <c r="J5570" s="36">
        <v>45789</v>
      </c>
      <c r="K5570" s="24" t="s">
        <v>22</v>
      </c>
    </row>
    <row r="5571" spans="1:11" x14ac:dyDescent="0.2">
      <c r="A5571" s="27" t="s">
        <v>13253</v>
      </c>
      <c r="B5571" s="27" t="s">
        <v>13254</v>
      </c>
      <c r="C5571" s="27" t="s">
        <v>13255</v>
      </c>
      <c r="D5571" s="27" t="s">
        <v>17</v>
      </c>
      <c r="E5571" s="27" t="s">
        <v>42</v>
      </c>
      <c r="F5571" s="27" t="s">
        <v>43</v>
      </c>
      <c r="G5571" s="27" t="s">
        <v>28</v>
      </c>
      <c r="H5571" s="29">
        <v>466</v>
      </c>
      <c r="I5571" s="27" t="s">
        <v>29</v>
      </c>
      <c r="J5571" s="37">
        <v>45806</v>
      </c>
      <c r="K5571" s="27" t="s">
        <v>22</v>
      </c>
    </row>
    <row r="5572" spans="1:11" x14ac:dyDescent="0.2">
      <c r="A5572" s="24" t="s">
        <v>13256</v>
      </c>
      <c r="B5572" s="24" t="s">
        <v>13257</v>
      </c>
      <c r="C5572" s="24" t="s">
        <v>13258</v>
      </c>
      <c r="D5572" s="24" t="s">
        <v>17</v>
      </c>
      <c r="E5572" s="24" t="s">
        <v>48</v>
      </c>
      <c r="F5572" s="24" t="s">
        <v>49</v>
      </c>
      <c r="G5572" s="24" t="s">
        <v>28</v>
      </c>
      <c r="H5572" s="26">
        <v>70</v>
      </c>
      <c r="I5572" s="24" t="s">
        <v>29</v>
      </c>
      <c r="J5572" s="36">
        <v>45806</v>
      </c>
      <c r="K5572" s="24" t="s">
        <v>22</v>
      </c>
    </row>
    <row r="5573" spans="1:11" x14ac:dyDescent="0.2">
      <c r="A5573" s="27" t="s">
        <v>13259</v>
      </c>
      <c r="B5573" s="27" t="s">
        <v>13260</v>
      </c>
      <c r="C5573" s="27" t="s">
        <v>68</v>
      </c>
      <c r="D5573" s="27" t="s">
        <v>17</v>
      </c>
      <c r="E5573" s="27" t="s">
        <v>18</v>
      </c>
      <c r="F5573" s="27" t="s">
        <v>19</v>
      </c>
      <c r="G5573" s="27" t="s">
        <v>20</v>
      </c>
      <c r="H5573" s="29">
        <v>16</v>
      </c>
      <c r="I5573" s="27" t="s">
        <v>21</v>
      </c>
      <c r="J5573" s="37">
        <v>45796</v>
      </c>
      <c r="K5573" s="27" t="s">
        <v>22</v>
      </c>
    </row>
    <row r="5574" spans="1:11" x14ac:dyDescent="0.2">
      <c r="A5574" s="24" t="s">
        <v>13261</v>
      </c>
      <c r="B5574" s="24" t="s">
        <v>13262</v>
      </c>
      <c r="C5574" s="24" t="s">
        <v>13263</v>
      </c>
      <c r="D5574" s="24" t="s">
        <v>17</v>
      </c>
      <c r="E5574" s="24" t="s">
        <v>26</v>
      </c>
      <c r="F5574" s="24" t="s">
        <v>27</v>
      </c>
      <c r="G5574" s="24" t="s">
        <v>28</v>
      </c>
      <c r="H5574" s="26">
        <v>84</v>
      </c>
      <c r="I5574" s="24" t="s">
        <v>29</v>
      </c>
      <c r="J5574" s="36">
        <v>45785</v>
      </c>
      <c r="K5574" s="24" t="s">
        <v>22</v>
      </c>
    </row>
    <row r="5575" spans="1:11" x14ac:dyDescent="0.2">
      <c r="A5575" s="27" t="s">
        <v>13264</v>
      </c>
      <c r="B5575" s="27" t="s">
        <v>13265</v>
      </c>
      <c r="C5575" s="27" t="s">
        <v>13266</v>
      </c>
      <c r="D5575" s="27" t="s">
        <v>17</v>
      </c>
      <c r="E5575" s="27" t="s">
        <v>18</v>
      </c>
      <c r="F5575" s="27" t="s">
        <v>19</v>
      </c>
      <c r="G5575" s="27" t="s">
        <v>20</v>
      </c>
      <c r="H5575" s="29">
        <v>376</v>
      </c>
      <c r="I5575" s="27" t="s">
        <v>21</v>
      </c>
      <c r="J5575" s="37">
        <v>45792</v>
      </c>
      <c r="K5575" s="27" t="s">
        <v>22</v>
      </c>
    </row>
    <row r="5576" spans="1:11" x14ac:dyDescent="0.2">
      <c r="A5576" s="24" t="s">
        <v>13267</v>
      </c>
      <c r="B5576" s="24" t="s">
        <v>13268</v>
      </c>
      <c r="C5576" s="24" t="s">
        <v>71</v>
      </c>
      <c r="D5576" s="24" t="s">
        <v>17</v>
      </c>
      <c r="E5576" s="24" t="s">
        <v>18</v>
      </c>
      <c r="F5576" s="24" t="s">
        <v>19</v>
      </c>
      <c r="G5576" s="24" t="s">
        <v>217</v>
      </c>
      <c r="H5576" s="26">
        <v>256</v>
      </c>
      <c r="I5576" s="24" t="s">
        <v>29</v>
      </c>
      <c r="J5576" s="36">
        <v>45778</v>
      </c>
      <c r="K5576" s="24" t="s">
        <v>22</v>
      </c>
    </row>
    <row r="5577" spans="1:11" x14ac:dyDescent="0.2">
      <c r="A5577" s="27" t="s">
        <v>13269</v>
      </c>
      <c r="B5577" s="27" t="s">
        <v>13270</v>
      </c>
      <c r="C5577" s="27" t="s">
        <v>194</v>
      </c>
      <c r="D5577" s="27" t="s">
        <v>17</v>
      </c>
      <c r="E5577" s="27" t="s">
        <v>42</v>
      </c>
      <c r="F5577" s="27" t="s">
        <v>43</v>
      </c>
      <c r="G5577" s="27" t="s">
        <v>28</v>
      </c>
      <c r="H5577" s="29">
        <v>566</v>
      </c>
      <c r="I5577" s="27" t="s">
        <v>29</v>
      </c>
      <c r="J5577" s="37">
        <v>45792</v>
      </c>
      <c r="K5577" s="27" t="s">
        <v>22</v>
      </c>
    </row>
    <row r="5578" spans="1:11" x14ac:dyDescent="0.2">
      <c r="A5578" s="24" t="s">
        <v>13271</v>
      </c>
      <c r="B5578" s="24" t="s">
        <v>13272</v>
      </c>
      <c r="C5578" s="24" t="s">
        <v>1083</v>
      </c>
      <c r="D5578" s="24" t="s">
        <v>17</v>
      </c>
      <c r="E5578" s="24" t="s">
        <v>42</v>
      </c>
      <c r="F5578" s="24" t="s">
        <v>43</v>
      </c>
      <c r="G5578" s="24" t="s">
        <v>20</v>
      </c>
      <c r="H5578" s="26">
        <v>578</v>
      </c>
      <c r="I5578" s="24" t="s">
        <v>21</v>
      </c>
      <c r="J5578" s="36">
        <v>45799</v>
      </c>
      <c r="K5578" s="24" t="s">
        <v>22</v>
      </c>
    </row>
    <row r="5579" spans="1:11" x14ac:dyDescent="0.2">
      <c r="A5579" s="27" t="s">
        <v>13273</v>
      </c>
      <c r="B5579" s="27" t="s">
        <v>13274</v>
      </c>
      <c r="C5579" s="27" t="s">
        <v>106</v>
      </c>
      <c r="D5579" s="27" t="s">
        <v>17</v>
      </c>
      <c r="E5579" s="27" t="s">
        <v>42</v>
      </c>
      <c r="F5579" s="27" t="s">
        <v>43</v>
      </c>
      <c r="G5579" s="27" t="s">
        <v>28</v>
      </c>
      <c r="H5579" s="29">
        <v>4200</v>
      </c>
      <c r="I5579" s="27" t="s">
        <v>29</v>
      </c>
      <c r="J5579" s="37">
        <v>45797</v>
      </c>
      <c r="K5579" s="27" t="s">
        <v>22</v>
      </c>
    </row>
    <row r="5580" spans="1:11" x14ac:dyDescent="0.2">
      <c r="A5580" s="24" t="s">
        <v>13275</v>
      </c>
      <c r="B5580" s="24" t="s">
        <v>13276</v>
      </c>
      <c r="C5580" s="24" t="s">
        <v>13277</v>
      </c>
      <c r="D5580" s="24" t="s">
        <v>17</v>
      </c>
      <c r="E5580" s="24" t="s">
        <v>18</v>
      </c>
      <c r="F5580" s="24" t="s">
        <v>19</v>
      </c>
      <c r="G5580" s="24" t="s">
        <v>28</v>
      </c>
      <c r="H5580" s="26">
        <v>60</v>
      </c>
      <c r="I5580" s="24" t="s">
        <v>29</v>
      </c>
      <c r="J5580" s="36">
        <v>45800</v>
      </c>
      <c r="K5580" s="24" t="s">
        <v>22</v>
      </c>
    </row>
    <row r="5581" spans="1:11" x14ac:dyDescent="0.2">
      <c r="A5581" s="27" t="s">
        <v>13278</v>
      </c>
      <c r="B5581" s="27" t="s">
        <v>13279</v>
      </c>
      <c r="C5581" s="27" t="s">
        <v>595</v>
      </c>
      <c r="D5581" s="27" t="s">
        <v>17</v>
      </c>
      <c r="E5581" s="27" t="s">
        <v>18</v>
      </c>
      <c r="F5581" s="27" t="s">
        <v>19</v>
      </c>
      <c r="G5581" s="27" t="s">
        <v>217</v>
      </c>
      <c r="H5581" s="29">
        <v>87</v>
      </c>
      <c r="I5581" s="27" t="s">
        <v>29</v>
      </c>
      <c r="J5581" s="37">
        <v>45778</v>
      </c>
      <c r="K5581" s="27" t="s">
        <v>22</v>
      </c>
    </row>
    <row r="5582" spans="1:11" x14ac:dyDescent="0.2">
      <c r="A5582" s="24" t="s">
        <v>13280</v>
      </c>
      <c r="B5582" s="24" t="s">
        <v>13281</v>
      </c>
      <c r="C5582" s="24" t="s">
        <v>13282</v>
      </c>
      <c r="D5582" s="24" t="s">
        <v>17</v>
      </c>
      <c r="E5582" s="24" t="s">
        <v>18</v>
      </c>
      <c r="F5582" s="24" t="s">
        <v>19</v>
      </c>
      <c r="G5582" s="24" t="s">
        <v>44</v>
      </c>
      <c r="H5582" s="26">
        <v>96</v>
      </c>
      <c r="I5582" s="24" t="s">
        <v>21</v>
      </c>
      <c r="J5582" s="36">
        <v>45804</v>
      </c>
      <c r="K5582" s="24" t="s">
        <v>22</v>
      </c>
    </row>
    <row r="5583" spans="1:11" x14ac:dyDescent="0.2">
      <c r="A5583" s="27" t="s">
        <v>13283</v>
      </c>
      <c r="B5583" s="27" t="s">
        <v>13284</v>
      </c>
      <c r="C5583" s="27" t="s">
        <v>3847</v>
      </c>
      <c r="D5583" s="27" t="s">
        <v>17</v>
      </c>
      <c r="E5583" s="27" t="s">
        <v>42</v>
      </c>
      <c r="F5583" s="27" t="s">
        <v>43</v>
      </c>
      <c r="G5583" s="27" t="s">
        <v>217</v>
      </c>
      <c r="H5583" s="29">
        <v>278</v>
      </c>
      <c r="I5583" s="27" t="s">
        <v>29</v>
      </c>
      <c r="J5583" s="37">
        <v>45792</v>
      </c>
      <c r="K5583" s="27" t="s">
        <v>22</v>
      </c>
    </row>
    <row r="5584" spans="1:11" x14ac:dyDescent="0.2">
      <c r="A5584" s="24" t="s">
        <v>13285</v>
      </c>
      <c r="B5584" s="24" t="s">
        <v>13286</v>
      </c>
      <c r="C5584" s="24" t="s">
        <v>13287</v>
      </c>
      <c r="D5584" s="24" t="s">
        <v>17</v>
      </c>
      <c r="E5584" s="24" t="s">
        <v>26</v>
      </c>
      <c r="F5584" s="24" t="s">
        <v>27</v>
      </c>
      <c r="G5584" s="24" t="s">
        <v>227</v>
      </c>
      <c r="H5584" s="26">
        <v>27</v>
      </c>
      <c r="I5584" s="24" t="s">
        <v>29</v>
      </c>
      <c r="J5584" s="36">
        <v>45785</v>
      </c>
      <c r="K5584" s="24" t="s">
        <v>22</v>
      </c>
    </row>
    <row r="5585" spans="1:11" x14ac:dyDescent="0.2">
      <c r="A5585" s="27" t="s">
        <v>13288</v>
      </c>
      <c r="B5585" s="27" t="s">
        <v>13289</v>
      </c>
      <c r="C5585" s="27" t="s">
        <v>595</v>
      </c>
      <c r="D5585" s="27" t="s">
        <v>17</v>
      </c>
      <c r="E5585" s="27" t="s">
        <v>42</v>
      </c>
      <c r="F5585" s="27" t="s">
        <v>43</v>
      </c>
      <c r="G5585" s="27" t="s">
        <v>217</v>
      </c>
      <c r="H5585" s="29">
        <v>94</v>
      </c>
      <c r="I5585" s="27" t="s">
        <v>29</v>
      </c>
      <c r="J5585" s="37">
        <v>45778</v>
      </c>
      <c r="K5585" s="27" t="s">
        <v>22</v>
      </c>
    </row>
    <row r="5586" spans="1:11" x14ac:dyDescent="0.2">
      <c r="A5586" s="24" t="s">
        <v>13290</v>
      </c>
      <c r="B5586" s="24" t="s">
        <v>13291</v>
      </c>
      <c r="C5586" s="24" t="s">
        <v>1110</v>
      </c>
      <c r="D5586" s="24" t="s">
        <v>17</v>
      </c>
      <c r="E5586" s="24" t="s">
        <v>42</v>
      </c>
      <c r="F5586" s="24" t="s">
        <v>43</v>
      </c>
      <c r="G5586" s="24" t="s">
        <v>28</v>
      </c>
      <c r="H5586" s="26">
        <v>425</v>
      </c>
      <c r="I5586" s="24" t="s">
        <v>29</v>
      </c>
      <c r="J5586" s="36">
        <v>45789</v>
      </c>
      <c r="K5586" s="24" t="s">
        <v>22</v>
      </c>
    </row>
    <row r="5587" spans="1:11" x14ac:dyDescent="0.2">
      <c r="A5587" s="27" t="s">
        <v>13292</v>
      </c>
      <c r="B5587" s="27" t="s">
        <v>13293</v>
      </c>
      <c r="C5587" s="27" t="s">
        <v>1921</v>
      </c>
      <c r="D5587" s="27" t="s">
        <v>17</v>
      </c>
      <c r="E5587" s="27" t="s">
        <v>18</v>
      </c>
      <c r="F5587" s="27" t="s">
        <v>19</v>
      </c>
      <c r="G5587" s="27" t="s">
        <v>28</v>
      </c>
      <c r="H5587" s="29">
        <v>140</v>
      </c>
      <c r="I5587" s="27" t="s">
        <v>29</v>
      </c>
      <c r="J5587" s="37">
        <v>45790</v>
      </c>
      <c r="K5587" s="27" t="s">
        <v>22</v>
      </c>
    </row>
    <row r="5588" spans="1:11" x14ac:dyDescent="0.2">
      <c r="A5588" s="24" t="s">
        <v>13294</v>
      </c>
      <c r="B5588" s="24" t="s">
        <v>13295</v>
      </c>
      <c r="C5588" s="24" t="s">
        <v>8194</v>
      </c>
      <c r="D5588" s="24" t="s">
        <v>17</v>
      </c>
      <c r="E5588" s="24" t="s">
        <v>26</v>
      </c>
      <c r="F5588" s="24" t="s">
        <v>27</v>
      </c>
      <c r="G5588" s="24" t="s">
        <v>28</v>
      </c>
      <c r="H5588" s="26">
        <v>10</v>
      </c>
      <c r="I5588" s="24" t="s">
        <v>29</v>
      </c>
      <c r="J5588" s="36">
        <v>45791</v>
      </c>
      <c r="K5588" s="24" t="s">
        <v>22</v>
      </c>
    </row>
    <row r="5589" spans="1:11" x14ac:dyDescent="0.2">
      <c r="A5589" s="27" t="s">
        <v>13296</v>
      </c>
      <c r="B5589" s="27" t="s">
        <v>13297</v>
      </c>
      <c r="C5589" s="27" t="s">
        <v>115</v>
      </c>
      <c r="D5589" s="27" t="s">
        <v>17</v>
      </c>
      <c r="E5589" s="27" t="s">
        <v>48</v>
      </c>
      <c r="F5589" s="27" t="s">
        <v>49</v>
      </c>
      <c r="G5589" s="27" t="s">
        <v>28</v>
      </c>
      <c r="H5589" s="29">
        <v>36</v>
      </c>
      <c r="I5589" s="27" t="s">
        <v>29</v>
      </c>
      <c r="J5589" s="37">
        <v>45791</v>
      </c>
      <c r="K5589" s="27" t="s">
        <v>22</v>
      </c>
    </row>
    <row r="5590" spans="1:11" x14ac:dyDescent="0.2">
      <c r="A5590" s="24" t="s">
        <v>13298</v>
      </c>
      <c r="B5590" s="24" t="s">
        <v>13299</v>
      </c>
      <c r="C5590" s="24" t="s">
        <v>213</v>
      </c>
      <c r="D5590" s="24" t="s">
        <v>17</v>
      </c>
      <c r="E5590" s="24" t="s">
        <v>48</v>
      </c>
      <c r="F5590" s="24" t="s">
        <v>49</v>
      </c>
      <c r="G5590" s="24" t="s">
        <v>28</v>
      </c>
      <c r="H5590" s="26">
        <v>252</v>
      </c>
      <c r="I5590" s="24" t="s">
        <v>29</v>
      </c>
      <c r="J5590" s="36">
        <v>45797</v>
      </c>
      <c r="K5590" s="24" t="s">
        <v>22</v>
      </c>
    </row>
    <row r="5591" spans="1:11" x14ac:dyDescent="0.2">
      <c r="A5591" s="27" t="s">
        <v>13300</v>
      </c>
      <c r="B5591" s="27" t="s">
        <v>13301</v>
      </c>
      <c r="C5591" s="27" t="s">
        <v>3452</v>
      </c>
      <c r="D5591" s="27" t="s">
        <v>17</v>
      </c>
      <c r="E5591" s="27" t="s">
        <v>48</v>
      </c>
      <c r="F5591" s="27" t="s">
        <v>49</v>
      </c>
      <c r="G5591" s="27" t="s">
        <v>217</v>
      </c>
      <c r="H5591" s="29">
        <v>40</v>
      </c>
      <c r="I5591" s="27" t="s">
        <v>29</v>
      </c>
      <c r="J5591" s="37">
        <v>45778</v>
      </c>
      <c r="K5591" s="27" t="s">
        <v>22</v>
      </c>
    </row>
    <row r="5592" spans="1:11" x14ac:dyDescent="0.2">
      <c r="A5592" s="24" t="s">
        <v>13302</v>
      </c>
      <c r="B5592" s="24" t="s">
        <v>13303</v>
      </c>
      <c r="C5592" s="24" t="s">
        <v>8357</v>
      </c>
      <c r="D5592" s="24" t="s">
        <v>17</v>
      </c>
      <c r="E5592" s="24" t="s">
        <v>48</v>
      </c>
      <c r="F5592" s="24" t="s">
        <v>49</v>
      </c>
      <c r="G5592" s="24" t="s">
        <v>28</v>
      </c>
      <c r="H5592" s="26">
        <v>36</v>
      </c>
      <c r="I5592" s="24" t="s">
        <v>29</v>
      </c>
      <c r="J5592" s="36">
        <v>45796</v>
      </c>
      <c r="K5592" s="24" t="s">
        <v>22</v>
      </c>
    </row>
    <row r="5593" spans="1:11" x14ac:dyDescent="0.2">
      <c r="A5593" s="27" t="s">
        <v>13304</v>
      </c>
      <c r="B5593" s="27" t="s">
        <v>13305</v>
      </c>
      <c r="C5593" s="27" t="s">
        <v>13306</v>
      </c>
      <c r="D5593" s="27" t="s">
        <v>17</v>
      </c>
      <c r="E5593" s="27" t="s">
        <v>18</v>
      </c>
      <c r="F5593" s="27" t="s">
        <v>19</v>
      </c>
      <c r="G5593" s="27" t="s">
        <v>28</v>
      </c>
      <c r="H5593" s="29">
        <v>10</v>
      </c>
      <c r="I5593" s="27" t="s">
        <v>29</v>
      </c>
      <c r="J5593" s="37">
        <v>45785</v>
      </c>
      <c r="K5593" s="27" t="s">
        <v>22</v>
      </c>
    </row>
    <row r="5594" spans="1:11" x14ac:dyDescent="0.2">
      <c r="A5594" s="24" t="s">
        <v>13307</v>
      </c>
      <c r="B5594" s="24" t="s">
        <v>13308</v>
      </c>
      <c r="C5594" s="24" t="s">
        <v>11596</v>
      </c>
      <c r="D5594" s="24" t="s">
        <v>17</v>
      </c>
      <c r="E5594" s="24" t="s">
        <v>26</v>
      </c>
      <c r="F5594" s="24" t="s">
        <v>27</v>
      </c>
      <c r="G5594" s="24" t="s">
        <v>28</v>
      </c>
      <c r="H5594" s="26">
        <v>56</v>
      </c>
      <c r="I5594" s="24" t="s">
        <v>29</v>
      </c>
      <c r="J5594" s="36">
        <v>45789</v>
      </c>
      <c r="K5594" s="24" t="s">
        <v>22</v>
      </c>
    </row>
    <row r="5595" spans="1:11" x14ac:dyDescent="0.2">
      <c r="A5595" s="27" t="s">
        <v>13309</v>
      </c>
      <c r="B5595" s="27" t="s">
        <v>13310</v>
      </c>
      <c r="C5595" s="27" t="s">
        <v>526</v>
      </c>
      <c r="D5595" s="27" t="s">
        <v>17</v>
      </c>
      <c r="E5595" s="27" t="s">
        <v>18</v>
      </c>
      <c r="F5595" s="27" t="s">
        <v>19</v>
      </c>
      <c r="G5595" s="27" t="s">
        <v>28</v>
      </c>
      <c r="H5595" s="29">
        <v>196</v>
      </c>
      <c r="I5595" s="27" t="s">
        <v>29</v>
      </c>
      <c r="J5595" s="37">
        <v>45804</v>
      </c>
      <c r="K5595" s="27" t="s">
        <v>22</v>
      </c>
    </row>
    <row r="5596" spans="1:11" x14ac:dyDescent="0.2">
      <c r="A5596" s="24" t="s">
        <v>13311</v>
      </c>
      <c r="B5596" s="24" t="s">
        <v>13312</v>
      </c>
      <c r="C5596" s="24" t="s">
        <v>13313</v>
      </c>
      <c r="D5596" s="24" t="s">
        <v>17</v>
      </c>
      <c r="E5596" s="24" t="s">
        <v>18</v>
      </c>
      <c r="F5596" s="24" t="s">
        <v>19</v>
      </c>
      <c r="G5596" s="24" t="s">
        <v>28</v>
      </c>
      <c r="H5596" s="26">
        <v>150</v>
      </c>
      <c r="I5596" s="24" t="s">
        <v>29</v>
      </c>
      <c r="J5596" s="36">
        <v>45793</v>
      </c>
      <c r="K5596" s="24" t="s">
        <v>22</v>
      </c>
    </row>
    <row r="5597" spans="1:11" x14ac:dyDescent="0.2">
      <c r="A5597" s="27" t="s">
        <v>13314</v>
      </c>
      <c r="B5597" s="27" t="s">
        <v>13315</v>
      </c>
      <c r="C5597" s="27" t="s">
        <v>13316</v>
      </c>
      <c r="D5597" s="27" t="s">
        <v>17</v>
      </c>
      <c r="E5597" s="27" t="s">
        <v>18</v>
      </c>
      <c r="F5597" s="27" t="s">
        <v>19</v>
      </c>
      <c r="G5597" s="27" t="s">
        <v>28</v>
      </c>
      <c r="H5597" s="29">
        <v>32</v>
      </c>
      <c r="I5597" s="27" t="s">
        <v>29</v>
      </c>
      <c r="J5597" s="37">
        <v>45783</v>
      </c>
      <c r="K5597" s="27" t="s">
        <v>22</v>
      </c>
    </row>
    <row r="5598" spans="1:11" x14ac:dyDescent="0.2">
      <c r="A5598" s="24" t="s">
        <v>13317</v>
      </c>
      <c r="B5598" s="24" t="s">
        <v>13318</v>
      </c>
      <c r="C5598" s="24" t="s">
        <v>13319</v>
      </c>
      <c r="D5598" s="24" t="s">
        <v>17</v>
      </c>
      <c r="E5598" s="24" t="s">
        <v>18</v>
      </c>
      <c r="F5598" s="24" t="s">
        <v>19</v>
      </c>
      <c r="G5598" s="24" t="s">
        <v>44</v>
      </c>
      <c r="H5598" s="26">
        <v>6</v>
      </c>
      <c r="I5598" s="24" t="s">
        <v>29</v>
      </c>
      <c r="J5598" s="36">
        <v>45786</v>
      </c>
      <c r="K5598" s="24" t="s">
        <v>22</v>
      </c>
    </row>
    <row r="5599" spans="1:11" x14ac:dyDescent="0.2">
      <c r="A5599" s="27" t="s">
        <v>13320</v>
      </c>
      <c r="B5599" s="27" t="s">
        <v>13321</v>
      </c>
      <c r="C5599" s="27" t="s">
        <v>115</v>
      </c>
      <c r="D5599" s="27" t="s">
        <v>17</v>
      </c>
      <c r="E5599" s="27" t="s">
        <v>42</v>
      </c>
      <c r="F5599" s="27" t="s">
        <v>43</v>
      </c>
      <c r="G5599" s="27" t="s">
        <v>28</v>
      </c>
      <c r="H5599" s="29">
        <v>225</v>
      </c>
      <c r="I5599" s="27" t="s">
        <v>29</v>
      </c>
      <c r="J5599" s="37">
        <v>45783</v>
      </c>
      <c r="K5599" s="27" t="s">
        <v>22</v>
      </c>
    </row>
    <row r="5600" spans="1:11" x14ac:dyDescent="0.2">
      <c r="A5600" s="24" t="s">
        <v>13322</v>
      </c>
      <c r="B5600" s="24" t="s">
        <v>13323</v>
      </c>
      <c r="C5600" s="24" t="s">
        <v>213</v>
      </c>
      <c r="D5600" s="24" t="s">
        <v>17</v>
      </c>
      <c r="E5600" s="24" t="s">
        <v>81</v>
      </c>
      <c r="F5600" s="24" t="s">
        <v>82</v>
      </c>
      <c r="G5600" s="24" t="s">
        <v>28</v>
      </c>
      <c r="H5600" s="26">
        <v>100</v>
      </c>
      <c r="I5600" s="24" t="s">
        <v>29</v>
      </c>
      <c r="J5600" s="36">
        <v>45784</v>
      </c>
      <c r="K5600" s="24" t="s">
        <v>22</v>
      </c>
    </row>
    <row r="5601" spans="1:11" x14ac:dyDescent="0.2">
      <c r="A5601" s="27" t="s">
        <v>13324</v>
      </c>
      <c r="B5601" s="27" t="s">
        <v>13325</v>
      </c>
      <c r="C5601" s="27" t="s">
        <v>13326</v>
      </c>
      <c r="D5601" s="27" t="s">
        <v>17</v>
      </c>
      <c r="E5601" s="27" t="s">
        <v>48</v>
      </c>
      <c r="F5601" s="27" t="s">
        <v>49</v>
      </c>
      <c r="G5601" s="27" t="s">
        <v>28</v>
      </c>
      <c r="H5601" s="29">
        <v>28</v>
      </c>
      <c r="I5601" s="27" t="s">
        <v>29</v>
      </c>
      <c r="J5601" s="37">
        <v>45778</v>
      </c>
      <c r="K5601" s="27" t="s">
        <v>22</v>
      </c>
    </row>
    <row r="5602" spans="1:11" x14ac:dyDescent="0.2">
      <c r="A5602" s="24" t="s">
        <v>13327</v>
      </c>
      <c r="B5602" s="24" t="s">
        <v>13328</v>
      </c>
      <c r="C5602" s="24" t="s">
        <v>97</v>
      </c>
      <c r="D5602" s="24" t="s">
        <v>17</v>
      </c>
      <c r="E5602" s="24" t="s">
        <v>18</v>
      </c>
      <c r="F5602" s="24" t="s">
        <v>19</v>
      </c>
      <c r="G5602" s="24" t="s">
        <v>20</v>
      </c>
      <c r="H5602" s="26">
        <v>16</v>
      </c>
      <c r="I5602" s="24" t="s">
        <v>21</v>
      </c>
      <c r="J5602" s="36">
        <v>45789</v>
      </c>
      <c r="K5602" s="24" t="s">
        <v>22</v>
      </c>
    </row>
    <row r="5603" spans="1:11" x14ac:dyDescent="0.2">
      <c r="A5603" s="27" t="s">
        <v>13329</v>
      </c>
      <c r="B5603" s="27" t="s">
        <v>13330</v>
      </c>
      <c r="C5603" s="27" t="s">
        <v>4239</v>
      </c>
      <c r="D5603" s="27" t="s">
        <v>17</v>
      </c>
      <c r="E5603" s="27" t="s">
        <v>18</v>
      </c>
      <c r="F5603" s="27" t="s">
        <v>19</v>
      </c>
      <c r="G5603" s="27" t="s">
        <v>44</v>
      </c>
      <c r="H5603" s="29">
        <v>16</v>
      </c>
      <c r="I5603" s="27" t="s">
        <v>29</v>
      </c>
      <c r="J5603" s="37">
        <v>45783</v>
      </c>
      <c r="K5603" s="27" t="s">
        <v>22</v>
      </c>
    </row>
    <row r="5604" spans="1:11" x14ac:dyDescent="0.2">
      <c r="A5604" s="24" t="s">
        <v>13331</v>
      </c>
      <c r="B5604" s="24" t="s">
        <v>13332</v>
      </c>
      <c r="C5604" s="24" t="s">
        <v>213</v>
      </c>
      <c r="D5604" s="24" t="s">
        <v>17</v>
      </c>
      <c r="E5604" s="24" t="s">
        <v>18</v>
      </c>
      <c r="F5604" s="24" t="s">
        <v>19</v>
      </c>
      <c r="G5604" s="24" t="s">
        <v>44</v>
      </c>
      <c r="H5604" s="26">
        <v>6</v>
      </c>
      <c r="I5604" s="24" t="s">
        <v>29</v>
      </c>
      <c r="J5604" s="36">
        <v>45785</v>
      </c>
      <c r="K5604" s="24" t="s">
        <v>22</v>
      </c>
    </row>
    <row r="5605" spans="1:11" x14ac:dyDescent="0.2">
      <c r="A5605" s="27" t="s">
        <v>13333</v>
      </c>
      <c r="B5605" s="27" t="s">
        <v>13334</v>
      </c>
      <c r="C5605" s="27" t="s">
        <v>551</v>
      </c>
      <c r="D5605" s="27" t="s">
        <v>17</v>
      </c>
      <c r="E5605" s="27" t="s">
        <v>48</v>
      </c>
      <c r="F5605" s="27" t="s">
        <v>49</v>
      </c>
      <c r="G5605" s="27" t="s">
        <v>28</v>
      </c>
      <c r="H5605" s="29">
        <v>120</v>
      </c>
      <c r="I5605" s="27" t="s">
        <v>29</v>
      </c>
      <c r="J5605" s="37">
        <v>45799</v>
      </c>
      <c r="K5605" s="27" t="s">
        <v>22</v>
      </c>
    </row>
    <row r="5606" spans="1:11" x14ac:dyDescent="0.2">
      <c r="A5606" s="24" t="s">
        <v>13335</v>
      </c>
      <c r="B5606" s="24" t="s">
        <v>13336</v>
      </c>
      <c r="C5606" s="24" t="s">
        <v>97</v>
      </c>
      <c r="D5606" s="24" t="s">
        <v>17</v>
      </c>
      <c r="E5606" s="24" t="s">
        <v>42</v>
      </c>
      <c r="F5606" s="24" t="s">
        <v>43</v>
      </c>
      <c r="G5606" s="24" t="s">
        <v>44</v>
      </c>
      <c r="H5606" s="26">
        <v>3046</v>
      </c>
      <c r="I5606" s="24" t="s">
        <v>21</v>
      </c>
      <c r="J5606" s="36">
        <v>45805</v>
      </c>
      <c r="K5606" s="24" t="s">
        <v>22</v>
      </c>
    </row>
    <row r="5607" spans="1:11" x14ac:dyDescent="0.2">
      <c r="A5607" s="27" t="s">
        <v>13337</v>
      </c>
      <c r="B5607" s="27" t="s">
        <v>13338</v>
      </c>
      <c r="C5607" s="27" t="s">
        <v>1346</v>
      </c>
      <c r="D5607" s="27" t="s">
        <v>17</v>
      </c>
      <c r="E5607" s="27" t="s">
        <v>18</v>
      </c>
      <c r="F5607" s="27" t="s">
        <v>19</v>
      </c>
      <c r="G5607" s="27" t="s">
        <v>28</v>
      </c>
      <c r="H5607" s="29">
        <v>42</v>
      </c>
      <c r="I5607" s="27" t="s">
        <v>29</v>
      </c>
      <c r="J5607" s="37">
        <v>45794</v>
      </c>
      <c r="K5607" s="27" t="s">
        <v>22</v>
      </c>
    </row>
    <row r="5608" spans="1:11" x14ac:dyDescent="0.2">
      <c r="A5608" s="24" t="s">
        <v>13339</v>
      </c>
      <c r="B5608" s="24" t="s">
        <v>13340</v>
      </c>
      <c r="C5608" s="24" t="s">
        <v>13341</v>
      </c>
      <c r="D5608" s="24" t="s">
        <v>17</v>
      </c>
      <c r="E5608" s="24" t="s">
        <v>18</v>
      </c>
      <c r="F5608" s="24" t="s">
        <v>19</v>
      </c>
      <c r="G5608" s="24" t="s">
        <v>28</v>
      </c>
      <c r="H5608" s="26">
        <v>41</v>
      </c>
      <c r="I5608" s="24" t="s">
        <v>29</v>
      </c>
      <c r="J5608" s="36">
        <v>45790</v>
      </c>
      <c r="K5608" s="24" t="s">
        <v>22</v>
      </c>
    </row>
    <row r="5609" spans="1:11" x14ac:dyDescent="0.2">
      <c r="A5609" s="27" t="s">
        <v>13342</v>
      </c>
      <c r="B5609" s="27" t="s">
        <v>13343</v>
      </c>
      <c r="C5609" s="27" t="s">
        <v>526</v>
      </c>
      <c r="D5609" s="27" t="s">
        <v>17</v>
      </c>
      <c r="E5609" s="27" t="s">
        <v>18</v>
      </c>
      <c r="F5609" s="27" t="s">
        <v>19</v>
      </c>
      <c r="G5609" s="27" t="s">
        <v>28</v>
      </c>
      <c r="H5609" s="29">
        <v>104</v>
      </c>
      <c r="I5609" s="27" t="s">
        <v>29</v>
      </c>
      <c r="J5609" s="37">
        <v>45790</v>
      </c>
      <c r="K5609" s="27" t="s">
        <v>22</v>
      </c>
    </row>
    <row r="5610" spans="1:11" x14ac:dyDescent="0.2">
      <c r="A5610" s="24" t="s">
        <v>13344</v>
      </c>
      <c r="B5610" s="24" t="s">
        <v>13345</v>
      </c>
      <c r="C5610" s="24" t="s">
        <v>1523</v>
      </c>
      <c r="D5610" s="24" t="s">
        <v>17</v>
      </c>
      <c r="E5610" s="24" t="s">
        <v>42</v>
      </c>
      <c r="F5610" s="24" t="s">
        <v>43</v>
      </c>
      <c r="G5610" s="24" t="s">
        <v>217</v>
      </c>
      <c r="H5610" s="26">
        <v>240</v>
      </c>
      <c r="I5610" s="24" t="s">
        <v>29</v>
      </c>
      <c r="J5610" s="36">
        <v>45778</v>
      </c>
      <c r="K5610" s="24" t="s">
        <v>22</v>
      </c>
    </row>
    <row r="5611" spans="1:11" x14ac:dyDescent="0.2">
      <c r="A5611" s="27" t="s">
        <v>13346</v>
      </c>
      <c r="B5611" s="27" t="s">
        <v>13347</v>
      </c>
      <c r="C5611" s="27" t="s">
        <v>13348</v>
      </c>
      <c r="D5611" s="27" t="s">
        <v>17</v>
      </c>
      <c r="E5611" s="27" t="s">
        <v>18</v>
      </c>
      <c r="F5611" s="27" t="s">
        <v>19</v>
      </c>
      <c r="G5611" s="27" t="s">
        <v>217</v>
      </c>
      <c r="H5611" s="29">
        <v>30</v>
      </c>
      <c r="I5611" s="27" t="s">
        <v>29</v>
      </c>
      <c r="J5611" s="37">
        <v>45778</v>
      </c>
      <c r="K5611" s="27" t="s">
        <v>22</v>
      </c>
    </row>
    <row r="5612" spans="1:11" x14ac:dyDescent="0.2">
      <c r="A5612" s="24" t="s">
        <v>13349</v>
      </c>
      <c r="B5612" s="24" t="s">
        <v>13350</v>
      </c>
      <c r="C5612" s="24" t="s">
        <v>13351</v>
      </c>
      <c r="D5612" s="24" t="s">
        <v>17</v>
      </c>
      <c r="E5612" s="24" t="s">
        <v>18</v>
      </c>
      <c r="F5612" s="24" t="s">
        <v>19</v>
      </c>
      <c r="G5612" s="24" t="s">
        <v>28</v>
      </c>
      <c r="H5612" s="26">
        <v>12</v>
      </c>
      <c r="I5612" s="24" t="s">
        <v>29</v>
      </c>
      <c r="J5612" s="36">
        <v>45804</v>
      </c>
      <c r="K5612" s="24" t="s">
        <v>22</v>
      </c>
    </row>
    <row r="5613" spans="1:11" x14ac:dyDescent="0.2">
      <c r="A5613" s="27" t="s">
        <v>13352</v>
      </c>
      <c r="B5613" s="27" t="s">
        <v>13353</v>
      </c>
      <c r="C5613" s="27" t="s">
        <v>143</v>
      </c>
      <c r="D5613" s="27" t="s">
        <v>17</v>
      </c>
      <c r="E5613" s="27" t="s">
        <v>26</v>
      </c>
      <c r="F5613" s="27" t="s">
        <v>27</v>
      </c>
      <c r="G5613" s="27" t="s">
        <v>217</v>
      </c>
      <c r="H5613" s="29">
        <v>212</v>
      </c>
      <c r="I5613" s="27" t="s">
        <v>29</v>
      </c>
      <c r="J5613" s="37">
        <v>45778</v>
      </c>
      <c r="K5613" s="27" t="s">
        <v>22</v>
      </c>
    </row>
    <row r="5614" spans="1:11" x14ac:dyDescent="0.2">
      <c r="A5614" s="24" t="s">
        <v>13354</v>
      </c>
      <c r="B5614" s="24" t="s">
        <v>13355</v>
      </c>
      <c r="C5614" s="24" t="s">
        <v>13356</v>
      </c>
      <c r="D5614" s="24" t="s">
        <v>17</v>
      </c>
      <c r="E5614" s="24" t="s">
        <v>18</v>
      </c>
      <c r="F5614" s="24" t="s">
        <v>19</v>
      </c>
      <c r="G5614" s="24" t="s">
        <v>28</v>
      </c>
      <c r="H5614" s="26">
        <v>88</v>
      </c>
      <c r="I5614" s="24" t="s">
        <v>29</v>
      </c>
      <c r="J5614" s="36">
        <v>45803</v>
      </c>
      <c r="K5614" s="24" t="s">
        <v>22</v>
      </c>
    </row>
    <row r="5615" spans="1:11" x14ac:dyDescent="0.2">
      <c r="A5615" s="27" t="s">
        <v>13357</v>
      </c>
      <c r="B5615" s="27" t="s">
        <v>13358</v>
      </c>
      <c r="C5615" s="27" t="s">
        <v>13359</v>
      </c>
      <c r="D5615" s="27" t="s">
        <v>17</v>
      </c>
      <c r="E5615" s="27" t="s">
        <v>48</v>
      </c>
      <c r="F5615" s="27" t="s">
        <v>49</v>
      </c>
      <c r="G5615" s="27" t="s">
        <v>28</v>
      </c>
      <c r="H5615" s="29">
        <v>400</v>
      </c>
      <c r="I5615" s="27" t="s">
        <v>29</v>
      </c>
      <c r="J5615" s="37">
        <v>45798</v>
      </c>
      <c r="K5615" s="27" t="s">
        <v>22</v>
      </c>
    </row>
    <row r="5616" spans="1:11" x14ac:dyDescent="0.2">
      <c r="A5616" s="24" t="s">
        <v>13360</v>
      </c>
      <c r="B5616" s="24" t="s">
        <v>13361</v>
      </c>
      <c r="C5616" s="24" t="s">
        <v>11107</v>
      </c>
      <c r="D5616" s="24" t="s">
        <v>17</v>
      </c>
      <c r="E5616" s="24" t="s">
        <v>18</v>
      </c>
      <c r="F5616" s="24" t="s">
        <v>19</v>
      </c>
      <c r="G5616" s="24" t="s">
        <v>28</v>
      </c>
      <c r="H5616" s="26">
        <v>15</v>
      </c>
      <c r="I5616" s="24" t="s">
        <v>29</v>
      </c>
      <c r="J5616" s="36">
        <v>45799</v>
      </c>
      <c r="K5616" s="24" t="s">
        <v>22</v>
      </c>
    </row>
    <row r="5617" spans="1:11" x14ac:dyDescent="0.2">
      <c r="A5617" s="27" t="s">
        <v>13362</v>
      </c>
      <c r="B5617" s="27" t="s">
        <v>13363</v>
      </c>
      <c r="C5617" s="27" t="s">
        <v>7356</v>
      </c>
      <c r="D5617" s="27" t="s">
        <v>17</v>
      </c>
      <c r="E5617" s="27" t="s">
        <v>18</v>
      </c>
      <c r="F5617" s="27" t="s">
        <v>19</v>
      </c>
      <c r="G5617" s="27" t="s">
        <v>28</v>
      </c>
      <c r="H5617" s="29">
        <v>37</v>
      </c>
      <c r="I5617" s="27" t="s">
        <v>29</v>
      </c>
      <c r="J5617" s="37">
        <v>45796</v>
      </c>
      <c r="K5617" s="27" t="s">
        <v>22</v>
      </c>
    </row>
    <row r="5618" spans="1:11" x14ac:dyDescent="0.2">
      <c r="A5618" s="24" t="s">
        <v>13364</v>
      </c>
      <c r="B5618" s="24" t="s">
        <v>13365</v>
      </c>
      <c r="C5618" s="24" t="s">
        <v>5175</v>
      </c>
      <c r="D5618" s="24" t="s">
        <v>17</v>
      </c>
      <c r="E5618" s="24" t="s">
        <v>18</v>
      </c>
      <c r="F5618" s="24" t="s">
        <v>19</v>
      </c>
      <c r="G5618" s="24" t="s">
        <v>28</v>
      </c>
      <c r="H5618" s="26">
        <v>18</v>
      </c>
      <c r="I5618" s="24" t="s">
        <v>29</v>
      </c>
      <c r="J5618" s="36">
        <v>45785</v>
      </c>
      <c r="K5618" s="24" t="s">
        <v>22</v>
      </c>
    </row>
    <row r="5619" spans="1:11" x14ac:dyDescent="0.2">
      <c r="A5619" s="27" t="s">
        <v>13366</v>
      </c>
      <c r="B5619" s="27" t="s">
        <v>13367</v>
      </c>
      <c r="C5619" s="27" t="s">
        <v>1147</v>
      </c>
      <c r="D5619" s="27" t="s">
        <v>17</v>
      </c>
      <c r="E5619" s="27" t="s">
        <v>18</v>
      </c>
      <c r="F5619" s="27" t="s">
        <v>19</v>
      </c>
      <c r="G5619" s="27" t="s">
        <v>28</v>
      </c>
      <c r="H5619" s="29">
        <v>92</v>
      </c>
      <c r="I5619" s="27" t="s">
        <v>29</v>
      </c>
      <c r="J5619" s="37">
        <v>45785</v>
      </c>
      <c r="K5619" s="27" t="s">
        <v>22</v>
      </c>
    </row>
    <row r="5620" spans="1:11" x14ac:dyDescent="0.2">
      <c r="A5620" s="24" t="s">
        <v>13368</v>
      </c>
      <c r="B5620" s="24" t="s">
        <v>13369</v>
      </c>
      <c r="C5620" s="24" t="s">
        <v>13370</v>
      </c>
      <c r="D5620" s="24" t="s">
        <v>17</v>
      </c>
      <c r="E5620" s="24" t="s">
        <v>163</v>
      </c>
      <c r="F5620" s="24" t="s">
        <v>164</v>
      </c>
      <c r="G5620" s="24" t="s">
        <v>28</v>
      </c>
      <c r="H5620" s="26">
        <v>10</v>
      </c>
      <c r="I5620" s="24" t="s">
        <v>29</v>
      </c>
      <c r="J5620" s="36">
        <v>45806</v>
      </c>
      <c r="K5620" s="24" t="s">
        <v>22</v>
      </c>
    </row>
    <row r="5621" spans="1:11" x14ac:dyDescent="0.2">
      <c r="A5621" s="27" t="s">
        <v>13371</v>
      </c>
      <c r="B5621" s="27" t="s">
        <v>13372</v>
      </c>
      <c r="C5621" s="27" t="s">
        <v>55</v>
      </c>
      <c r="D5621" s="27" t="s">
        <v>17</v>
      </c>
      <c r="E5621" s="27" t="s">
        <v>48</v>
      </c>
      <c r="F5621" s="27" t="s">
        <v>49</v>
      </c>
      <c r="G5621" s="27" t="s">
        <v>28</v>
      </c>
      <c r="H5621" s="29">
        <v>160</v>
      </c>
      <c r="I5621" s="27" t="s">
        <v>29</v>
      </c>
      <c r="J5621" s="37">
        <v>45806</v>
      </c>
      <c r="K5621" s="27" t="s">
        <v>22</v>
      </c>
    </row>
    <row r="5622" spans="1:11" x14ac:dyDescent="0.2">
      <c r="A5622" s="24" t="s">
        <v>13373</v>
      </c>
      <c r="B5622" s="24" t="s">
        <v>13374</v>
      </c>
      <c r="C5622" s="24" t="s">
        <v>13375</v>
      </c>
      <c r="D5622" s="24" t="s">
        <v>17</v>
      </c>
      <c r="E5622" s="24" t="s">
        <v>18</v>
      </c>
      <c r="F5622" s="24" t="s">
        <v>19</v>
      </c>
      <c r="G5622" s="24" t="s">
        <v>28</v>
      </c>
      <c r="H5622" s="26">
        <v>50</v>
      </c>
      <c r="I5622" s="24" t="s">
        <v>29</v>
      </c>
      <c r="J5622" s="36">
        <v>45784</v>
      </c>
      <c r="K5622" s="24" t="s">
        <v>22</v>
      </c>
    </row>
    <row r="5623" spans="1:11" x14ac:dyDescent="0.2">
      <c r="A5623" s="27" t="s">
        <v>13376</v>
      </c>
      <c r="B5623" s="27" t="s">
        <v>13377</v>
      </c>
      <c r="C5623" s="27" t="s">
        <v>13378</v>
      </c>
      <c r="D5623" s="27" t="s">
        <v>17</v>
      </c>
      <c r="E5623" s="27" t="s">
        <v>18</v>
      </c>
      <c r="F5623" s="27" t="s">
        <v>19</v>
      </c>
      <c r="G5623" s="27" t="s">
        <v>28</v>
      </c>
      <c r="H5623" s="29">
        <v>104</v>
      </c>
      <c r="I5623" s="27" t="s">
        <v>29</v>
      </c>
      <c r="J5623" s="37">
        <v>45793</v>
      </c>
      <c r="K5623" s="27" t="s">
        <v>22</v>
      </c>
    </row>
    <row r="5624" spans="1:11" x14ac:dyDescent="0.2">
      <c r="A5624" s="24" t="s">
        <v>13379</v>
      </c>
      <c r="B5624" s="24" t="s">
        <v>13380</v>
      </c>
      <c r="C5624" s="24" t="s">
        <v>13381</v>
      </c>
      <c r="D5624" s="24" t="s">
        <v>17</v>
      </c>
      <c r="E5624" s="24" t="s">
        <v>48</v>
      </c>
      <c r="F5624" s="24" t="s">
        <v>49</v>
      </c>
      <c r="G5624" s="24" t="s">
        <v>217</v>
      </c>
      <c r="H5624" s="26">
        <v>60</v>
      </c>
      <c r="I5624" s="24" t="s">
        <v>29</v>
      </c>
      <c r="J5624" s="36">
        <v>45778</v>
      </c>
      <c r="K5624" s="24" t="s">
        <v>22</v>
      </c>
    </row>
    <row r="5625" spans="1:11" x14ac:dyDescent="0.2">
      <c r="A5625" s="27" t="s">
        <v>13382</v>
      </c>
      <c r="B5625" s="27" t="s">
        <v>13383</v>
      </c>
      <c r="C5625" s="27" t="s">
        <v>13384</v>
      </c>
      <c r="D5625" s="27" t="s">
        <v>17</v>
      </c>
      <c r="E5625" s="27" t="s">
        <v>26</v>
      </c>
      <c r="F5625" s="27" t="s">
        <v>27</v>
      </c>
      <c r="G5625" s="27" t="s">
        <v>44</v>
      </c>
      <c r="H5625" s="29">
        <v>100</v>
      </c>
      <c r="I5625" s="27" t="s">
        <v>29</v>
      </c>
      <c r="J5625" s="37">
        <v>45784</v>
      </c>
      <c r="K5625" s="27" t="s">
        <v>22</v>
      </c>
    </row>
    <row r="5626" spans="1:11" x14ac:dyDescent="0.2">
      <c r="A5626" s="24" t="s">
        <v>13385</v>
      </c>
      <c r="B5626" s="24" t="s">
        <v>13386</v>
      </c>
      <c r="C5626" s="24" t="s">
        <v>55</v>
      </c>
      <c r="D5626" s="24" t="s">
        <v>17</v>
      </c>
      <c r="E5626" s="24" t="s">
        <v>18</v>
      </c>
      <c r="F5626" s="24" t="s">
        <v>19</v>
      </c>
      <c r="G5626" s="24" t="s">
        <v>20</v>
      </c>
      <c r="H5626" s="26">
        <v>52</v>
      </c>
      <c r="I5626" s="24" t="s">
        <v>21</v>
      </c>
      <c r="J5626" s="36">
        <v>45790</v>
      </c>
      <c r="K5626" s="24" t="s">
        <v>22</v>
      </c>
    </row>
    <row r="5627" spans="1:11" x14ac:dyDescent="0.2">
      <c r="A5627" s="27" t="s">
        <v>13387</v>
      </c>
      <c r="B5627" s="27" t="s">
        <v>13388</v>
      </c>
      <c r="C5627" s="27" t="s">
        <v>13389</v>
      </c>
      <c r="D5627" s="27" t="s">
        <v>17</v>
      </c>
      <c r="E5627" s="27" t="s">
        <v>163</v>
      </c>
      <c r="F5627" s="27" t="s">
        <v>164</v>
      </c>
      <c r="G5627" s="27" t="s">
        <v>217</v>
      </c>
      <c r="H5627" s="29">
        <v>42</v>
      </c>
      <c r="I5627" s="27" t="s">
        <v>29</v>
      </c>
      <c r="J5627" s="37">
        <v>45803</v>
      </c>
      <c r="K5627" s="27" t="s">
        <v>22</v>
      </c>
    </row>
    <row r="5628" spans="1:11" x14ac:dyDescent="0.2">
      <c r="A5628" s="24" t="s">
        <v>13390</v>
      </c>
      <c r="B5628" s="24" t="s">
        <v>13391</v>
      </c>
      <c r="C5628" s="24" t="s">
        <v>55</v>
      </c>
      <c r="D5628" s="24" t="s">
        <v>17</v>
      </c>
      <c r="E5628" s="24" t="s">
        <v>26</v>
      </c>
      <c r="F5628" s="24" t="s">
        <v>27</v>
      </c>
      <c r="G5628" s="24" t="s">
        <v>28</v>
      </c>
      <c r="H5628" s="26">
        <v>50</v>
      </c>
      <c r="I5628" s="24" t="s">
        <v>29</v>
      </c>
      <c r="J5628" s="36">
        <v>45803</v>
      </c>
      <c r="K5628" s="24" t="s">
        <v>22</v>
      </c>
    </row>
    <row r="5629" spans="1:11" x14ac:dyDescent="0.2">
      <c r="A5629" s="27" t="s">
        <v>13392</v>
      </c>
      <c r="B5629" s="27" t="s">
        <v>13393</v>
      </c>
      <c r="C5629" s="27" t="s">
        <v>13394</v>
      </c>
      <c r="D5629" s="27" t="s">
        <v>17</v>
      </c>
      <c r="E5629" s="27" t="s">
        <v>81</v>
      </c>
      <c r="F5629" s="27" t="s">
        <v>82</v>
      </c>
      <c r="G5629" s="27" t="s">
        <v>28</v>
      </c>
      <c r="H5629" s="29">
        <v>13</v>
      </c>
      <c r="I5629" s="27" t="s">
        <v>29</v>
      </c>
      <c r="J5629" s="37">
        <v>45784</v>
      </c>
      <c r="K5629" s="27" t="s">
        <v>22</v>
      </c>
    </row>
    <row r="5630" spans="1:11" x14ac:dyDescent="0.2">
      <c r="A5630" s="24" t="s">
        <v>13395</v>
      </c>
      <c r="B5630" s="24" t="s">
        <v>13396</v>
      </c>
      <c r="C5630" s="24" t="s">
        <v>6545</v>
      </c>
      <c r="D5630" s="24" t="s">
        <v>17</v>
      </c>
      <c r="E5630" s="24" t="s">
        <v>48</v>
      </c>
      <c r="F5630" s="24" t="s">
        <v>49</v>
      </c>
      <c r="G5630" s="24" t="s">
        <v>28</v>
      </c>
      <c r="H5630" s="26">
        <v>60</v>
      </c>
      <c r="I5630" s="24" t="s">
        <v>29</v>
      </c>
      <c r="J5630" s="36">
        <v>45783</v>
      </c>
      <c r="K5630" s="24" t="s">
        <v>22</v>
      </c>
    </row>
    <row r="5631" spans="1:11" x14ac:dyDescent="0.2">
      <c r="A5631" s="27" t="s">
        <v>13397</v>
      </c>
      <c r="B5631" s="27" t="s">
        <v>13398</v>
      </c>
      <c r="C5631" s="27" t="s">
        <v>208</v>
      </c>
      <c r="D5631" s="27" t="s">
        <v>17</v>
      </c>
      <c r="E5631" s="27" t="s">
        <v>42</v>
      </c>
      <c r="F5631" s="27" t="s">
        <v>43</v>
      </c>
      <c r="G5631" s="27" t="s">
        <v>44</v>
      </c>
      <c r="H5631" s="29">
        <v>1092</v>
      </c>
      <c r="I5631" s="27" t="s">
        <v>21</v>
      </c>
      <c r="J5631" s="37">
        <v>45799</v>
      </c>
      <c r="K5631" s="27" t="s">
        <v>22</v>
      </c>
    </row>
    <row r="5632" spans="1:11" x14ac:dyDescent="0.2">
      <c r="A5632" s="24" t="s">
        <v>13399</v>
      </c>
      <c r="B5632" s="24" t="s">
        <v>13400</v>
      </c>
      <c r="C5632" s="24" t="s">
        <v>1572</v>
      </c>
      <c r="D5632" s="24" t="s">
        <v>17</v>
      </c>
      <c r="E5632" s="24" t="s">
        <v>42</v>
      </c>
      <c r="F5632" s="24" t="s">
        <v>43</v>
      </c>
      <c r="G5632" s="24" t="s">
        <v>28</v>
      </c>
      <c r="H5632" s="26">
        <v>15</v>
      </c>
      <c r="I5632" s="24" t="s">
        <v>29</v>
      </c>
      <c r="J5632" s="36">
        <v>45800</v>
      </c>
      <c r="K5632" s="24" t="s">
        <v>22</v>
      </c>
    </row>
    <row r="5633" spans="1:11" x14ac:dyDescent="0.2">
      <c r="A5633" s="27" t="s">
        <v>13401</v>
      </c>
      <c r="B5633" s="27" t="s">
        <v>13402</v>
      </c>
      <c r="C5633" s="27" t="s">
        <v>213</v>
      </c>
      <c r="D5633" s="27" t="s">
        <v>17</v>
      </c>
      <c r="E5633" s="27" t="s">
        <v>18</v>
      </c>
      <c r="F5633" s="27" t="s">
        <v>19</v>
      </c>
      <c r="G5633" s="27" t="s">
        <v>28</v>
      </c>
      <c r="H5633" s="29">
        <v>16</v>
      </c>
      <c r="I5633" s="27" t="s">
        <v>29</v>
      </c>
      <c r="J5633" s="37">
        <v>45793</v>
      </c>
      <c r="K5633" s="27" t="s">
        <v>22</v>
      </c>
    </row>
    <row r="5634" spans="1:11" x14ac:dyDescent="0.2">
      <c r="A5634" s="24" t="s">
        <v>13403</v>
      </c>
      <c r="B5634" s="24" t="s">
        <v>13404</v>
      </c>
      <c r="C5634" s="24" t="s">
        <v>5417</v>
      </c>
      <c r="D5634" s="24" t="s">
        <v>17</v>
      </c>
      <c r="E5634" s="24" t="s">
        <v>26</v>
      </c>
      <c r="F5634" s="24" t="s">
        <v>27</v>
      </c>
      <c r="G5634" s="24" t="s">
        <v>227</v>
      </c>
      <c r="H5634" s="26">
        <v>102</v>
      </c>
      <c r="I5634" s="24" t="s">
        <v>29</v>
      </c>
      <c r="J5634" s="36">
        <v>45800</v>
      </c>
      <c r="K5634" s="24" t="s">
        <v>22</v>
      </c>
    </row>
    <row r="5635" spans="1:11" x14ac:dyDescent="0.2">
      <c r="A5635" s="27" t="s">
        <v>13405</v>
      </c>
      <c r="B5635" s="27" t="s">
        <v>13406</v>
      </c>
      <c r="C5635" s="27" t="s">
        <v>3205</v>
      </c>
      <c r="D5635" s="27" t="s">
        <v>17</v>
      </c>
      <c r="E5635" s="27" t="s">
        <v>42</v>
      </c>
      <c r="F5635" s="27" t="s">
        <v>43</v>
      </c>
      <c r="G5635" s="27" t="s">
        <v>20</v>
      </c>
      <c r="H5635" s="29">
        <v>89</v>
      </c>
      <c r="I5635" s="27" t="s">
        <v>21</v>
      </c>
      <c r="J5635" s="37">
        <v>45791</v>
      </c>
      <c r="K5635" s="27" t="s">
        <v>22</v>
      </c>
    </row>
    <row r="5636" spans="1:11" x14ac:dyDescent="0.2">
      <c r="A5636" s="24" t="s">
        <v>13407</v>
      </c>
      <c r="B5636" s="24" t="s">
        <v>13408</v>
      </c>
      <c r="C5636" s="24" t="s">
        <v>185</v>
      </c>
      <c r="D5636" s="24" t="s">
        <v>17</v>
      </c>
      <c r="E5636" s="24" t="s">
        <v>18</v>
      </c>
      <c r="F5636" s="24" t="s">
        <v>19</v>
      </c>
      <c r="G5636" s="24" t="s">
        <v>217</v>
      </c>
      <c r="H5636" s="26">
        <v>520</v>
      </c>
      <c r="I5636" s="24" t="s">
        <v>29</v>
      </c>
      <c r="J5636" s="36">
        <v>45792</v>
      </c>
      <c r="K5636" s="24" t="s">
        <v>22</v>
      </c>
    </row>
    <row r="5637" spans="1:11" x14ac:dyDescent="0.2">
      <c r="A5637" s="27" t="s">
        <v>13409</v>
      </c>
      <c r="B5637" s="27" t="s">
        <v>13410</v>
      </c>
      <c r="C5637" s="27" t="s">
        <v>13411</v>
      </c>
      <c r="D5637" s="27" t="s">
        <v>17</v>
      </c>
      <c r="E5637" s="27" t="s">
        <v>26</v>
      </c>
      <c r="F5637" s="27" t="s">
        <v>27</v>
      </c>
      <c r="G5637" s="27" t="s">
        <v>28</v>
      </c>
      <c r="H5637" s="29">
        <v>12</v>
      </c>
      <c r="I5637" s="27" t="s">
        <v>29</v>
      </c>
      <c r="J5637" s="37">
        <v>45785</v>
      </c>
      <c r="K5637" s="27" t="s">
        <v>22</v>
      </c>
    </row>
    <row r="5638" spans="1:11" x14ac:dyDescent="0.2">
      <c r="A5638" s="24" t="s">
        <v>13412</v>
      </c>
      <c r="B5638" s="24" t="s">
        <v>13413</v>
      </c>
      <c r="C5638" s="24" t="s">
        <v>4510</v>
      </c>
      <c r="D5638" s="24" t="s">
        <v>17</v>
      </c>
      <c r="E5638" s="24" t="s">
        <v>48</v>
      </c>
      <c r="F5638" s="24" t="s">
        <v>49</v>
      </c>
      <c r="G5638" s="24" t="s">
        <v>28</v>
      </c>
      <c r="H5638" s="26">
        <v>645</v>
      </c>
      <c r="I5638" s="24" t="s">
        <v>29</v>
      </c>
      <c r="J5638" s="36">
        <v>45804</v>
      </c>
      <c r="K5638" s="24" t="s">
        <v>22</v>
      </c>
    </row>
    <row r="5639" spans="1:11" x14ac:dyDescent="0.2">
      <c r="A5639" s="27" t="s">
        <v>13414</v>
      </c>
      <c r="B5639" s="27" t="s">
        <v>13415</v>
      </c>
      <c r="C5639" s="27" t="s">
        <v>97</v>
      </c>
      <c r="D5639" s="27" t="s">
        <v>17</v>
      </c>
      <c r="E5639" s="27" t="s">
        <v>18</v>
      </c>
      <c r="F5639" s="27" t="s">
        <v>19</v>
      </c>
      <c r="G5639" s="27" t="s">
        <v>20</v>
      </c>
      <c r="H5639" s="29">
        <v>16</v>
      </c>
      <c r="I5639" s="27" t="s">
        <v>21</v>
      </c>
      <c r="J5639" s="37">
        <v>45785</v>
      </c>
      <c r="K5639" s="27" t="s">
        <v>22</v>
      </c>
    </row>
    <row r="5640" spans="1:11" x14ac:dyDescent="0.2">
      <c r="A5640" s="24" t="s">
        <v>13416</v>
      </c>
      <c r="B5640" s="24" t="s">
        <v>13417</v>
      </c>
      <c r="C5640" s="24" t="s">
        <v>266</v>
      </c>
      <c r="D5640" s="24" t="s">
        <v>17</v>
      </c>
      <c r="E5640" s="24" t="s">
        <v>18</v>
      </c>
      <c r="F5640" s="24" t="s">
        <v>19</v>
      </c>
      <c r="G5640" s="24" t="s">
        <v>217</v>
      </c>
      <c r="H5640" s="26">
        <v>32</v>
      </c>
      <c r="I5640" s="24" t="s">
        <v>29</v>
      </c>
      <c r="J5640" s="36">
        <v>45798</v>
      </c>
      <c r="K5640" s="24" t="s">
        <v>22</v>
      </c>
    </row>
    <row r="5641" spans="1:11" x14ac:dyDescent="0.2">
      <c r="A5641" s="27" t="s">
        <v>13418</v>
      </c>
      <c r="B5641" s="27" t="s">
        <v>13419</v>
      </c>
      <c r="C5641" s="27" t="s">
        <v>1110</v>
      </c>
      <c r="D5641" s="27" t="s">
        <v>17</v>
      </c>
      <c r="E5641" s="27" t="s">
        <v>48</v>
      </c>
      <c r="F5641" s="27" t="s">
        <v>49</v>
      </c>
      <c r="G5641" s="27" t="s">
        <v>44</v>
      </c>
      <c r="H5641" s="29">
        <v>285</v>
      </c>
      <c r="I5641" s="27" t="s">
        <v>21</v>
      </c>
      <c r="J5641" s="37">
        <v>45782</v>
      </c>
      <c r="K5641" s="27" t="s">
        <v>22</v>
      </c>
    </row>
    <row r="5642" spans="1:11" x14ac:dyDescent="0.2">
      <c r="A5642" s="24" t="s">
        <v>13420</v>
      </c>
      <c r="B5642" s="24" t="s">
        <v>13421</v>
      </c>
      <c r="C5642" s="24" t="s">
        <v>85</v>
      </c>
      <c r="D5642" s="24" t="s">
        <v>17</v>
      </c>
      <c r="E5642" s="24" t="s">
        <v>18</v>
      </c>
      <c r="F5642" s="24" t="s">
        <v>19</v>
      </c>
      <c r="G5642" s="24" t="s">
        <v>20</v>
      </c>
      <c r="H5642" s="26">
        <v>59</v>
      </c>
      <c r="I5642" s="24" t="s">
        <v>21</v>
      </c>
      <c r="J5642" s="36">
        <v>45785</v>
      </c>
      <c r="K5642" s="24" t="s">
        <v>22</v>
      </c>
    </row>
    <row r="5643" spans="1:11" x14ac:dyDescent="0.2">
      <c r="A5643" s="27" t="s">
        <v>13422</v>
      </c>
      <c r="B5643" s="27" t="s">
        <v>13423</v>
      </c>
      <c r="C5643" s="27" t="s">
        <v>97</v>
      </c>
      <c r="D5643" s="27" t="s">
        <v>17</v>
      </c>
      <c r="E5643" s="27" t="s">
        <v>18</v>
      </c>
      <c r="F5643" s="27" t="s">
        <v>19</v>
      </c>
      <c r="G5643" s="27" t="s">
        <v>28</v>
      </c>
      <c r="H5643" s="29">
        <v>136</v>
      </c>
      <c r="I5643" s="27" t="s">
        <v>29</v>
      </c>
      <c r="J5643" s="37">
        <v>45804</v>
      </c>
      <c r="K5643" s="27" t="s">
        <v>22</v>
      </c>
    </row>
    <row r="5644" spans="1:11" x14ac:dyDescent="0.2">
      <c r="A5644" s="24" t="s">
        <v>13424</v>
      </c>
      <c r="B5644" s="24" t="s">
        <v>13425</v>
      </c>
      <c r="C5644" s="24" t="s">
        <v>526</v>
      </c>
      <c r="D5644" s="24" t="s">
        <v>17</v>
      </c>
      <c r="E5644" s="24" t="s">
        <v>18</v>
      </c>
      <c r="F5644" s="24" t="s">
        <v>19</v>
      </c>
      <c r="G5644" s="24" t="s">
        <v>28</v>
      </c>
      <c r="H5644" s="26">
        <v>144</v>
      </c>
      <c r="I5644" s="24" t="s">
        <v>29</v>
      </c>
      <c r="J5644" s="36">
        <v>45778</v>
      </c>
      <c r="K5644" s="24" t="s">
        <v>22</v>
      </c>
    </row>
    <row r="5645" spans="1:11" x14ac:dyDescent="0.2">
      <c r="A5645" s="27" t="s">
        <v>13426</v>
      </c>
      <c r="B5645" s="27" t="s">
        <v>13427</v>
      </c>
      <c r="C5645" s="27" t="s">
        <v>2811</v>
      </c>
      <c r="D5645" s="27" t="s">
        <v>17</v>
      </c>
      <c r="E5645" s="27" t="s">
        <v>81</v>
      </c>
      <c r="F5645" s="27" t="s">
        <v>82</v>
      </c>
      <c r="G5645" s="27" t="s">
        <v>217</v>
      </c>
      <c r="H5645" s="29">
        <v>600</v>
      </c>
      <c r="I5645" s="27" t="s">
        <v>29</v>
      </c>
      <c r="J5645" s="37">
        <v>45778</v>
      </c>
      <c r="K5645" s="27" t="s">
        <v>22</v>
      </c>
    </row>
    <row r="5646" spans="1:11" x14ac:dyDescent="0.2">
      <c r="A5646" s="24" t="s">
        <v>13428</v>
      </c>
      <c r="B5646" s="24" t="s">
        <v>13429</v>
      </c>
      <c r="C5646" s="24" t="s">
        <v>9613</v>
      </c>
      <c r="D5646" s="24" t="s">
        <v>17</v>
      </c>
      <c r="E5646" s="24" t="s">
        <v>81</v>
      </c>
      <c r="F5646" s="24" t="s">
        <v>82</v>
      </c>
      <c r="G5646" s="24" t="s">
        <v>28</v>
      </c>
      <c r="H5646" s="26">
        <v>250</v>
      </c>
      <c r="I5646" s="24" t="s">
        <v>29</v>
      </c>
      <c r="J5646" s="36">
        <v>45798</v>
      </c>
      <c r="K5646" s="24" t="s">
        <v>22</v>
      </c>
    </row>
    <row r="5647" spans="1:11" x14ac:dyDescent="0.2">
      <c r="A5647" s="27" t="s">
        <v>13430</v>
      </c>
      <c r="B5647" s="27" t="s">
        <v>13431</v>
      </c>
      <c r="C5647" s="27" t="s">
        <v>9125</v>
      </c>
      <c r="D5647" s="27" t="s">
        <v>17</v>
      </c>
      <c r="E5647" s="27" t="s">
        <v>18</v>
      </c>
      <c r="F5647" s="27" t="s">
        <v>19</v>
      </c>
      <c r="G5647" s="27" t="s">
        <v>44</v>
      </c>
      <c r="H5647" s="29">
        <v>60</v>
      </c>
      <c r="I5647" s="27" t="s">
        <v>21</v>
      </c>
      <c r="J5647" s="37">
        <v>45791</v>
      </c>
      <c r="K5647" s="27" t="s">
        <v>22</v>
      </c>
    </row>
    <row r="5648" spans="1:11" x14ac:dyDescent="0.2">
      <c r="A5648" s="24" t="s">
        <v>13432</v>
      </c>
      <c r="B5648" s="24" t="s">
        <v>13433</v>
      </c>
      <c r="C5648" s="24" t="s">
        <v>749</v>
      </c>
      <c r="D5648" s="24" t="s">
        <v>17</v>
      </c>
      <c r="E5648" s="24" t="s">
        <v>26</v>
      </c>
      <c r="F5648" s="24" t="s">
        <v>27</v>
      </c>
      <c r="G5648" s="24" t="s">
        <v>28</v>
      </c>
      <c r="H5648" s="26">
        <v>126</v>
      </c>
      <c r="I5648" s="24" t="s">
        <v>29</v>
      </c>
      <c r="J5648" s="36">
        <v>45784</v>
      </c>
      <c r="K5648" s="24" t="s">
        <v>22</v>
      </c>
    </row>
    <row r="5649" spans="1:11" x14ac:dyDescent="0.2">
      <c r="A5649" s="27" t="s">
        <v>13434</v>
      </c>
      <c r="B5649" s="27" t="s">
        <v>13435</v>
      </c>
      <c r="C5649" s="27" t="s">
        <v>55</v>
      </c>
      <c r="D5649" s="27" t="s">
        <v>17</v>
      </c>
      <c r="E5649" s="27" t="s">
        <v>48</v>
      </c>
      <c r="F5649" s="27" t="s">
        <v>49</v>
      </c>
      <c r="G5649" s="27" t="s">
        <v>28</v>
      </c>
      <c r="H5649" s="29">
        <v>144</v>
      </c>
      <c r="I5649" s="27" t="s">
        <v>29</v>
      </c>
      <c r="J5649" s="37">
        <v>45805</v>
      </c>
      <c r="K5649" s="27" t="s">
        <v>22</v>
      </c>
    </row>
    <row r="5650" spans="1:11" x14ac:dyDescent="0.2">
      <c r="A5650" s="24" t="s">
        <v>13436</v>
      </c>
      <c r="B5650" s="24" t="s">
        <v>13437</v>
      </c>
      <c r="C5650" s="24" t="s">
        <v>13282</v>
      </c>
      <c r="D5650" s="24" t="s">
        <v>17</v>
      </c>
      <c r="E5650" s="24" t="s">
        <v>18</v>
      </c>
      <c r="F5650" s="24" t="s">
        <v>19</v>
      </c>
      <c r="G5650" s="24" t="s">
        <v>44</v>
      </c>
      <c r="H5650" s="26">
        <v>180</v>
      </c>
      <c r="I5650" s="24" t="s">
        <v>21</v>
      </c>
      <c r="J5650" s="36">
        <v>45804</v>
      </c>
      <c r="K5650" s="24" t="s">
        <v>22</v>
      </c>
    </row>
    <row r="5651" spans="1:11" x14ac:dyDescent="0.2">
      <c r="A5651" s="27" t="s">
        <v>13438</v>
      </c>
      <c r="B5651" s="27" t="s">
        <v>13439</v>
      </c>
      <c r="C5651" s="27" t="s">
        <v>5813</v>
      </c>
      <c r="D5651" s="27" t="s">
        <v>17</v>
      </c>
      <c r="E5651" s="27" t="s">
        <v>18</v>
      </c>
      <c r="F5651" s="27" t="s">
        <v>19</v>
      </c>
      <c r="G5651" s="27" t="s">
        <v>217</v>
      </c>
      <c r="H5651" s="29">
        <v>60</v>
      </c>
      <c r="I5651" s="27" t="s">
        <v>29</v>
      </c>
      <c r="J5651" s="37">
        <v>45804</v>
      </c>
      <c r="K5651" s="27" t="s">
        <v>22</v>
      </c>
    </row>
    <row r="5652" spans="1:11" x14ac:dyDescent="0.2">
      <c r="A5652" s="24" t="s">
        <v>13440</v>
      </c>
      <c r="B5652" s="24" t="s">
        <v>13441</v>
      </c>
      <c r="C5652" s="24" t="s">
        <v>526</v>
      </c>
      <c r="D5652" s="24" t="s">
        <v>17</v>
      </c>
      <c r="E5652" s="24" t="s">
        <v>42</v>
      </c>
      <c r="F5652" s="24" t="s">
        <v>43</v>
      </c>
      <c r="G5652" s="24" t="s">
        <v>44</v>
      </c>
      <c r="H5652" s="26">
        <v>465</v>
      </c>
      <c r="I5652" s="24" t="s">
        <v>29</v>
      </c>
      <c r="J5652" s="36">
        <v>45789</v>
      </c>
      <c r="K5652" s="24" t="s">
        <v>22</v>
      </c>
    </row>
    <row r="5653" spans="1:11" x14ac:dyDescent="0.2">
      <c r="A5653" s="27" t="s">
        <v>13442</v>
      </c>
      <c r="B5653" s="27" t="s">
        <v>13443</v>
      </c>
      <c r="C5653" s="27" t="s">
        <v>1565</v>
      </c>
      <c r="D5653" s="27" t="s">
        <v>17</v>
      </c>
      <c r="E5653" s="27" t="s">
        <v>48</v>
      </c>
      <c r="F5653" s="27" t="s">
        <v>49</v>
      </c>
      <c r="G5653" s="27" t="s">
        <v>28</v>
      </c>
      <c r="H5653" s="29">
        <v>56</v>
      </c>
      <c r="I5653" s="27" t="s">
        <v>29</v>
      </c>
      <c r="J5653" s="37">
        <v>45778</v>
      </c>
      <c r="K5653" s="27" t="s">
        <v>22</v>
      </c>
    </row>
    <row r="5654" spans="1:11" x14ac:dyDescent="0.2">
      <c r="A5654" s="24" t="s">
        <v>13444</v>
      </c>
      <c r="B5654" s="24" t="s">
        <v>13445</v>
      </c>
      <c r="C5654" s="24" t="s">
        <v>122</v>
      </c>
      <c r="D5654" s="24" t="s">
        <v>17</v>
      </c>
      <c r="E5654" s="24" t="s">
        <v>18</v>
      </c>
      <c r="F5654" s="24" t="s">
        <v>19</v>
      </c>
      <c r="G5654" s="24" t="s">
        <v>28</v>
      </c>
      <c r="H5654" s="26">
        <v>20</v>
      </c>
      <c r="I5654" s="24" t="s">
        <v>29</v>
      </c>
      <c r="J5654" s="36">
        <v>45790</v>
      </c>
      <c r="K5654" s="24" t="s">
        <v>22</v>
      </c>
    </row>
    <row r="5655" spans="1:11" x14ac:dyDescent="0.2">
      <c r="A5655" s="27" t="s">
        <v>13446</v>
      </c>
      <c r="B5655" s="27" t="s">
        <v>13447</v>
      </c>
      <c r="C5655" s="27" t="s">
        <v>251</v>
      </c>
      <c r="D5655" s="27" t="s">
        <v>17</v>
      </c>
      <c r="E5655" s="27" t="s">
        <v>42</v>
      </c>
      <c r="F5655" s="27" t="s">
        <v>43</v>
      </c>
      <c r="G5655" s="27" t="s">
        <v>28</v>
      </c>
      <c r="H5655" s="29">
        <v>240</v>
      </c>
      <c r="I5655" s="27" t="s">
        <v>29</v>
      </c>
      <c r="J5655" s="37">
        <v>45807</v>
      </c>
      <c r="K5655" s="27" t="s">
        <v>22</v>
      </c>
    </row>
    <row r="5656" spans="1:11" x14ac:dyDescent="0.2">
      <c r="A5656" s="24" t="s">
        <v>13448</v>
      </c>
      <c r="B5656" s="24" t="s">
        <v>13449</v>
      </c>
      <c r="C5656" s="24" t="s">
        <v>13450</v>
      </c>
      <c r="D5656" s="24" t="s">
        <v>17</v>
      </c>
      <c r="E5656" s="24" t="s">
        <v>26</v>
      </c>
      <c r="F5656" s="24" t="s">
        <v>27</v>
      </c>
      <c r="G5656" s="24" t="s">
        <v>28</v>
      </c>
      <c r="H5656" s="26">
        <v>122</v>
      </c>
      <c r="I5656" s="24" t="s">
        <v>29</v>
      </c>
      <c r="J5656" s="36">
        <v>45803</v>
      </c>
      <c r="K5656" s="24" t="s">
        <v>22</v>
      </c>
    </row>
    <row r="5657" spans="1:11" x14ac:dyDescent="0.2">
      <c r="A5657" s="27" t="s">
        <v>13451</v>
      </c>
      <c r="B5657" s="27" t="s">
        <v>13452</v>
      </c>
      <c r="C5657" s="27" t="s">
        <v>203</v>
      </c>
      <c r="D5657" s="27" t="s">
        <v>17</v>
      </c>
      <c r="E5657" s="27" t="s">
        <v>48</v>
      </c>
      <c r="F5657" s="27" t="s">
        <v>49</v>
      </c>
      <c r="G5657" s="27" t="s">
        <v>28</v>
      </c>
      <c r="H5657" s="29">
        <v>90</v>
      </c>
      <c r="I5657" s="27" t="s">
        <v>29</v>
      </c>
      <c r="J5657" s="37">
        <v>45778</v>
      </c>
      <c r="K5657" s="27" t="s">
        <v>22</v>
      </c>
    </row>
    <row r="5658" spans="1:11" x14ac:dyDescent="0.2">
      <c r="A5658" s="24" t="s">
        <v>13453</v>
      </c>
      <c r="B5658" s="24" t="s">
        <v>13454</v>
      </c>
      <c r="C5658" s="24" t="s">
        <v>2803</v>
      </c>
      <c r="D5658" s="24" t="s">
        <v>17</v>
      </c>
      <c r="E5658" s="24" t="s">
        <v>48</v>
      </c>
      <c r="F5658" s="24" t="s">
        <v>49</v>
      </c>
      <c r="G5658" s="24" t="s">
        <v>28</v>
      </c>
      <c r="H5658" s="26">
        <v>350</v>
      </c>
      <c r="I5658" s="24" t="s">
        <v>29</v>
      </c>
      <c r="J5658" s="36">
        <v>45791</v>
      </c>
      <c r="K5658" s="24" t="s">
        <v>22</v>
      </c>
    </row>
    <row r="5659" spans="1:11" x14ac:dyDescent="0.2">
      <c r="A5659" s="27" t="s">
        <v>13455</v>
      </c>
      <c r="B5659" s="27" t="s">
        <v>13456</v>
      </c>
      <c r="C5659" s="27" t="s">
        <v>12800</v>
      </c>
      <c r="D5659" s="27" t="s">
        <v>17</v>
      </c>
      <c r="E5659" s="27" t="s">
        <v>42</v>
      </c>
      <c r="F5659" s="27" t="s">
        <v>43</v>
      </c>
      <c r="G5659" s="27" t="s">
        <v>28</v>
      </c>
      <c r="H5659" s="29">
        <v>310</v>
      </c>
      <c r="I5659" s="27" t="s">
        <v>29</v>
      </c>
      <c r="J5659" s="37">
        <v>45804</v>
      </c>
      <c r="K5659" s="27" t="s">
        <v>22</v>
      </c>
    </row>
    <row r="5660" spans="1:11" x14ac:dyDescent="0.2">
      <c r="A5660" s="24" t="s">
        <v>13457</v>
      </c>
      <c r="B5660" s="24" t="s">
        <v>13458</v>
      </c>
      <c r="C5660" s="24" t="s">
        <v>185</v>
      </c>
      <c r="D5660" s="24" t="s">
        <v>17</v>
      </c>
      <c r="E5660" s="24" t="s">
        <v>18</v>
      </c>
      <c r="F5660" s="24" t="s">
        <v>19</v>
      </c>
      <c r="G5660" s="24" t="s">
        <v>28</v>
      </c>
      <c r="H5660" s="26">
        <v>142</v>
      </c>
      <c r="I5660" s="24" t="s">
        <v>29</v>
      </c>
      <c r="J5660" s="36">
        <v>45793</v>
      </c>
      <c r="K5660" s="24" t="s">
        <v>22</v>
      </c>
    </row>
    <row r="5661" spans="1:11" x14ac:dyDescent="0.2">
      <c r="A5661" s="27" t="s">
        <v>13459</v>
      </c>
      <c r="B5661" s="27" t="s">
        <v>13460</v>
      </c>
      <c r="C5661" s="27" t="s">
        <v>6366</v>
      </c>
      <c r="D5661" s="27" t="s">
        <v>17</v>
      </c>
      <c r="E5661" s="27" t="s">
        <v>42</v>
      </c>
      <c r="F5661" s="27" t="s">
        <v>43</v>
      </c>
      <c r="G5661" s="27" t="s">
        <v>28</v>
      </c>
      <c r="H5661" s="29">
        <v>338</v>
      </c>
      <c r="I5661" s="27" t="s">
        <v>29</v>
      </c>
      <c r="J5661" s="37">
        <v>45805</v>
      </c>
      <c r="K5661" s="27" t="s">
        <v>22</v>
      </c>
    </row>
    <row r="5662" spans="1:11" x14ac:dyDescent="0.2">
      <c r="A5662" s="24" t="s">
        <v>13461</v>
      </c>
      <c r="B5662" s="24" t="s">
        <v>13462</v>
      </c>
      <c r="C5662" s="24" t="s">
        <v>213</v>
      </c>
      <c r="D5662" s="24" t="s">
        <v>17</v>
      </c>
      <c r="E5662" s="24" t="s">
        <v>18</v>
      </c>
      <c r="F5662" s="24" t="s">
        <v>19</v>
      </c>
      <c r="G5662" s="24" t="s">
        <v>28</v>
      </c>
      <c r="H5662" s="26">
        <v>15</v>
      </c>
      <c r="I5662" s="24" t="s">
        <v>29</v>
      </c>
      <c r="J5662" s="36">
        <v>45790</v>
      </c>
      <c r="K5662" s="24" t="s">
        <v>22</v>
      </c>
    </row>
    <row r="5663" spans="1:11" x14ac:dyDescent="0.2">
      <c r="A5663" s="27" t="s">
        <v>13463</v>
      </c>
      <c r="B5663" s="27" t="s">
        <v>13464</v>
      </c>
      <c r="C5663" s="27" t="s">
        <v>1346</v>
      </c>
      <c r="D5663" s="27" t="s">
        <v>17</v>
      </c>
      <c r="E5663" s="27" t="s">
        <v>18</v>
      </c>
      <c r="F5663" s="27" t="s">
        <v>19</v>
      </c>
      <c r="G5663" s="27" t="s">
        <v>20</v>
      </c>
      <c r="H5663" s="29">
        <v>38</v>
      </c>
      <c r="I5663" s="27" t="s">
        <v>21</v>
      </c>
      <c r="J5663" s="37">
        <v>45790</v>
      </c>
      <c r="K5663" s="27" t="s">
        <v>22</v>
      </c>
    </row>
    <row r="5664" spans="1:11" x14ac:dyDescent="0.2">
      <c r="A5664" s="24" t="s">
        <v>13465</v>
      </c>
      <c r="B5664" s="24" t="s">
        <v>13466</v>
      </c>
      <c r="C5664" s="24" t="s">
        <v>4966</v>
      </c>
      <c r="D5664" s="24" t="s">
        <v>17</v>
      </c>
      <c r="E5664" s="24" t="s">
        <v>18</v>
      </c>
      <c r="F5664" s="24" t="s">
        <v>19</v>
      </c>
      <c r="G5664" s="24" t="s">
        <v>28</v>
      </c>
      <c r="H5664" s="26">
        <v>32</v>
      </c>
      <c r="I5664" s="24" t="s">
        <v>29</v>
      </c>
      <c r="J5664" s="36">
        <v>45784</v>
      </c>
      <c r="K5664" s="24" t="s">
        <v>22</v>
      </c>
    </row>
    <row r="5665" spans="1:11" x14ac:dyDescent="0.2">
      <c r="A5665" s="27" t="s">
        <v>13467</v>
      </c>
      <c r="B5665" s="27" t="s">
        <v>13468</v>
      </c>
      <c r="C5665" s="27" t="s">
        <v>827</v>
      </c>
      <c r="D5665" s="27" t="s">
        <v>17</v>
      </c>
      <c r="E5665" s="27" t="s">
        <v>26</v>
      </c>
      <c r="F5665" s="27" t="s">
        <v>27</v>
      </c>
      <c r="G5665" s="27" t="s">
        <v>28</v>
      </c>
      <c r="H5665" s="29">
        <v>230</v>
      </c>
      <c r="I5665" s="27" t="s">
        <v>29</v>
      </c>
      <c r="J5665" s="37">
        <v>45798</v>
      </c>
      <c r="K5665" s="27" t="s">
        <v>22</v>
      </c>
    </row>
    <row r="5666" spans="1:11" x14ac:dyDescent="0.2">
      <c r="A5666" s="24" t="s">
        <v>13469</v>
      </c>
      <c r="B5666" s="24" t="s">
        <v>13470</v>
      </c>
      <c r="C5666" s="24" t="s">
        <v>97</v>
      </c>
      <c r="D5666" s="24" t="s">
        <v>17</v>
      </c>
      <c r="E5666" s="24" t="s">
        <v>18</v>
      </c>
      <c r="F5666" s="24" t="s">
        <v>19</v>
      </c>
      <c r="G5666" s="24" t="s">
        <v>20</v>
      </c>
      <c r="H5666" s="26">
        <v>14</v>
      </c>
      <c r="I5666" s="24" t="s">
        <v>21</v>
      </c>
      <c r="J5666" s="36">
        <v>45797</v>
      </c>
      <c r="K5666" s="24" t="s">
        <v>22</v>
      </c>
    </row>
    <row r="5667" spans="1:11" x14ac:dyDescent="0.2">
      <c r="A5667" s="27" t="s">
        <v>13471</v>
      </c>
      <c r="B5667" s="27" t="s">
        <v>13472</v>
      </c>
      <c r="C5667" s="27" t="s">
        <v>251</v>
      </c>
      <c r="D5667" s="27" t="s">
        <v>17</v>
      </c>
      <c r="E5667" s="27" t="s">
        <v>42</v>
      </c>
      <c r="F5667" s="27" t="s">
        <v>43</v>
      </c>
      <c r="G5667" s="27" t="s">
        <v>28</v>
      </c>
      <c r="H5667" s="29">
        <v>599</v>
      </c>
      <c r="I5667" s="27" t="s">
        <v>29</v>
      </c>
      <c r="J5667" s="37">
        <v>45796</v>
      </c>
      <c r="K5667" s="27" t="s">
        <v>22</v>
      </c>
    </row>
    <row r="5668" spans="1:11" x14ac:dyDescent="0.2">
      <c r="A5668" s="24" t="s">
        <v>13473</v>
      </c>
      <c r="B5668" s="24" t="s">
        <v>13474</v>
      </c>
      <c r="C5668" s="24" t="s">
        <v>134</v>
      </c>
      <c r="D5668" s="24" t="s">
        <v>17</v>
      </c>
      <c r="E5668" s="24" t="s">
        <v>18</v>
      </c>
      <c r="F5668" s="24" t="s">
        <v>19</v>
      </c>
      <c r="G5668" s="24" t="s">
        <v>44</v>
      </c>
      <c r="H5668" s="26">
        <v>10</v>
      </c>
      <c r="I5668" s="24" t="s">
        <v>29</v>
      </c>
      <c r="J5668" s="36">
        <v>45784</v>
      </c>
      <c r="K5668" s="24" t="s">
        <v>22</v>
      </c>
    </row>
    <row r="5669" spans="1:11" x14ac:dyDescent="0.2">
      <c r="A5669" s="27" t="s">
        <v>13475</v>
      </c>
      <c r="B5669" s="27" t="s">
        <v>13476</v>
      </c>
      <c r="C5669" s="27" t="s">
        <v>13477</v>
      </c>
      <c r="D5669" s="27" t="s">
        <v>17</v>
      </c>
      <c r="E5669" s="27" t="s">
        <v>42</v>
      </c>
      <c r="F5669" s="27" t="s">
        <v>43</v>
      </c>
      <c r="G5669" s="27" t="s">
        <v>116</v>
      </c>
      <c r="H5669" s="29">
        <v>0</v>
      </c>
      <c r="I5669" s="27" t="s">
        <v>21</v>
      </c>
      <c r="J5669" s="37">
        <v>45778</v>
      </c>
      <c r="K5669" s="27" t="s">
        <v>22</v>
      </c>
    </row>
    <row r="5670" spans="1:11" x14ac:dyDescent="0.2">
      <c r="A5670" s="24" t="s">
        <v>13478</v>
      </c>
      <c r="B5670" s="24" t="s">
        <v>13479</v>
      </c>
      <c r="C5670" s="24" t="s">
        <v>197</v>
      </c>
      <c r="D5670" s="24" t="s">
        <v>17</v>
      </c>
      <c r="E5670" s="24" t="s">
        <v>42</v>
      </c>
      <c r="F5670" s="24" t="s">
        <v>43</v>
      </c>
      <c r="G5670" s="24" t="s">
        <v>28</v>
      </c>
      <c r="H5670" s="26">
        <v>500</v>
      </c>
      <c r="I5670" s="24" t="s">
        <v>29</v>
      </c>
      <c r="J5670" s="36">
        <v>45799</v>
      </c>
      <c r="K5670" s="24" t="s">
        <v>22</v>
      </c>
    </row>
    <row r="5671" spans="1:11" x14ac:dyDescent="0.2">
      <c r="A5671" s="27" t="s">
        <v>13480</v>
      </c>
      <c r="B5671" s="27" t="s">
        <v>13481</v>
      </c>
      <c r="C5671" s="27" t="s">
        <v>134</v>
      </c>
      <c r="D5671" s="27" t="s">
        <v>17</v>
      </c>
      <c r="E5671" s="27" t="s">
        <v>18</v>
      </c>
      <c r="F5671" s="27" t="s">
        <v>19</v>
      </c>
      <c r="G5671" s="27" t="s">
        <v>20</v>
      </c>
      <c r="H5671" s="29">
        <v>46</v>
      </c>
      <c r="I5671" s="27" t="s">
        <v>21</v>
      </c>
      <c r="J5671" s="37">
        <v>45782</v>
      </c>
      <c r="K5671" s="27" t="s">
        <v>22</v>
      </c>
    </row>
    <row r="5672" spans="1:11" x14ac:dyDescent="0.2">
      <c r="A5672" s="24" t="s">
        <v>13482</v>
      </c>
      <c r="B5672" s="24" t="s">
        <v>13483</v>
      </c>
      <c r="C5672" s="24" t="s">
        <v>251</v>
      </c>
      <c r="D5672" s="24" t="s">
        <v>17</v>
      </c>
      <c r="E5672" s="24" t="s">
        <v>42</v>
      </c>
      <c r="F5672" s="24" t="s">
        <v>43</v>
      </c>
      <c r="G5672" s="24" t="s">
        <v>28</v>
      </c>
      <c r="H5672" s="26">
        <v>315</v>
      </c>
      <c r="I5672" s="24" t="s">
        <v>29</v>
      </c>
      <c r="J5672" s="36">
        <v>45796</v>
      </c>
      <c r="K5672" s="24" t="s">
        <v>22</v>
      </c>
    </row>
    <row r="5673" spans="1:11" x14ac:dyDescent="0.2">
      <c r="A5673" s="27" t="s">
        <v>13484</v>
      </c>
      <c r="B5673" s="27" t="s">
        <v>13485</v>
      </c>
      <c r="C5673" s="27" t="s">
        <v>429</v>
      </c>
      <c r="D5673" s="27" t="s">
        <v>17</v>
      </c>
      <c r="E5673" s="27" t="s">
        <v>42</v>
      </c>
      <c r="F5673" s="27" t="s">
        <v>43</v>
      </c>
      <c r="G5673" s="27" t="s">
        <v>28</v>
      </c>
      <c r="H5673" s="29">
        <v>470</v>
      </c>
      <c r="I5673" s="27" t="s">
        <v>29</v>
      </c>
      <c r="J5673" s="37">
        <v>45786</v>
      </c>
      <c r="K5673" s="27" t="s">
        <v>22</v>
      </c>
    </row>
    <row r="5674" spans="1:11" x14ac:dyDescent="0.2">
      <c r="A5674" s="24" t="s">
        <v>13486</v>
      </c>
      <c r="B5674" s="24" t="s">
        <v>13487</v>
      </c>
      <c r="C5674" s="24" t="s">
        <v>97</v>
      </c>
      <c r="D5674" s="24" t="s">
        <v>17</v>
      </c>
      <c r="E5674" s="24" t="s">
        <v>42</v>
      </c>
      <c r="F5674" s="24" t="s">
        <v>43</v>
      </c>
      <c r="G5674" s="24" t="s">
        <v>28</v>
      </c>
      <c r="H5674" s="26">
        <v>1220</v>
      </c>
      <c r="I5674" s="24" t="s">
        <v>29</v>
      </c>
      <c r="J5674" s="36">
        <v>45783</v>
      </c>
      <c r="K5674" s="24" t="s">
        <v>22</v>
      </c>
    </row>
    <row r="5675" spans="1:11" x14ac:dyDescent="0.2">
      <c r="A5675" s="27" t="s">
        <v>13488</v>
      </c>
      <c r="B5675" s="27" t="s">
        <v>13489</v>
      </c>
      <c r="C5675" s="27" t="s">
        <v>1523</v>
      </c>
      <c r="D5675" s="27" t="s">
        <v>17</v>
      </c>
      <c r="E5675" s="27" t="s">
        <v>48</v>
      </c>
      <c r="F5675" s="27" t="s">
        <v>49</v>
      </c>
      <c r="G5675" s="27" t="s">
        <v>217</v>
      </c>
      <c r="H5675" s="29">
        <v>120</v>
      </c>
      <c r="I5675" s="27" t="s">
        <v>29</v>
      </c>
      <c r="J5675" s="37">
        <v>45793</v>
      </c>
      <c r="K5675" s="27" t="s">
        <v>22</v>
      </c>
    </row>
    <row r="5676" spans="1:11" x14ac:dyDescent="0.2">
      <c r="A5676" s="24" t="s">
        <v>13490</v>
      </c>
      <c r="B5676" s="24" t="s">
        <v>13491</v>
      </c>
      <c r="C5676" s="24" t="s">
        <v>10398</v>
      </c>
      <c r="D5676" s="24" t="s">
        <v>17</v>
      </c>
      <c r="E5676" s="24" t="s">
        <v>18</v>
      </c>
      <c r="F5676" s="24" t="s">
        <v>19</v>
      </c>
      <c r="G5676" s="24" t="s">
        <v>28</v>
      </c>
      <c r="H5676" s="26">
        <v>12</v>
      </c>
      <c r="I5676" s="24" t="s">
        <v>29</v>
      </c>
      <c r="J5676" s="36">
        <v>45796</v>
      </c>
      <c r="K5676" s="24" t="s">
        <v>22</v>
      </c>
    </row>
    <row r="5677" spans="1:11" x14ac:dyDescent="0.2">
      <c r="A5677" s="27" t="s">
        <v>13492</v>
      </c>
      <c r="B5677" s="27" t="s">
        <v>13493</v>
      </c>
      <c r="C5677" s="27" t="s">
        <v>904</v>
      </c>
      <c r="D5677" s="27" t="s">
        <v>17</v>
      </c>
      <c r="E5677" s="27" t="s">
        <v>26</v>
      </c>
      <c r="F5677" s="27" t="s">
        <v>27</v>
      </c>
      <c r="G5677" s="27" t="s">
        <v>28</v>
      </c>
      <c r="H5677" s="29">
        <v>112</v>
      </c>
      <c r="I5677" s="27" t="s">
        <v>29</v>
      </c>
      <c r="J5677" s="37">
        <v>45789</v>
      </c>
      <c r="K5677" s="27" t="s">
        <v>22</v>
      </c>
    </row>
    <row r="5678" spans="1:11" x14ac:dyDescent="0.2">
      <c r="A5678" s="24" t="s">
        <v>13494</v>
      </c>
      <c r="B5678" s="24" t="s">
        <v>13495</v>
      </c>
      <c r="C5678" s="24" t="s">
        <v>13496</v>
      </c>
      <c r="D5678" s="24" t="s">
        <v>17</v>
      </c>
      <c r="E5678" s="24" t="s">
        <v>42</v>
      </c>
      <c r="F5678" s="24" t="s">
        <v>43</v>
      </c>
      <c r="G5678" s="24" t="s">
        <v>116</v>
      </c>
      <c r="H5678" s="26">
        <v>0</v>
      </c>
      <c r="I5678" s="24" t="s">
        <v>21</v>
      </c>
      <c r="J5678" s="36">
        <v>45778</v>
      </c>
      <c r="K5678" s="24" t="s">
        <v>22</v>
      </c>
    </row>
    <row r="5679" spans="1:11" x14ac:dyDescent="0.2">
      <c r="A5679" s="27" t="s">
        <v>13497</v>
      </c>
      <c r="B5679" s="27" t="s">
        <v>13498</v>
      </c>
      <c r="C5679" s="27" t="s">
        <v>3444</v>
      </c>
      <c r="D5679" s="27" t="s">
        <v>17</v>
      </c>
      <c r="E5679" s="27" t="s">
        <v>163</v>
      </c>
      <c r="F5679" s="27" t="s">
        <v>164</v>
      </c>
      <c r="G5679" s="27" t="s">
        <v>217</v>
      </c>
      <c r="H5679" s="29">
        <v>15</v>
      </c>
      <c r="I5679" s="27" t="s">
        <v>29</v>
      </c>
      <c r="J5679" s="37">
        <v>45795</v>
      </c>
      <c r="K5679" s="27" t="s">
        <v>22</v>
      </c>
    </row>
    <row r="5680" spans="1:11" x14ac:dyDescent="0.2">
      <c r="A5680" s="24" t="s">
        <v>13499</v>
      </c>
      <c r="B5680" s="24" t="s">
        <v>13500</v>
      </c>
      <c r="C5680" s="24" t="s">
        <v>13501</v>
      </c>
      <c r="D5680" s="24" t="s">
        <v>17</v>
      </c>
      <c r="E5680" s="24" t="s">
        <v>18</v>
      </c>
      <c r="F5680" s="24" t="s">
        <v>19</v>
      </c>
      <c r="G5680" s="24" t="s">
        <v>28</v>
      </c>
      <c r="H5680" s="26">
        <v>70</v>
      </c>
      <c r="I5680" s="24" t="s">
        <v>29</v>
      </c>
      <c r="J5680" s="36">
        <v>45791</v>
      </c>
      <c r="K5680" s="24" t="s">
        <v>22</v>
      </c>
    </row>
    <row r="5681" spans="1:11" x14ac:dyDescent="0.2">
      <c r="A5681" s="27" t="s">
        <v>13502</v>
      </c>
      <c r="B5681" s="27" t="s">
        <v>13503</v>
      </c>
      <c r="C5681" s="27" t="s">
        <v>613</v>
      </c>
      <c r="D5681" s="27" t="s">
        <v>17</v>
      </c>
      <c r="E5681" s="27" t="s">
        <v>18</v>
      </c>
      <c r="F5681" s="27" t="s">
        <v>19</v>
      </c>
      <c r="G5681" s="27" t="s">
        <v>28</v>
      </c>
      <c r="H5681" s="29">
        <v>220</v>
      </c>
      <c r="I5681" s="27" t="s">
        <v>29</v>
      </c>
      <c r="J5681" s="37">
        <v>45797</v>
      </c>
      <c r="K5681" s="27" t="s">
        <v>22</v>
      </c>
    </row>
    <row r="5682" spans="1:11" x14ac:dyDescent="0.2">
      <c r="A5682" s="24" t="s">
        <v>13504</v>
      </c>
      <c r="B5682" s="24" t="s">
        <v>13505</v>
      </c>
      <c r="C5682" s="24" t="s">
        <v>177</v>
      </c>
      <c r="D5682" s="24" t="s">
        <v>17</v>
      </c>
      <c r="E5682" s="24" t="s">
        <v>18</v>
      </c>
      <c r="F5682" s="24" t="s">
        <v>19</v>
      </c>
      <c r="G5682" s="24" t="s">
        <v>20</v>
      </c>
      <c r="H5682" s="26">
        <v>14</v>
      </c>
      <c r="I5682" s="24" t="s">
        <v>21</v>
      </c>
      <c r="J5682" s="36">
        <v>45779</v>
      </c>
      <c r="K5682" s="24" t="s">
        <v>22</v>
      </c>
    </row>
    <row r="5683" spans="1:11" x14ac:dyDescent="0.2">
      <c r="A5683" s="27" t="s">
        <v>13506</v>
      </c>
      <c r="B5683" s="27" t="s">
        <v>13507</v>
      </c>
      <c r="C5683" s="27" t="s">
        <v>13508</v>
      </c>
      <c r="D5683" s="27" t="s">
        <v>17</v>
      </c>
      <c r="E5683" s="27" t="s">
        <v>163</v>
      </c>
      <c r="F5683" s="27" t="s">
        <v>164</v>
      </c>
      <c r="G5683" s="27" t="s">
        <v>217</v>
      </c>
      <c r="H5683" s="29">
        <v>6</v>
      </c>
      <c r="I5683" s="27" t="s">
        <v>29</v>
      </c>
      <c r="J5683" s="37">
        <v>45797</v>
      </c>
      <c r="K5683" s="27" t="s">
        <v>22</v>
      </c>
    </row>
    <row r="5684" spans="1:11" x14ac:dyDescent="0.2">
      <c r="A5684" s="24" t="s">
        <v>13509</v>
      </c>
      <c r="B5684" s="24" t="s">
        <v>13510</v>
      </c>
      <c r="C5684" s="24" t="s">
        <v>13511</v>
      </c>
      <c r="D5684" s="24" t="s">
        <v>17</v>
      </c>
      <c r="E5684" s="24" t="s">
        <v>48</v>
      </c>
      <c r="F5684" s="24" t="s">
        <v>49</v>
      </c>
      <c r="G5684" s="24" t="s">
        <v>28</v>
      </c>
      <c r="H5684" s="26">
        <v>75</v>
      </c>
      <c r="I5684" s="24" t="s">
        <v>29</v>
      </c>
      <c r="J5684" s="36">
        <v>45808</v>
      </c>
      <c r="K5684" s="24" t="s">
        <v>22</v>
      </c>
    </row>
    <row r="5685" spans="1:11" x14ac:dyDescent="0.2">
      <c r="A5685" s="27" t="s">
        <v>13512</v>
      </c>
      <c r="B5685" s="27" t="s">
        <v>13513</v>
      </c>
      <c r="C5685" s="27" t="s">
        <v>2129</v>
      </c>
      <c r="D5685" s="27" t="s">
        <v>17</v>
      </c>
      <c r="E5685" s="27" t="s">
        <v>33</v>
      </c>
      <c r="F5685" s="27" t="s">
        <v>34</v>
      </c>
      <c r="G5685" s="27" t="s">
        <v>28</v>
      </c>
      <c r="H5685" s="29">
        <v>550</v>
      </c>
      <c r="I5685" s="27" t="s">
        <v>29</v>
      </c>
      <c r="J5685" s="37">
        <v>45805</v>
      </c>
      <c r="K5685" s="27" t="s">
        <v>22</v>
      </c>
    </row>
    <row r="5686" spans="1:11" x14ac:dyDescent="0.2">
      <c r="A5686" s="24" t="s">
        <v>13514</v>
      </c>
      <c r="B5686" s="24" t="s">
        <v>13515</v>
      </c>
      <c r="C5686" s="24" t="s">
        <v>13516</v>
      </c>
      <c r="D5686" s="24" t="s">
        <v>17</v>
      </c>
      <c r="E5686" s="24" t="s">
        <v>18</v>
      </c>
      <c r="F5686" s="24" t="s">
        <v>19</v>
      </c>
      <c r="G5686" s="24" t="s">
        <v>217</v>
      </c>
      <c r="H5686" s="26">
        <v>5</v>
      </c>
      <c r="I5686" s="24" t="s">
        <v>29</v>
      </c>
      <c r="J5686" s="36">
        <v>45778</v>
      </c>
      <c r="K5686" s="24" t="s">
        <v>22</v>
      </c>
    </row>
    <row r="5687" spans="1:11" x14ac:dyDescent="0.2">
      <c r="A5687" s="27" t="s">
        <v>13517</v>
      </c>
      <c r="B5687" s="27" t="s">
        <v>13518</v>
      </c>
      <c r="C5687" s="27" t="s">
        <v>500</v>
      </c>
      <c r="D5687" s="27" t="s">
        <v>17</v>
      </c>
      <c r="E5687" s="27" t="s">
        <v>18</v>
      </c>
      <c r="F5687" s="27" t="s">
        <v>19</v>
      </c>
      <c r="G5687" s="27" t="s">
        <v>20</v>
      </c>
      <c r="H5687" s="29">
        <v>32</v>
      </c>
      <c r="I5687" s="27" t="s">
        <v>21</v>
      </c>
      <c r="J5687" s="37">
        <v>45798</v>
      </c>
      <c r="K5687" s="27" t="s">
        <v>22</v>
      </c>
    </row>
    <row r="5688" spans="1:11" x14ac:dyDescent="0.2">
      <c r="A5688" s="24" t="s">
        <v>13519</v>
      </c>
      <c r="B5688" s="24" t="s">
        <v>13520</v>
      </c>
      <c r="C5688" s="24" t="s">
        <v>208</v>
      </c>
      <c r="D5688" s="24" t="s">
        <v>17</v>
      </c>
      <c r="E5688" s="24" t="s">
        <v>48</v>
      </c>
      <c r="F5688" s="24" t="s">
        <v>49</v>
      </c>
      <c r="G5688" s="24" t="s">
        <v>28</v>
      </c>
      <c r="H5688" s="26">
        <v>64</v>
      </c>
      <c r="I5688" s="24" t="s">
        <v>29</v>
      </c>
      <c r="J5688" s="36">
        <v>45789</v>
      </c>
      <c r="K5688" s="24" t="s">
        <v>22</v>
      </c>
    </row>
    <row r="5689" spans="1:11" x14ac:dyDescent="0.2">
      <c r="A5689" s="27" t="s">
        <v>13521</v>
      </c>
      <c r="B5689" s="27" t="s">
        <v>13522</v>
      </c>
      <c r="C5689" s="27" t="s">
        <v>500</v>
      </c>
      <c r="D5689" s="27" t="s">
        <v>17</v>
      </c>
      <c r="E5689" s="27" t="s">
        <v>18</v>
      </c>
      <c r="F5689" s="27" t="s">
        <v>19</v>
      </c>
      <c r="G5689" s="27" t="s">
        <v>20</v>
      </c>
      <c r="H5689" s="29">
        <v>14</v>
      </c>
      <c r="I5689" s="27" t="s">
        <v>21</v>
      </c>
      <c r="J5689" s="37">
        <v>45798</v>
      </c>
      <c r="K5689" s="27" t="s">
        <v>22</v>
      </c>
    </row>
    <row r="5690" spans="1:11" x14ac:dyDescent="0.2">
      <c r="A5690" s="24" t="s">
        <v>13523</v>
      </c>
      <c r="B5690" s="24" t="s">
        <v>13524</v>
      </c>
      <c r="C5690" s="24" t="s">
        <v>9491</v>
      </c>
      <c r="D5690" s="24" t="s">
        <v>17</v>
      </c>
      <c r="E5690" s="24" t="s">
        <v>18</v>
      </c>
      <c r="F5690" s="24" t="s">
        <v>19</v>
      </c>
      <c r="G5690" s="24" t="s">
        <v>20</v>
      </c>
      <c r="H5690" s="26">
        <v>6</v>
      </c>
      <c r="I5690" s="24" t="s">
        <v>21</v>
      </c>
      <c r="J5690" s="36">
        <v>45784</v>
      </c>
      <c r="K5690" s="24" t="s">
        <v>22</v>
      </c>
    </row>
    <row r="5691" spans="1:11" x14ac:dyDescent="0.2">
      <c r="A5691" s="27" t="s">
        <v>13525</v>
      </c>
      <c r="B5691" s="27" t="s">
        <v>13526</v>
      </c>
      <c r="C5691" s="27" t="s">
        <v>13527</v>
      </c>
      <c r="D5691" s="27" t="s">
        <v>17</v>
      </c>
      <c r="E5691" s="27" t="s">
        <v>163</v>
      </c>
      <c r="F5691" s="27" t="s">
        <v>164</v>
      </c>
      <c r="G5691" s="27" t="s">
        <v>59</v>
      </c>
      <c r="H5691" s="29">
        <v>5</v>
      </c>
      <c r="I5691" s="27" t="s">
        <v>21</v>
      </c>
      <c r="J5691" s="37">
        <v>45797</v>
      </c>
      <c r="K5691" s="27" t="s">
        <v>22</v>
      </c>
    </row>
    <row r="5692" spans="1:11" x14ac:dyDescent="0.2">
      <c r="A5692" s="24" t="s">
        <v>13528</v>
      </c>
      <c r="B5692" s="24" t="s">
        <v>13529</v>
      </c>
      <c r="C5692" s="24" t="s">
        <v>2881</v>
      </c>
      <c r="D5692" s="24" t="s">
        <v>17</v>
      </c>
      <c r="E5692" s="24" t="s">
        <v>26</v>
      </c>
      <c r="F5692" s="24" t="s">
        <v>27</v>
      </c>
      <c r="G5692" s="24" t="s">
        <v>28</v>
      </c>
      <c r="H5692" s="26">
        <v>240</v>
      </c>
      <c r="I5692" s="24" t="s">
        <v>29</v>
      </c>
      <c r="J5692" s="36">
        <v>45799</v>
      </c>
      <c r="K5692" s="24" t="s">
        <v>22</v>
      </c>
    </row>
    <row r="5693" spans="1:11" x14ac:dyDescent="0.2">
      <c r="A5693" s="27" t="s">
        <v>13530</v>
      </c>
      <c r="B5693" s="27" t="s">
        <v>13531</v>
      </c>
      <c r="C5693" s="27" t="s">
        <v>71</v>
      </c>
      <c r="D5693" s="27" t="s">
        <v>17</v>
      </c>
      <c r="E5693" s="27" t="s">
        <v>42</v>
      </c>
      <c r="F5693" s="27" t="s">
        <v>43</v>
      </c>
      <c r="G5693" s="27" t="s">
        <v>28</v>
      </c>
      <c r="H5693" s="29">
        <v>360</v>
      </c>
      <c r="I5693" s="27" t="s">
        <v>29</v>
      </c>
      <c r="J5693" s="37">
        <v>45793</v>
      </c>
      <c r="K5693" s="27" t="s">
        <v>22</v>
      </c>
    </row>
    <row r="5694" spans="1:11" x14ac:dyDescent="0.2">
      <c r="A5694" s="24" t="s">
        <v>13532</v>
      </c>
      <c r="B5694" s="24" t="s">
        <v>13533</v>
      </c>
      <c r="C5694" s="24" t="s">
        <v>13534</v>
      </c>
      <c r="D5694" s="24" t="s">
        <v>17</v>
      </c>
      <c r="E5694" s="24" t="s">
        <v>42</v>
      </c>
      <c r="F5694" s="24" t="s">
        <v>43</v>
      </c>
      <c r="G5694" s="24" t="s">
        <v>28</v>
      </c>
      <c r="H5694" s="26">
        <v>220</v>
      </c>
      <c r="I5694" s="24" t="s">
        <v>29</v>
      </c>
      <c r="J5694" s="36">
        <v>45793</v>
      </c>
      <c r="K5694" s="24" t="s">
        <v>22</v>
      </c>
    </row>
    <row r="5695" spans="1:11" x14ac:dyDescent="0.2">
      <c r="A5695" s="27" t="s">
        <v>13535</v>
      </c>
      <c r="B5695" s="27" t="s">
        <v>13536</v>
      </c>
      <c r="C5695" s="27" t="s">
        <v>349</v>
      </c>
      <c r="D5695" s="27" t="s">
        <v>17</v>
      </c>
      <c r="E5695" s="27" t="s">
        <v>81</v>
      </c>
      <c r="F5695" s="27" t="s">
        <v>82</v>
      </c>
      <c r="G5695" s="27" t="s">
        <v>20</v>
      </c>
      <c r="H5695" s="29">
        <v>168</v>
      </c>
      <c r="I5695" s="27" t="s">
        <v>21</v>
      </c>
      <c r="J5695" s="37">
        <v>45800</v>
      </c>
      <c r="K5695" s="27" t="s">
        <v>22</v>
      </c>
    </row>
    <row r="5696" spans="1:11" x14ac:dyDescent="0.2">
      <c r="A5696" s="24" t="s">
        <v>13537</v>
      </c>
      <c r="B5696" s="24" t="s">
        <v>13538</v>
      </c>
      <c r="C5696" s="24" t="s">
        <v>185</v>
      </c>
      <c r="D5696" s="24" t="s">
        <v>17</v>
      </c>
      <c r="E5696" s="24" t="s">
        <v>18</v>
      </c>
      <c r="F5696" s="24" t="s">
        <v>19</v>
      </c>
      <c r="G5696" s="24" t="s">
        <v>28</v>
      </c>
      <c r="H5696" s="26">
        <v>157</v>
      </c>
      <c r="I5696" s="24" t="s">
        <v>29</v>
      </c>
      <c r="J5696" s="36">
        <v>45784</v>
      </c>
      <c r="K5696" s="24" t="s">
        <v>22</v>
      </c>
    </row>
    <row r="5697" spans="1:11" x14ac:dyDescent="0.2">
      <c r="A5697" s="27" t="s">
        <v>13539</v>
      </c>
      <c r="B5697" s="27" t="s">
        <v>13540</v>
      </c>
      <c r="C5697" s="27" t="s">
        <v>12058</v>
      </c>
      <c r="D5697" s="27" t="s">
        <v>17</v>
      </c>
      <c r="E5697" s="27" t="s">
        <v>18</v>
      </c>
      <c r="F5697" s="27" t="s">
        <v>19</v>
      </c>
      <c r="G5697" s="27" t="s">
        <v>44</v>
      </c>
      <c r="H5697" s="29">
        <v>60</v>
      </c>
      <c r="I5697" s="27" t="s">
        <v>21</v>
      </c>
      <c r="J5697" s="37">
        <v>45801</v>
      </c>
      <c r="K5697" s="27" t="s">
        <v>22</v>
      </c>
    </row>
    <row r="5698" spans="1:11" x14ac:dyDescent="0.2">
      <c r="A5698" s="24" t="s">
        <v>13541</v>
      </c>
      <c r="B5698" s="24" t="s">
        <v>13542</v>
      </c>
      <c r="C5698" s="24" t="s">
        <v>827</v>
      </c>
      <c r="D5698" s="24" t="s">
        <v>17</v>
      </c>
      <c r="E5698" s="24" t="s">
        <v>42</v>
      </c>
      <c r="F5698" s="24" t="s">
        <v>43</v>
      </c>
      <c r="G5698" s="24" t="s">
        <v>28</v>
      </c>
      <c r="H5698" s="26">
        <v>560</v>
      </c>
      <c r="I5698" s="24" t="s">
        <v>29</v>
      </c>
      <c r="J5698" s="36">
        <v>45804</v>
      </c>
      <c r="K5698" s="24" t="s">
        <v>22</v>
      </c>
    </row>
    <row r="5699" spans="1:11" x14ac:dyDescent="0.2">
      <c r="A5699" s="27" t="s">
        <v>13543</v>
      </c>
      <c r="B5699" s="27" t="s">
        <v>13544</v>
      </c>
      <c r="C5699" s="27" t="s">
        <v>5689</v>
      </c>
      <c r="D5699" s="27" t="s">
        <v>17</v>
      </c>
      <c r="E5699" s="27" t="s">
        <v>18</v>
      </c>
      <c r="F5699" s="27" t="s">
        <v>19</v>
      </c>
      <c r="G5699" s="27" t="s">
        <v>217</v>
      </c>
      <c r="H5699" s="29">
        <v>12</v>
      </c>
      <c r="I5699" s="27" t="s">
        <v>29</v>
      </c>
      <c r="J5699" s="37">
        <v>45784</v>
      </c>
      <c r="K5699" s="27" t="s">
        <v>22</v>
      </c>
    </row>
    <row r="5700" spans="1:11" x14ac:dyDescent="0.2">
      <c r="A5700" s="24" t="s">
        <v>13545</v>
      </c>
      <c r="B5700" s="24" t="s">
        <v>13546</v>
      </c>
      <c r="C5700" s="24" t="s">
        <v>13035</v>
      </c>
      <c r="D5700" s="24" t="s">
        <v>17</v>
      </c>
      <c r="E5700" s="24" t="s">
        <v>42</v>
      </c>
      <c r="F5700" s="24" t="s">
        <v>43</v>
      </c>
      <c r="G5700" s="24" t="s">
        <v>217</v>
      </c>
      <c r="H5700" s="26">
        <v>154</v>
      </c>
      <c r="I5700" s="24" t="s">
        <v>29</v>
      </c>
      <c r="J5700" s="36">
        <v>45778</v>
      </c>
      <c r="K5700" s="24" t="s">
        <v>22</v>
      </c>
    </row>
    <row r="5701" spans="1:11" x14ac:dyDescent="0.2">
      <c r="A5701" s="27" t="s">
        <v>13547</v>
      </c>
      <c r="B5701" s="27" t="s">
        <v>13548</v>
      </c>
      <c r="C5701" s="27" t="s">
        <v>3486</v>
      </c>
      <c r="D5701" s="27" t="s">
        <v>17</v>
      </c>
      <c r="E5701" s="27" t="s">
        <v>26</v>
      </c>
      <c r="F5701" s="27" t="s">
        <v>27</v>
      </c>
      <c r="G5701" s="27" t="s">
        <v>28</v>
      </c>
      <c r="H5701" s="29">
        <v>134</v>
      </c>
      <c r="I5701" s="27" t="s">
        <v>29</v>
      </c>
      <c r="J5701" s="37">
        <v>45807</v>
      </c>
      <c r="K5701" s="27" t="s">
        <v>22</v>
      </c>
    </row>
    <row r="5702" spans="1:11" x14ac:dyDescent="0.2">
      <c r="A5702" s="24" t="s">
        <v>13549</v>
      </c>
      <c r="B5702" s="24" t="s">
        <v>13550</v>
      </c>
      <c r="C5702" s="24" t="s">
        <v>526</v>
      </c>
      <c r="D5702" s="24" t="s">
        <v>17</v>
      </c>
      <c r="E5702" s="24" t="s">
        <v>18</v>
      </c>
      <c r="F5702" s="24" t="s">
        <v>19</v>
      </c>
      <c r="G5702" s="24" t="s">
        <v>28</v>
      </c>
      <c r="H5702" s="26">
        <v>124</v>
      </c>
      <c r="I5702" s="24" t="s">
        <v>29</v>
      </c>
      <c r="J5702" s="36">
        <v>45793</v>
      </c>
      <c r="K5702" s="24" t="s">
        <v>22</v>
      </c>
    </row>
    <row r="5703" spans="1:11" x14ac:dyDescent="0.2">
      <c r="A5703" s="27" t="s">
        <v>13551</v>
      </c>
      <c r="B5703" s="27" t="s">
        <v>13552</v>
      </c>
      <c r="C5703" s="27" t="s">
        <v>13553</v>
      </c>
      <c r="D5703" s="27" t="s">
        <v>17</v>
      </c>
      <c r="E5703" s="27" t="s">
        <v>18</v>
      </c>
      <c r="F5703" s="27" t="s">
        <v>19</v>
      </c>
      <c r="G5703" s="27" t="s">
        <v>44</v>
      </c>
      <c r="H5703" s="29">
        <v>34</v>
      </c>
      <c r="I5703" s="27" t="s">
        <v>21</v>
      </c>
      <c r="J5703" s="37">
        <v>45778</v>
      </c>
      <c r="K5703" s="27" t="s">
        <v>22</v>
      </c>
    </row>
    <row r="5704" spans="1:11" x14ac:dyDescent="0.2">
      <c r="A5704" s="24" t="s">
        <v>13554</v>
      </c>
      <c r="B5704" s="24" t="s">
        <v>13555</v>
      </c>
      <c r="C5704" s="24" t="s">
        <v>2515</v>
      </c>
      <c r="D5704" s="24" t="s">
        <v>17</v>
      </c>
      <c r="E5704" s="24" t="s">
        <v>48</v>
      </c>
      <c r="F5704" s="24" t="s">
        <v>49</v>
      </c>
      <c r="G5704" s="24" t="s">
        <v>217</v>
      </c>
      <c r="H5704" s="26">
        <v>75</v>
      </c>
      <c r="I5704" s="24" t="s">
        <v>29</v>
      </c>
      <c r="J5704" s="36">
        <v>45778</v>
      </c>
      <c r="K5704" s="24" t="s">
        <v>22</v>
      </c>
    </row>
    <row r="5705" spans="1:11" x14ac:dyDescent="0.2">
      <c r="A5705" s="27" t="s">
        <v>13556</v>
      </c>
      <c r="B5705" s="27" t="s">
        <v>13557</v>
      </c>
      <c r="C5705" s="27" t="s">
        <v>5398</v>
      </c>
      <c r="D5705" s="27" t="s">
        <v>17</v>
      </c>
      <c r="E5705" s="27" t="s">
        <v>18</v>
      </c>
      <c r="F5705" s="27" t="s">
        <v>19</v>
      </c>
      <c r="G5705" s="27" t="s">
        <v>20</v>
      </c>
      <c r="H5705" s="29">
        <v>6</v>
      </c>
      <c r="I5705" s="27" t="s">
        <v>21</v>
      </c>
      <c r="J5705" s="37">
        <v>45803</v>
      </c>
      <c r="K5705" s="27" t="s">
        <v>22</v>
      </c>
    </row>
    <row r="5706" spans="1:11" x14ac:dyDescent="0.2">
      <c r="A5706" s="24" t="s">
        <v>13558</v>
      </c>
      <c r="B5706" s="24" t="s">
        <v>13559</v>
      </c>
      <c r="C5706" s="24" t="s">
        <v>2754</v>
      </c>
      <c r="D5706" s="24" t="s">
        <v>17</v>
      </c>
      <c r="E5706" s="24" t="s">
        <v>26</v>
      </c>
      <c r="F5706" s="24" t="s">
        <v>27</v>
      </c>
      <c r="G5706" s="24" t="s">
        <v>28</v>
      </c>
      <c r="H5706" s="26">
        <v>39</v>
      </c>
      <c r="I5706" s="24" t="s">
        <v>29</v>
      </c>
      <c r="J5706" s="36">
        <v>45782</v>
      </c>
      <c r="K5706" s="24" t="s">
        <v>22</v>
      </c>
    </row>
    <row r="5707" spans="1:11" x14ac:dyDescent="0.2">
      <c r="A5707" s="27" t="s">
        <v>13560</v>
      </c>
      <c r="B5707" s="27" t="s">
        <v>13561</v>
      </c>
      <c r="C5707" s="27" t="s">
        <v>512</v>
      </c>
      <c r="D5707" s="27" t="s">
        <v>17</v>
      </c>
      <c r="E5707" s="27" t="s">
        <v>18</v>
      </c>
      <c r="F5707" s="27" t="s">
        <v>19</v>
      </c>
      <c r="G5707" s="27" t="s">
        <v>28</v>
      </c>
      <c r="H5707" s="29">
        <v>60</v>
      </c>
      <c r="I5707" s="27" t="s">
        <v>29</v>
      </c>
      <c r="J5707" s="37">
        <v>45785</v>
      </c>
      <c r="K5707" s="27" t="s">
        <v>22</v>
      </c>
    </row>
    <row r="5708" spans="1:11" x14ac:dyDescent="0.2">
      <c r="A5708" s="24" t="s">
        <v>13562</v>
      </c>
      <c r="B5708" s="24" t="s">
        <v>13563</v>
      </c>
      <c r="C5708" s="24" t="s">
        <v>10431</v>
      </c>
      <c r="D5708" s="24" t="s">
        <v>17</v>
      </c>
      <c r="E5708" s="24" t="s">
        <v>18</v>
      </c>
      <c r="F5708" s="24" t="s">
        <v>19</v>
      </c>
      <c r="G5708" s="24" t="s">
        <v>20</v>
      </c>
      <c r="H5708" s="26">
        <v>64</v>
      </c>
      <c r="I5708" s="24" t="s">
        <v>21</v>
      </c>
      <c r="J5708" s="36">
        <v>45788</v>
      </c>
      <c r="K5708" s="24" t="s">
        <v>22</v>
      </c>
    </row>
    <row r="5709" spans="1:11" x14ac:dyDescent="0.2">
      <c r="A5709" s="27" t="s">
        <v>13564</v>
      </c>
      <c r="B5709" s="27" t="s">
        <v>13565</v>
      </c>
      <c r="C5709" s="27" t="s">
        <v>2257</v>
      </c>
      <c r="D5709" s="27" t="s">
        <v>17</v>
      </c>
      <c r="E5709" s="27" t="s">
        <v>26</v>
      </c>
      <c r="F5709" s="27" t="s">
        <v>27</v>
      </c>
      <c r="G5709" s="27" t="s">
        <v>28</v>
      </c>
      <c r="H5709" s="29">
        <v>300</v>
      </c>
      <c r="I5709" s="27" t="s">
        <v>29</v>
      </c>
      <c r="J5709" s="37">
        <v>45786</v>
      </c>
      <c r="K5709" s="27" t="s">
        <v>22</v>
      </c>
    </row>
    <row r="5710" spans="1:11" x14ac:dyDescent="0.2">
      <c r="A5710" s="24" t="s">
        <v>13566</v>
      </c>
      <c r="B5710" s="24" t="s">
        <v>13567</v>
      </c>
      <c r="C5710" s="24" t="s">
        <v>10928</v>
      </c>
      <c r="D5710" s="24" t="s">
        <v>17</v>
      </c>
      <c r="E5710" s="24" t="s">
        <v>18</v>
      </c>
      <c r="F5710" s="24" t="s">
        <v>19</v>
      </c>
      <c r="G5710" s="24" t="s">
        <v>28</v>
      </c>
      <c r="H5710" s="26">
        <v>80</v>
      </c>
      <c r="I5710" s="24" t="s">
        <v>29</v>
      </c>
      <c r="J5710" s="36">
        <v>45789</v>
      </c>
      <c r="K5710" s="24" t="s">
        <v>22</v>
      </c>
    </row>
    <row r="5711" spans="1:11" x14ac:dyDescent="0.2">
      <c r="A5711" s="27" t="s">
        <v>13568</v>
      </c>
      <c r="B5711" s="27" t="s">
        <v>13569</v>
      </c>
      <c r="C5711" s="27" t="s">
        <v>1110</v>
      </c>
      <c r="D5711" s="27" t="s">
        <v>17</v>
      </c>
      <c r="E5711" s="27" t="s">
        <v>18</v>
      </c>
      <c r="F5711" s="27" t="s">
        <v>19</v>
      </c>
      <c r="G5711" s="27" t="s">
        <v>28</v>
      </c>
      <c r="H5711" s="29">
        <v>20</v>
      </c>
      <c r="I5711" s="27" t="s">
        <v>29</v>
      </c>
      <c r="J5711" s="37">
        <v>45790</v>
      </c>
      <c r="K5711" s="27" t="s">
        <v>22</v>
      </c>
    </row>
    <row r="5712" spans="1:11" x14ac:dyDescent="0.2">
      <c r="A5712" s="24" t="s">
        <v>13570</v>
      </c>
      <c r="B5712" s="24" t="s">
        <v>13571</v>
      </c>
      <c r="C5712" s="24" t="s">
        <v>5647</v>
      </c>
      <c r="D5712" s="24" t="s">
        <v>17</v>
      </c>
      <c r="E5712" s="24" t="s">
        <v>26</v>
      </c>
      <c r="F5712" s="24" t="s">
        <v>27</v>
      </c>
      <c r="G5712" s="24" t="s">
        <v>28</v>
      </c>
      <c r="H5712" s="26">
        <v>294</v>
      </c>
      <c r="I5712" s="24" t="s">
        <v>29</v>
      </c>
      <c r="J5712" s="36">
        <v>45806</v>
      </c>
      <c r="K5712" s="24" t="s">
        <v>22</v>
      </c>
    </row>
    <row r="5713" spans="1:11" x14ac:dyDescent="0.2">
      <c r="A5713" s="27" t="s">
        <v>13572</v>
      </c>
      <c r="B5713" s="27" t="s">
        <v>13573</v>
      </c>
      <c r="C5713" s="27" t="s">
        <v>1217</v>
      </c>
      <c r="D5713" s="27" t="s">
        <v>17</v>
      </c>
      <c r="E5713" s="27" t="s">
        <v>42</v>
      </c>
      <c r="F5713" s="27" t="s">
        <v>43</v>
      </c>
      <c r="G5713" s="27" t="s">
        <v>28</v>
      </c>
      <c r="H5713" s="29">
        <v>100</v>
      </c>
      <c r="I5713" s="27" t="s">
        <v>29</v>
      </c>
      <c r="J5713" s="37">
        <v>45783</v>
      </c>
      <c r="K5713" s="27" t="s">
        <v>22</v>
      </c>
    </row>
    <row r="5714" spans="1:11" x14ac:dyDescent="0.2">
      <c r="A5714" s="24" t="s">
        <v>13574</v>
      </c>
      <c r="B5714" s="24" t="s">
        <v>13575</v>
      </c>
      <c r="C5714" s="24" t="s">
        <v>140</v>
      </c>
      <c r="D5714" s="24" t="s">
        <v>17</v>
      </c>
      <c r="E5714" s="24" t="s">
        <v>42</v>
      </c>
      <c r="F5714" s="24" t="s">
        <v>43</v>
      </c>
      <c r="G5714" s="24" t="s">
        <v>20</v>
      </c>
      <c r="H5714" s="26">
        <v>36</v>
      </c>
      <c r="I5714" s="24" t="s">
        <v>21</v>
      </c>
      <c r="J5714" s="36">
        <v>45789</v>
      </c>
      <c r="K5714" s="24" t="s">
        <v>22</v>
      </c>
    </row>
    <row r="5715" spans="1:11" x14ac:dyDescent="0.2">
      <c r="A5715" s="27" t="s">
        <v>13576</v>
      </c>
      <c r="B5715" s="27" t="s">
        <v>13577</v>
      </c>
      <c r="C5715" s="27" t="s">
        <v>5278</v>
      </c>
      <c r="D5715" s="27" t="s">
        <v>17</v>
      </c>
      <c r="E5715" s="27" t="s">
        <v>18</v>
      </c>
      <c r="F5715" s="27" t="s">
        <v>19</v>
      </c>
      <c r="G5715" s="27" t="s">
        <v>59</v>
      </c>
      <c r="H5715" s="29">
        <v>30</v>
      </c>
      <c r="I5715" s="27" t="s">
        <v>21</v>
      </c>
      <c r="J5715" s="37">
        <v>45785</v>
      </c>
      <c r="K5715" s="27" t="s">
        <v>22</v>
      </c>
    </row>
    <row r="5716" spans="1:11" x14ac:dyDescent="0.2">
      <c r="A5716" s="24" t="s">
        <v>13578</v>
      </c>
      <c r="B5716" s="24" t="s">
        <v>13579</v>
      </c>
      <c r="C5716" s="24" t="s">
        <v>2287</v>
      </c>
      <c r="D5716" s="24" t="s">
        <v>17</v>
      </c>
      <c r="E5716" s="24" t="s">
        <v>42</v>
      </c>
      <c r="F5716" s="24" t="s">
        <v>43</v>
      </c>
      <c r="G5716" s="24" t="s">
        <v>28</v>
      </c>
      <c r="H5716" s="26">
        <v>200</v>
      </c>
      <c r="I5716" s="24" t="s">
        <v>29</v>
      </c>
      <c r="J5716" s="36">
        <v>45807</v>
      </c>
      <c r="K5716" s="24" t="s">
        <v>22</v>
      </c>
    </row>
    <row r="5717" spans="1:11" x14ac:dyDescent="0.2">
      <c r="A5717" s="27" t="s">
        <v>13580</v>
      </c>
      <c r="B5717" s="27" t="s">
        <v>13581</v>
      </c>
      <c r="C5717" s="27" t="s">
        <v>13582</v>
      </c>
      <c r="D5717" s="27" t="s">
        <v>17</v>
      </c>
      <c r="E5717" s="27" t="s">
        <v>48</v>
      </c>
      <c r="F5717" s="27" t="s">
        <v>49</v>
      </c>
      <c r="G5717" s="27" t="s">
        <v>44</v>
      </c>
      <c r="H5717" s="29">
        <v>72</v>
      </c>
      <c r="I5717" s="27" t="s">
        <v>29</v>
      </c>
      <c r="J5717" s="37">
        <v>45804</v>
      </c>
      <c r="K5717" s="27" t="s">
        <v>22</v>
      </c>
    </row>
    <row r="5718" spans="1:11" x14ac:dyDescent="0.2">
      <c r="A5718" s="24" t="s">
        <v>13583</v>
      </c>
      <c r="B5718" s="24" t="s">
        <v>13584</v>
      </c>
      <c r="C5718" s="24" t="s">
        <v>13585</v>
      </c>
      <c r="D5718" s="24" t="s">
        <v>17</v>
      </c>
      <c r="E5718" s="24" t="s">
        <v>18</v>
      </c>
      <c r="F5718" s="24" t="s">
        <v>19</v>
      </c>
      <c r="G5718" s="24" t="s">
        <v>20</v>
      </c>
      <c r="H5718" s="26">
        <v>48</v>
      </c>
      <c r="I5718" s="24" t="s">
        <v>21</v>
      </c>
      <c r="J5718" s="36">
        <v>45806</v>
      </c>
      <c r="K5718" s="24" t="s">
        <v>22</v>
      </c>
    </row>
    <row r="5719" spans="1:11" x14ac:dyDescent="0.2">
      <c r="A5719" s="27" t="s">
        <v>13586</v>
      </c>
      <c r="B5719" s="27" t="s">
        <v>13587</v>
      </c>
      <c r="C5719" s="27" t="s">
        <v>9613</v>
      </c>
      <c r="D5719" s="27" t="s">
        <v>17</v>
      </c>
      <c r="E5719" s="27" t="s">
        <v>48</v>
      </c>
      <c r="F5719" s="27" t="s">
        <v>49</v>
      </c>
      <c r="G5719" s="27" t="s">
        <v>28</v>
      </c>
      <c r="H5719" s="29">
        <v>78</v>
      </c>
      <c r="I5719" s="27" t="s">
        <v>29</v>
      </c>
      <c r="J5719" s="37">
        <v>45805</v>
      </c>
      <c r="K5719" s="27" t="s">
        <v>22</v>
      </c>
    </row>
    <row r="5720" spans="1:11" x14ac:dyDescent="0.2">
      <c r="A5720" s="24" t="s">
        <v>13588</v>
      </c>
      <c r="B5720" s="24" t="s">
        <v>13589</v>
      </c>
      <c r="C5720" s="24" t="s">
        <v>690</v>
      </c>
      <c r="D5720" s="24" t="s">
        <v>17</v>
      </c>
      <c r="E5720" s="24" t="s">
        <v>26</v>
      </c>
      <c r="F5720" s="24" t="s">
        <v>27</v>
      </c>
      <c r="G5720" s="24" t="s">
        <v>44</v>
      </c>
      <c r="H5720" s="26">
        <v>1</v>
      </c>
      <c r="I5720" s="24" t="s">
        <v>21</v>
      </c>
      <c r="J5720" s="36">
        <v>45790</v>
      </c>
      <c r="K5720" s="24" t="s">
        <v>22</v>
      </c>
    </row>
    <row r="5721" spans="1:11" x14ac:dyDescent="0.2">
      <c r="A5721" s="27" t="s">
        <v>13590</v>
      </c>
      <c r="B5721" s="27" t="s">
        <v>13591</v>
      </c>
      <c r="C5721" s="27" t="s">
        <v>595</v>
      </c>
      <c r="D5721" s="27" t="s">
        <v>17</v>
      </c>
      <c r="E5721" s="27" t="s">
        <v>48</v>
      </c>
      <c r="F5721" s="27" t="s">
        <v>49</v>
      </c>
      <c r="G5721" s="27" t="s">
        <v>28</v>
      </c>
      <c r="H5721" s="29">
        <v>200</v>
      </c>
      <c r="I5721" s="27" t="s">
        <v>29</v>
      </c>
      <c r="J5721" s="37">
        <v>45803</v>
      </c>
      <c r="K5721" s="27" t="s">
        <v>22</v>
      </c>
    </row>
    <row r="5722" spans="1:11" x14ac:dyDescent="0.2">
      <c r="A5722" s="24" t="s">
        <v>13592</v>
      </c>
      <c r="B5722" s="24" t="s">
        <v>13593</v>
      </c>
      <c r="C5722" s="24" t="s">
        <v>208</v>
      </c>
      <c r="D5722" s="24" t="s">
        <v>17</v>
      </c>
      <c r="E5722" s="24" t="s">
        <v>42</v>
      </c>
      <c r="F5722" s="24" t="s">
        <v>43</v>
      </c>
      <c r="G5722" s="24" t="s">
        <v>20</v>
      </c>
      <c r="H5722" s="26">
        <v>640</v>
      </c>
      <c r="I5722" s="24" t="s">
        <v>21</v>
      </c>
      <c r="J5722" s="36">
        <v>45799</v>
      </c>
      <c r="K5722" s="24" t="s">
        <v>22</v>
      </c>
    </row>
    <row r="5723" spans="1:11" x14ac:dyDescent="0.2">
      <c r="A5723" s="27" t="s">
        <v>13594</v>
      </c>
      <c r="B5723" s="27" t="s">
        <v>13595</v>
      </c>
      <c r="C5723" s="27" t="s">
        <v>708</v>
      </c>
      <c r="D5723" s="27" t="s">
        <v>17</v>
      </c>
      <c r="E5723" s="27" t="s">
        <v>18</v>
      </c>
      <c r="F5723" s="27" t="s">
        <v>19</v>
      </c>
      <c r="G5723" s="27" t="s">
        <v>116</v>
      </c>
      <c r="H5723" s="29">
        <v>0</v>
      </c>
      <c r="I5723" s="27" t="s">
        <v>21</v>
      </c>
      <c r="J5723" s="37">
        <v>45806</v>
      </c>
      <c r="K5723" s="27" t="s">
        <v>22</v>
      </c>
    </row>
    <row r="5724" spans="1:11" x14ac:dyDescent="0.2">
      <c r="A5724" s="24" t="s">
        <v>13596</v>
      </c>
      <c r="B5724" s="24" t="s">
        <v>13597</v>
      </c>
      <c r="C5724" s="24" t="s">
        <v>277</v>
      </c>
      <c r="D5724" s="24" t="s">
        <v>17</v>
      </c>
      <c r="E5724" s="24" t="s">
        <v>42</v>
      </c>
      <c r="F5724" s="24" t="s">
        <v>43</v>
      </c>
      <c r="G5724" s="24" t="s">
        <v>28</v>
      </c>
      <c r="H5724" s="26">
        <v>454</v>
      </c>
      <c r="I5724" s="24" t="s">
        <v>29</v>
      </c>
      <c r="J5724" s="36">
        <v>45785</v>
      </c>
      <c r="K5724" s="24" t="s">
        <v>22</v>
      </c>
    </row>
    <row r="5725" spans="1:11" x14ac:dyDescent="0.2">
      <c r="A5725" s="27" t="s">
        <v>13598</v>
      </c>
      <c r="B5725" s="27" t="s">
        <v>13599</v>
      </c>
      <c r="C5725" s="27" t="s">
        <v>13600</v>
      </c>
      <c r="D5725" s="27" t="s">
        <v>17</v>
      </c>
      <c r="E5725" s="27" t="s">
        <v>48</v>
      </c>
      <c r="F5725" s="27" t="s">
        <v>49</v>
      </c>
      <c r="G5725" s="27" t="s">
        <v>28</v>
      </c>
      <c r="H5725" s="29">
        <v>18</v>
      </c>
      <c r="I5725" s="27" t="s">
        <v>29</v>
      </c>
      <c r="J5725" s="37">
        <v>45806</v>
      </c>
      <c r="K5725" s="27" t="s">
        <v>22</v>
      </c>
    </row>
    <row r="5726" spans="1:11" x14ac:dyDescent="0.2">
      <c r="A5726" s="24" t="s">
        <v>13601</v>
      </c>
      <c r="B5726" s="24" t="s">
        <v>13602</v>
      </c>
      <c r="C5726" s="24" t="s">
        <v>9465</v>
      </c>
      <c r="D5726" s="24" t="s">
        <v>17</v>
      </c>
      <c r="E5726" s="24" t="s">
        <v>18</v>
      </c>
      <c r="F5726" s="24" t="s">
        <v>19</v>
      </c>
      <c r="G5726" s="24" t="s">
        <v>44</v>
      </c>
      <c r="H5726" s="26">
        <v>24</v>
      </c>
      <c r="I5726" s="24" t="s">
        <v>29</v>
      </c>
      <c r="J5726" s="36">
        <v>45796</v>
      </c>
      <c r="K5726" s="24" t="s">
        <v>22</v>
      </c>
    </row>
    <row r="5727" spans="1:11" x14ac:dyDescent="0.2">
      <c r="A5727" s="27" t="s">
        <v>13603</v>
      </c>
      <c r="B5727" s="27" t="s">
        <v>13604</v>
      </c>
      <c r="C5727" s="27" t="s">
        <v>423</v>
      </c>
      <c r="D5727" s="27" t="s">
        <v>17</v>
      </c>
      <c r="E5727" s="27" t="s">
        <v>18</v>
      </c>
      <c r="F5727" s="27" t="s">
        <v>19</v>
      </c>
      <c r="G5727" s="27" t="s">
        <v>20</v>
      </c>
      <c r="H5727" s="29">
        <v>24</v>
      </c>
      <c r="I5727" s="27" t="s">
        <v>21</v>
      </c>
      <c r="J5727" s="37">
        <v>45791</v>
      </c>
      <c r="K5727" s="27" t="s">
        <v>22</v>
      </c>
    </row>
    <row r="5728" spans="1:11" x14ac:dyDescent="0.2">
      <c r="A5728" s="24" t="s">
        <v>13605</v>
      </c>
      <c r="B5728" s="24" t="s">
        <v>13606</v>
      </c>
      <c r="C5728" s="24" t="s">
        <v>3397</v>
      </c>
      <c r="D5728" s="24" t="s">
        <v>17</v>
      </c>
      <c r="E5728" s="24" t="s">
        <v>18</v>
      </c>
      <c r="F5728" s="24" t="s">
        <v>19</v>
      </c>
      <c r="G5728" s="24" t="s">
        <v>28</v>
      </c>
      <c r="H5728" s="26">
        <v>36</v>
      </c>
      <c r="I5728" s="24" t="s">
        <v>29</v>
      </c>
      <c r="J5728" s="36">
        <v>45805</v>
      </c>
      <c r="K5728" s="24" t="s">
        <v>22</v>
      </c>
    </row>
    <row r="5729" spans="1:11" x14ac:dyDescent="0.2">
      <c r="A5729" s="27" t="s">
        <v>13607</v>
      </c>
      <c r="B5729" s="27" t="s">
        <v>13608</v>
      </c>
      <c r="C5729" s="27" t="s">
        <v>122</v>
      </c>
      <c r="D5729" s="27" t="s">
        <v>17</v>
      </c>
      <c r="E5729" s="27" t="s">
        <v>18</v>
      </c>
      <c r="F5729" s="27" t="s">
        <v>19</v>
      </c>
      <c r="G5729" s="27" t="s">
        <v>28</v>
      </c>
      <c r="H5729" s="29">
        <v>75</v>
      </c>
      <c r="I5729" s="27" t="s">
        <v>29</v>
      </c>
      <c r="J5729" s="37">
        <v>45778</v>
      </c>
      <c r="K5729" s="27" t="s">
        <v>22</v>
      </c>
    </row>
    <row r="5730" spans="1:11" x14ac:dyDescent="0.2">
      <c r="A5730" s="24" t="s">
        <v>13609</v>
      </c>
      <c r="B5730" s="24" t="s">
        <v>13610</v>
      </c>
      <c r="C5730" s="24" t="s">
        <v>437</v>
      </c>
      <c r="D5730" s="24" t="s">
        <v>17</v>
      </c>
      <c r="E5730" s="24" t="s">
        <v>81</v>
      </c>
      <c r="F5730" s="24" t="s">
        <v>82</v>
      </c>
      <c r="G5730" s="24" t="s">
        <v>28</v>
      </c>
      <c r="H5730" s="26">
        <v>100</v>
      </c>
      <c r="I5730" s="24" t="s">
        <v>29</v>
      </c>
      <c r="J5730" s="36">
        <v>45801</v>
      </c>
      <c r="K5730" s="24" t="s">
        <v>22</v>
      </c>
    </row>
    <row r="5731" spans="1:11" x14ac:dyDescent="0.2">
      <c r="A5731" s="27" t="s">
        <v>13611</v>
      </c>
      <c r="B5731" s="27" t="s">
        <v>13612</v>
      </c>
      <c r="C5731" s="27" t="s">
        <v>185</v>
      </c>
      <c r="D5731" s="27" t="s">
        <v>17</v>
      </c>
      <c r="E5731" s="27" t="s">
        <v>18</v>
      </c>
      <c r="F5731" s="27" t="s">
        <v>19</v>
      </c>
      <c r="G5731" s="27" t="s">
        <v>217</v>
      </c>
      <c r="H5731" s="29">
        <v>762</v>
      </c>
      <c r="I5731" s="27" t="s">
        <v>29</v>
      </c>
      <c r="J5731" s="37">
        <v>45807</v>
      </c>
      <c r="K5731" s="27" t="s">
        <v>22</v>
      </c>
    </row>
    <row r="5732" spans="1:11" x14ac:dyDescent="0.2">
      <c r="A5732" s="24" t="s">
        <v>13613</v>
      </c>
      <c r="B5732" s="24" t="s">
        <v>13614</v>
      </c>
      <c r="C5732" s="24" t="s">
        <v>13615</v>
      </c>
      <c r="D5732" s="24" t="s">
        <v>17</v>
      </c>
      <c r="E5732" s="24" t="s">
        <v>81</v>
      </c>
      <c r="F5732" s="24" t="s">
        <v>82</v>
      </c>
      <c r="G5732" s="24" t="s">
        <v>20</v>
      </c>
      <c r="H5732" s="26">
        <v>55261</v>
      </c>
      <c r="I5732" s="24" t="s">
        <v>21</v>
      </c>
      <c r="J5732" s="36">
        <v>45784</v>
      </c>
      <c r="K5732" s="24" t="s">
        <v>22</v>
      </c>
    </row>
    <row r="5733" spans="1:11" x14ac:dyDescent="0.2">
      <c r="A5733" s="27" t="s">
        <v>13616</v>
      </c>
      <c r="B5733" s="27" t="s">
        <v>13617</v>
      </c>
      <c r="C5733" s="27" t="s">
        <v>526</v>
      </c>
      <c r="D5733" s="27" t="s">
        <v>17</v>
      </c>
      <c r="E5733" s="27" t="s">
        <v>48</v>
      </c>
      <c r="F5733" s="27" t="s">
        <v>49</v>
      </c>
      <c r="G5733" s="27" t="s">
        <v>116</v>
      </c>
      <c r="H5733" s="29">
        <v>0</v>
      </c>
      <c r="I5733" s="27" t="s">
        <v>21</v>
      </c>
      <c r="J5733" s="37">
        <v>45800</v>
      </c>
      <c r="K5733" s="27" t="s">
        <v>22</v>
      </c>
    </row>
    <row r="5734" spans="1:11" x14ac:dyDescent="0.2">
      <c r="A5734" s="24" t="s">
        <v>13618</v>
      </c>
      <c r="B5734" s="24" t="s">
        <v>13619</v>
      </c>
      <c r="C5734" s="24" t="s">
        <v>13620</v>
      </c>
      <c r="D5734" s="24" t="s">
        <v>17</v>
      </c>
      <c r="E5734" s="24" t="s">
        <v>18</v>
      </c>
      <c r="F5734" s="24" t="s">
        <v>19</v>
      </c>
      <c r="G5734" s="24" t="s">
        <v>28</v>
      </c>
      <c r="H5734" s="26">
        <v>136</v>
      </c>
      <c r="I5734" s="24" t="s">
        <v>29</v>
      </c>
      <c r="J5734" s="36">
        <v>45792</v>
      </c>
      <c r="K5734" s="24" t="s">
        <v>22</v>
      </c>
    </row>
    <row r="5735" spans="1:11" x14ac:dyDescent="0.2">
      <c r="A5735" s="27" t="s">
        <v>13621</v>
      </c>
      <c r="B5735" s="27" t="s">
        <v>13622</v>
      </c>
      <c r="C5735" s="27" t="s">
        <v>921</v>
      </c>
      <c r="D5735" s="27" t="s">
        <v>17</v>
      </c>
      <c r="E5735" s="27" t="s">
        <v>18</v>
      </c>
      <c r="F5735" s="27" t="s">
        <v>19</v>
      </c>
      <c r="G5735" s="27" t="s">
        <v>28</v>
      </c>
      <c r="H5735" s="29">
        <v>90</v>
      </c>
      <c r="I5735" s="27" t="s">
        <v>29</v>
      </c>
      <c r="J5735" s="37">
        <v>45793</v>
      </c>
      <c r="K5735" s="27" t="s">
        <v>22</v>
      </c>
    </row>
    <row r="5736" spans="1:11" x14ac:dyDescent="0.2">
      <c r="A5736" s="24" t="s">
        <v>13623</v>
      </c>
      <c r="B5736" s="24" t="s">
        <v>13624</v>
      </c>
      <c r="C5736" s="24" t="s">
        <v>146</v>
      </c>
      <c r="D5736" s="24" t="s">
        <v>17</v>
      </c>
      <c r="E5736" s="24" t="s">
        <v>42</v>
      </c>
      <c r="F5736" s="24" t="s">
        <v>43</v>
      </c>
      <c r="G5736" s="24" t="s">
        <v>28</v>
      </c>
      <c r="H5736" s="26">
        <v>600</v>
      </c>
      <c r="I5736" s="24" t="s">
        <v>29</v>
      </c>
      <c r="J5736" s="36">
        <v>45792</v>
      </c>
      <c r="K5736" s="24" t="s">
        <v>22</v>
      </c>
    </row>
    <row r="5737" spans="1:11" x14ac:dyDescent="0.2">
      <c r="A5737" s="27" t="s">
        <v>13625</v>
      </c>
      <c r="B5737" s="27" t="s">
        <v>13626</v>
      </c>
      <c r="C5737" s="27" t="s">
        <v>146</v>
      </c>
      <c r="D5737" s="27" t="s">
        <v>17</v>
      </c>
      <c r="E5737" s="27" t="s">
        <v>18</v>
      </c>
      <c r="F5737" s="27" t="s">
        <v>19</v>
      </c>
      <c r="G5737" s="27" t="s">
        <v>217</v>
      </c>
      <c r="H5737" s="29">
        <v>30</v>
      </c>
      <c r="I5737" s="27" t="s">
        <v>29</v>
      </c>
      <c r="J5737" s="37">
        <v>45797</v>
      </c>
      <c r="K5737" s="27" t="s">
        <v>22</v>
      </c>
    </row>
    <row r="5738" spans="1:11" x14ac:dyDescent="0.2">
      <c r="A5738" s="24" t="s">
        <v>13627</v>
      </c>
      <c r="B5738" s="24" t="s">
        <v>13628</v>
      </c>
      <c r="C5738" s="24" t="s">
        <v>526</v>
      </c>
      <c r="D5738" s="24" t="s">
        <v>17</v>
      </c>
      <c r="E5738" s="24" t="s">
        <v>81</v>
      </c>
      <c r="F5738" s="24" t="s">
        <v>82</v>
      </c>
      <c r="G5738" s="24" t="s">
        <v>28</v>
      </c>
      <c r="H5738" s="26">
        <v>279</v>
      </c>
      <c r="I5738" s="24" t="s">
        <v>29</v>
      </c>
      <c r="J5738" s="36">
        <v>45797</v>
      </c>
      <c r="K5738" s="24" t="s">
        <v>22</v>
      </c>
    </row>
    <row r="5739" spans="1:11" x14ac:dyDescent="0.2">
      <c r="A5739" s="27" t="s">
        <v>13629</v>
      </c>
      <c r="B5739" s="27" t="s">
        <v>13630</v>
      </c>
      <c r="C5739" s="27" t="s">
        <v>690</v>
      </c>
      <c r="D5739" s="27" t="s">
        <v>17</v>
      </c>
      <c r="E5739" s="27" t="s">
        <v>48</v>
      </c>
      <c r="F5739" s="27" t="s">
        <v>49</v>
      </c>
      <c r="G5739" s="27" t="s">
        <v>44</v>
      </c>
      <c r="H5739" s="29">
        <v>50</v>
      </c>
      <c r="I5739" s="27" t="s">
        <v>29</v>
      </c>
      <c r="J5739" s="37">
        <v>45782</v>
      </c>
      <c r="K5739" s="27" t="s">
        <v>22</v>
      </c>
    </row>
    <row r="5740" spans="1:11" x14ac:dyDescent="0.2">
      <c r="A5740" s="24" t="s">
        <v>13631</v>
      </c>
      <c r="B5740" s="24" t="s">
        <v>13632</v>
      </c>
      <c r="C5740" s="24" t="s">
        <v>85</v>
      </c>
      <c r="D5740" s="24" t="s">
        <v>17</v>
      </c>
      <c r="E5740" s="24" t="s">
        <v>48</v>
      </c>
      <c r="F5740" s="24" t="s">
        <v>49</v>
      </c>
      <c r="G5740" s="24" t="s">
        <v>28</v>
      </c>
      <c r="H5740" s="26">
        <v>110</v>
      </c>
      <c r="I5740" s="24" t="s">
        <v>29</v>
      </c>
      <c r="J5740" s="36">
        <v>45805</v>
      </c>
      <c r="K5740" s="24" t="s">
        <v>22</v>
      </c>
    </row>
    <row r="5741" spans="1:11" x14ac:dyDescent="0.2">
      <c r="A5741" s="27" t="s">
        <v>13633</v>
      </c>
      <c r="B5741" s="27" t="s">
        <v>13634</v>
      </c>
      <c r="C5741" s="27" t="s">
        <v>494</v>
      </c>
      <c r="D5741" s="27" t="s">
        <v>17</v>
      </c>
      <c r="E5741" s="27" t="s">
        <v>26</v>
      </c>
      <c r="F5741" s="27" t="s">
        <v>27</v>
      </c>
      <c r="G5741" s="27" t="s">
        <v>59</v>
      </c>
      <c r="H5741" s="29">
        <v>8</v>
      </c>
      <c r="I5741" s="27" t="s">
        <v>21</v>
      </c>
      <c r="J5741" s="37">
        <v>45793</v>
      </c>
      <c r="K5741" s="27" t="s">
        <v>22</v>
      </c>
    </row>
    <row r="5742" spans="1:11" x14ac:dyDescent="0.2">
      <c r="A5742" s="24" t="s">
        <v>13635</v>
      </c>
      <c r="B5742" s="24" t="s">
        <v>13636</v>
      </c>
      <c r="C5742" s="24" t="s">
        <v>220</v>
      </c>
      <c r="D5742" s="24" t="s">
        <v>17</v>
      </c>
      <c r="E5742" s="24" t="s">
        <v>18</v>
      </c>
      <c r="F5742" s="24" t="s">
        <v>19</v>
      </c>
      <c r="G5742" s="24" t="s">
        <v>20</v>
      </c>
      <c r="H5742" s="26">
        <v>28</v>
      </c>
      <c r="I5742" s="24" t="s">
        <v>21</v>
      </c>
      <c r="J5742" s="36">
        <v>45804</v>
      </c>
      <c r="K5742" s="24" t="s">
        <v>22</v>
      </c>
    </row>
    <row r="5743" spans="1:11" x14ac:dyDescent="0.2">
      <c r="A5743" s="27" t="s">
        <v>13637</v>
      </c>
      <c r="B5743" s="27" t="s">
        <v>13638</v>
      </c>
      <c r="C5743" s="27" t="s">
        <v>687</v>
      </c>
      <c r="D5743" s="27" t="s">
        <v>17</v>
      </c>
      <c r="E5743" s="27" t="s">
        <v>18</v>
      </c>
      <c r="F5743" s="27" t="s">
        <v>19</v>
      </c>
      <c r="G5743" s="27" t="s">
        <v>44</v>
      </c>
      <c r="H5743" s="29">
        <v>20</v>
      </c>
      <c r="I5743" s="27" t="s">
        <v>29</v>
      </c>
      <c r="J5743" s="37">
        <v>45803</v>
      </c>
      <c r="K5743" s="27" t="s">
        <v>22</v>
      </c>
    </row>
    <row r="5744" spans="1:11" x14ac:dyDescent="0.2">
      <c r="A5744" s="24" t="s">
        <v>13639</v>
      </c>
      <c r="B5744" s="24" t="s">
        <v>13640</v>
      </c>
      <c r="C5744" s="24" t="s">
        <v>423</v>
      </c>
      <c r="D5744" s="24" t="s">
        <v>17</v>
      </c>
      <c r="E5744" s="24" t="s">
        <v>48</v>
      </c>
      <c r="F5744" s="24" t="s">
        <v>49</v>
      </c>
      <c r="G5744" s="24" t="s">
        <v>28</v>
      </c>
      <c r="H5744" s="26">
        <v>100</v>
      </c>
      <c r="I5744" s="24" t="s">
        <v>29</v>
      </c>
      <c r="J5744" s="36">
        <v>45789</v>
      </c>
      <c r="K5744" s="24" t="s">
        <v>22</v>
      </c>
    </row>
    <row r="5745" spans="1:11" x14ac:dyDescent="0.2">
      <c r="A5745" s="27" t="s">
        <v>13641</v>
      </c>
      <c r="B5745" s="27" t="s">
        <v>13642</v>
      </c>
      <c r="C5745" s="27" t="s">
        <v>5278</v>
      </c>
      <c r="D5745" s="27" t="s">
        <v>17</v>
      </c>
      <c r="E5745" s="27" t="s">
        <v>18</v>
      </c>
      <c r="F5745" s="27" t="s">
        <v>19</v>
      </c>
      <c r="G5745" s="27" t="s">
        <v>20</v>
      </c>
      <c r="H5745" s="29">
        <v>18</v>
      </c>
      <c r="I5745" s="27" t="s">
        <v>21</v>
      </c>
      <c r="J5745" s="37">
        <v>45797</v>
      </c>
      <c r="K5745" s="27" t="s">
        <v>22</v>
      </c>
    </row>
    <row r="5746" spans="1:11" x14ac:dyDescent="0.2">
      <c r="A5746" s="24" t="s">
        <v>13643</v>
      </c>
      <c r="B5746" s="24" t="s">
        <v>13644</v>
      </c>
      <c r="C5746" s="24" t="s">
        <v>13645</v>
      </c>
      <c r="D5746" s="24" t="s">
        <v>17</v>
      </c>
      <c r="E5746" s="24" t="s">
        <v>18</v>
      </c>
      <c r="F5746" s="24" t="s">
        <v>19</v>
      </c>
      <c r="G5746" s="24" t="s">
        <v>28</v>
      </c>
      <c r="H5746" s="26">
        <v>67</v>
      </c>
      <c r="I5746" s="24" t="s">
        <v>29</v>
      </c>
      <c r="J5746" s="36">
        <v>45789</v>
      </c>
      <c r="K5746" s="24" t="s">
        <v>22</v>
      </c>
    </row>
    <row r="5747" spans="1:11" x14ac:dyDescent="0.2">
      <c r="A5747" s="27" t="s">
        <v>13646</v>
      </c>
      <c r="B5747" s="27" t="s">
        <v>13647</v>
      </c>
      <c r="C5747" s="27" t="s">
        <v>55</v>
      </c>
      <c r="D5747" s="27" t="s">
        <v>17</v>
      </c>
      <c r="E5747" s="27" t="s">
        <v>18</v>
      </c>
      <c r="F5747" s="27" t="s">
        <v>19</v>
      </c>
      <c r="G5747" s="27" t="s">
        <v>20</v>
      </c>
      <c r="H5747" s="29">
        <v>146</v>
      </c>
      <c r="I5747" s="27" t="s">
        <v>21</v>
      </c>
      <c r="J5747" s="37">
        <v>45793</v>
      </c>
      <c r="K5747" s="27" t="s">
        <v>22</v>
      </c>
    </row>
    <row r="5748" spans="1:11" x14ac:dyDescent="0.2">
      <c r="A5748" s="24" t="s">
        <v>13648</v>
      </c>
      <c r="B5748" s="24" t="s">
        <v>13649</v>
      </c>
      <c r="C5748" s="24" t="s">
        <v>213</v>
      </c>
      <c r="D5748" s="24" t="s">
        <v>17</v>
      </c>
      <c r="E5748" s="24" t="s">
        <v>18</v>
      </c>
      <c r="F5748" s="24" t="s">
        <v>19</v>
      </c>
      <c r="G5748" s="24" t="s">
        <v>59</v>
      </c>
      <c r="H5748" s="26">
        <v>11</v>
      </c>
      <c r="I5748" s="24" t="s">
        <v>21</v>
      </c>
      <c r="J5748" s="36">
        <v>45778</v>
      </c>
      <c r="K5748" s="24" t="s">
        <v>22</v>
      </c>
    </row>
    <row r="5749" spans="1:11" x14ac:dyDescent="0.2">
      <c r="A5749" s="27" t="s">
        <v>13650</v>
      </c>
      <c r="B5749" s="27" t="s">
        <v>13651</v>
      </c>
      <c r="C5749" s="27" t="s">
        <v>68</v>
      </c>
      <c r="D5749" s="27" t="s">
        <v>17</v>
      </c>
      <c r="E5749" s="27" t="s">
        <v>26</v>
      </c>
      <c r="F5749" s="27" t="s">
        <v>27</v>
      </c>
      <c r="G5749" s="27" t="s">
        <v>28</v>
      </c>
      <c r="H5749" s="29">
        <v>80</v>
      </c>
      <c r="I5749" s="27" t="s">
        <v>29</v>
      </c>
      <c r="J5749" s="37">
        <v>45799</v>
      </c>
      <c r="K5749" s="27" t="s">
        <v>22</v>
      </c>
    </row>
    <row r="5750" spans="1:11" x14ac:dyDescent="0.2">
      <c r="A5750" s="24" t="s">
        <v>13652</v>
      </c>
      <c r="B5750" s="24" t="s">
        <v>13653</v>
      </c>
      <c r="C5750" s="24" t="s">
        <v>13654</v>
      </c>
      <c r="D5750" s="24" t="s">
        <v>17</v>
      </c>
      <c r="E5750" s="24" t="s">
        <v>42</v>
      </c>
      <c r="F5750" s="24" t="s">
        <v>43</v>
      </c>
      <c r="G5750" s="24" t="s">
        <v>28</v>
      </c>
      <c r="H5750" s="26">
        <v>124</v>
      </c>
      <c r="I5750" s="24" t="s">
        <v>29</v>
      </c>
      <c r="J5750" s="36">
        <v>45796</v>
      </c>
      <c r="K5750" s="24" t="s">
        <v>22</v>
      </c>
    </row>
    <row r="5751" spans="1:11" x14ac:dyDescent="0.2">
      <c r="A5751" s="27" t="s">
        <v>13655</v>
      </c>
      <c r="B5751" s="27" t="s">
        <v>13656</v>
      </c>
      <c r="C5751" s="27" t="s">
        <v>230</v>
      </c>
      <c r="D5751" s="27" t="s">
        <v>17</v>
      </c>
      <c r="E5751" s="27" t="s">
        <v>18</v>
      </c>
      <c r="F5751" s="27" t="s">
        <v>19</v>
      </c>
      <c r="G5751" s="27" t="s">
        <v>20</v>
      </c>
      <c r="H5751" s="29">
        <v>162</v>
      </c>
      <c r="I5751" s="27" t="s">
        <v>21</v>
      </c>
      <c r="J5751" s="37">
        <v>45807</v>
      </c>
      <c r="K5751" s="27" t="s">
        <v>22</v>
      </c>
    </row>
    <row r="5752" spans="1:11" x14ac:dyDescent="0.2">
      <c r="A5752" s="24" t="s">
        <v>13657</v>
      </c>
      <c r="B5752" s="24" t="s">
        <v>13658</v>
      </c>
      <c r="C5752" s="24" t="s">
        <v>2426</v>
      </c>
      <c r="D5752" s="24" t="s">
        <v>17</v>
      </c>
      <c r="E5752" s="24" t="s">
        <v>48</v>
      </c>
      <c r="F5752" s="24" t="s">
        <v>49</v>
      </c>
      <c r="G5752" s="24" t="s">
        <v>28</v>
      </c>
      <c r="H5752" s="26">
        <v>96</v>
      </c>
      <c r="I5752" s="24" t="s">
        <v>29</v>
      </c>
      <c r="J5752" s="36">
        <v>45799</v>
      </c>
      <c r="K5752" s="24" t="s">
        <v>22</v>
      </c>
    </row>
    <row r="5753" spans="1:11" x14ac:dyDescent="0.2">
      <c r="A5753" s="27" t="s">
        <v>13659</v>
      </c>
      <c r="B5753" s="27" t="s">
        <v>13660</v>
      </c>
      <c r="C5753" s="27" t="s">
        <v>592</v>
      </c>
      <c r="D5753" s="27" t="s">
        <v>17</v>
      </c>
      <c r="E5753" s="27" t="s">
        <v>42</v>
      </c>
      <c r="F5753" s="27" t="s">
        <v>43</v>
      </c>
      <c r="G5753" s="27" t="s">
        <v>217</v>
      </c>
      <c r="H5753" s="29">
        <v>616</v>
      </c>
      <c r="I5753" s="27" t="s">
        <v>29</v>
      </c>
      <c r="J5753" s="37">
        <v>45792</v>
      </c>
      <c r="K5753" s="27" t="s">
        <v>22</v>
      </c>
    </row>
    <row r="5754" spans="1:11" x14ac:dyDescent="0.2">
      <c r="A5754" s="24" t="s">
        <v>13661</v>
      </c>
      <c r="B5754" s="24" t="s">
        <v>13662</v>
      </c>
      <c r="C5754" s="24" t="s">
        <v>526</v>
      </c>
      <c r="D5754" s="24" t="s">
        <v>17</v>
      </c>
      <c r="E5754" s="24" t="s">
        <v>42</v>
      </c>
      <c r="F5754" s="24" t="s">
        <v>43</v>
      </c>
      <c r="G5754" s="24" t="s">
        <v>28</v>
      </c>
      <c r="H5754" s="26">
        <v>600</v>
      </c>
      <c r="I5754" s="24" t="s">
        <v>29</v>
      </c>
      <c r="J5754" s="36">
        <v>45792</v>
      </c>
      <c r="K5754" s="24" t="s">
        <v>22</v>
      </c>
    </row>
    <row r="5755" spans="1:11" x14ac:dyDescent="0.2">
      <c r="A5755" s="27" t="s">
        <v>13663</v>
      </c>
      <c r="B5755" s="27" t="s">
        <v>13664</v>
      </c>
      <c r="C5755" s="27" t="s">
        <v>363</v>
      </c>
      <c r="D5755" s="27" t="s">
        <v>17</v>
      </c>
      <c r="E5755" s="27" t="s">
        <v>18</v>
      </c>
      <c r="F5755" s="27" t="s">
        <v>19</v>
      </c>
      <c r="G5755" s="27" t="s">
        <v>217</v>
      </c>
      <c r="H5755" s="29">
        <v>40</v>
      </c>
      <c r="I5755" s="27" t="s">
        <v>29</v>
      </c>
      <c r="J5755" s="37">
        <v>45778</v>
      </c>
      <c r="K5755" s="27" t="s">
        <v>22</v>
      </c>
    </row>
    <row r="5756" spans="1:11" x14ac:dyDescent="0.2">
      <c r="A5756" s="24" t="s">
        <v>13665</v>
      </c>
      <c r="B5756" s="24" t="s">
        <v>13666</v>
      </c>
      <c r="C5756" s="24" t="s">
        <v>3680</v>
      </c>
      <c r="D5756" s="24" t="s">
        <v>17</v>
      </c>
      <c r="E5756" s="24" t="s">
        <v>26</v>
      </c>
      <c r="F5756" s="24" t="s">
        <v>27</v>
      </c>
      <c r="G5756" s="24" t="s">
        <v>28</v>
      </c>
      <c r="H5756" s="26">
        <v>72</v>
      </c>
      <c r="I5756" s="24" t="s">
        <v>29</v>
      </c>
      <c r="J5756" s="36">
        <v>45789</v>
      </c>
      <c r="K5756" s="24" t="s">
        <v>22</v>
      </c>
    </row>
    <row r="5757" spans="1:11" x14ac:dyDescent="0.2">
      <c r="A5757" s="27" t="s">
        <v>13667</v>
      </c>
      <c r="B5757" s="27" t="s">
        <v>13668</v>
      </c>
      <c r="C5757" s="27" t="s">
        <v>7559</v>
      </c>
      <c r="D5757" s="27" t="s">
        <v>17</v>
      </c>
      <c r="E5757" s="27" t="s">
        <v>26</v>
      </c>
      <c r="F5757" s="27" t="s">
        <v>27</v>
      </c>
      <c r="G5757" s="27" t="s">
        <v>28</v>
      </c>
      <c r="H5757" s="29">
        <v>87</v>
      </c>
      <c r="I5757" s="27" t="s">
        <v>29</v>
      </c>
      <c r="J5757" s="37">
        <v>45783</v>
      </c>
      <c r="K5757" s="27" t="s">
        <v>22</v>
      </c>
    </row>
    <row r="5758" spans="1:11" x14ac:dyDescent="0.2">
      <c r="A5758" s="24" t="s">
        <v>13669</v>
      </c>
      <c r="B5758" s="24" t="s">
        <v>13670</v>
      </c>
      <c r="C5758" s="24" t="s">
        <v>822</v>
      </c>
      <c r="D5758" s="24" t="s">
        <v>17</v>
      </c>
      <c r="E5758" s="24" t="s">
        <v>48</v>
      </c>
      <c r="F5758" s="24" t="s">
        <v>49</v>
      </c>
      <c r="G5758" s="24" t="s">
        <v>217</v>
      </c>
      <c r="H5758" s="26">
        <v>231</v>
      </c>
      <c r="I5758" s="24" t="s">
        <v>29</v>
      </c>
      <c r="J5758" s="36">
        <v>45793</v>
      </c>
      <c r="K5758" s="24" t="s">
        <v>22</v>
      </c>
    </row>
    <row r="5759" spans="1:11" x14ac:dyDescent="0.2">
      <c r="A5759" s="27" t="s">
        <v>13671</v>
      </c>
      <c r="B5759" s="27" t="s">
        <v>13672</v>
      </c>
      <c r="C5759" s="27" t="s">
        <v>13673</v>
      </c>
      <c r="D5759" s="27" t="s">
        <v>17</v>
      </c>
      <c r="E5759" s="27" t="s">
        <v>42</v>
      </c>
      <c r="F5759" s="27" t="s">
        <v>43</v>
      </c>
      <c r="G5759" s="27" t="s">
        <v>44</v>
      </c>
      <c r="H5759" s="29">
        <v>351</v>
      </c>
      <c r="I5759" s="27" t="s">
        <v>29</v>
      </c>
      <c r="J5759" s="37">
        <v>45807</v>
      </c>
      <c r="K5759" s="27" t="s">
        <v>22</v>
      </c>
    </row>
    <row r="5760" spans="1:11" x14ac:dyDescent="0.2">
      <c r="A5760" s="24" t="s">
        <v>13674</v>
      </c>
      <c r="B5760" s="24" t="s">
        <v>13675</v>
      </c>
      <c r="C5760" s="24" t="s">
        <v>537</v>
      </c>
      <c r="D5760" s="24" t="s">
        <v>17</v>
      </c>
      <c r="E5760" s="24" t="s">
        <v>18</v>
      </c>
      <c r="F5760" s="24" t="s">
        <v>19</v>
      </c>
      <c r="G5760" s="24" t="s">
        <v>28</v>
      </c>
      <c r="H5760" s="26">
        <v>110</v>
      </c>
      <c r="I5760" s="24" t="s">
        <v>29</v>
      </c>
      <c r="J5760" s="36">
        <v>45792</v>
      </c>
      <c r="K5760" s="24" t="s">
        <v>22</v>
      </c>
    </row>
    <row r="5761" spans="1:11" x14ac:dyDescent="0.2">
      <c r="A5761" s="27" t="s">
        <v>13676</v>
      </c>
      <c r="B5761" s="27" t="s">
        <v>13677</v>
      </c>
      <c r="C5761" s="27" t="s">
        <v>494</v>
      </c>
      <c r="D5761" s="27" t="s">
        <v>17</v>
      </c>
      <c r="E5761" s="27" t="s">
        <v>18</v>
      </c>
      <c r="F5761" s="27" t="s">
        <v>19</v>
      </c>
      <c r="G5761" s="27" t="s">
        <v>28</v>
      </c>
      <c r="H5761" s="29">
        <v>80</v>
      </c>
      <c r="I5761" s="27" t="s">
        <v>29</v>
      </c>
      <c r="J5761" s="37">
        <v>45803</v>
      </c>
      <c r="K5761" s="27" t="s">
        <v>22</v>
      </c>
    </row>
    <row r="5762" spans="1:11" x14ac:dyDescent="0.2">
      <c r="A5762" s="24" t="s">
        <v>13678</v>
      </c>
      <c r="B5762" s="24" t="s">
        <v>13679</v>
      </c>
      <c r="C5762" s="24" t="s">
        <v>185</v>
      </c>
      <c r="D5762" s="24" t="s">
        <v>17</v>
      </c>
      <c r="E5762" s="24" t="s">
        <v>18</v>
      </c>
      <c r="F5762" s="24" t="s">
        <v>19</v>
      </c>
      <c r="G5762" s="24" t="s">
        <v>28</v>
      </c>
      <c r="H5762" s="26">
        <v>100</v>
      </c>
      <c r="I5762" s="24" t="s">
        <v>29</v>
      </c>
      <c r="J5762" s="36">
        <v>45793</v>
      </c>
      <c r="K5762" s="24" t="s">
        <v>22</v>
      </c>
    </row>
    <row r="5763" spans="1:11" x14ac:dyDescent="0.2">
      <c r="A5763" s="27" t="s">
        <v>13680</v>
      </c>
      <c r="B5763" s="27" t="s">
        <v>13681</v>
      </c>
      <c r="C5763" s="27" t="s">
        <v>500</v>
      </c>
      <c r="D5763" s="27" t="s">
        <v>17</v>
      </c>
      <c r="E5763" s="27" t="s">
        <v>18</v>
      </c>
      <c r="F5763" s="27" t="s">
        <v>19</v>
      </c>
      <c r="G5763" s="27" t="s">
        <v>20</v>
      </c>
      <c r="H5763" s="29">
        <v>48</v>
      </c>
      <c r="I5763" s="27" t="s">
        <v>21</v>
      </c>
      <c r="J5763" s="37">
        <v>45803</v>
      </c>
      <c r="K5763" s="27" t="s">
        <v>22</v>
      </c>
    </row>
    <row r="5764" spans="1:11" x14ac:dyDescent="0.2">
      <c r="A5764" s="24" t="s">
        <v>13682</v>
      </c>
      <c r="B5764" s="24" t="s">
        <v>13683</v>
      </c>
      <c r="C5764" s="24" t="s">
        <v>97</v>
      </c>
      <c r="D5764" s="24" t="s">
        <v>17</v>
      </c>
      <c r="E5764" s="24" t="s">
        <v>48</v>
      </c>
      <c r="F5764" s="24" t="s">
        <v>49</v>
      </c>
      <c r="G5764" s="24" t="s">
        <v>28</v>
      </c>
      <c r="H5764" s="26">
        <v>871</v>
      </c>
      <c r="I5764" s="24" t="s">
        <v>29</v>
      </c>
      <c r="J5764" s="36">
        <v>45797</v>
      </c>
      <c r="K5764" s="24" t="s">
        <v>22</v>
      </c>
    </row>
    <row r="5765" spans="1:11" x14ac:dyDescent="0.2">
      <c r="A5765" s="27" t="s">
        <v>13684</v>
      </c>
      <c r="B5765" s="27" t="s">
        <v>13685</v>
      </c>
      <c r="C5765" s="27" t="s">
        <v>8285</v>
      </c>
      <c r="D5765" s="27" t="s">
        <v>17</v>
      </c>
      <c r="E5765" s="27" t="s">
        <v>26</v>
      </c>
      <c r="F5765" s="27" t="s">
        <v>27</v>
      </c>
      <c r="G5765" s="27" t="s">
        <v>28</v>
      </c>
      <c r="H5765" s="29">
        <v>18</v>
      </c>
      <c r="I5765" s="27" t="s">
        <v>29</v>
      </c>
      <c r="J5765" s="37">
        <v>45791</v>
      </c>
      <c r="K5765" s="27" t="s">
        <v>22</v>
      </c>
    </row>
    <row r="5766" spans="1:11" x14ac:dyDescent="0.2">
      <c r="A5766" s="24" t="s">
        <v>13686</v>
      </c>
      <c r="B5766" s="24" t="s">
        <v>13687</v>
      </c>
      <c r="C5766" s="24" t="s">
        <v>7698</v>
      </c>
      <c r="D5766" s="24" t="s">
        <v>17</v>
      </c>
      <c r="E5766" s="24" t="s">
        <v>163</v>
      </c>
      <c r="F5766" s="24" t="s">
        <v>164</v>
      </c>
      <c r="G5766" s="24" t="s">
        <v>28</v>
      </c>
      <c r="H5766" s="26">
        <v>30</v>
      </c>
      <c r="I5766" s="24" t="s">
        <v>29</v>
      </c>
      <c r="J5766" s="36">
        <v>45795</v>
      </c>
      <c r="K5766" s="24" t="s">
        <v>22</v>
      </c>
    </row>
    <row r="5767" spans="1:11" x14ac:dyDescent="0.2">
      <c r="A5767" s="27" t="s">
        <v>13688</v>
      </c>
      <c r="B5767" s="27" t="s">
        <v>13689</v>
      </c>
      <c r="C5767" s="27" t="s">
        <v>1975</v>
      </c>
      <c r="D5767" s="27" t="s">
        <v>17</v>
      </c>
      <c r="E5767" s="27" t="s">
        <v>48</v>
      </c>
      <c r="F5767" s="27" t="s">
        <v>49</v>
      </c>
      <c r="G5767" s="27" t="s">
        <v>44</v>
      </c>
      <c r="H5767" s="29">
        <v>150</v>
      </c>
      <c r="I5767" s="27" t="s">
        <v>29</v>
      </c>
      <c r="J5767" s="37">
        <v>45799</v>
      </c>
      <c r="K5767" s="27" t="s">
        <v>22</v>
      </c>
    </row>
    <row r="5768" spans="1:11" x14ac:dyDescent="0.2">
      <c r="A5768" s="24" t="s">
        <v>13690</v>
      </c>
      <c r="B5768" s="24" t="s">
        <v>13691</v>
      </c>
      <c r="C5768" s="24" t="s">
        <v>13692</v>
      </c>
      <c r="D5768" s="24" t="s">
        <v>17</v>
      </c>
      <c r="E5768" s="24" t="s">
        <v>48</v>
      </c>
      <c r="F5768" s="24" t="s">
        <v>49</v>
      </c>
      <c r="G5768" s="24" t="s">
        <v>44</v>
      </c>
      <c r="H5768" s="26">
        <v>10</v>
      </c>
      <c r="I5768" s="24" t="s">
        <v>21</v>
      </c>
      <c r="J5768" s="36">
        <v>45779</v>
      </c>
      <c r="K5768" s="24" t="s">
        <v>22</v>
      </c>
    </row>
    <row r="5769" spans="1:11" x14ac:dyDescent="0.2">
      <c r="A5769" s="27" t="s">
        <v>13693</v>
      </c>
      <c r="B5769" s="27" t="s">
        <v>13694</v>
      </c>
      <c r="C5769" s="27" t="s">
        <v>2287</v>
      </c>
      <c r="D5769" s="27" t="s">
        <v>17</v>
      </c>
      <c r="E5769" s="27" t="s">
        <v>42</v>
      </c>
      <c r="F5769" s="27" t="s">
        <v>43</v>
      </c>
      <c r="G5769" s="27" t="s">
        <v>28</v>
      </c>
      <c r="H5769" s="29">
        <v>284</v>
      </c>
      <c r="I5769" s="27" t="s">
        <v>29</v>
      </c>
      <c r="J5769" s="37">
        <v>45785</v>
      </c>
      <c r="K5769" s="27" t="s">
        <v>22</v>
      </c>
    </row>
    <row r="5770" spans="1:11" x14ac:dyDescent="0.2">
      <c r="A5770" s="24" t="s">
        <v>13695</v>
      </c>
      <c r="B5770" s="24" t="s">
        <v>13696</v>
      </c>
      <c r="C5770" s="24" t="s">
        <v>97</v>
      </c>
      <c r="D5770" s="24" t="s">
        <v>17</v>
      </c>
      <c r="E5770" s="24" t="s">
        <v>18</v>
      </c>
      <c r="F5770" s="24" t="s">
        <v>19</v>
      </c>
      <c r="G5770" s="24" t="s">
        <v>28</v>
      </c>
      <c r="H5770" s="26">
        <v>72</v>
      </c>
      <c r="I5770" s="24" t="s">
        <v>29</v>
      </c>
      <c r="J5770" s="36">
        <v>45778</v>
      </c>
      <c r="K5770" s="24" t="s">
        <v>22</v>
      </c>
    </row>
    <row r="5771" spans="1:11" x14ac:dyDescent="0.2">
      <c r="A5771" s="27" t="s">
        <v>13697</v>
      </c>
      <c r="B5771" s="27" t="s">
        <v>13698</v>
      </c>
      <c r="C5771" s="27" t="s">
        <v>1050</v>
      </c>
      <c r="D5771" s="27" t="s">
        <v>17</v>
      </c>
      <c r="E5771" s="27" t="s">
        <v>18</v>
      </c>
      <c r="F5771" s="27" t="s">
        <v>19</v>
      </c>
      <c r="G5771" s="27" t="s">
        <v>28</v>
      </c>
      <c r="H5771" s="29">
        <v>7</v>
      </c>
      <c r="I5771" s="27" t="s">
        <v>29</v>
      </c>
      <c r="J5771" s="37">
        <v>45790</v>
      </c>
      <c r="K5771" s="27" t="s">
        <v>22</v>
      </c>
    </row>
    <row r="5772" spans="1:11" x14ac:dyDescent="0.2">
      <c r="A5772" s="24" t="s">
        <v>13699</v>
      </c>
      <c r="B5772" s="24" t="s">
        <v>13700</v>
      </c>
      <c r="C5772" s="24" t="s">
        <v>827</v>
      </c>
      <c r="D5772" s="24" t="s">
        <v>17</v>
      </c>
      <c r="E5772" s="24" t="s">
        <v>18</v>
      </c>
      <c r="F5772" s="24" t="s">
        <v>19</v>
      </c>
      <c r="G5772" s="24" t="s">
        <v>217</v>
      </c>
      <c r="H5772" s="26">
        <v>48</v>
      </c>
      <c r="I5772" s="24" t="s">
        <v>29</v>
      </c>
      <c r="J5772" s="36">
        <v>45783</v>
      </c>
      <c r="K5772" s="24" t="s">
        <v>22</v>
      </c>
    </row>
    <row r="5773" spans="1:11" x14ac:dyDescent="0.2">
      <c r="A5773" s="27" t="s">
        <v>13701</v>
      </c>
      <c r="B5773" s="27" t="s">
        <v>13702</v>
      </c>
      <c r="C5773" s="27" t="s">
        <v>437</v>
      </c>
      <c r="D5773" s="27" t="s">
        <v>17</v>
      </c>
      <c r="E5773" s="27" t="s">
        <v>18</v>
      </c>
      <c r="F5773" s="27" t="s">
        <v>19</v>
      </c>
      <c r="G5773" s="27" t="s">
        <v>28</v>
      </c>
      <c r="H5773" s="29">
        <v>200</v>
      </c>
      <c r="I5773" s="27" t="s">
        <v>29</v>
      </c>
      <c r="J5773" s="37">
        <v>45793</v>
      </c>
      <c r="K5773" s="27" t="s">
        <v>22</v>
      </c>
    </row>
    <row r="5774" spans="1:11" x14ac:dyDescent="0.2">
      <c r="A5774" s="24" t="s">
        <v>13703</v>
      </c>
      <c r="B5774" s="24" t="s">
        <v>13704</v>
      </c>
      <c r="C5774" s="24" t="s">
        <v>13705</v>
      </c>
      <c r="D5774" s="24" t="s">
        <v>17</v>
      </c>
      <c r="E5774" s="24" t="s">
        <v>18</v>
      </c>
      <c r="F5774" s="24" t="s">
        <v>19</v>
      </c>
      <c r="G5774" s="24" t="s">
        <v>28</v>
      </c>
      <c r="H5774" s="26">
        <v>30</v>
      </c>
      <c r="I5774" s="24" t="s">
        <v>29</v>
      </c>
      <c r="J5774" s="36">
        <v>45784</v>
      </c>
      <c r="K5774" s="24" t="s">
        <v>22</v>
      </c>
    </row>
    <row r="5775" spans="1:11" x14ac:dyDescent="0.2">
      <c r="A5775" s="27" t="s">
        <v>13706</v>
      </c>
      <c r="B5775" s="27" t="s">
        <v>13707</v>
      </c>
      <c r="C5775" s="27" t="s">
        <v>97</v>
      </c>
      <c r="D5775" s="27" t="s">
        <v>17</v>
      </c>
      <c r="E5775" s="27" t="s">
        <v>18</v>
      </c>
      <c r="F5775" s="27" t="s">
        <v>19</v>
      </c>
      <c r="G5775" s="27" t="s">
        <v>20</v>
      </c>
      <c r="H5775" s="29">
        <v>51</v>
      </c>
      <c r="I5775" s="27" t="s">
        <v>21</v>
      </c>
      <c r="J5775" s="37">
        <v>45805</v>
      </c>
      <c r="K5775" s="27" t="s">
        <v>22</v>
      </c>
    </row>
    <row r="5776" spans="1:11" x14ac:dyDescent="0.2">
      <c r="A5776" s="24" t="s">
        <v>13708</v>
      </c>
      <c r="B5776" s="24" t="s">
        <v>13709</v>
      </c>
      <c r="C5776" s="24" t="s">
        <v>4253</v>
      </c>
      <c r="D5776" s="24" t="s">
        <v>17</v>
      </c>
      <c r="E5776" s="24" t="s">
        <v>48</v>
      </c>
      <c r="F5776" s="24" t="s">
        <v>49</v>
      </c>
      <c r="G5776" s="24" t="s">
        <v>217</v>
      </c>
      <c r="H5776" s="26">
        <v>20</v>
      </c>
      <c r="I5776" s="24" t="s">
        <v>29</v>
      </c>
      <c r="J5776" s="36">
        <v>45792</v>
      </c>
      <c r="K5776" s="24" t="s">
        <v>22</v>
      </c>
    </row>
    <row r="5777" spans="1:11" x14ac:dyDescent="0.2">
      <c r="A5777" s="27" t="s">
        <v>13710</v>
      </c>
      <c r="B5777" s="27" t="s">
        <v>13711</v>
      </c>
      <c r="C5777" s="27" t="s">
        <v>1562</v>
      </c>
      <c r="D5777" s="27" t="s">
        <v>17</v>
      </c>
      <c r="E5777" s="27" t="s">
        <v>81</v>
      </c>
      <c r="F5777" s="27" t="s">
        <v>82</v>
      </c>
      <c r="G5777" s="27" t="s">
        <v>217</v>
      </c>
      <c r="H5777" s="29">
        <v>720</v>
      </c>
      <c r="I5777" s="27" t="s">
        <v>29</v>
      </c>
      <c r="J5777" s="37">
        <v>45778</v>
      </c>
      <c r="K5777" s="27" t="s">
        <v>22</v>
      </c>
    </row>
    <row r="5778" spans="1:11" x14ac:dyDescent="0.2">
      <c r="A5778" s="24" t="s">
        <v>13712</v>
      </c>
      <c r="B5778" s="24" t="s">
        <v>13713</v>
      </c>
      <c r="C5778" s="24" t="s">
        <v>11282</v>
      </c>
      <c r="D5778" s="24" t="s">
        <v>17</v>
      </c>
      <c r="E5778" s="24" t="s">
        <v>18</v>
      </c>
      <c r="F5778" s="24" t="s">
        <v>19</v>
      </c>
      <c r="G5778" s="24" t="s">
        <v>20</v>
      </c>
      <c r="H5778" s="26">
        <v>24</v>
      </c>
      <c r="I5778" s="24" t="s">
        <v>21</v>
      </c>
      <c r="J5778" s="36">
        <v>45795</v>
      </c>
      <c r="K5778" s="24" t="s">
        <v>22</v>
      </c>
    </row>
    <row r="5779" spans="1:11" x14ac:dyDescent="0.2">
      <c r="A5779" s="27" t="s">
        <v>13714</v>
      </c>
      <c r="B5779" s="27" t="s">
        <v>13715</v>
      </c>
      <c r="C5779" s="27" t="s">
        <v>97</v>
      </c>
      <c r="D5779" s="27" t="s">
        <v>17</v>
      </c>
      <c r="E5779" s="27" t="s">
        <v>42</v>
      </c>
      <c r="F5779" s="27" t="s">
        <v>43</v>
      </c>
      <c r="G5779" s="27" t="s">
        <v>28</v>
      </c>
      <c r="H5779" s="29">
        <v>150</v>
      </c>
      <c r="I5779" s="27" t="s">
        <v>29</v>
      </c>
      <c r="J5779" s="37">
        <v>45792</v>
      </c>
      <c r="K5779" s="27" t="s">
        <v>22</v>
      </c>
    </row>
    <row r="5780" spans="1:11" x14ac:dyDescent="0.2">
      <c r="A5780" s="24" t="s">
        <v>13716</v>
      </c>
      <c r="B5780" s="24" t="s">
        <v>13717</v>
      </c>
      <c r="C5780" s="24" t="s">
        <v>331</v>
      </c>
      <c r="D5780" s="24" t="s">
        <v>17</v>
      </c>
      <c r="E5780" s="24" t="s">
        <v>18</v>
      </c>
      <c r="F5780" s="24" t="s">
        <v>19</v>
      </c>
      <c r="G5780" s="24" t="s">
        <v>28</v>
      </c>
      <c r="H5780" s="26">
        <v>51</v>
      </c>
      <c r="I5780" s="24" t="s">
        <v>29</v>
      </c>
      <c r="J5780" s="36">
        <v>45782</v>
      </c>
      <c r="K5780" s="24" t="s">
        <v>22</v>
      </c>
    </row>
    <row r="5781" spans="1:11" x14ac:dyDescent="0.2">
      <c r="A5781" s="27" t="s">
        <v>13718</v>
      </c>
      <c r="B5781" s="27" t="s">
        <v>13719</v>
      </c>
      <c r="C5781" s="27" t="s">
        <v>4991</v>
      </c>
      <c r="D5781" s="27" t="s">
        <v>17</v>
      </c>
      <c r="E5781" s="27" t="s">
        <v>48</v>
      </c>
      <c r="F5781" s="27" t="s">
        <v>49</v>
      </c>
      <c r="G5781" s="27" t="s">
        <v>44</v>
      </c>
      <c r="H5781" s="29">
        <v>127</v>
      </c>
      <c r="I5781" s="27" t="s">
        <v>21</v>
      </c>
      <c r="J5781" s="37">
        <v>45807</v>
      </c>
      <c r="K5781" s="27" t="s">
        <v>22</v>
      </c>
    </row>
    <row r="5782" spans="1:11" x14ac:dyDescent="0.2">
      <c r="A5782" s="24" t="s">
        <v>13720</v>
      </c>
      <c r="B5782" s="24" t="s">
        <v>13721</v>
      </c>
      <c r="C5782" s="24" t="s">
        <v>11266</v>
      </c>
      <c r="D5782" s="24" t="s">
        <v>17</v>
      </c>
      <c r="E5782" s="24" t="s">
        <v>18</v>
      </c>
      <c r="F5782" s="24" t="s">
        <v>19</v>
      </c>
      <c r="G5782" s="24" t="s">
        <v>28</v>
      </c>
      <c r="H5782" s="26">
        <v>98</v>
      </c>
      <c r="I5782" s="24" t="s">
        <v>29</v>
      </c>
      <c r="J5782" s="36">
        <v>45785</v>
      </c>
      <c r="K5782" s="24" t="s">
        <v>22</v>
      </c>
    </row>
    <row r="5783" spans="1:11" x14ac:dyDescent="0.2">
      <c r="A5783" s="27" t="s">
        <v>13722</v>
      </c>
      <c r="B5783" s="27" t="s">
        <v>13723</v>
      </c>
      <c r="C5783" s="27" t="s">
        <v>10934</v>
      </c>
      <c r="D5783" s="27" t="s">
        <v>17</v>
      </c>
      <c r="E5783" s="27" t="s">
        <v>48</v>
      </c>
      <c r="F5783" s="27" t="s">
        <v>49</v>
      </c>
      <c r="G5783" s="27" t="s">
        <v>28</v>
      </c>
      <c r="H5783" s="29">
        <v>225</v>
      </c>
      <c r="I5783" s="27" t="s">
        <v>29</v>
      </c>
      <c r="J5783" s="37">
        <v>45793</v>
      </c>
      <c r="K5783" s="27" t="s">
        <v>22</v>
      </c>
    </row>
    <row r="5784" spans="1:11" x14ac:dyDescent="0.2">
      <c r="A5784" s="24" t="s">
        <v>13724</v>
      </c>
      <c r="B5784" s="24" t="s">
        <v>13725</v>
      </c>
      <c r="C5784" s="24" t="s">
        <v>68</v>
      </c>
      <c r="D5784" s="24" t="s">
        <v>17</v>
      </c>
      <c r="E5784" s="24" t="s">
        <v>18</v>
      </c>
      <c r="F5784" s="24" t="s">
        <v>19</v>
      </c>
      <c r="G5784" s="24" t="s">
        <v>20</v>
      </c>
      <c r="H5784" s="26">
        <v>6</v>
      </c>
      <c r="I5784" s="24" t="s">
        <v>21</v>
      </c>
      <c r="J5784" s="36">
        <v>45798</v>
      </c>
      <c r="K5784" s="24" t="s">
        <v>22</v>
      </c>
    </row>
    <row r="5785" spans="1:11" x14ac:dyDescent="0.2">
      <c r="A5785" s="27" t="s">
        <v>13726</v>
      </c>
      <c r="B5785" s="27" t="s">
        <v>13727</v>
      </c>
      <c r="C5785" s="27" t="s">
        <v>9151</v>
      </c>
      <c r="D5785" s="27" t="s">
        <v>17</v>
      </c>
      <c r="E5785" s="27" t="s">
        <v>42</v>
      </c>
      <c r="F5785" s="27" t="s">
        <v>43</v>
      </c>
      <c r="G5785" s="27" t="s">
        <v>28</v>
      </c>
      <c r="H5785" s="29">
        <v>231</v>
      </c>
      <c r="I5785" s="27" t="s">
        <v>29</v>
      </c>
      <c r="J5785" s="37">
        <v>45804</v>
      </c>
      <c r="K5785" s="27" t="s">
        <v>22</v>
      </c>
    </row>
    <row r="5786" spans="1:11" x14ac:dyDescent="0.2">
      <c r="A5786" s="24" t="s">
        <v>13728</v>
      </c>
      <c r="B5786" s="24" t="s">
        <v>13729</v>
      </c>
      <c r="C5786" s="24" t="s">
        <v>9208</v>
      </c>
      <c r="D5786" s="24" t="s">
        <v>17</v>
      </c>
      <c r="E5786" s="24" t="s">
        <v>48</v>
      </c>
      <c r="F5786" s="24" t="s">
        <v>49</v>
      </c>
      <c r="G5786" s="24" t="s">
        <v>28</v>
      </c>
      <c r="H5786" s="26">
        <v>90</v>
      </c>
      <c r="I5786" s="24" t="s">
        <v>29</v>
      </c>
      <c r="J5786" s="36">
        <v>45806</v>
      </c>
      <c r="K5786" s="24" t="s">
        <v>22</v>
      </c>
    </row>
    <row r="5787" spans="1:11" x14ac:dyDescent="0.2">
      <c r="A5787" s="27" t="s">
        <v>13730</v>
      </c>
      <c r="B5787" s="27" t="s">
        <v>13731</v>
      </c>
      <c r="C5787" s="27" t="s">
        <v>774</v>
      </c>
      <c r="D5787" s="27" t="s">
        <v>17</v>
      </c>
      <c r="E5787" s="27" t="s">
        <v>42</v>
      </c>
      <c r="F5787" s="27" t="s">
        <v>43</v>
      </c>
      <c r="G5787" s="27" t="s">
        <v>28</v>
      </c>
      <c r="H5787" s="29">
        <v>420</v>
      </c>
      <c r="I5787" s="27" t="s">
        <v>29</v>
      </c>
      <c r="J5787" s="37">
        <v>45783</v>
      </c>
      <c r="K5787" s="27" t="s">
        <v>22</v>
      </c>
    </row>
    <row r="5788" spans="1:11" x14ac:dyDescent="0.2">
      <c r="A5788" s="24" t="s">
        <v>13732</v>
      </c>
      <c r="B5788" s="24" t="s">
        <v>13733</v>
      </c>
      <c r="C5788" s="24" t="s">
        <v>140</v>
      </c>
      <c r="D5788" s="24" t="s">
        <v>17</v>
      </c>
      <c r="E5788" s="24" t="s">
        <v>18</v>
      </c>
      <c r="F5788" s="24" t="s">
        <v>19</v>
      </c>
      <c r="G5788" s="24" t="s">
        <v>28</v>
      </c>
      <c r="H5788" s="26">
        <v>24</v>
      </c>
      <c r="I5788" s="24" t="s">
        <v>29</v>
      </c>
      <c r="J5788" s="36">
        <v>45806</v>
      </c>
      <c r="K5788" s="24" t="s">
        <v>22</v>
      </c>
    </row>
    <row r="5789" spans="1:11" x14ac:dyDescent="0.2">
      <c r="A5789" s="27" t="s">
        <v>13734</v>
      </c>
      <c r="B5789" s="27" t="s">
        <v>13735</v>
      </c>
      <c r="C5789" s="27" t="s">
        <v>6292</v>
      </c>
      <c r="D5789" s="27" t="s">
        <v>17</v>
      </c>
      <c r="E5789" s="27" t="s">
        <v>18</v>
      </c>
      <c r="F5789" s="27" t="s">
        <v>19</v>
      </c>
      <c r="G5789" s="27" t="s">
        <v>20</v>
      </c>
      <c r="H5789" s="29">
        <v>24</v>
      </c>
      <c r="I5789" s="27" t="s">
        <v>21</v>
      </c>
      <c r="J5789" s="37">
        <v>45803</v>
      </c>
      <c r="K5789" s="27" t="s">
        <v>22</v>
      </c>
    </row>
    <row r="5790" spans="1:11" x14ac:dyDescent="0.2">
      <c r="A5790" s="24" t="s">
        <v>13736</v>
      </c>
      <c r="B5790" s="24" t="s">
        <v>13737</v>
      </c>
      <c r="C5790" s="24" t="s">
        <v>277</v>
      </c>
      <c r="D5790" s="24" t="s">
        <v>17</v>
      </c>
      <c r="E5790" s="24" t="s">
        <v>42</v>
      </c>
      <c r="F5790" s="24" t="s">
        <v>43</v>
      </c>
      <c r="G5790" s="24" t="s">
        <v>28</v>
      </c>
      <c r="H5790" s="26">
        <v>180</v>
      </c>
      <c r="I5790" s="24" t="s">
        <v>29</v>
      </c>
      <c r="J5790" s="36">
        <v>45799</v>
      </c>
      <c r="K5790" s="24" t="s">
        <v>22</v>
      </c>
    </row>
    <row r="5791" spans="1:11" x14ac:dyDescent="0.2">
      <c r="A5791" s="27" t="s">
        <v>13738</v>
      </c>
      <c r="B5791" s="27" t="s">
        <v>13739</v>
      </c>
      <c r="C5791" s="27" t="s">
        <v>97</v>
      </c>
      <c r="D5791" s="27" t="s">
        <v>17</v>
      </c>
      <c r="E5791" s="27" t="s">
        <v>18</v>
      </c>
      <c r="F5791" s="27" t="s">
        <v>19</v>
      </c>
      <c r="G5791" s="27" t="s">
        <v>20</v>
      </c>
      <c r="H5791" s="29">
        <v>49</v>
      </c>
      <c r="I5791" s="27" t="s">
        <v>21</v>
      </c>
      <c r="J5791" s="37">
        <v>45783</v>
      </c>
      <c r="K5791" s="27" t="s">
        <v>22</v>
      </c>
    </row>
    <row r="5792" spans="1:11" x14ac:dyDescent="0.2">
      <c r="A5792" s="24" t="s">
        <v>13740</v>
      </c>
      <c r="B5792" s="24" t="s">
        <v>13741</v>
      </c>
      <c r="C5792" s="24" t="s">
        <v>526</v>
      </c>
      <c r="D5792" s="24" t="s">
        <v>17</v>
      </c>
      <c r="E5792" s="24" t="s">
        <v>81</v>
      </c>
      <c r="F5792" s="24" t="s">
        <v>82</v>
      </c>
      <c r="G5792" s="24" t="s">
        <v>28</v>
      </c>
      <c r="H5792" s="26">
        <v>787</v>
      </c>
      <c r="I5792" s="24" t="s">
        <v>29</v>
      </c>
      <c r="J5792" s="36">
        <v>45797</v>
      </c>
      <c r="K5792" s="24" t="s">
        <v>22</v>
      </c>
    </row>
    <row r="5793" spans="1:11" x14ac:dyDescent="0.2">
      <c r="A5793" s="27" t="s">
        <v>13742</v>
      </c>
      <c r="B5793" s="27" t="s">
        <v>13743</v>
      </c>
      <c r="C5793" s="27" t="s">
        <v>5147</v>
      </c>
      <c r="D5793" s="27" t="s">
        <v>17</v>
      </c>
      <c r="E5793" s="27" t="s">
        <v>48</v>
      </c>
      <c r="F5793" s="27" t="s">
        <v>49</v>
      </c>
      <c r="G5793" s="27" t="s">
        <v>59</v>
      </c>
      <c r="H5793" s="29">
        <v>16</v>
      </c>
      <c r="I5793" s="27" t="s">
        <v>21</v>
      </c>
      <c r="J5793" s="37">
        <v>45806</v>
      </c>
      <c r="K5793" s="27" t="s">
        <v>22</v>
      </c>
    </row>
    <row r="5794" spans="1:11" x14ac:dyDescent="0.2">
      <c r="A5794" s="24" t="s">
        <v>13744</v>
      </c>
      <c r="B5794" s="24" t="s">
        <v>13745</v>
      </c>
      <c r="C5794" s="24" t="s">
        <v>13746</v>
      </c>
      <c r="D5794" s="24" t="s">
        <v>17</v>
      </c>
      <c r="E5794" s="24" t="s">
        <v>18</v>
      </c>
      <c r="F5794" s="24" t="s">
        <v>19</v>
      </c>
      <c r="G5794" s="24" t="s">
        <v>20</v>
      </c>
      <c r="H5794" s="26">
        <v>18</v>
      </c>
      <c r="I5794" s="24" t="s">
        <v>21</v>
      </c>
      <c r="J5794" s="36">
        <v>45804</v>
      </c>
      <c r="K5794" s="24" t="s">
        <v>22</v>
      </c>
    </row>
    <row r="5795" spans="1:11" x14ac:dyDescent="0.2">
      <c r="A5795" s="27" t="s">
        <v>13747</v>
      </c>
      <c r="B5795" s="27" t="s">
        <v>13748</v>
      </c>
      <c r="C5795" s="27" t="s">
        <v>13749</v>
      </c>
      <c r="D5795" s="27" t="s">
        <v>17</v>
      </c>
      <c r="E5795" s="27" t="s">
        <v>26</v>
      </c>
      <c r="F5795" s="27" t="s">
        <v>27</v>
      </c>
      <c r="G5795" s="27" t="s">
        <v>28</v>
      </c>
      <c r="H5795" s="29">
        <v>62</v>
      </c>
      <c r="I5795" s="27" t="s">
        <v>29</v>
      </c>
      <c r="J5795" s="37">
        <v>45805</v>
      </c>
      <c r="K5795" s="27" t="s">
        <v>22</v>
      </c>
    </row>
    <row r="5796" spans="1:11" x14ac:dyDescent="0.2">
      <c r="A5796" s="24" t="s">
        <v>13750</v>
      </c>
      <c r="B5796" s="24" t="s">
        <v>13751</v>
      </c>
      <c r="C5796" s="24" t="s">
        <v>13752</v>
      </c>
      <c r="D5796" s="24" t="s">
        <v>17</v>
      </c>
      <c r="E5796" s="24" t="s">
        <v>18</v>
      </c>
      <c r="F5796" s="24" t="s">
        <v>19</v>
      </c>
      <c r="G5796" s="24" t="s">
        <v>20</v>
      </c>
      <c r="H5796" s="26">
        <v>102</v>
      </c>
      <c r="I5796" s="24" t="s">
        <v>21</v>
      </c>
      <c r="J5796" s="36">
        <v>45806</v>
      </c>
      <c r="K5796" s="24" t="s">
        <v>22</v>
      </c>
    </row>
    <row r="5797" spans="1:11" x14ac:dyDescent="0.2">
      <c r="A5797" s="27" t="s">
        <v>13753</v>
      </c>
      <c r="B5797" s="27" t="s">
        <v>13754</v>
      </c>
      <c r="C5797" s="27" t="s">
        <v>1845</v>
      </c>
      <c r="D5797" s="27" t="s">
        <v>17</v>
      </c>
      <c r="E5797" s="27" t="s">
        <v>18</v>
      </c>
      <c r="F5797" s="27" t="s">
        <v>19</v>
      </c>
      <c r="G5797" s="27" t="s">
        <v>44</v>
      </c>
      <c r="H5797" s="29">
        <v>7</v>
      </c>
      <c r="I5797" s="27" t="s">
        <v>21</v>
      </c>
      <c r="J5797" s="37">
        <v>45784</v>
      </c>
      <c r="K5797" s="27" t="s">
        <v>22</v>
      </c>
    </row>
    <row r="5798" spans="1:11" x14ac:dyDescent="0.2">
      <c r="A5798" s="24" t="s">
        <v>13755</v>
      </c>
      <c r="B5798" s="24" t="s">
        <v>13756</v>
      </c>
      <c r="C5798" s="24" t="s">
        <v>13757</v>
      </c>
      <c r="D5798" s="24" t="s">
        <v>17</v>
      </c>
      <c r="E5798" s="24" t="s">
        <v>81</v>
      </c>
      <c r="F5798" s="24" t="s">
        <v>82</v>
      </c>
      <c r="G5798" s="24" t="s">
        <v>28</v>
      </c>
      <c r="H5798" s="26">
        <v>75</v>
      </c>
      <c r="I5798" s="24" t="s">
        <v>29</v>
      </c>
      <c r="J5798" s="36">
        <v>45799</v>
      </c>
      <c r="K5798" s="24" t="s">
        <v>22</v>
      </c>
    </row>
    <row r="5799" spans="1:11" x14ac:dyDescent="0.2">
      <c r="A5799" s="27" t="s">
        <v>13758</v>
      </c>
      <c r="B5799" s="27" t="s">
        <v>13759</v>
      </c>
      <c r="C5799" s="27" t="s">
        <v>55</v>
      </c>
      <c r="D5799" s="27" t="s">
        <v>17</v>
      </c>
      <c r="E5799" s="27" t="s">
        <v>48</v>
      </c>
      <c r="F5799" s="27" t="s">
        <v>49</v>
      </c>
      <c r="G5799" s="27" t="s">
        <v>28</v>
      </c>
      <c r="H5799" s="29">
        <v>96</v>
      </c>
      <c r="I5799" s="27" t="s">
        <v>29</v>
      </c>
      <c r="J5799" s="37">
        <v>45790</v>
      </c>
      <c r="K5799" s="27" t="s">
        <v>22</v>
      </c>
    </row>
    <row r="5800" spans="1:11" x14ac:dyDescent="0.2">
      <c r="A5800" s="24" t="s">
        <v>13760</v>
      </c>
      <c r="B5800" s="24" t="s">
        <v>13761</v>
      </c>
      <c r="C5800" s="24" t="s">
        <v>13762</v>
      </c>
      <c r="D5800" s="24" t="s">
        <v>17</v>
      </c>
      <c r="E5800" s="24" t="s">
        <v>42</v>
      </c>
      <c r="F5800" s="24" t="s">
        <v>43</v>
      </c>
      <c r="G5800" s="24" t="s">
        <v>28</v>
      </c>
      <c r="H5800" s="26">
        <v>92</v>
      </c>
      <c r="I5800" s="24" t="s">
        <v>29</v>
      </c>
      <c r="J5800" s="36">
        <v>45799</v>
      </c>
      <c r="K5800" s="24" t="s">
        <v>22</v>
      </c>
    </row>
    <row r="5801" spans="1:11" x14ac:dyDescent="0.2">
      <c r="A5801" s="27" t="s">
        <v>13763</v>
      </c>
      <c r="B5801" s="27" t="s">
        <v>13764</v>
      </c>
      <c r="C5801" s="27" t="s">
        <v>97</v>
      </c>
      <c r="D5801" s="27" t="s">
        <v>17</v>
      </c>
      <c r="E5801" s="27" t="s">
        <v>18</v>
      </c>
      <c r="F5801" s="27" t="s">
        <v>19</v>
      </c>
      <c r="G5801" s="27" t="s">
        <v>59</v>
      </c>
      <c r="H5801" s="29">
        <v>1</v>
      </c>
      <c r="I5801" s="27" t="s">
        <v>21</v>
      </c>
      <c r="J5801" s="37">
        <v>45798</v>
      </c>
      <c r="K5801" s="27" t="s">
        <v>22</v>
      </c>
    </row>
    <row r="5802" spans="1:11" x14ac:dyDescent="0.2">
      <c r="A5802" s="24" t="s">
        <v>13765</v>
      </c>
      <c r="B5802" s="24" t="s">
        <v>13766</v>
      </c>
      <c r="C5802" s="24" t="s">
        <v>13767</v>
      </c>
      <c r="D5802" s="24" t="s">
        <v>17</v>
      </c>
      <c r="E5802" s="24" t="s">
        <v>18</v>
      </c>
      <c r="F5802" s="24" t="s">
        <v>19</v>
      </c>
      <c r="G5802" s="24" t="s">
        <v>28</v>
      </c>
      <c r="H5802" s="26">
        <v>124</v>
      </c>
      <c r="I5802" s="24" t="s">
        <v>29</v>
      </c>
      <c r="J5802" s="36">
        <v>45785</v>
      </c>
      <c r="K5802" s="24" t="s">
        <v>22</v>
      </c>
    </row>
    <row r="5803" spans="1:11" x14ac:dyDescent="0.2">
      <c r="A5803" s="27" t="s">
        <v>13768</v>
      </c>
      <c r="B5803" s="27" t="s">
        <v>13769</v>
      </c>
      <c r="C5803" s="27" t="s">
        <v>13348</v>
      </c>
      <c r="D5803" s="27" t="s">
        <v>17</v>
      </c>
      <c r="E5803" s="27" t="s">
        <v>18</v>
      </c>
      <c r="F5803" s="27" t="s">
        <v>19</v>
      </c>
      <c r="G5803" s="27" t="s">
        <v>217</v>
      </c>
      <c r="H5803" s="29">
        <v>30</v>
      </c>
      <c r="I5803" s="27" t="s">
        <v>29</v>
      </c>
      <c r="J5803" s="37">
        <v>45778</v>
      </c>
      <c r="K5803" s="27" t="s">
        <v>22</v>
      </c>
    </row>
    <row r="5804" spans="1:11" x14ac:dyDescent="0.2">
      <c r="A5804" s="24" t="s">
        <v>13770</v>
      </c>
      <c r="B5804" s="24" t="s">
        <v>13771</v>
      </c>
      <c r="C5804" s="24" t="s">
        <v>213</v>
      </c>
      <c r="D5804" s="24" t="s">
        <v>17</v>
      </c>
      <c r="E5804" s="24" t="s">
        <v>18</v>
      </c>
      <c r="F5804" s="24" t="s">
        <v>19</v>
      </c>
      <c r="G5804" s="24" t="s">
        <v>44</v>
      </c>
      <c r="H5804" s="26">
        <v>9</v>
      </c>
      <c r="I5804" s="24" t="s">
        <v>21</v>
      </c>
      <c r="J5804" s="36">
        <v>45783</v>
      </c>
      <c r="K5804" s="24" t="s">
        <v>22</v>
      </c>
    </row>
    <row r="5805" spans="1:11" x14ac:dyDescent="0.2">
      <c r="A5805" s="27" t="s">
        <v>13772</v>
      </c>
      <c r="B5805" s="27" t="s">
        <v>13773</v>
      </c>
      <c r="C5805" s="27" t="s">
        <v>1994</v>
      </c>
      <c r="D5805" s="27" t="s">
        <v>17</v>
      </c>
      <c r="E5805" s="27" t="s">
        <v>48</v>
      </c>
      <c r="F5805" s="27" t="s">
        <v>49</v>
      </c>
      <c r="G5805" s="27" t="s">
        <v>28</v>
      </c>
      <c r="H5805" s="29">
        <v>60</v>
      </c>
      <c r="I5805" s="27" t="s">
        <v>29</v>
      </c>
      <c r="J5805" s="37">
        <v>45778</v>
      </c>
      <c r="K5805" s="27" t="s">
        <v>22</v>
      </c>
    </row>
    <row r="5806" spans="1:11" x14ac:dyDescent="0.2">
      <c r="A5806" s="24" t="s">
        <v>13774</v>
      </c>
      <c r="B5806" s="24" t="s">
        <v>13775</v>
      </c>
      <c r="C5806" s="24" t="s">
        <v>708</v>
      </c>
      <c r="D5806" s="24" t="s">
        <v>17</v>
      </c>
      <c r="E5806" s="24" t="s">
        <v>48</v>
      </c>
      <c r="F5806" s="24" t="s">
        <v>49</v>
      </c>
      <c r="G5806" s="24" t="s">
        <v>44</v>
      </c>
      <c r="H5806" s="26">
        <v>76</v>
      </c>
      <c r="I5806" s="24" t="s">
        <v>21</v>
      </c>
      <c r="J5806" s="36">
        <v>45782</v>
      </c>
      <c r="K5806" s="24" t="s">
        <v>22</v>
      </c>
    </row>
    <row r="5807" spans="1:11" x14ac:dyDescent="0.2">
      <c r="A5807" s="27" t="s">
        <v>13776</v>
      </c>
      <c r="B5807" s="27" t="s">
        <v>13777</v>
      </c>
      <c r="C5807" s="27" t="s">
        <v>13778</v>
      </c>
      <c r="D5807" s="27" t="s">
        <v>17</v>
      </c>
      <c r="E5807" s="27" t="s">
        <v>48</v>
      </c>
      <c r="F5807" s="27" t="s">
        <v>49</v>
      </c>
      <c r="G5807" s="27" t="s">
        <v>44</v>
      </c>
      <c r="H5807" s="29">
        <v>15</v>
      </c>
      <c r="I5807" s="27" t="s">
        <v>29</v>
      </c>
      <c r="J5807" s="37">
        <v>45791</v>
      </c>
      <c r="K5807" s="27" t="s">
        <v>22</v>
      </c>
    </row>
    <row r="5808" spans="1:11" x14ac:dyDescent="0.2">
      <c r="A5808" s="24" t="s">
        <v>13779</v>
      </c>
      <c r="B5808" s="24" t="s">
        <v>13780</v>
      </c>
      <c r="C5808" s="24" t="s">
        <v>6264</v>
      </c>
      <c r="D5808" s="24" t="s">
        <v>17</v>
      </c>
      <c r="E5808" s="24" t="s">
        <v>48</v>
      </c>
      <c r="F5808" s="24" t="s">
        <v>49</v>
      </c>
      <c r="G5808" s="24" t="s">
        <v>28</v>
      </c>
      <c r="H5808" s="26">
        <v>105</v>
      </c>
      <c r="I5808" s="24" t="s">
        <v>29</v>
      </c>
      <c r="J5808" s="36">
        <v>45805</v>
      </c>
      <c r="K5808" s="24" t="s">
        <v>22</v>
      </c>
    </row>
    <row r="5809" spans="1:11" x14ac:dyDescent="0.2">
      <c r="A5809" s="27" t="s">
        <v>13781</v>
      </c>
      <c r="B5809" s="27" t="s">
        <v>13782</v>
      </c>
      <c r="C5809" s="27" t="s">
        <v>12358</v>
      </c>
      <c r="D5809" s="27" t="s">
        <v>17</v>
      </c>
      <c r="E5809" s="27" t="s">
        <v>163</v>
      </c>
      <c r="F5809" s="27" t="s">
        <v>164</v>
      </c>
      <c r="G5809" s="27" t="s">
        <v>44</v>
      </c>
      <c r="H5809" s="29">
        <v>20</v>
      </c>
      <c r="I5809" s="27" t="s">
        <v>29</v>
      </c>
      <c r="J5809" s="37">
        <v>45795</v>
      </c>
      <c r="K5809" s="27" t="s">
        <v>22</v>
      </c>
    </row>
    <row r="5810" spans="1:11" x14ac:dyDescent="0.2">
      <c r="A5810" s="24" t="s">
        <v>13783</v>
      </c>
      <c r="B5810" s="24" t="s">
        <v>13784</v>
      </c>
      <c r="C5810" s="24" t="s">
        <v>3153</v>
      </c>
      <c r="D5810" s="24" t="s">
        <v>17</v>
      </c>
      <c r="E5810" s="24" t="s">
        <v>48</v>
      </c>
      <c r="F5810" s="24" t="s">
        <v>49</v>
      </c>
      <c r="G5810" s="24" t="s">
        <v>44</v>
      </c>
      <c r="H5810" s="26">
        <v>240</v>
      </c>
      <c r="I5810" s="24" t="s">
        <v>29</v>
      </c>
      <c r="J5810" s="36">
        <v>45792</v>
      </c>
      <c r="K5810" s="24" t="s">
        <v>22</v>
      </c>
    </row>
    <row r="5811" spans="1:11" x14ac:dyDescent="0.2">
      <c r="A5811" s="27" t="s">
        <v>13785</v>
      </c>
      <c r="B5811" s="27" t="s">
        <v>13786</v>
      </c>
      <c r="C5811" s="27" t="s">
        <v>97</v>
      </c>
      <c r="D5811" s="27" t="s">
        <v>17</v>
      </c>
      <c r="E5811" s="27" t="s">
        <v>48</v>
      </c>
      <c r="F5811" s="27" t="s">
        <v>49</v>
      </c>
      <c r="G5811" s="27" t="s">
        <v>28</v>
      </c>
      <c r="H5811" s="29">
        <v>224</v>
      </c>
      <c r="I5811" s="27" t="s">
        <v>29</v>
      </c>
      <c r="J5811" s="37">
        <v>45784</v>
      </c>
      <c r="K5811" s="27" t="s">
        <v>22</v>
      </c>
    </row>
    <row r="5812" spans="1:11" x14ac:dyDescent="0.2">
      <c r="A5812" s="24" t="s">
        <v>13787</v>
      </c>
      <c r="B5812" s="24" t="s">
        <v>13788</v>
      </c>
      <c r="C5812" s="24" t="s">
        <v>526</v>
      </c>
      <c r="D5812" s="24" t="s">
        <v>17</v>
      </c>
      <c r="E5812" s="24" t="s">
        <v>42</v>
      </c>
      <c r="F5812" s="24" t="s">
        <v>43</v>
      </c>
      <c r="G5812" s="24" t="s">
        <v>28</v>
      </c>
      <c r="H5812" s="26">
        <v>600</v>
      </c>
      <c r="I5812" s="24" t="s">
        <v>29</v>
      </c>
      <c r="J5812" s="36">
        <v>45796</v>
      </c>
      <c r="K5812" s="24" t="s">
        <v>22</v>
      </c>
    </row>
    <row r="5813" spans="1:11" x14ac:dyDescent="0.2">
      <c r="A5813" s="27" t="s">
        <v>13789</v>
      </c>
      <c r="B5813" s="27" t="s">
        <v>13790</v>
      </c>
      <c r="C5813" s="27" t="s">
        <v>140</v>
      </c>
      <c r="D5813" s="27" t="s">
        <v>17</v>
      </c>
      <c r="E5813" s="27" t="s">
        <v>18</v>
      </c>
      <c r="F5813" s="27" t="s">
        <v>19</v>
      </c>
      <c r="G5813" s="27" t="s">
        <v>217</v>
      </c>
      <c r="H5813" s="29">
        <v>40</v>
      </c>
      <c r="I5813" s="27" t="s">
        <v>29</v>
      </c>
      <c r="J5813" s="37">
        <v>45778</v>
      </c>
      <c r="K5813" s="27" t="s">
        <v>22</v>
      </c>
    </row>
    <row r="5814" spans="1:11" x14ac:dyDescent="0.2">
      <c r="A5814" s="24" t="s">
        <v>13791</v>
      </c>
      <c r="B5814" s="24" t="s">
        <v>13792</v>
      </c>
      <c r="C5814" s="24" t="s">
        <v>6457</v>
      </c>
      <c r="D5814" s="24" t="s">
        <v>17</v>
      </c>
      <c r="E5814" s="24" t="s">
        <v>18</v>
      </c>
      <c r="F5814" s="24" t="s">
        <v>19</v>
      </c>
      <c r="G5814" s="24" t="s">
        <v>217</v>
      </c>
      <c r="H5814" s="26">
        <v>200</v>
      </c>
      <c r="I5814" s="24" t="s">
        <v>29</v>
      </c>
      <c r="J5814" s="36">
        <v>45787</v>
      </c>
      <c r="K5814" s="24" t="s">
        <v>22</v>
      </c>
    </row>
    <row r="5815" spans="1:11" x14ac:dyDescent="0.2">
      <c r="A5815" s="27" t="s">
        <v>13793</v>
      </c>
      <c r="B5815" s="27" t="s">
        <v>13794</v>
      </c>
      <c r="C5815" s="27" t="s">
        <v>13795</v>
      </c>
      <c r="D5815" s="27" t="s">
        <v>17</v>
      </c>
      <c r="E5815" s="27" t="s">
        <v>48</v>
      </c>
      <c r="F5815" s="27" t="s">
        <v>49</v>
      </c>
      <c r="G5815" s="27" t="s">
        <v>28</v>
      </c>
      <c r="H5815" s="29">
        <v>98</v>
      </c>
      <c r="I5815" s="27" t="s">
        <v>29</v>
      </c>
      <c r="J5815" s="37">
        <v>45804</v>
      </c>
      <c r="K5815" s="27" t="s">
        <v>22</v>
      </c>
    </row>
    <row r="5816" spans="1:11" x14ac:dyDescent="0.2">
      <c r="A5816" s="24" t="s">
        <v>13796</v>
      </c>
      <c r="B5816" s="24" t="s">
        <v>13797</v>
      </c>
      <c r="C5816" s="24" t="s">
        <v>1130</v>
      </c>
      <c r="D5816" s="24" t="s">
        <v>17</v>
      </c>
      <c r="E5816" s="24" t="s">
        <v>33</v>
      </c>
      <c r="F5816" s="24" t="s">
        <v>34</v>
      </c>
      <c r="G5816" s="24" t="s">
        <v>28</v>
      </c>
      <c r="H5816" s="26">
        <v>740</v>
      </c>
      <c r="I5816" s="24" t="s">
        <v>29</v>
      </c>
      <c r="J5816" s="36">
        <v>45799</v>
      </c>
      <c r="K5816" s="24" t="s">
        <v>22</v>
      </c>
    </row>
    <row r="5817" spans="1:11" x14ac:dyDescent="0.2">
      <c r="A5817" s="27" t="s">
        <v>13798</v>
      </c>
      <c r="B5817" s="27" t="s">
        <v>13799</v>
      </c>
      <c r="C5817" s="27" t="s">
        <v>1605</v>
      </c>
      <c r="D5817" s="27" t="s">
        <v>17</v>
      </c>
      <c r="E5817" s="27" t="s">
        <v>18</v>
      </c>
      <c r="F5817" s="27" t="s">
        <v>19</v>
      </c>
      <c r="G5817" s="27" t="s">
        <v>28</v>
      </c>
      <c r="H5817" s="29">
        <v>56</v>
      </c>
      <c r="I5817" s="27" t="s">
        <v>29</v>
      </c>
      <c r="J5817" s="37">
        <v>45807</v>
      </c>
      <c r="K5817" s="27" t="s">
        <v>22</v>
      </c>
    </row>
    <row r="5818" spans="1:11" x14ac:dyDescent="0.2">
      <c r="A5818" s="24" t="s">
        <v>13800</v>
      </c>
      <c r="B5818" s="24" t="s">
        <v>13801</v>
      </c>
      <c r="C5818" s="24" t="s">
        <v>9491</v>
      </c>
      <c r="D5818" s="24" t="s">
        <v>17</v>
      </c>
      <c r="E5818" s="24" t="s">
        <v>18</v>
      </c>
      <c r="F5818" s="24" t="s">
        <v>19</v>
      </c>
      <c r="G5818" s="24" t="s">
        <v>217</v>
      </c>
      <c r="H5818" s="26">
        <v>30</v>
      </c>
      <c r="I5818" s="24" t="s">
        <v>29</v>
      </c>
      <c r="J5818" s="36">
        <v>45785</v>
      </c>
      <c r="K5818" s="24" t="s">
        <v>22</v>
      </c>
    </row>
    <row r="5819" spans="1:11" x14ac:dyDescent="0.2">
      <c r="A5819" s="27" t="s">
        <v>13802</v>
      </c>
      <c r="B5819" s="27" t="s">
        <v>13803</v>
      </c>
      <c r="C5819" s="27" t="s">
        <v>13804</v>
      </c>
      <c r="D5819" s="27" t="s">
        <v>17</v>
      </c>
      <c r="E5819" s="27" t="s">
        <v>33</v>
      </c>
      <c r="F5819" s="27" t="s">
        <v>34</v>
      </c>
      <c r="G5819" s="27" t="s">
        <v>28</v>
      </c>
      <c r="H5819" s="29">
        <v>312</v>
      </c>
      <c r="I5819" s="27" t="s">
        <v>29</v>
      </c>
      <c r="J5819" s="37">
        <v>45778</v>
      </c>
      <c r="K5819" s="27" t="s">
        <v>22</v>
      </c>
    </row>
    <row r="5820" spans="1:11" x14ac:dyDescent="0.2">
      <c r="A5820" s="24" t="s">
        <v>13805</v>
      </c>
      <c r="B5820" s="24" t="s">
        <v>13806</v>
      </c>
      <c r="C5820" s="24" t="s">
        <v>55</v>
      </c>
      <c r="D5820" s="24" t="s">
        <v>17</v>
      </c>
      <c r="E5820" s="24" t="s">
        <v>42</v>
      </c>
      <c r="F5820" s="24" t="s">
        <v>43</v>
      </c>
      <c r="G5820" s="24" t="s">
        <v>28</v>
      </c>
      <c r="H5820" s="26">
        <v>1123</v>
      </c>
      <c r="I5820" s="24" t="s">
        <v>29</v>
      </c>
      <c r="J5820" s="36">
        <v>45799</v>
      </c>
      <c r="K5820" s="24" t="s">
        <v>22</v>
      </c>
    </row>
    <row r="5821" spans="1:11" x14ac:dyDescent="0.2">
      <c r="A5821" s="27" t="s">
        <v>13807</v>
      </c>
      <c r="B5821" s="27" t="s">
        <v>13808</v>
      </c>
      <c r="C5821" s="27" t="s">
        <v>690</v>
      </c>
      <c r="D5821" s="27" t="s">
        <v>17</v>
      </c>
      <c r="E5821" s="27" t="s">
        <v>42</v>
      </c>
      <c r="F5821" s="27" t="s">
        <v>43</v>
      </c>
      <c r="G5821" s="27" t="s">
        <v>28</v>
      </c>
      <c r="H5821" s="29">
        <v>400</v>
      </c>
      <c r="I5821" s="27" t="s">
        <v>29</v>
      </c>
      <c r="J5821" s="37">
        <v>45791</v>
      </c>
      <c r="K5821" s="27" t="s">
        <v>22</v>
      </c>
    </row>
    <row r="5822" spans="1:11" x14ac:dyDescent="0.2">
      <c r="A5822" s="24" t="s">
        <v>13809</v>
      </c>
      <c r="B5822" s="24" t="s">
        <v>13810</v>
      </c>
      <c r="C5822" s="24" t="s">
        <v>1635</v>
      </c>
      <c r="D5822" s="24" t="s">
        <v>17</v>
      </c>
      <c r="E5822" s="24" t="s">
        <v>48</v>
      </c>
      <c r="F5822" s="24" t="s">
        <v>49</v>
      </c>
      <c r="G5822" s="24" t="s">
        <v>28</v>
      </c>
      <c r="H5822" s="26">
        <v>436</v>
      </c>
      <c r="I5822" s="24" t="s">
        <v>29</v>
      </c>
      <c r="J5822" s="36">
        <v>45798</v>
      </c>
      <c r="K5822" s="24" t="s">
        <v>22</v>
      </c>
    </row>
    <row r="5823" spans="1:11" x14ac:dyDescent="0.2">
      <c r="A5823" s="27" t="s">
        <v>13811</v>
      </c>
      <c r="B5823" s="27" t="s">
        <v>13812</v>
      </c>
      <c r="C5823" s="27" t="s">
        <v>5080</v>
      </c>
      <c r="D5823" s="27" t="s">
        <v>17</v>
      </c>
      <c r="E5823" s="27" t="s">
        <v>18</v>
      </c>
      <c r="F5823" s="27" t="s">
        <v>19</v>
      </c>
      <c r="G5823" s="27" t="s">
        <v>28</v>
      </c>
      <c r="H5823" s="29">
        <v>8</v>
      </c>
      <c r="I5823" s="27" t="s">
        <v>29</v>
      </c>
      <c r="J5823" s="37">
        <v>45790</v>
      </c>
      <c r="K5823" s="27" t="s">
        <v>22</v>
      </c>
    </row>
    <row r="5824" spans="1:11" x14ac:dyDescent="0.2">
      <c r="A5824" s="24" t="s">
        <v>13813</v>
      </c>
      <c r="B5824" s="24" t="s">
        <v>13814</v>
      </c>
      <c r="C5824" s="24" t="s">
        <v>340</v>
      </c>
      <c r="D5824" s="24" t="s">
        <v>17</v>
      </c>
      <c r="E5824" s="24" t="s">
        <v>18</v>
      </c>
      <c r="F5824" s="24" t="s">
        <v>19</v>
      </c>
      <c r="G5824" s="24" t="s">
        <v>116</v>
      </c>
      <c r="H5824" s="26">
        <v>0</v>
      </c>
      <c r="I5824" s="24" t="s">
        <v>21</v>
      </c>
      <c r="J5824" s="36">
        <v>45791</v>
      </c>
      <c r="K5824" s="24" t="s">
        <v>22</v>
      </c>
    </row>
    <row r="5825" spans="1:11" x14ac:dyDescent="0.2">
      <c r="A5825" s="27" t="s">
        <v>13815</v>
      </c>
      <c r="B5825" s="27" t="s">
        <v>13816</v>
      </c>
      <c r="C5825" s="27" t="s">
        <v>106</v>
      </c>
      <c r="D5825" s="27" t="s">
        <v>17</v>
      </c>
      <c r="E5825" s="27" t="s">
        <v>42</v>
      </c>
      <c r="F5825" s="27" t="s">
        <v>43</v>
      </c>
      <c r="G5825" s="27" t="s">
        <v>28</v>
      </c>
      <c r="H5825" s="29">
        <v>11800</v>
      </c>
      <c r="I5825" s="27" t="s">
        <v>29</v>
      </c>
      <c r="J5825" s="37">
        <v>45786</v>
      </c>
      <c r="K5825" s="27" t="s">
        <v>22</v>
      </c>
    </row>
    <row r="5826" spans="1:11" x14ac:dyDescent="0.2">
      <c r="A5826" s="24" t="s">
        <v>13817</v>
      </c>
      <c r="B5826" s="24" t="s">
        <v>13818</v>
      </c>
      <c r="C5826" s="24" t="s">
        <v>708</v>
      </c>
      <c r="D5826" s="24" t="s">
        <v>17</v>
      </c>
      <c r="E5826" s="24" t="s">
        <v>48</v>
      </c>
      <c r="F5826" s="24" t="s">
        <v>49</v>
      </c>
      <c r="G5826" s="24" t="s">
        <v>28</v>
      </c>
      <c r="H5826" s="26">
        <v>220</v>
      </c>
      <c r="I5826" s="24" t="s">
        <v>29</v>
      </c>
      <c r="J5826" s="36">
        <v>45805</v>
      </c>
      <c r="K5826" s="24" t="s">
        <v>22</v>
      </c>
    </row>
    <row r="5827" spans="1:11" x14ac:dyDescent="0.2">
      <c r="A5827" s="27" t="s">
        <v>13819</v>
      </c>
      <c r="B5827" s="27" t="s">
        <v>13820</v>
      </c>
      <c r="C5827" s="27" t="s">
        <v>251</v>
      </c>
      <c r="D5827" s="27" t="s">
        <v>17</v>
      </c>
      <c r="E5827" s="27" t="s">
        <v>48</v>
      </c>
      <c r="F5827" s="27" t="s">
        <v>49</v>
      </c>
      <c r="G5827" s="27" t="s">
        <v>28</v>
      </c>
      <c r="H5827" s="29">
        <v>44</v>
      </c>
      <c r="I5827" s="27" t="s">
        <v>29</v>
      </c>
      <c r="J5827" s="37">
        <v>45799</v>
      </c>
      <c r="K5827" s="27" t="s">
        <v>22</v>
      </c>
    </row>
    <row r="5828" spans="1:11" x14ac:dyDescent="0.2">
      <c r="A5828" s="24" t="s">
        <v>13821</v>
      </c>
      <c r="B5828" s="24" t="s">
        <v>13822</v>
      </c>
      <c r="C5828" s="24" t="s">
        <v>230</v>
      </c>
      <c r="D5828" s="24" t="s">
        <v>17</v>
      </c>
      <c r="E5828" s="24" t="s">
        <v>42</v>
      </c>
      <c r="F5828" s="24" t="s">
        <v>43</v>
      </c>
      <c r="G5828" s="24" t="s">
        <v>44</v>
      </c>
      <c r="H5828" s="26">
        <v>153</v>
      </c>
      <c r="I5828" s="24" t="s">
        <v>21</v>
      </c>
      <c r="J5828" s="36">
        <v>45803</v>
      </c>
      <c r="K5828" s="24" t="s">
        <v>22</v>
      </c>
    </row>
    <row r="5829" spans="1:11" x14ac:dyDescent="0.2">
      <c r="A5829" s="27" t="s">
        <v>13823</v>
      </c>
      <c r="B5829" s="27" t="s">
        <v>13824</v>
      </c>
      <c r="C5829" s="27" t="s">
        <v>13825</v>
      </c>
      <c r="D5829" s="27" t="s">
        <v>17</v>
      </c>
      <c r="E5829" s="27" t="s">
        <v>48</v>
      </c>
      <c r="F5829" s="27" t="s">
        <v>49</v>
      </c>
      <c r="G5829" s="27" t="s">
        <v>28</v>
      </c>
      <c r="H5829" s="29">
        <v>35</v>
      </c>
      <c r="I5829" s="27" t="s">
        <v>29</v>
      </c>
      <c r="J5829" s="37">
        <v>45782</v>
      </c>
      <c r="K5829" s="27" t="s">
        <v>22</v>
      </c>
    </row>
    <row r="5830" spans="1:11" x14ac:dyDescent="0.2">
      <c r="A5830" s="24" t="s">
        <v>13826</v>
      </c>
      <c r="B5830" s="24" t="s">
        <v>13827</v>
      </c>
      <c r="C5830" s="24" t="s">
        <v>13828</v>
      </c>
      <c r="D5830" s="24" t="s">
        <v>17</v>
      </c>
      <c r="E5830" s="24" t="s">
        <v>26</v>
      </c>
      <c r="F5830" s="24" t="s">
        <v>27</v>
      </c>
      <c r="G5830" s="24" t="s">
        <v>28</v>
      </c>
      <c r="H5830" s="26">
        <v>25</v>
      </c>
      <c r="I5830" s="24" t="s">
        <v>29</v>
      </c>
      <c r="J5830" s="36">
        <v>45783</v>
      </c>
      <c r="K5830" s="24" t="s">
        <v>22</v>
      </c>
    </row>
    <row r="5831" spans="1:11" x14ac:dyDescent="0.2">
      <c r="A5831" s="27" t="s">
        <v>13829</v>
      </c>
      <c r="B5831" s="27" t="s">
        <v>13830</v>
      </c>
      <c r="C5831" s="27" t="s">
        <v>2944</v>
      </c>
      <c r="D5831" s="27" t="s">
        <v>17</v>
      </c>
      <c r="E5831" s="27" t="s">
        <v>48</v>
      </c>
      <c r="F5831" s="27" t="s">
        <v>49</v>
      </c>
      <c r="G5831" s="27" t="s">
        <v>217</v>
      </c>
      <c r="H5831" s="29">
        <v>156</v>
      </c>
      <c r="I5831" s="27" t="s">
        <v>29</v>
      </c>
      <c r="J5831" s="37">
        <v>45803</v>
      </c>
      <c r="K5831" s="27" t="s">
        <v>22</v>
      </c>
    </row>
    <row r="5832" spans="1:11" x14ac:dyDescent="0.2">
      <c r="A5832" s="24" t="s">
        <v>13831</v>
      </c>
      <c r="B5832" s="24" t="s">
        <v>13832</v>
      </c>
      <c r="C5832" s="24" t="s">
        <v>8651</v>
      </c>
      <c r="D5832" s="24" t="s">
        <v>17</v>
      </c>
      <c r="E5832" s="24" t="s">
        <v>42</v>
      </c>
      <c r="F5832" s="24" t="s">
        <v>43</v>
      </c>
      <c r="G5832" s="24" t="s">
        <v>217</v>
      </c>
      <c r="H5832" s="26">
        <v>705</v>
      </c>
      <c r="I5832" s="24" t="s">
        <v>29</v>
      </c>
      <c r="J5832" s="36">
        <v>45809</v>
      </c>
      <c r="K5832" s="24" t="s">
        <v>22</v>
      </c>
    </row>
    <row r="5833" spans="1:11" x14ac:dyDescent="0.2">
      <c r="A5833" s="27" t="s">
        <v>13833</v>
      </c>
      <c r="B5833" s="27" t="s">
        <v>13834</v>
      </c>
      <c r="C5833" s="27" t="s">
        <v>13835</v>
      </c>
      <c r="D5833" s="27" t="s">
        <v>17</v>
      </c>
      <c r="E5833" s="27" t="s">
        <v>48</v>
      </c>
      <c r="F5833" s="27" t="s">
        <v>49</v>
      </c>
      <c r="G5833" s="27" t="s">
        <v>28</v>
      </c>
      <c r="H5833" s="29">
        <v>72</v>
      </c>
      <c r="I5833" s="27" t="s">
        <v>29</v>
      </c>
      <c r="J5833" s="37">
        <v>45838</v>
      </c>
      <c r="K5833" s="27" t="s">
        <v>22</v>
      </c>
    </row>
    <row r="5834" spans="1:11" x14ac:dyDescent="0.2">
      <c r="A5834" s="24" t="s">
        <v>13836</v>
      </c>
      <c r="B5834" s="24" t="s">
        <v>13837</v>
      </c>
      <c r="C5834" s="24" t="s">
        <v>526</v>
      </c>
      <c r="D5834" s="24" t="s">
        <v>17</v>
      </c>
      <c r="E5834" s="24" t="s">
        <v>42</v>
      </c>
      <c r="F5834" s="24" t="s">
        <v>43</v>
      </c>
      <c r="G5834" s="24" t="s">
        <v>28</v>
      </c>
      <c r="H5834" s="26">
        <v>350</v>
      </c>
      <c r="I5834" s="24" t="s">
        <v>29</v>
      </c>
      <c r="J5834" s="36">
        <v>45834</v>
      </c>
      <c r="K5834" s="24" t="s">
        <v>22</v>
      </c>
    </row>
    <row r="5835" spans="1:11" x14ac:dyDescent="0.2">
      <c r="A5835" s="27" t="s">
        <v>13838</v>
      </c>
      <c r="B5835" s="27" t="s">
        <v>13839</v>
      </c>
      <c r="C5835" s="27" t="s">
        <v>595</v>
      </c>
      <c r="D5835" s="27" t="s">
        <v>17</v>
      </c>
      <c r="E5835" s="27" t="s">
        <v>42</v>
      </c>
      <c r="F5835" s="27" t="s">
        <v>43</v>
      </c>
      <c r="G5835" s="27" t="s">
        <v>217</v>
      </c>
      <c r="H5835" s="29">
        <v>174</v>
      </c>
      <c r="I5835" s="27" t="s">
        <v>29</v>
      </c>
      <c r="J5835" s="37">
        <v>45809</v>
      </c>
      <c r="K5835" s="27" t="s">
        <v>22</v>
      </c>
    </row>
    <row r="5836" spans="1:11" x14ac:dyDescent="0.2">
      <c r="A5836" s="24" t="s">
        <v>13840</v>
      </c>
      <c r="B5836" s="24" t="s">
        <v>13841</v>
      </c>
      <c r="C5836" s="24" t="s">
        <v>213</v>
      </c>
      <c r="D5836" s="24" t="s">
        <v>17</v>
      </c>
      <c r="E5836" s="24" t="s">
        <v>18</v>
      </c>
      <c r="F5836" s="24" t="s">
        <v>19</v>
      </c>
      <c r="G5836" s="24" t="s">
        <v>20</v>
      </c>
      <c r="H5836" s="26">
        <v>8</v>
      </c>
      <c r="I5836" s="24" t="s">
        <v>21</v>
      </c>
      <c r="J5836" s="36">
        <v>45812</v>
      </c>
      <c r="K5836" s="24" t="s">
        <v>22</v>
      </c>
    </row>
    <row r="5837" spans="1:11" x14ac:dyDescent="0.2">
      <c r="A5837" s="27" t="s">
        <v>13842</v>
      </c>
      <c r="B5837" s="27" t="s">
        <v>13843</v>
      </c>
      <c r="C5837" s="27" t="s">
        <v>1110</v>
      </c>
      <c r="D5837" s="27" t="s">
        <v>17</v>
      </c>
      <c r="E5837" s="27" t="s">
        <v>18</v>
      </c>
      <c r="F5837" s="27" t="s">
        <v>19</v>
      </c>
      <c r="G5837" s="27" t="s">
        <v>28</v>
      </c>
      <c r="H5837" s="29">
        <v>40</v>
      </c>
      <c r="I5837" s="27" t="s">
        <v>29</v>
      </c>
      <c r="J5837" s="37">
        <v>45812</v>
      </c>
      <c r="K5837" s="27" t="s">
        <v>22</v>
      </c>
    </row>
    <row r="5838" spans="1:11" x14ac:dyDescent="0.2">
      <c r="A5838" s="24" t="s">
        <v>13844</v>
      </c>
      <c r="B5838" s="24" t="s">
        <v>13845</v>
      </c>
      <c r="C5838" s="24" t="s">
        <v>1895</v>
      </c>
      <c r="D5838" s="24" t="s">
        <v>17</v>
      </c>
      <c r="E5838" s="24" t="s">
        <v>18</v>
      </c>
      <c r="F5838" s="24" t="s">
        <v>19</v>
      </c>
      <c r="G5838" s="24" t="s">
        <v>28</v>
      </c>
      <c r="H5838" s="26">
        <v>156</v>
      </c>
      <c r="I5838" s="24" t="s">
        <v>29</v>
      </c>
      <c r="J5838" s="36">
        <v>45824</v>
      </c>
      <c r="K5838" s="24" t="s">
        <v>22</v>
      </c>
    </row>
    <row r="5839" spans="1:11" x14ac:dyDescent="0.2">
      <c r="A5839" s="27" t="s">
        <v>13846</v>
      </c>
      <c r="B5839" s="27" t="s">
        <v>13847</v>
      </c>
      <c r="C5839" s="27" t="s">
        <v>1053</v>
      </c>
      <c r="D5839" s="27" t="s">
        <v>17</v>
      </c>
      <c r="E5839" s="27" t="s">
        <v>48</v>
      </c>
      <c r="F5839" s="27" t="s">
        <v>49</v>
      </c>
      <c r="G5839" s="27" t="s">
        <v>28</v>
      </c>
      <c r="H5839" s="29">
        <v>200</v>
      </c>
      <c r="I5839" s="27" t="s">
        <v>29</v>
      </c>
      <c r="J5839" s="37">
        <v>45813</v>
      </c>
      <c r="K5839" s="27" t="s">
        <v>22</v>
      </c>
    </row>
    <row r="5840" spans="1:11" x14ac:dyDescent="0.2">
      <c r="A5840" s="24" t="s">
        <v>13848</v>
      </c>
      <c r="B5840" s="24" t="s">
        <v>13849</v>
      </c>
      <c r="C5840" s="24" t="s">
        <v>6098</v>
      </c>
      <c r="D5840" s="24" t="s">
        <v>17</v>
      </c>
      <c r="E5840" s="24" t="s">
        <v>18</v>
      </c>
      <c r="F5840" s="24" t="s">
        <v>19</v>
      </c>
      <c r="G5840" s="24" t="s">
        <v>28</v>
      </c>
      <c r="H5840" s="26">
        <v>130</v>
      </c>
      <c r="I5840" s="24" t="s">
        <v>29</v>
      </c>
      <c r="J5840" s="36">
        <v>45813</v>
      </c>
      <c r="K5840" s="24" t="s">
        <v>22</v>
      </c>
    </row>
    <row r="5841" spans="1:11" x14ac:dyDescent="0.2">
      <c r="A5841" s="27" t="s">
        <v>13850</v>
      </c>
      <c r="B5841" s="27" t="s">
        <v>13851</v>
      </c>
      <c r="C5841" s="27" t="s">
        <v>534</v>
      </c>
      <c r="D5841" s="27" t="s">
        <v>17</v>
      </c>
      <c r="E5841" s="27" t="s">
        <v>42</v>
      </c>
      <c r="F5841" s="27" t="s">
        <v>43</v>
      </c>
      <c r="G5841" s="27" t="s">
        <v>116</v>
      </c>
      <c r="H5841" s="29">
        <v>0</v>
      </c>
      <c r="I5841" s="27" t="s">
        <v>21</v>
      </c>
      <c r="J5841" s="37">
        <v>45838</v>
      </c>
      <c r="K5841" s="27" t="s">
        <v>22</v>
      </c>
    </row>
    <row r="5842" spans="1:11" x14ac:dyDescent="0.2">
      <c r="A5842" s="24" t="s">
        <v>13852</v>
      </c>
      <c r="B5842" s="24" t="s">
        <v>13853</v>
      </c>
      <c r="C5842" s="24" t="s">
        <v>13854</v>
      </c>
      <c r="D5842" s="24" t="s">
        <v>17</v>
      </c>
      <c r="E5842" s="24" t="s">
        <v>48</v>
      </c>
      <c r="F5842" s="24" t="s">
        <v>49</v>
      </c>
      <c r="G5842" s="24" t="s">
        <v>28</v>
      </c>
      <c r="H5842" s="26">
        <v>120</v>
      </c>
      <c r="I5842" s="24" t="s">
        <v>29</v>
      </c>
      <c r="J5842" s="36">
        <v>45831</v>
      </c>
      <c r="K5842" s="24" t="s">
        <v>22</v>
      </c>
    </row>
    <row r="5843" spans="1:11" x14ac:dyDescent="0.2">
      <c r="A5843" s="27" t="s">
        <v>13855</v>
      </c>
      <c r="B5843" s="27" t="s">
        <v>13856</v>
      </c>
      <c r="C5843" s="27" t="s">
        <v>4244</v>
      </c>
      <c r="D5843" s="27" t="s">
        <v>17</v>
      </c>
      <c r="E5843" s="27" t="s">
        <v>26</v>
      </c>
      <c r="F5843" s="27" t="s">
        <v>27</v>
      </c>
      <c r="G5843" s="27" t="s">
        <v>28</v>
      </c>
      <c r="H5843" s="29">
        <v>16</v>
      </c>
      <c r="I5843" s="27" t="s">
        <v>29</v>
      </c>
      <c r="J5843" s="37">
        <v>45809</v>
      </c>
      <c r="K5843" s="27" t="s">
        <v>22</v>
      </c>
    </row>
    <row r="5844" spans="1:11" x14ac:dyDescent="0.2">
      <c r="A5844" s="24" t="s">
        <v>13857</v>
      </c>
      <c r="B5844" s="24" t="s">
        <v>13858</v>
      </c>
      <c r="C5844" s="24" t="s">
        <v>1438</v>
      </c>
      <c r="D5844" s="24" t="s">
        <v>17</v>
      </c>
      <c r="E5844" s="24" t="s">
        <v>42</v>
      </c>
      <c r="F5844" s="24" t="s">
        <v>43</v>
      </c>
      <c r="G5844" s="24" t="s">
        <v>28</v>
      </c>
      <c r="H5844" s="26">
        <v>378</v>
      </c>
      <c r="I5844" s="24" t="s">
        <v>29</v>
      </c>
      <c r="J5844" s="36">
        <v>45812</v>
      </c>
      <c r="K5844" s="24" t="s">
        <v>22</v>
      </c>
    </row>
    <row r="5845" spans="1:11" x14ac:dyDescent="0.2">
      <c r="A5845" s="27" t="s">
        <v>13859</v>
      </c>
      <c r="B5845" s="27" t="s">
        <v>13860</v>
      </c>
      <c r="C5845" s="27" t="s">
        <v>55</v>
      </c>
      <c r="D5845" s="27" t="s">
        <v>17</v>
      </c>
      <c r="E5845" s="27" t="s">
        <v>48</v>
      </c>
      <c r="F5845" s="27" t="s">
        <v>49</v>
      </c>
      <c r="G5845" s="27" t="s">
        <v>44</v>
      </c>
      <c r="H5845" s="29">
        <v>147</v>
      </c>
      <c r="I5845" s="27" t="s">
        <v>29</v>
      </c>
      <c r="J5845" s="37">
        <v>45817</v>
      </c>
      <c r="K5845" s="27" t="s">
        <v>22</v>
      </c>
    </row>
    <row r="5846" spans="1:11" x14ac:dyDescent="0.2">
      <c r="A5846" s="24" t="s">
        <v>13861</v>
      </c>
      <c r="B5846" s="24" t="s">
        <v>13862</v>
      </c>
      <c r="C5846" s="24" t="s">
        <v>197</v>
      </c>
      <c r="D5846" s="24" t="s">
        <v>17</v>
      </c>
      <c r="E5846" s="24" t="s">
        <v>48</v>
      </c>
      <c r="F5846" s="24" t="s">
        <v>49</v>
      </c>
      <c r="G5846" s="24" t="s">
        <v>28</v>
      </c>
      <c r="H5846" s="26">
        <v>218</v>
      </c>
      <c r="I5846" s="24" t="s">
        <v>29</v>
      </c>
      <c r="J5846" s="36">
        <v>45827</v>
      </c>
      <c r="K5846" s="24" t="s">
        <v>22</v>
      </c>
    </row>
    <row r="5847" spans="1:11" x14ac:dyDescent="0.2">
      <c r="A5847" s="27" t="s">
        <v>13863</v>
      </c>
      <c r="B5847" s="27" t="s">
        <v>13864</v>
      </c>
      <c r="C5847" s="27" t="s">
        <v>13865</v>
      </c>
      <c r="D5847" s="27" t="s">
        <v>17</v>
      </c>
      <c r="E5847" s="27" t="s">
        <v>48</v>
      </c>
      <c r="F5847" s="27" t="s">
        <v>49</v>
      </c>
      <c r="G5847" s="27" t="s">
        <v>28</v>
      </c>
      <c r="H5847" s="29">
        <v>60</v>
      </c>
      <c r="I5847" s="27" t="s">
        <v>29</v>
      </c>
      <c r="J5847" s="37">
        <v>45823</v>
      </c>
      <c r="K5847" s="27" t="s">
        <v>22</v>
      </c>
    </row>
    <row r="5848" spans="1:11" x14ac:dyDescent="0.2">
      <c r="A5848" s="24" t="s">
        <v>13866</v>
      </c>
      <c r="B5848" s="24" t="s">
        <v>13867</v>
      </c>
      <c r="C5848" s="24" t="s">
        <v>2550</v>
      </c>
      <c r="D5848" s="24" t="s">
        <v>17</v>
      </c>
      <c r="E5848" s="24" t="s">
        <v>42</v>
      </c>
      <c r="F5848" s="24" t="s">
        <v>43</v>
      </c>
      <c r="G5848" s="24" t="s">
        <v>28</v>
      </c>
      <c r="H5848" s="26">
        <v>880</v>
      </c>
      <c r="I5848" s="24" t="s">
        <v>29</v>
      </c>
      <c r="J5848" s="36">
        <v>45810</v>
      </c>
      <c r="K5848" s="24" t="s">
        <v>22</v>
      </c>
    </row>
    <row r="5849" spans="1:11" x14ac:dyDescent="0.2">
      <c r="A5849" s="27" t="s">
        <v>13868</v>
      </c>
      <c r="B5849" s="27" t="s">
        <v>13869</v>
      </c>
      <c r="C5849" s="27" t="s">
        <v>437</v>
      </c>
      <c r="D5849" s="27" t="s">
        <v>17</v>
      </c>
      <c r="E5849" s="27" t="s">
        <v>42</v>
      </c>
      <c r="F5849" s="27" t="s">
        <v>43</v>
      </c>
      <c r="G5849" s="27" t="s">
        <v>44</v>
      </c>
      <c r="H5849" s="29">
        <v>279</v>
      </c>
      <c r="I5849" s="27" t="s">
        <v>21</v>
      </c>
      <c r="J5849" s="37">
        <v>45821</v>
      </c>
      <c r="K5849" s="27" t="s">
        <v>22</v>
      </c>
    </row>
    <row r="5850" spans="1:11" x14ac:dyDescent="0.2">
      <c r="A5850" s="24" t="s">
        <v>13870</v>
      </c>
      <c r="B5850" s="24" t="s">
        <v>13871</v>
      </c>
      <c r="C5850" s="24" t="s">
        <v>85</v>
      </c>
      <c r="D5850" s="24" t="s">
        <v>17</v>
      </c>
      <c r="E5850" s="24" t="s">
        <v>26</v>
      </c>
      <c r="F5850" s="24" t="s">
        <v>27</v>
      </c>
      <c r="G5850" s="24" t="s">
        <v>28</v>
      </c>
      <c r="H5850" s="26">
        <v>440</v>
      </c>
      <c r="I5850" s="24" t="s">
        <v>29</v>
      </c>
      <c r="J5850" s="36">
        <v>45838</v>
      </c>
      <c r="K5850" s="24" t="s">
        <v>22</v>
      </c>
    </row>
    <row r="5851" spans="1:11" x14ac:dyDescent="0.2">
      <c r="A5851" s="27" t="s">
        <v>13872</v>
      </c>
      <c r="B5851" s="27" t="s">
        <v>13873</v>
      </c>
      <c r="C5851" s="27" t="s">
        <v>97</v>
      </c>
      <c r="D5851" s="27" t="s">
        <v>17</v>
      </c>
      <c r="E5851" s="27" t="s">
        <v>48</v>
      </c>
      <c r="F5851" s="27" t="s">
        <v>49</v>
      </c>
      <c r="G5851" s="27" t="s">
        <v>116</v>
      </c>
      <c r="H5851" s="29">
        <v>0</v>
      </c>
      <c r="I5851" s="27" t="s">
        <v>21</v>
      </c>
      <c r="J5851" s="37">
        <v>45838</v>
      </c>
      <c r="K5851" s="27" t="s">
        <v>22</v>
      </c>
    </row>
    <row r="5852" spans="1:11" x14ac:dyDescent="0.2">
      <c r="A5852" s="24" t="s">
        <v>13874</v>
      </c>
      <c r="B5852" s="24" t="s">
        <v>13875</v>
      </c>
      <c r="C5852" s="24" t="s">
        <v>2779</v>
      </c>
      <c r="D5852" s="24" t="s">
        <v>17</v>
      </c>
      <c r="E5852" s="24" t="s">
        <v>42</v>
      </c>
      <c r="F5852" s="24" t="s">
        <v>43</v>
      </c>
      <c r="G5852" s="24" t="s">
        <v>28</v>
      </c>
      <c r="H5852" s="26">
        <v>630</v>
      </c>
      <c r="I5852" s="24" t="s">
        <v>29</v>
      </c>
      <c r="J5852" s="36">
        <v>45819</v>
      </c>
      <c r="K5852" s="24" t="s">
        <v>22</v>
      </c>
    </row>
    <row r="5853" spans="1:11" x14ac:dyDescent="0.2">
      <c r="A5853" s="27" t="s">
        <v>13876</v>
      </c>
      <c r="B5853" s="27" t="s">
        <v>13877</v>
      </c>
      <c r="C5853" s="27" t="s">
        <v>899</v>
      </c>
      <c r="D5853" s="27" t="s">
        <v>17</v>
      </c>
      <c r="E5853" s="27" t="s">
        <v>42</v>
      </c>
      <c r="F5853" s="27" t="s">
        <v>43</v>
      </c>
      <c r="G5853" s="27" t="s">
        <v>28</v>
      </c>
      <c r="H5853" s="29">
        <v>158</v>
      </c>
      <c r="I5853" s="27" t="s">
        <v>29</v>
      </c>
      <c r="J5853" s="37">
        <v>45818</v>
      </c>
      <c r="K5853" s="27" t="s">
        <v>22</v>
      </c>
    </row>
    <row r="5854" spans="1:11" x14ac:dyDescent="0.2">
      <c r="A5854" s="24" t="s">
        <v>13878</v>
      </c>
      <c r="B5854" s="24" t="s">
        <v>13879</v>
      </c>
      <c r="C5854" s="24" t="s">
        <v>13880</v>
      </c>
      <c r="D5854" s="24" t="s">
        <v>17</v>
      </c>
      <c r="E5854" s="24" t="s">
        <v>18</v>
      </c>
      <c r="F5854" s="24" t="s">
        <v>19</v>
      </c>
      <c r="G5854" s="24" t="s">
        <v>28</v>
      </c>
      <c r="H5854" s="26">
        <v>30</v>
      </c>
      <c r="I5854" s="24" t="s">
        <v>29</v>
      </c>
      <c r="J5854" s="36">
        <v>45824</v>
      </c>
      <c r="K5854" s="24" t="s">
        <v>22</v>
      </c>
    </row>
    <row r="5855" spans="1:11" x14ac:dyDescent="0.2">
      <c r="A5855" s="27" t="s">
        <v>13881</v>
      </c>
      <c r="B5855" s="27" t="s">
        <v>13882</v>
      </c>
      <c r="C5855" s="27" t="s">
        <v>13883</v>
      </c>
      <c r="D5855" s="27" t="s">
        <v>17</v>
      </c>
      <c r="E5855" s="27" t="s">
        <v>26</v>
      </c>
      <c r="F5855" s="27" t="s">
        <v>27</v>
      </c>
      <c r="G5855" s="27" t="s">
        <v>217</v>
      </c>
      <c r="H5855" s="29">
        <v>40</v>
      </c>
      <c r="I5855" s="27" t="s">
        <v>29</v>
      </c>
      <c r="J5855" s="37">
        <v>45818</v>
      </c>
      <c r="K5855" s="27" t="s">
        <v>22</v>
      </c>
    </row>
    <row r="5856" spans="1:11" x14ac:dyDescent="0.2">
      <c r="A5856" s="24" t="s">
        <v>13884</v>
      </c>
      <c r="B5856" s="24" t="s">
        <v>13885</v>
      </c>
      <c r="C5856" s="24" t="s">
        <v>2944</v>
      </c>
      <c r="D5856" s="24" t="s">
        <v>17</v>
      </c>
      <c r="E5856" s="24" t="s">
        <v>42</v>
      </c>
      <c r="F5856" s="24" t="s">
        <v>43</v>
      </c>
      <c r="G5856" s="24" t="s">
        <v>227</v>
      </c>
      <c r="H5856" s="26">
        <v>815</v>
      </c>
      <c r="I5856" s="24" t="s">
        <v>29</v>
      </c>
      <c r="J5856" s="36">
        <v>45828</v>
      </c>
      <c r="K5856" s="24" t="s">
        <v>22</v>
      </c>
    </row>
    <row r="5857" spans="1:11" x14ac:dyDescent="0.2">
      <c r="A5857" s="27" t="s">
        <v>13886</v>
      </c>
      <c r="B5857" s="27" t="s">
        <v>13887</v>
      </c>
      <c r="C5857" s="27" t="s">
        <v>13888</v>
      </c>
      <c r="D5857" s="27" t="s">
        <v>17</v>
      </c>
      <c r="E5857" s="27" t="s">
        <v>42</v>
      </c>
      <c r="F5857" s="27" t="s">
        <v>43</v>
      </c>
      <c r="G5857" s="27" t="s">
        <v>28</v>
      </c>
      <c r="H5857" s="29">
        <v>378</v>
      </c>
      <c r="I5857" s="27" t="s">
        <v>29</v>
      </c>
      <c r="J5857" s="37">
        <v>45833</v>
      </c>
      <c r="K5857" s="27" t="s">
        <v>22</v>
      </c>
    </row>
    <row r="5858" spans="1:11" x14ac:dyDescent="0.2">
      <c r="A5858" s="24" t="s">
        <v>13889</v>
      </c>
      <c r="B5858" s="24" t="s">
        <v>13890</v>
      </c>
      <c r="C5858" s="24" t="s">
        <v>13891</v>
      </c>
      <c r="D5858" s="24" t="s">
        <v>17</v>
      </c>
      <c r="E5858" s="24" t="s">
        <v>48</v>
      </c>
      <c r="F5858" s="24" t="s">
        <v>49</v>
      </c>
      <c r="G5858" s="24" t="s">
        <v>28</v>
      </c>
      <c r="H5858" s="26">
        <v>42</v>
      </c>
      <c r="I5858" s="24" t="s">
        <v>29</v>
      </c>
      <c r="J5858" s="36">
        <v>45832</v>
      </c>
      <c r="K5858" s="24" t="s">
        <v>22</v>
      </c>
    </row>
    <row r="5859" spans="1:11" x14ac:dyDescent="0.2">
      <c r="A5859" s="27" t="s">
        <v>13892</v>
      </c>
      <c r="B5859" s="27" t="s">
        <v>13893</v>
      </c>
      <c r="C5859" s="27" t="s">
        <v>13894</v>
      </c>
      <c r="D5859" s="27" t="s">
        <v>17</v>
      </c>
      <c r="E5859" s="27" t="s">
        <v>18</v>
      </c>
      <c r="F5859" s="27" t="s">
        <v>19</v>
      </c>
      <c r="G5859" s="27" t="s">
        <v>28</v>
      </c>
      <c r="H5859" s="29">
        <v>27</v>
      </c>
      <c r="I5859" s="27" t="s">
        <v>29</v>
      </c>
      <c r="J5859" s="37">
        <v>45811</v>
      </c>
      <c r="K5859" s="27" t="s">
        <v>22</v>
      </c>
    </row>
    <row r="5860" spans="1:11" x14ac:dyDescent="0.2">
      <c r="A5860" s="24" t="s">
        <v>13895</v>
      </c>
      <c r="B5860" s="24" t="s">
        <v>13896</v>
      </c>
      <c r="C5860" s="24" t="s">
        <v>526</v>
      </c>
      <c r="D5860" s="24" t="s">
        <v>17</v>
      </c>
      <c r="E5860" s="24" t="s">
        <v>18</v>
      </c>
      <c r="F5860" s="24" t="s">
        <v>19</v>
      </c>
      <c r="G5860" s="24" t="s">
        <v>28</v>
      </c>
      <c r="H5860" s="26">
        <v>76</v>
      </c>
      <c r="I5860" s="24" t="s">
        <v>29</v>
      </c>
      <c r="J5860" s="36">
        <v>45817</v>
      </c>
      <c r="K5860" s="24" t="s">
        <v>22</v>
      </c>
    </row>
    <row r="5861" spans="1:11" x14ac:dyDescent="0.2">
      <c r="A5861" s="27" t="s">
        <v>13897</v>
      </c>
      <c r="B5861" s="27" t="s">
        <v>13898</v>
      </c>
      <c r="C5861" s="27" t="s">
        <v>277</v>
      </c>
      <c r="D5861" s="27" t="s">
        <v>17</v>
      </c>
      <c r="E5861" s="27" t="s">
        <v>18</v>
      </c>
      <c r="F5861" s="27" t="s">
        <v>19</v>
      </c>
      <c r="G5861" s="27" t="s">
        <v>20</v>
      </c>
      <c r="H5861" s="29">
        <v>52</v>
      </c>
      <c r="I5861" s="27" t="s">
        <v>21</v>
      </c>
      <c r="J5861" s="37">
        <v>45819</v>
      </c>
      <c r="K5861" s="27" t="s">
        <v>22</v>
      </c>
    </row>
    <row r="5862" spans="1:11" x14ac:dyDescent="0.2">
      <c r="A5862" s="24" t="s">
        <v>13899</v>
      </c>
      <c r="B5862" s="24" t="s">
        <v>13900</v>
      </c>
      <c r="C5862" s="24" t="s">
        <v>115</v>
      </c>
      <c r="D5862" s="24" t="s">
        <v>17</v>
      </c>
      <c r="E5862" s="24" t="s">
        <v>42</v>
      </c>
      <c r="F5862" s="24" t="s">
        <v>43</v>
      </c>
      <c r="G5862" s="24" t="s">
        <v>28</v>
      </c>
      <c r="H5862" s="26">
        <v>212</v>
      </c>
      <c r="I5862" s="24" t="s">
        <v>29</v>
      </c>
      <c r="J5862" s="36">
        <v>45824</v>
      </c>
      <c r="K5862" s="24" t="s">
        <v>22</v>
      </c>
    </row>
    <row r="5863" spans="1:11" x14ac:dyDescent="0.2">
      <c r="A5863" s="27" t="s">
        <v>13901</v>
      </c>
      <c r="B5863" s="27" t="s">
        <v>13902</v>
      </c>
      <c r="C5863" s="27" t="s">
        <v>13903</v>
      </c>
      <c r="D5863" s="27" t="s">
        <v>17</v>
      </c>
      <c r="E5863" s="27" t="s">
        <v>26</v>
      </c>
      <c r="F5863" s="27" t="s">
        <v>27</v>
      </c>
      <c r="G5863" s="27" t="s">
        <v>28</v>
      </c>
      <c r="H5863" s="29">
        <v>13</v>
      </c>
      <c r="I5863" s="27" t="s">
        <v>29</v>
      </c>
      <c r="J5863" s="37">
        <v>45818</v>
      </c>
      <c r="K5863" s="27" t="s">
        <v>22</v>
      </c>
    </row>
    <row r="5864" spans="1:11" x14ac:dyDescent="0.2">
      <c r="A5864" s="24" t="s">
        <v>13904</v>
      </c>
      <c r="B5864" s="24" t="s">
        <v>13905</v>
      </c>
      <c r="C5864" s="24" t="s">
        <v>595</v>
      </c>
      <c r="D5864" s="24" t="s">
        <v>17</v>
      </c>
      <c r="E5864" s="24" t="s">
        <v>18</v>
      </c>
      <c r="F5864" s="24" t="s">
        <v>19</v>
      </c>
      <c r="G5864" s="24" t="s">
        <v>28</v>
      </c>
      <c r="H5864" s="26">
        <v>64</v>
      </c>
      <c r="I5864" s="24" t="s">
        <v>29</v>
      </c>
      <c r="J5864" s="36">
        <v>45831</v>
      </c>
      <c r="K5864" s="24" t="s">
        <v>22</v>
      </c>
    </row>
    <row r="5865" spans="1:11" x14ac:dyDescent="0.2">
      <c r="A5865" s="27" t="s">
        <v>13906</v>
      </c>
      <c r="B5865" s="27" t="s">
        <v>13907</v>
      </c>
      <c r="C5865" s="27" t="s">
        <v>7261</v>
      </c>
      <c r="D5865" s="27" t="s">
        <v>17</v>
      </c>
      <c r="E5865" s="27" t="s">
        <v>163</v>
      </c>
      <c r="F5865" s="27" t="s">
        <v>164</v>
      </c>
      <c r="G5865" s="27" t="s">
        <v>20</v>
      </c>
      <c r="H5865" s="29">
        <v>20</v>
      </c>
      <c r="I5865" s="27" t="s">
        <v>21</v>
      </c>
      <c r="J5865" s="37">
        <v>45812</v>
      </c>
      <c r="K5865" s="27" t="s">
        <v>22</v>
      </c>
    </row>
    <row r="5866" spans="1:11" x14ac:dyDescent="0.2">
      <c r="A5866" s="24" t="s">
        <v>13908</v>
      </c>
      <c r="B5866" s="24" t="s">
        <v>13909</v>
      </c>
      <c r="C5866" s="24" t="s">
        <v>13910</v>
      </c>
      <c r="D5866" s="24" t="s">
        <v>17</v>
      </c>
      <c r="E5866" s="24" t="s">
        <v>18</v>
      </c>
      <c r="F5866" s="24" t="s">
        <v>19</v>
      </c>
      <c r="G5866" s="24" t="s">
        <v>28</v>
      </c>
      <c r="H5866" s="26">
        <v>10</v>
      </c>
      <c r="I5866" s="24" t="s">
        <v>29</v>
      </c>
      <c r="J5866" s="36">
        <v>45818</v>
      </c>
      <c r="K5866" s="24" t="s">
        <v>22</v>
      </c>
    </row>
    <row r="5867" spans="1:11" x14ac:dyDescent="0.2">
      <c r="A5867" s="27" t="s">
        <v>13911</v>
      </c>
      <c r="B5867" s="27" t="s">
        <v>13912</v>
      </c>
      <c r="C5867" s="27" t="s">
        <v>13913</v>
      </c>
      <c r="D5867" s="27" t="s">
        <v>17</v>
      </c>
      <c r="E5867" s="27" t="s">
        <v>18</v>
      </c>
      <c r="F5867" s="27" t="s">
        <v>19</v>
      </c>
      <c r="G5867" s="27" t="s">
        <v>28</v>
      </c>
      <c r="H5867" s="29">
        <v>62</v>
      </c>
      <c r="I5867" s="27" t="s">
        <v>29</v>
      </c>
      <c r="J5867" s="37">
        <v>45819</v>
      </c>
      <c r="K5867" s="27" t="s">
        <v>22</v>
      </c>
    </row>
    <row r="5868" spans="1:11" x14ac:dyDescent="0.2">
      <c r="A5868" s="24" t="s">
        <v>13914</v>
      </c>
      <c r="B5868" s="24" t="s">
        <v>13915</v>
      </c>
      <c r="C5868" s="24" t="s">
        <v>13916</v>
      </c>
      <c r="D5868" s="24" t="s">
        <v>17</v>
      </c>
      <c r="E5868" s="24" t="s">
        <v>26</v>
      </c>
      <c r="F5868" s="24" t="s">
        <v>27</v>
      </c>
      <c r="G5868" s="24" t="s">
        <v>28</v>
      </c>
      <c r="H5868" s="26">
        <v>9</v>
      </c>
      <c r="I5868" s="24" t="s">
        <v>29</v>
      </c>
      <c r="J5868" s="36">
        <v>45833</v>
      </c>
      <c r="K5868" s="24" t="s">
        <v>22</v>
      </c>
    </row>
    <row r="5869" spans="1:11" x14ac:dyDescent="0.2">
      <c r="A5869" s="27" t="s">
        <v>13917</v>
      </c>
      <c r="B5869" s="27" t="s">
        <v>13918</v>
      </c>
      <c r="C5869" s="27" t="s">
        <v>4448</v>
      </c>
      <c r="D5869" s="27" t="s">
        <v>17</v>
      </c>
      <c r="E5869" s="27" t="s">
        <v>42</v>
      </c>
      <c r="F5869" s="27" t="s">
        <v>43</v>
      </c>
      <c r="G5869" s="27" t="s">
        <v>20</v>
      </c>
      <c r="H5869" s="29">
        <v>24</v>
      </c>
      <c r="I5869" s="27" t="s">
        <v>21</v>
      </c>
      <c r="J5869" s="37">
        <v>45823</v>
      </c>
      <c r="K5869" s="27" t="s">
        <v>22</v>
      </c>
    </row>
    <row r="5870" spans="1:11" x14ac:dyDescent="0.2">
      <c r="A5870" s="24" t="s">
        <v>13919</v>
      </c>
      <c r="B5870" s="24" t="s">
        <v>13920</v>
      </c>
      <c r="C5870" s="24" t="s">
        <v>7226</v>
      </c>
      <c r="D5870" s="24" t="s">
        <v>17</v>
      </c>
      <c r="E5870" s="24" t="s">
        <v>163</v>
      </c>
      <c r="F5870" s="24" t="s">
        <v>164</v>
      </c>
      <c r="G5870" s="24" t="s">
        <v>28</v>
      </c>
      <c r="H5870" s="26">
        <v>24</v>
      </c>
      <c r="I5870" s="24" t="s">
        <v>29</v>
      </c>
      <c r="J5870" s="36">
        <v>45838</v>
      </c>
      <c r="K5870" s="24" t="s">
        <v>22</v>
      </c>
    </row>
    <row r="5871" spans="1:11" x14ac:dyDescent="0.2">
      <c r="A5871" s="27" t="s">
        <v>13921</v>
      </c>
      <c r="B5871" s="27" t="s">
        <v>13922</v>
      </c>
      <c r="C5871" s="27" t="s">
        <v>13923</v>
      </c>
      <c r="D5871" s="27" t="s">
        <v>17</v>
      </c>
      <c r="E5871" s="27" t="s">
        <v>26</v>
      </c>
      <c r="F5871" s="27" t="s">
        <v>27</v>
      </c>
      <c r="G5871" s="27" t="s">
        <v>28</v>
      </c>
      <c r="H5871" s="29">
        <v>430</v>
      </c>
      <c r="I5871" s="27" t="s">
        <v>29</v>
      </c>
      <c r="J5871" s="37">
        <v>45812</v>
      </c>
      <c r="K5871" s="27" t="s">
        <v>22</v>
      </c>
    </row>
    <row r="5872" spans="1:11" x14ac:dyDescent="0.2">
      <c r="A5872" s="24" t="s">
        <v>13924</v>
      </c>
      <c r="B5872" s="24" t="s">
        <v>13925</v>
      </c>
      <c r="C5872" s="24" t="s">
        <v>1663</v>
      </c>
      <c r="D5872" s="24" t="s">
        <v>17</v>
      </c>
      <c r="E5872" s="24" t="s">
        <v>48</v>
      </c>
      <c r="F5872" s="24" t="s">
        <v>49</v>
      </c>
      <c r="G5872" s="24" t="s">
        <v>28</v>
      </c>
      <c r="H5872" s="26">
        <v>243</v>
      </c>
      <c r="I5872" s="24" t="s">
        <v>29</v>
      </c>
      <c r="J5872" s="36">
        <v>45817</v>
      </c>
      <c r="K5872" s="24" t="s">
        <v>22</v>
      </c>
    </row>
    <row r="5873" spans="1:11" x14ac:dyDescent="0.2">
      <c r="A5873" s="27" t="s">
        <v>13926</v>
      </c>
      <c r="B5873" s="27" t="s">
        <v>13927</v>
      </c>
      <c r="C5873" s="27" t="s">
        <v>194</v>
      </c>
      <c r="D5873" s="27" t="s">
        <v>17</v>
      </c>
      <c r="E5873" s="27" t="s">
        <v>48</v>
      </c>
      <c r="F5873" s="27" t="s">
        <v>49</v>
      </c>
      <c r="G5873" s="27" t="s">
        <v>28</v>
      </c>
      <c r="H5873" s="29">
        <v>46</v>
      </c>
      <c r="I5873" s="27" t="s">
        <v>29</v>
      </c>
      <c r="J5873" s="37">
        <v>45818</v>
      </c>
      <c r="K5873" s="27" t="s">
        <v>22</v>
      </c>
    </row>
    <row r="5874" spans="1:11" x14ac:dyDescent="0.2">
      <c r="A5874" s="24" t="s">
        <v>13928</v>
      </c>
      <c r="B5874" s="24" t="s">
        <v>13929</v>
      </c>
      <c r="C5874" s="24" t="s">
        <v>2803</v>
      </c>
      <c r="D5874" s="24" t="s">
        <v>17</v>
      </c>
      <c r="E5874" s="24" t="s">
        <v>18</v>
      </c>
      <c r="F5874" s="24" t="s">
        <v>19</v>
      </c>
      <c r="G5874" s="24" t="s">
        <v>28</v>
      </c>
      <c r="H5874" s="26">
        <v>80</v>
      </c>
      <c r="I5874" s="24" t="s">
        <v>29</v>
      </c>
      <c r="J5874" s="36">
        <v>45812</v>
      </c>
      <c r="K5874" s="24" t="s">
        <v>22</v>
      </c>
    </row>
    <row r="5875" spans="1:11" x14ac:dyDescent="0.2">
      <c r="A5875" s="27" t="s">
        <v>13930</v>
      </c>
      <c r="B5875" s="27" t="s">
        <v>13931</v>
      </c>
      <c r="C5875" s="27" t="s">
        <v>266</v>
      </c>
      <c r="D5875" s="27" t="s">
        <v>17</v>
      </c>
      <c r="E5875" s="27" t="s">
        <v>18</v>
      </c>
      <c r="F5875" s="27" t="s">
        <v>19</v>
      </c>
      <c r="G5875" s="27" t="s">
        <v>217</v>
      </c>
      <c r="H5875" s="29">
        <v>48</v>
      </c>
      <c r="I5875" s="27" t="s">
        <v>29</v>
      </c>
      <c r="J5875" s="37">
        <v>45809</v>
      </c>
      <c r="K5875" s="27" t="s">
        <v>22</v>
      </c>
    </row>
    <row r="5876" spans="1:11" x14ac:dyDescent="0.2">
      <c r="A5876" s="24" t="s">
        <v>13932</v>
      </c>
      <c r="B5876" s="24" t="s">
        <v>13933</v>
      </c>
      <c r="C5876" s="24" t="s">
        <v>6196</v>
      </c>
      <c r="D5876" s="24" t="s">
        <v>17</v>
      </c>
      <c r="E5876" s="24" t="s">
        <v>18</v>
      </c>
      <c r="F5876" s="24" t="s">
        <v>19</v>
      </c>
      <c r="G5876" s="24" t="s">
        <v>28</v>
      </c>
      <c r="H5876" s="26">
        <v>20</v>
      </c>
      <c r="I5876" s="24" t="s">
        <v>29</v>
      </c>
      <c r="J5876" s="36">
        <v>45826</v>
      </c>
      <c r="K5876" s="24" t="s">
        <v>22</v>
      </c>
    </row>
    <row r="5877" spans="1:11" x14ac:dyDescent="0.2">
      <c r="A5877" s="27" t="s">
        <v>13934</v>
      </c>
      <c r="B5877" s="27" t="s">
        <v>13935</v>
      </c>
      <c r="C5877" s="27" t="s">
        <v>2504</v>
      </c>
      <c r="D5877" s="27" t="s">
        <v>17</v>
      </c>
      <c r="E5877" s="27" t="s">
        <v>18</v>
      </c>
      <c r="F5877" s="27" t="s">
        <v>19</v>
      </c>
      <c r="G5877" s="27" t="s">
        <v>28</v>
      </c>
      <c r="H5877" s="29">
        <v>32</v>
      </c>
      <c r="I5877" s="27" t="s">
        <v>29</v>
      </c>
      <c r="J5877" s="37">
        <v>45838</v>
      </c>
      <c r="K5877" s="27" t="s">
        <v>22</v>
      </c>
    </row>
    <row r="5878" spans="1:11" x14ac:dyDescent="0.2">
      <c r="A5878" s="24" t="s">
        <v>13936</v>
      </c>
      <c r="B5878" s="24" t="s">
        <v>13937</v>
      </c>
      <c r="C5878" s="24" t="s">
        <v>13938</v>
      </c>
      <c r="D5878" s="24" t="s">
        <v>17</v>
      </c>
      <c r="E5878" s="24" t="s">
        <v>48</v>
      </c>
      <c r="F5878" s="24" t="s">
        <v>49</v>
      </c>
      <c r="G5878" s="24" t="s">
        <v>116</v>
      </c>
      <c r="H5878" s="26">
        <v>0</v>
      </c>
      <c r="I5878" s="24" t="s">
        <v>21</v>
      </c>
      <c r="J5878" s="36">
        <v>45819</v>
      </c>
      <c r="K5878" s="24" t="s">
        <v>22</v>
      </c>
    </row>
    <row r="5879" spans="1:11" x14ac:dyDescent="0.2">
      <c r="A5879" s="27" t="s">
        <v>13939</v>
      </c>
      <c r="B5879" s="27" t="s">
        <v>13940</v>
      </c>
      <c r="C5879" s="27" t="s">
        <v>13941</v>
      </c>
      <c r="D5879" s="27" t="s">
        <v>17</v>
      </c>
      <c r="E5879" s="27" t="s">
        <v>48</v>
      </c>
      <c r="F5879" s="27" t="s">
        <v>49</v>
      </c>
      <c r="G5879" s="27" t="s">
        <v>28</v>
      </c>
      <c r="H5879" s="29">
        <v>360</v>
      </c>
      <c r="I5879" s="27" t="s">
        <v>29</v>
      </c>
      <c r="J5879" s="37">
        <v>45827</v>
      </c>
      <c r="K5879" s="27" t="s">
        <v>22</v>
      </c>
    </row>
    <row r="5880" spans="1:11" x14ac:dyDescent="0.2">
      <c r="A5880" s="24" t="s">
        <v>13942</v>
      </c>
      <c r="B5880" s="24" t="s">
        <v>13943</v>
      </c>
      <c r="C5880" s="24" t="s">
        <v>41</v>
      </c>
      <c r="D5880" s="24" t="s">
        <v>17</v>
      </c>
      <c r="E5880" s="24" t="s">
        <v>42</v>
      </c>
      <c r="F5880" s="24" t="s">
        <v>43</v>
      </c>
      <c r="G5880" s="24" t="s">
        <v>28</v>
      </c>
      <c r="H5880" s="26">
        <v>24</v>
      </c>
      <c r="I5880" s="24" t="s">
        <v>29</v>
      </c>
      <c r="J5880" s="36">
        <v>45822</v>
      </c>
      <c r="K5880" s="24" t="s">
        <v>22</v>
      </c>
    </row>
    <row r="5881" spans="1:11" x14ac:dyDescent="0.2">
      <c r="A5881" s="27" t="s">
        <v>13944</v>
      </c>
      <c r="B5881" s="27" t="s">
        <v>13945</v>
      </c>
      <c r="C5881" s="27" t="s">
        <v>13946</v>
      </c>
      <c r="D5881" s="27" t="s">
        <v>17</v>
      </c>
      <c r="E5881" s="27" t="s">
        <v>48</v>
      </c>
      <c r="F5881" s="27" t="s">
        <v>49</v>
      </c>
      <c r="G5881" s="27" t="s">
        <v>28</v>
      </c>
      <c r="H5881" s="29">
        <v>66</v>
      </c>
      <c r="I5881" s="27" t="s">
        <v>29</v>
      </c>
      <c r="J5881" s="37">
        <v>45811</v>
      </c>
      <c r="K5881" s="27" t="s">
        <v>22</v>
      </c>
    </row>
    <row r="5882" spans="1:11" x14ac:dyDescent="0.2">
      <c r="A5882" s="24" t="s">
        <v>13947</v>
      </c>
      <c r="B5882" s="24" t="s">
        <v>13948</v>
      </c>
      <c r="C5882" s="24" t="s">
        <v>13949</v>
      </c>
      <c r="D5882" s="24" t="s">
        <v>17</v>
      </c>
      <c r="E5882" s="24" t="s">
        <v>48</v>
      </c>
      <c r="F5882" s="24" t="s">
        <v>49</v>
      </c>
      <c r="G5882" s="24" t="s">
        <v>28</v>
      </c>
      <c r="H5882" s="26">
        <v>60</v>
      </c>
      <c r="I5882" s="24" t="s">
        <v>29</v>
      </c>
      <c r="J5882" s="36">
        <v>45828</v>
      </c>
      <c r="K5882" s="24" t="s">
        <v>22</v>
      </c>
    </row>
    <row r="5883" spans="1:11" x14ac:dyDescent="0.2">
      <c r="A5883" s="27" t="s">
        <v>13950</v>
      </c>
      <c r="B5883" s="27" t="s">
        <v>13951</v>
      </c>
      <c r="C5883" s="27" t="s">
        <v>13952</v>
      </c>
      <c r="D5883" s="27" t="s">
        <v>17</v>
      </c>
      <c r="E5883" s="27" t="s">
        <v>42</v>
      </c>
      <c r="F5883" s="27" t="s">
        <v>43</v>
      </c>
      <c r="G5883" s="27" t="s">
        <v>28</v>
      </c>
      <c r="H5883" s="29">
        <v>75</v>
      </c>
      <c r="I5883" s="27" t="s">
        <v>29</v>
      </c>
      <c r="J5883" s="37">
        <v>45838</v>
      </c>
      <c r="K5883" s="27" t="s">
        <v>22</v>
      </c>
    </row>
    <row r="5884" spans="1:11" x14ac:dyDescent="0.2">
      <c r="A5884" s="24" t="s">
        <v>13953</v>
      </c>
      <c r="B5884" s="24" t="s">
        <v>13954</v>
      </c>
      <c r="C5884" s="24" t="s">
        <v>331</v>
      </c>
      <c r="D5884" s="24" t="s">
        <v>17</v>
      </c>
      <c r="E5884" s="24" t="s">
        <v>26</v>
      </c>
      <c r="F5884" s="24" t="s">
        <v>27</v>
      </c>
      <c r="G5884" s="24" t="s">
        <v>28</v>
      </c>
      <c r="H5884" s="26">
        <v>30</v>
      </c>
      <c r="I5884" s="24" t="s">
        <v>29</v>
      </c>
      <c r="J5884" s="36">
        <v>45833</v>
      </c>
      <c r="K5884" s="24" t="s">
        <v>22</v>
      </c>
    </row>
    <row r="5885" spans="1:11" x14ac:dyDescent="0.2">
      <c r="A5885" s="27" t="s">
        <v>13955</v>
      </c>
      <c r="B5885" s="27" t="s">
        <v>13956</v>
      </c>
      <c r="C5885" s="27" t="s">
        <v>13957</v>
      </c>
      <c r="D5885" s="27" t="s">
        <v>17</v>
      </c>
      <c r="E5885" s="27" t="s">
        <v>48</v>
      </c>
      <c r="F5885" s="27" t="s">
        <v>49</v>
      </c>
      <c r="G5885" s="27" t="s">
        <v>28</v>
      </c>
      <c r="H5885" s="29">
        <v>300</v>
      </c>
      <c r="I5885" s="27" t="s">
        <v>29</v>
      </c>
      <c r="J5885" s="37">
        <v>45835</v>
      </c>
      <c r="K5885" s="27" t="s">
        <v>22</v>
      </c>
    </row>
    <row r="5886" spans="1:11" x14ac:dyDescent="0.2">
      <c r="A5886" s="24" t="s">
        <v>13958</v>
      </c>
      <c r="B5886" s="24" t="s">
        <v>13959</v>
      </c>
      <c r="C5886" s="24" t="s">
        <v>13960</v>
      </c>
      <c r="D5886" s="24" t="s">
        <v>17</v>
      </c>
      <c r="E5886" s="24" t="s">
        <v>18</v>
      </c>
      <c r="F5886" s="24" t="s">
        <v>19</v>
      </c>
      <c r="G5886" s="24" t="s">
        <v>20</v>
      </c>
      <c r="H5886" s="26">
        <v>9</v>
      </c>
      <c r="I5886" s="24" t="s">
        <v>21</v>
      </c>
      <c r="J5886" s="36">
        <v>45821</v>
      </c>
      <c r="K5886" s="24" t="s">
        <v>22</v>
      </c>
    </row>
    <row r="5887" spans="1:11" x14ac:dyDescent="0.2">
      <c r="A5887" s="27" t="s">
        <v>13961</v>
      </c>
      <c r="B5887" s="27" t="s">
        <v>13962</v>
      </c>
      <c r="C5887" s="27" t="s">
        <v>13963</v>
      </c>
      <c r="D5887" s="27" t="s">
        <v>17</v>
      </c>
      <c r="E5887" s="27" t="s">
        <v>18</v>
      </c>
      <c r="F5887" s="27" t="s">
        <v>19</v>
      </c>
      <c r="G5887" s="27" t="s">
        <v>116</v>
      </c>
      <c r="H5887" s="29">
        <v>0</v>
      </c>
      <c r="I5887" s="27" t="s">
        <v>21</v>
      </c>
      <c r="J5887" s="37">
        <v>45809</v>
      </c>
      <c r="K5887" s="27" t="s">
        <v>22</v>
      </c>
    </row>
    <row r="5888" spans="1:11" x14ac:dyDescent="0.2">
      <c r="A5888" s="24" t="s">
        <v>13964</v>
      </c>
      <c r="B5888" s="24" t="s">
        <v>13965</v>
      </c>
      <c r="C5888" s="24" t="s">
        <v>354</v>
      </c>
      <c r="D5888" s="24" t="s">
        <v>17</v>
      </c>
      <c r="E5888" s="24" t="s">
        <v>18</v>
      </c>
      <c r="F5888" s="24" t="s">
        <v>19</v>
      </c>
      <c r="G5888" s="24" t="s">
        <v>20</v>
      </c>
      <c r="H5888" s="26">
        <v>136</v>
      </c>
      <c r="I5888" s="24" t="s">
        <v>21</v>
      </c>
      <c r="J5888" s="36">
        <v>45814</v>
      </c>
      <c r="K5888" s="24" t="s">
        <v>22</v>
      </c>
    </row>
    <row r="5889" spans="1:11" x14ac:dyDescent="0.2">
      <c r="A5889" s="27" t="s">
        <v>13966</v>
      </c>
      <c r="B5889" s="27" t="s">
        <v>13967</v>
      </c>
      <c r="C5889" s="27" t="s">
        <v>106</v>
      </c>
      <c r="D5889" s="27" t="s">
        <v>17</v>
      </c>
      <c r="E5889" s="27" t="s">
        <v>18</v>
      </c>
      <c r="F5889" s="27" t="s">
        <v>19</v>
      </c>
      <c r="G5889" s="27" t="s">
        <v>28</v>
      </c>
      <c r="H5889" s="29">
        <v>32</v>
      </c>
      <c r="I5889" s="27" t="s">
        <v>29</v>
      </c>
      <c r="J5889" s="37">
        <v>45833</v>
      </c>
      <c r="K5889" s="27" t="s">
        <v>22</v>
      </c>
    </row>
    <row r="5890" spans="1:11" x14ac:dyDescent="0.2">
      <c r="A5890" s="24" t="s">
        <v>13968</v>
      </c>
      <c r="B5890" s="24" t="s">
        <v>13969</v>
      </c>
      <c r="C5890" s="24" t="s">
        <v>1110</v>
      </c>
      <c r="D5890" s="24" t="s">
        <v>17</v>
      </c>
      <c r="E5890" s="24" t="s">
        <v>42</v>
      </c>
      <c r="F5890" s="24" t="s">
        <v>43</v>
      </c>
      <c r="G5890" s="24" t="s">
        <v>28</v>
      </c>
      <c r="H5890" s="26">
        <v>75</v>
      </c>
      <c r="I5890" s="24" t="s">
        <v>29</v>
      </c>
      <c r="J5890" s="36">
        <v>45835</v>
      </c>
      <c r="K5890" s="24" t="s">
        <v>22</v>
      </c>
    </row>
    <row r="5891" spans="1:11" x14ac:dyDescent="0.2">
      <c r="A5891" s="27" t="s">
        <v>13970</v>
      </c>
      <c r="B5891" s="27" t="s">
        <v>13971</v>
      </c>
      <c r="C5891" s="27" t="s">
        <v>1895</v>
      </c>
      <c r="D5891" s="27" t="s">
        <v>17</v>
      </c>
      <c r="E5891" s="27" t="s">
        <v>18</v>
      </c>
      <c r="F5891" s="27" t="s">
        <v>19</v>
      </c>
      <c r="G5891" s="27" t="s">
        <v>28</v>
      </c>
      <c r="H5891" s="29">
        <v>156</v>
      </c>
      <c r="I5891" s="27" t="s">
        <v>29</v>
      </c>
      <c r="J5891" s="37">
        <v>45819</v>
      </c>
      <c r="K5891" s="27" t="s">
        <v>22</v>
      </c>
    </row>
    <row r="5892" spans="1:11" x14ac:dyDescent="0.2">
      <c r="A5892" s="24" t="s">
        <v>13972</v>
      </c>
      <c r="B5892" s="24" t="s">
        <v>13973</v>
      </c>
      <c r="C5892" s="24" t="s">
        <v>1502</v>
      </c>
      <c r="D5892" s="24" t="s">
        <v>17</v>
      </c>
      <c r="E5892" s="24" t="s">
        <v>26</v>
      </c>
      <c r="F5892" s="24" t="s">
        <v>27</v>
      </c>
      <c r="G5892" s="24" t="s">
        <v>28</v>
      </c>
      <c r="H5892" s="26">
        <v>20</v>
      </c>
      <c r="I5892" s="24" t="s">
        <v>29</v>
      </c>
      <c r="J5892" s="36">
        <v>45820</v>
      </c>
      <c r="K5892" s="24" t="s">
        <v>22</v>
      </c>
    </row>
    <row r="5893" spans="1:11" x14ac:dyDescent="0.2">
      <c r="A5893" s="27" t="s">
        <v>13974</v>
      </c>
      <c r="B5893" s="27" t="s">
        <v>13975</v>
      </c>
      <c r="C5893" s="27" t="s">
        <v>13976</v>
      </c>
      <c r="D5893" s="27" t="s">
        <v>17</v>
      </c>
      <c r="E5893" s="27" t="s">
        <v>26</v>
      </c>
      <c r="F5893" s="27" t="s">
        <v>27</v>
      </c>
      <c r="G5893" s="27" t="s">
        <v>28</v>
      </c>
      <c r="H5893" s="29">
        <v>196</v>
      </c>
      <c r="I5893" s="27" t="s">
        <v>29</v>
      </c>
      <c r="J5893" s="37">
        <v>45809</v>
      </c>
      <c r="K5893" s="27" t="s">
        <v>22</v>
      </c>
    </row>
    <row r="5894" spans="1:11" x14ac:dyDescent="0.2">
      <c r="A5894" s="24" t="s">
        <v>13977</v>
      </c>
      <c r="B5894" s="24" t="s">
        <v>13978</v>
      </c>
      <c r="C5894" s="24" t="s">
        <v>197</v>
      </c>
      <c r="D5894" s="24" t="s">
        <v>17</v>
      </c>
      <c r="E5894" s="24" t="s">
        <v>81</v>
      </c>
      <c r="F5894" s="24" t="s">
        <v>82</v>
      </c>
      <c r="G5894" s="24" t="s">
        <v>28</v>
      </c>
      <c r="H5894" s="26">
        <v>100</v>
      </c>
      <c r="I5894" s="24" t="s">
        <v>29</v>
      </c>
      <c r="J5894" s="36">
        <v>45829</v>
      </c>
      <c r="K5894" s="24" t="s">
        <v>22</v>
      </c>
    </row>
    <row r="5895" spans="1:11" x14ac:dyDescent="0.2">
      <c r="A5895" s="27" t="s">
        <v>13979</v>
      </c>
      <c r="B5895" s="27" t="s">
        <v>13980</v>
      </c>
      <c r="C5895" s="27" t="s">
        <v>13981</v>
      </c>
      <c r="D5895" s="27" t="s">
        <v>17</v>
      </c>
      <c r="E5895" s="27" t="s">
        <v>26</v>
      </c>
      <c r="F5895" s="27" t="s">
        <v>27</v>
      </c>
      <c r="G5895" s="27" t="s">
        <v>217</v>
      </c>
      <c r="H5895" s="29">
        <v>90</v>
      </c>
      <c r="I5895" s="27" t="s">
        <v>29</v>
      </c>
      <c r="J5895" s="37">
        <v>45838</v>
      </c>
      <c r="K5895" s="27" t="s">
        <v>22</v>
      </c>
    </row>
    <row r="5896" spans="1:11" x14ac:dyDescent="0.2">
      <c r="A5896" s="24" t="s">
        <v>13982</v>
      </c>
      <c r="B5896" s="24" t="s">
        <v>13983</v>
      </c>
      <c r="C5896" s="24" t="s">
        <v>115</v>
      </c>
      <c r="D5896" s="24" t="s">
        <v>17</v>
      </c>
      <c r="E5896" s="24" t="s">
        <v>18</v>
      </c>
      <c r="F5896" s="24" t="s">
        <v>19</v>
      </c>
      <c r="G5896" s="24" t="s">
        <v>116</v>
      </c>
      <c r="H5896" s="26">
        <v>0</v>
      </c>
      <c r="I5896" s="24" t="s">
        <v>21</v>
      </c>
      <c r="J5896" s="36">
        <v>45823</v>
      </c>
      <c r="K5896" s="24" t="s">
        <v>22</v>
      </c>
    </row>
    <row r="5897" spans="1:11" x14ac:dyDescent="0.2">
      <c r="A5897" s="27" t="s">
        <v>13984</v>
      </c>
      <c r="B5897" s="27" t="s">
        <v>13985</v>
      </c>
      <c r="C5897" s="27" t="s">
        <v>3444</v>
      </c>
      <c r="D5897" s="27" t="s">
        <v>17</v>
      </c>
      <c r="E5897" s="27" t="s">
        <v>163</v>
      </c>
      <c r="F5897" s="27" t="s">
        <v>164</v>
      </c>
      <c r="G5897" s="27" t="s">
        <v>217</v>
      </c>
      <c r="H5897" s="29">
        <v>24</v>
      </c>
      <c r="I5897" s="27" t="s">
        <v>29</v>
      </c>
      <c r="J5897" s="37">
        <v>45809</v>
      </c>
      <c r="K5897" s="27" t="s">
        <v>22</v>
      </c>
    </row>
    <row r="5898" spans="1:11" x14ac:dyDescent="0.2">
      <c r="A5898" s="24" t="s">
        <v>13986</v>
      </c>
      <c r="B5898" s="24" t="s">
        <v>13987</v>
      </c>
      <c r="C5898" s="24" t="s">
        <v>13988</v>
      </c>
      <c r="D5898" s="24" t="s">
        <v>17</v>
      </c>
      <c r="E5898" s="24" t="s">
        <v>26</v>
      </c>
      <c r="F5898" s="24" t="s">
        <v>27</v>
      </c>
      <c r="G5898" s="24" t="s">
        <v>28</v>
      </c>
      <c r="H5898" s="26">
        <v>233</v>
      </c>
      <c r="I5898" s="24" t="s">
        <v>29</v>
      </c>
      <c r="J5898" s="36">
        <v>45818</v>
      </c>
      <c r="K5898" s="24" t="s">
        <v>22</v>
      </c>
    </row>
    <row r="5899" spans="1:11" x14ac:dyDescent="0.2">
      <c r="A5899" s="27" t="s">
        <v>13989</v>
      </c>
      <c r="B5899" s="27" t="s">
        <v>13990</v>
      </c>
      <c r="C5899" s="27" t="s">
        <v>146</v>
      </c>
      <c r="D5899" s="27" t="s">
        <v>17</v>
      </c>
      <c r="E5899" s="27" t="s">
        <v>42</v>
      </c>
      <c r="F5899" s="27" t="s">
        <v>43</v>
      </c>
      <c r="G5899" s="27" t="s">
        <v>28</v>
      </c>
      <c r="H5899" s="29">
        <v>960</v>
      </c>
      <c r="I5899" s="27" t="s">
        <v>29</v>
      </c>
      <c r="J5899" s="37">
        <v>45831</v>
      </c>
      <c r="K5899" s="27" t="s">
        <v>22</v>
      </c>
    </row>
    <row r="5900" spans="1:11" x14ac:dyDescent="0.2">
      <c r="A5900" s="24" t="s">
        <v>13991</v>
      </c>
      <c r="B5900" s="24" t="s">
        <v>13992</v>
      </c>
      <c r="C5900" s="24" t="s">
        <v>13993</v>
      </c>
      <c r="D5900" s="24" t="s">
        <v>17</v>
      </c>
      <c r="E5900" s="24" t="s">
        <v>48</v>
      </c>
      <c r="F5900" s="24" t="s">
        <v>49</v>
      </c>
      <c r="G5900" s="24" t="s">
        <v>116</v>
      </c>
      <c r="H5900" s="26">
        <v>0</v>
      </c>
      <c r="I5900" s="24" t="s">
        <v>21</v>
      </c>
      <c r="J5900" s="36">
        <v>45824</v>
      </c>
      <c r="K5900" s="24" t="s">
        <v>22</v>
      </c>
    </row>
    <row r="5901" spans="1:11" x14ac:dyDescent="0.2">
      <c r="A5901" s="27" t="s">
        <v>13994</v>
      </c>
      <c r="B5901" s="27" t="s">
        <v>13995</v>
      </c>
      <c r="C5901" s="27" t="s">
        <v>208</v>
      </c>
      <c r="D5901" s="27" t="s">
        <v>17</v>
      </c>
      <c r="E5901" s="27" t="s">
        <v>48</v>
      </c>
      <c r="F5901" s="27" t="s">
        <v>49</v>
      </c>
      <c r="G5901" s="27" t="s">
        <v>28</v>
      </c>
      <c r="H5901" s="29">
        <v>99</v>
      </c>
      <c r="I5901" s="27" t="s">
        <v>29</v>
      </c>
      <c r="J5901" s="37">
        <v>45811</v>
      </c>
      <c r="K5901" s="27" t="s">
        <v>22</v>
      </c>
    </row>
    <row r="5902" spans="1:11" x14ac:dyDescent="0.2">
      <c r="A5902" s="24" t="s">
        <v>13996</v>
      </c>
      <c r="B5902" s="24" t="s">
        <v>13997</v>
      </c>
      <c r="C5902" s="24" t="s">
        <v>1307</v>
      </c>
      <c r="D5902" s="24" t="s">
        <v>17</v>
      </c>
      <c r="E5902" s="24" t="s">
        <v>18</v>
      </c>
      <c r="F5902" s="24" t="s">
        <v>19</v>
      </c>
      <c r="G5902" s="24" t="s">
        <v>20</v>
      </c>
      <c r="H5902" s="26">
        <v>24</v>
      </c>
      <c r="I5902" s="24" t="s">
        <v>21</v>
      </c>
      <c r="J5902" s="36">
        <v>45813</v>
      </c>
      <c r="K5902" s="24" t="s">
        <v>22</v>
      </c>
    </row>
    <row r="5903" spans="1:11" x14ac:dyDescent="0.2">
      <c r="A5903" s="27" t="s">
        <v>13998</v>
      </c>
      <c r="B5903" s="27" t="s">
        <v>13999</v>
      </c>
      <c r="C5903" s="27" t="s">
        <v>172</v>
      </c>
      <c r="D5903" s="27" t="s">
        <v>17</v>
      </c>
      <c r="E5903" s="27" t="s">
        <v>48</v>
      </c>
      <c r="F5903" s="27" t="s">
        <v>49</v>
      </c>
      <c r="G5903" s="27" t="s">
        <v>217</v>
      </c>
      <c r="H5903" s="29">
        <v>30</v>
      </c>
      <c r="I5903" s="27" t="s">
        <v>29</v>
      </c>
      <c r="J5903" s="37">
        <v>45838</v>
      </c>
      <c r="K5903" s="27" t="s">
        <v>22</v>
      </c>
    </row>
    <row r="5904" spans="1:11" x14ac:dyDescent="0.2">
      <c r="A5904" s="24" t="s">
        <v>14000</v>
      </c>
      <c r="B5904" s="24" t="s">
        <v>14001</v>
      </c>
      <c r="C5904" s="24" t="s">
        <v>14002</v>
      </c>
      <c r="D5904" s="24" t="s">
        <v>17</v>
      </c>
      <c r="E5904" s="24" t="s">
        <v>48</v>
      </c>
      <c r="F5904" s="24" t="s">
        <v>49</v>
      </c>
      <c r="G5904" s="24" t="s">
        <v>20</v>
      </c>
      <c r="H5904" s="26">
        <v>101</v>
      </c>
      <c r="I5904" s="24" t="s">
        <v>21</v>
      </c>
      <c r="J5904" s="36">
        <v>45817</v>
      </c>
      <c r="K5904" s="24" t="s">
        <v>22</v>
      </c>
    </row>
    <row r="5905" spans="1:11" x14ac:dyDescent="0.2">
      <c r="A5905" s="27" t="s">
        <v>14003</v>
      </c>
      <c r="B5905" s="27" t="s">
        <v>14004</v>
      </c>
      <c r="C5905" s="27" t="s">
        <v>85</v>
      </c>
      <c r="D5905" s="27" t="s">
        <v>17</v>
      </c>
      <c r="E5905" s="27" t="s">
        <v>48</v>
      </c>
      <c r="F5905" s="27" t="s">
        <v>49</v>
      </c>
      <c r="G5905" s="27" t="s">
        <v>28</v>
      </c>
      <c r="H5905" s="29">
        <v>180</v>
      </c>
      <c r="I5905" s="27" t="s">
        <v>29</v>
      </c>
      <c r="J5905" s="37">
        <v>45828</v>
      </c>
      <c r="K5905" s="27" t="s">
        <v>22</v>
      </c>
    </row>
    <row r="5906" spans="1:11" x14ac:dyDescent="0.2">
      <c r="A5906" s="24" t="s">
        <v>14005</v>
      </c>
      <c r="B5906" s="24" t="s">
        <v>14006</v>
      </c>
      <c r="C5906" s="24" t="s">
        <v>14007</v>
      </c>
      <c r="D5906" s="24" t="s">
        <v>17</v>
      </c>
      <c r="E5906" s="24" t="s">
        <v>18</v>
      </c>
      <c r="F5906" s="24" t="s">
        <v>19</v>
      </c>
      <c r="G5906" s="24" t="s">
        <v>28</v>
      </c>
      <c r="H5906" s="26">
        <v>72</v>
      </c>
      <c r="I5906" s="24" t="s">
        <v>29</v>
      </c>
      <c r="J5906" s="36">
        <v>45824</v>
      </c>
      <c r="K5906" s="24" t="s">
        <v>22</v>
      </c>
    </row>
    <row r="5907" spans="1:11" x14ac:dyDescent="0.2">
      <c r="A5907" s="27" t="s">
        <v>14008</v>
      </c>
      <c r="B5907" s="27" t="s">
        <v>14009</v>
      </c>
      <c r="C5907" s="27" t="s">
        <v>9151</v>
      </c>
      <c r="D5907" s="27" t="s">
        <v>17</v>
      </c>
      <c r="E5907" s="27" t="s">
        <v>48</v>
      </c>
      <c r="F5907" s="27" t="s">
        <v>49</v>
      </c>
      <c r="G5907" s="27" t="s">
        <v>28</v>
      </c>
      <c r="H5907" s="29">
        <v>180</v>
      </c>
      <c r="I5907" s="27" t="s">
        <v>29</v>
      </c>
      <c r="J5907" s="37">
        <v>45838</v>
      </c>
      <c r="K5907" s="27" t="s">
        <v>22</v>
      </c>
    </row>
    <row r="5908" spans="1:11" x14ac:dyDescent="0.2">
      <c r="A5908" s="24" t="s">
        <v>14010</v>
      </c>
      <c r="B5908" s="24" t="s">
        <v>14011</v>
      </c>
      <c r="C5908" s="24" t="s">
        <v>3253</v>
      </c>
      <c r="D5908" s="24" t="s">
        <v>17</v>
      </c>
      <c r="E5908" s="24" t="s">
        <v>48</v>
      </c>
      <c r="F5908" s="24" t="s">
        <v>49</v>
      </c>
      <c r="G5908" s="24" t="s">
        <v>28</v>
      </c>
      <c r="H5908" s="26">
        <v>132</v>
      </c>
      <c r="I5908" s="24" t="s">
        <v>29</v>
      </c>
      <c r="J5908" s="36">
        <v>45838</v>
      </c>
      <c r="K5908" s="24" t="s">
        <v>22</v>
      </c>
    </row>
    <row r="5909" spans="1:11" x14ac:dyDescent="0.2">
      <c r="A5909" s="27" t="s">
        <v>14012</v>
      </c>
      <c r="B5909" s="27" t="s">
        <v>14013</v>
      </c>
      <c r="C5909" s="27" t="s">
        <v>4269</v>
      </c>
      <c r="D5909" s="27" t="s">
        <v>17</v>
      </c>
      <c r="E5909" s="27" t="s">
        <v>18</v>
      </c>
      <c r="F5909" s="27" t="s">
        <v>19</v>
      </c>
      <c r="G5909" s="27" t="s">
        <v>20</v>
      </c>
      <c r="H5909" s="29">
        <v>64</v>
      </c>
      <c r="I5909" s="27" t="s">
        <v>21</v>
      </c>
      <c r="J5909" s="37">
        <v>45837</v>
      </c>
      <c r="K5909" s="27" t="s">
        <v>22</v>
      </c>
    </row>
    <row r="5910" spans="1:11" x14ac:dyDescent="0.2">
      <c r="A5910" s="24" t="s">
        <v>14014</v>
      </c>
      <c r="B5910" s="24" t="s">
        <v>14015</v>
      </c>
      <c r="C5910" s="24" t="s">
        <v>2010</v>
      </c>
      <c r="D5910" s="24" t="s">
        <v>17</v>
      </c>
      <c r="E5910" s="24" t="s">
        <v>42</v>
      </c>
      <c r="F5910" s="24" t="s">
        <v>43</v>
      </c>
      <c r="G5910" s="24" t="s">
        <v>28</v>
      </c>
      <c r="H5910" s="26">
        <v>264</v>
      </c>
      <c r="I5910" s="24" t="s">
        <v>29</v>
      </c>
      <c r="J5910" s="36">
        <v>45821</v>
      </c>
      <c r="K5910" s="24" t="s">
        <v>22</v>
      </c>
    </row>
    <row r="5911" spans="1:11" x14ac:dyDescent="0.2">
      <c r="A5911" s="27" t="s">
        <v>14016</v>
      </c>
      <c r="B5911" s="27" t="s">
        <v>14017</v>
      </c>
      <c r="C5911" s="27" t="s">
        <v>973</v>
      </c>
      <c r="D5911" s="27" t="s">
        <v>17</v>
      </c>
      <c r="E5911" s="27" t="s">
        <v>18</v>
      </c>
      <c r="F5911" s="27" t="s">
        <v>19</v>
      </c>
      <c r="G5911" s="27" t="s">
        <v>28</v>
      </c>
      <c r="H5911" s="29">
        <v>40</v>
      </c>
      <c r="I5911" s="27" t="s">
        <v>29</v>
      </c>
      <c r="J5911" s="37">
        <v>45838</v>
      </c>
      <c r="K5911" s="27" t="s">
        <v>22</v>
      </c>
    </row>
    <row r="5912" spans="1:11" x14ac:dyDescent="0.2">
      <c r="A5912" s="24" t="s">
        <v>14018</v>
      </c>
      <c r="B5912" s="24" t="s">
        <v>14019</v>
      </c>
      <c r="C5912" s="24" t="s">
        <v>14020</v>
      </c>
      <c r="D5912" s="24" t="s">
        <v>17</v>
      </c>
      <c r="E5912" s="24" t="s">
        <v>26</v>
      </c>
      <c r="F5912" s="24" t="s">
        <v>27</v>
      </c>
      <c r="G5912" s="24" t="s">
        <v>28</v>
      </c>
      <c r="H5912" s="26">
        <v>23</v>
      </c>
      <c r="I5912" s="24" t="s">
        <v>29</v>
      </c>
      <c r="J5912" s="36">
        <v>45824</v>
      </c>
      <c r="K5912" s="24" t="s">
        <v>22</v>
      </c>
    </row>
    <row r="5913" spans="1:11" x14ac:dyDescent="0.2">
      <c r="A5913" s="27" t="s">
        <v>14021</v>
      </c>
      <c r="B5913" s="27" t="s">
        <v>14022</v>
      </c>
      <c r="C5913" s="27" t="s">
        <v>10431</v>
      </c>
      <c r="D5913" s="27" t="s">
        <v>17</v>
      </c>
      <c r="E5913" s="27" t="s">
        <v>18</v>
      </c>
      <c r="F5913" s="27" t="s">
        <v>19</v>
      </c>
      <c r="G5913" s="27" t="s">
        <v>217</v>
      </c>
      <c r="H5913" s="29">
        <v>56</v>
      </c>
      <c r="I5913" s="27" t="s">
        <v>29</v>
      </c>
      <c r="J5913" s="37">
        <v>45814</v>
      </c>
      <c r="K5913" s="27" t="s">
        <v>22</v>
      </c>
    </row>
    <row r="5914" spans="1:11" x14ac:dyDescent="0.2">
      <c r="A5914" s="24" t="s">
        <v>14023</v>
      </c>
      <c r="B5914" s="24" t="s">
        <v>14024</v>
      </c>
      <c r="C5914" s="24" t="s">
        <v>3089</v>
      </c>
      <c r="D5914" s="24" t="s">
        <v>17</v>
      </c>
      <c r="E5914" s="24" t="s">
        <v>163</v>
      </c>
      <c r="F5914" s="24" t="s">
        <v>164</v>
      </c>
      <c r="G5914" s="24" t="s">
        <v>20</v>
      </c>
      <c r="H5914" s="26">
        <v>20</v>
      </c>
      <c r="I5914" s="24" t="s">
        <v>21</v>
      </c>
      <c r="J5914" s="36">
        <v>45833</v>
      </c>
      <c r="K5914" s="24" t="s">
        <v>22</v>
      </c>
    </row>
    <row r="5915" spans="1:11" x14ac:dyDescent="0.2">
      <c r="A5915" s="27" t="s">
        <v>14025</v>
      </c>
      <c r="B5915" s="27" t="s">
        <v>14026</v>
      </c>
      <c r="C5915" s="27" t="s">
        <v>354</v>
      </c>
      <c r="D5915" s="27" t="s">
        <v>17</v>
      </c>
      <c r="E5915" s="27" t="s">
        <v>18</v>
      </c>
      <c r="F5915" s="27" t="s">
        <v>19</v>
      </c>
      <c r="G5915" s="27" t="s">
        <v>44</v>
      </c>
      <c r="H5915" s="29">
        <v>32</v>
      </c>
      <c r="I5915" s="27" t="s">
        <v>21</v>
      </c>
      <c r="J5915" s="37">
        <v>45820</v>
      </c>
      <c r="K5915" s="27" t="s">
        <v>22</v>
      </c>
    </row>
    <row r="5916" spans="1:11" x14ac:dyDescent="0.2">
      <c r="A5916" s="24" t="s">
        <v>14027</v>
      </c>
      <c r="B5916" s="24" t="s">
        <v>14028</v>
      </c>
      <c r="C5916" s="24" t="s">
        <v>134</v>
      </c>
      <c r="D5916" s="24" t="s">
        <v>17</v>
      </c>
      <c r="E5916" s="24" t="s">
        <v>42</v>
      </c>
      <c r="F5916" s="24" t="s">
        <v>43</v>
      </c>
      <c r="G5916" s="24" t="s">
        <v>28</v>
      </c>
      <c r="H5916" s="26">
        <v>250</v>
      </c>
      <c r="I5916" s="24" t="s">
        <v>29</v>
      </c>
      <c r="J5916" s="36">
        <v>45818</v>
      </c>
      <c r="K5916" s="24" t="s">
        <v>22</v>
      </c>
    </row>
    <row r="5917" spans="1:11" x14ac:dyDescent="0.2">
      <c r="A5917" s="27" t="s">
        <v>14029</v>
      </c>
      <c r="B5917" s="27" t="s">
        <v>14030</v>
      </c>
      <c r="C5917" s="27" t="s">
        <v>14031</v>
      </c>
      <c r="D5917" s="27" t="s">
        <v>17</v>
      </c>
      <c r="E5917" s="27" t="s">
        <v>18</v>
      </c>
      <c r="F5917" s="27" t="s">
        <v>19</v>
      </c>
      <c r="G5917" s="27" t="s">
        <v>28</v>
      </c>
      <c r="H5917" s="29">
        <v>13</v>
      </c>
      <c r="I5917" s="27" t="s">
        <v>29</v>
      </c>
      <c r="J5917" s="37">
        <v>45824</v>
      </c>
      <c r="K5917" s="27" t="s">
        <v>22</v>
      </c>
    </row>
    <row r="5918" spans="1:11" x14ac:dyDescent="0.2">
      <c r="A5918" s="24" t="s">
        <v>14032</v>
      </c>
      <c r="B5918" s="24" t="s">
        <v>14033</v>
      </c>
      <c r="C5918" s="24" t="s">
        <v>14034</v>
      </c>
      <c r="D5918" s="24" t="s">
        <v>17</v>
      </c>
      <c r="E5918" s="24" t="s">
        <v>163</v>
      </c>
      <c r="F5918" s="24" t="s">
        <v>164</v>
      </c>
      <c r="G5918" s="24" t="s">
        <v>28</v>
      </c>
      <c r="H5918" s="26">
        <v>6</v>
      </c>
      <c r="I5918" s="24" t="s">
        <v>29</v>
      </c>
      <c r="J5918" s="36">
        <v>45825</v>
      </c>
      <c r="K5918" s="24" t="s">
        <v>22</v>
      </c>
    </row>
    <row r="5919" spans="1:11" x14ac:dyDescent="0.2">
      <c r="A5919" s="27" t="s">
        <v>14035</v>
      </c>
      <c r="B5919" s="27" t="s">
        <v>14036</v>
      </c>
      <c r="C5919" s="27" t="s">
        <v>2669</v>
      </c>
      <c r="D5919" s="27" t="s">
        <v>17</v>
      </c>
      <c r="E5919" s="27" t="s">
        <v>18</v>
      </c>
      <c r="F5919" s="27" t="s">
        <v>19</v>
      </c>
      <c r="G5919" s="27" t="s">
        <v>44</v>
      </c>
      <c r="H5919" s="29">
        <v>15</v>
      </c>
      <c r="I5919" s="27" t="s">
        <v>21</v>
      </c>
      <c r="J5919" s="37">
        <v>45817</v>
      </c>
      <c r="K5919" s="27" t="s">
        <v>22</v>
      </c>
    </row>
    <row r="5920" spans="1:11" x14ac:dyDescent="0.2">
      <c r="A5920" s="24" t="s">
        <v>14037</v>
      </c>
      <c r="B5920" s="24" t="s">
        <v>14038</v>
      </c>
      <c r="C5920" s="24" t="s">
        <v>810</v>
      </c>
      <c r="D5920" s="24" t="s">
        <v>17</v>
      </c>
      <c r="E5920" s="24" t="s">
        <v>42</v>
      </c>
      <c r="F5920" s="24" t="s">
        <v>43</v>
      </c>
      <c r="G5920" s="24" t="s">
        <v>28</v>
      </c>
      <c r="H5920" s="26">
        <v>640</v>
      </c>
      <c r="I5920" s="24" t="s">
        <v>29</v>
      </c>
      <c r="J5920" s="36">
        <v>45823</v>
      </c>
      <c r="K5920" s="24" t="s">
        <v>22</v>
      </c>
    </row>
    <row r="5921" spans="1:11" x14ac:dyDescent="0.2">
      <c r="A5921" s="27" t="s">
        <v>14039</v>
      </c>
      <c r="B5921" s="27" t="s">
        <v>14040</v>
      </c>
      <c r="C5921" s="27" t="s">
        <v>1663</v>
      </c>
      <c r="D5921" s="27" t="s">
        <v>17</v>
      </c>
      <c r="E5921" s="27" t="s">
        <v>48</v>
      </c>
      <c r="F5921" s="27" t="s">
        <v>49</v>
      </c>
      <c r="G5921" s="27" t="s">
        <v>28</v>
      </c>
      <c r="H5921" s="29">
        <v>26</v>
      </c>
      <c r="I5921" s="27" t="s">
        <v>29</v>
      </c>
      <c r="J5921" s="37">
        <v>45832</v>
      </c>
      <c r="K5921" s="27" t="s">
        <v>22</v>
      </c>
    </row>
    <row r="5922" spans="1:11" x14ac:dyDescent="0.2">
      <c r="A5922" s="24" t="s">
        <v>14041</v>
      </c>
      <c r="B5922" s="24" t="s">
        <v>14042</v>
      </c>
      <c r="C5922" s="24" t="s">
        <v>4991</v>
      </c>
      <c r="D5922" s="24" t="s">
        <v>17</v>
      </c>
      <c r="E5922" s="24" t="s">
        <v>48</v>
      </c>
      <c r="F5922" s="24" t="s">
        <v>49</v>
      </c>
      <c r="G5922" s="24" t="s">
        <v>28</v>
      </c>
      <c r="H5922" s="26">
        <v>30</v>
      </c>
      <c r="I5922" s="24" t="s">
        <v>29</v>
      </c>
      <c r="J5922" s="36">
        <v>45826</v>
      </c>
      <c r="K5922" s="24" t="s">
        <v>22</v>
      </c>
    </row>
    <row r="5923" spans="1:11" x14ac:dyDescent="0.2">
      <c r="A5923" s="27" t="s">
        <v>14043</v>
      </c>
      <c r="B5923" s="27" t="s">
        <v>14044</v>
      </c>
      <c r="C5923" s="27" t="s">
        <v>687</v>
      </c>
      <c r="D5923" s="27" t="s">
        <v>17</v>
      </c>
      <c r="E5923" s="27" t="s">
        <v>48</v>
      </c>
      <c r="F5923" s="27" t="s">
        <v>49</v>
      </c>
      <c r="G5923" s="27" t="s">
        <v>28</v>
      </c>
      <c r="H5923" s="29">
        <v>200</v>
      </c>
      <c r="I5923" s="27" t="s">
        <v>29</v>
      </c>
      <c r="J5923" s="37">
        <v>45835</v>
      </c>
      <c r="K5923" s="27" t="s">
        <v>22</v>
      </c>
    </row>
    <row r="5924" spans="1:11" x14ac:dyDescent="0.2">
      <c r="A5924" s="24" t="s">
        <v>14045</v>
      </c>
      <c r="B5924" s="24" t="s">
        <v>14046</v>
      </c>
      <c r="C5924" s="24" t="s">
        <v>2811</v>
      </c>
      <c r="D5924" s="24" t="s">
        <v>17</v>
      </c>
      <c r="E5924" s="24" t="s">
        <v>42</v>
      </c>
      <c r="F5924" s="24" t="s">
        <v>43</v>
      </c>
      <c r="G5924" s="24" t="s">
        <v>28</v>
      </c>
      <c r="H5924" s="26">
        <v>1650</v>
      </c>
      <c r="I5924" s="24" t="s">
        <v>29</v>
      </c>
      <c r="J5924" s="36">
        <v>45821</v>
      </c>
      <c r="K5924" s="24" t="s">
        <v>22</v>
      </c>
    </row>
    <row r="5925" spans="1:11" x14ac:dyDescent="0.2">
      <c r="A5925" s="27" t="s">
        <v>14047</v>
      </c>
      <c r="B5925" s="27" t="s">
        <v>14048</v>
      </c>
      <c r="C5925" s="27" t="s">
        <v>194</v>
      </c>
      <c r="D5925" s="27" t="s">
        <v>17</v>
      </c>
      <c r="E5925" s="27" t="s">
        <v>42</v>
      </c>
      <c r="F5925" s="27" t="s">
        <v>43</v>
      </c>
      <c r="G5925" s="27" t="s">
        <v>28</v>
      </c>
      <c r="H5925" s="29">
        <v>1450</v>
      </c>
      <c r="I5925" s="27" t="s">
        <v>29</v>
      </c>
      <c r="J5925" s="37">
        <v>45811</v>
      </c>
      <c r="K5925" s="27" t="s">
        <v>22</v>
      </c>
    </row>
    <row r="5926" spans="1:11" x14ac:dyDescent="0.2">
      <c r="A5926" s="24" t="s">
        <v>14049</v>
      </c>
      <c r="B5926" s="24" t="s">
        <v>14050</v>
      </c>
      <c r="C5926" s="24" t="s">
        <v>1093</v>
      </c>
      <c r="D5926" s="24" t="s">
        <v>17</v>
      </c>
      <c r="E5926" s="24" t="s">
        <v>48</v>
      </c>
      <c r="F5926" s="24" t="s">
        <v>49</v>
      </c>
      <c r="G5926" s="24" t="s">
        <v>20</v>
      </c>
      <c r="H5926" s="26">
        <v>20</v>
      </c>
      <c r="I5926" s="24" t="s">
        <v>21</v>
      </c>
      <c r="J5926" s="36">
        <v>45835</v>
      </c>
      <c r="K5926" s="24" t="s">
        <v>22</v>
      </c>
    </row>
    <row r="5927" spans="1:11" x14ac:dyDescent="0.2">
      <c r="A5927" s="27" t="s">
        <v>14051</v>
      </c>
      <c r="B5927" s="27" t="s">
        <v>14052</v>
      </c>
      <c r="C5927" s="27" t="s">
        <v>526</v>
      </c>
      <c r="D5927" s="27" t="s">
        <v>17</v>
      </c>
      <c r="E5927" s="27" t="s">
        <v>18</v>
      </c>
      <c r="F5927" s="27" t="s">
        <v>19</v>
      </c>
      <c r="G5927" s="27" t="s">
        <v>28</v>
      </c>
      <c r="H5927" s="29">
        <v>95</v>
      </c>
      <c r="I5927" s="27" t="s">
        <v>29</v>
      </c>
      <c r="J5927" s="37">
        <v>45810</v>
      </c>
      <c r="K5927" s="27" t="s">
        <v>22</v>
      </c>
    </row>
    <row r="5928" spans="1:11" x14ac:dyDescent="0.2">
      <c r="A5928" s="24" t="s">
        <v>14053</v>
      </c>
      <c r="B5928" s="24" t="s">
        <v>14054</v>
      </c>
      <c r="C5928" s="24" t="s">
        <v>140</v>
      </c>
      <c r="D5928" s="24" t="s">
        <v>17</v>
      </c>
      <c r="E5928" s="24" t="s">
        <v>48</v>
      </c>
      <c r="F5928" s="24" t="s">
        <v>49</v>
      </c>
      <c r="G5928" s="24" t="s">
        <v>217</v>
      </c>
      <c r="H5928" s="26">
        <v>120</v>
      </c>
      <c r="I5928" s="24" t="s">
        <v>29</v>
      </c>
      <c r="J5928" s="36">
        <v>45835</v>
      </c>
      <c r="K5928" s="24" t="s">
        <v>22</v>
      </c>
    </row>
    <row r="5929" spans="1:11" x14ac:dyDescent="0.2">
      <c r="A5929" s="27" t="s">
        <v>14055</v>
      </c>
      <c r="B5929" s="27" t="s">
        <v>14056</v>
      </c>
      <c r="C5929" s="27" t="s">
        <v>331</v>
      </c>
      <c r="D5929" s="27" t="s">
        <v>17</v>
      </c>
      <c r="E5929" s="27" t="s">
        <v>42</v>
      </c>
      <c r="F5929" s="27" t="s">
        <v>43</v>
      </c>
      <c r="G5929" s="27" t="s">
        <v>28</v>
      </c>
      <c r="H5929" s="29">
        <v>550</v>
      </c>
      <c r="I5929" s="27" t="s">
        <v>29</v>
      </c>
      <c r="J5929" s="37">
        <v>45831</v>
      </c>
      <c r="K5929" s="27" t="s">
        <v>22</v>
      </c>
    </row>
    <row r="5930" spans="1:11" x14ac:dyDescent="0.2">
      <c r="A5930" s="24" t="s">
        <v>14057</v>
      </c>
      <c r="B5930" s="24" t="s">
        <v>14058</v>
      </c>
      <c r="C5930" s="24" t="s">
        <v>7515</v>
      </c>
      <c r="D5930" s="24" t="s">
        <v>17</v>
      </c>
      <c r="E5930" s="24" t="s">
        <v>18</v>
      </c>
      <c r="F5930" s="24" t="s">
        <v>19</v>
      </c>
      <c r="G5930" s="24" t="s">
        <v>217</v>
      </c>
      <c r="H5930" s="26">
        <v>84</v>
      </c>
      <c r="I5930" s="24" t="s">
        <v>29</v>
      </c>
      <c r="J5930" s="36">
        <v>45829</v>
      </c>
      <c r="K5930" s="24" t="s">
        <v>22</v>
      </c>
    </row>
    <row r="5931" spans="1:11" x14ac:dyDescent="0.2">
      <c r="A5931" s="27" t="s">
        <v>14059</v>
      </c>
      <c r="B5931" s="27" t="s">
        <v>14060</v>
      </c>
      <c r="C5931" s="27" t="s">
        <v>827</v>
      </c>
      <c r="D5931" s="27" t="s">
        <v>17</v>
      </c>
      <c r="E5931" s="27" t="s">
        <v>42</v>
      </c>
      <c r="F5931" s="27" t="s">
        <v>43</v>
      </c>
      <c r="G5931" s="27" t="s">
        <v>217</v>
      </c>
      <c r="H5931" s="29">
        <v>536</v>
      </c>
      <c r="I5931" s="27" t="s">
        <v>29</v>
      </c>
      <c r="J5931" s="37">
        <v>45809</v>
      </c>
      <c r="K5931" s="27" t="s">
        <v>22</v>
      </c>
    </row>
    <row r="5932" spans="1:11" x14ac:dyDescent="0.2">
      <c r="A5932" s="24" t="s">
        <v>14061</v>
      </c>
      <c r="B5932" s="24" t="s">
        <v>14062</v>
      </c>
      <c r="C5932" s="24" t="s">
        <v>14063</v>
      </c>
      <c r="D5932" s="24" t="s">
        <v>17</v>
      </c>
      <c r="E5932" s="24" t="s">
        <v>48</v>
      </c>
      <c r="F5932" s="24" t="s">
        <v>49</v>
      </c>
      <c r="G5932" s="24" t="s">
        <v>217</v>
      </c>
      <c r="H5932" s="26">
        <v>20</v>
      </c>
      <c r="I5932" s="24" t="s">
        <v>29</v>
      </c>
      <c r="J5932" s="36">
        <v>45809</v>
      </c>
      <c r="K5932" s="24" t="s">
        <v>22</v>
      </c>
    </row>
    <row r="5933" spans="1:11" x14ac:dyDescent="0.2">
      <c r="A5933" s="27" t="s">
        <v>14064</v>
      </c>
      <c r="B5933" s="27" t="s">
        <v>14065</v>
      </c>
      <c r="C5933" s="27" t="s">
        <v>2063</v>
      </c>
      <c r="D5933" s="27" t="s">
        <v>17</v>
      </c>
      <c r="E5933" s="27" t="s">
        <v>48</v>
      </c>
      <c r="F5933" s="27" t="s">
        <v>49</v>
      </c>
      <c r="G5933" s="27" t="s">
        <v>44</v>
      </c>
      <c r="H5933" s="29">
        <v>250</v>
      </c>
      <c r="I5933" s="27" t="s">
        <v>29</v>
      </c>
      <c r="J5933" s="37">
        <v>45825</v>
      </c>
      <c r="K5933" s="27" t="s">
        <v>22</v>
      </c>
    </row>
    <row r="5934" spans="1:11" x14ac:dyDescent="0.2">
      <c r="A5934" s="24" t="s">
        <v>14066</v>
      </c>
      <c r="B5934" s="24" t="s">
        <v>14067</v>
      </c>
      <c r="C5934" s="24" t="s">
        <v>97</v>
      </c>
      <c r="D5934" s="24" t="s">
        <v>17</v>
      </c>
      <c r="E5934" s="24" t="s">
        <v>18</v>
      </c>
      <c r="F5934" s="24" t="s">
        <v>19</v>
      </c>
      <c r="G5934" s="24" t="s">
        <v>28</v>
      </c>
      <c r="H5934" s="26">
        <v>136</v>
      </c>
      <c r="I5934" s="24" t="s">
        <v>29</v>
      </c>
      <c r="J5934" s="36">
        <v>45814</v>
      </c>
      <c r="K5934" s="24" t="s">
        <v>22</v>
      </c>
    </row>
    <row r="5935" spans="1:11" x14ac:dyDescent="0.2">
      <c r="A5935" s="27" t="s">
        <v>14068</v>
      </c>
      <c r="B5935" s="27" t="s">
        <v>14069</v>
      </c>
      <c r="C5935" s="27" t="s">
        <v>388</v>
      </c>
      <c r="D5935" s="27" t="s">
        <v>17</v>
      </c>
      <c r="E5935" s="27" t="s">
        <v>42</v>
      </c>
      <c r="F5935" s="27" t="s">
        <v>43</v>
      </c>
      <c r="G5935" s="27" t="s">
        <v>217</v>
      </c>
      <c r="H5935" s="29">
        <v>80</v>
      </c>
      <c r="I5935" s="27" t="s">
        <v>29</v>
      </c>
      <c r="J5935" s="37">
        <v>45809</v>
      </c>
      <c r="K5935" s="27" t="s">
        <v>22</v>
      </c>
    </row>
    <row r="5936" spans="1:11" x14ac:dyDescent="0.2">
      <c r="A5936" s="24" t="s">
        <v>14070</v>
      </c>
      <c r="B5936" s="24" t="s">
        <v>14071</v>
      </c>
      <c r="C5936" s="24" t="s">
        <v>827</v>
      </c>
      <c r="D5936" s="24" t="s">
        <v>17</v>
      </c>
      <c r="E5936" s="24" t="s">
        <v>42</v>
      </c>
      <c r="F5936" s="24" t="s">
        <v>43</v>
      </c>
      <c r="G5936" s="24" t="s">
        <v>28</v>
      </c>
      <c r="H5936" s="26">
        <v>999</v>
      </c>
      <c r="I5936" s="24" t="s">
        <v>29</v>
      </c>
      <c r="J5936" s="36">
        <v>45819</v>
      </c>
      <c r="K5936" s="24" t="s">
        <v>22</v>
      </c>
    </row>
    <row r="5937" spans="1:11" x14ac:dyDescent="0.2">
      <c r="A5937" s="27" t="s">
        <v>14072</v>
      </c>
      <c r="B5937" s="27" t="s">
        <v>14073</v>
      </c>
      <c r="C5937" s="27" t="s">
        <v>764</v>
      </c>
      <c r="D5937" s="27" t="s">
        <v>17</v>
      </c>
      <c r="E5937" s="27" t="s">
        <v>81</v>
      </c>
      <c r="F5937" s="27" t="s">
        <v>82</v>
      </c>
      <c r="G5937" s="27" t="s">
        <v>28</v>
      </c>
      <c r="H5937" s="29">
        <v>220</v>
      </c>
      <c r="I5937" s="27" t="s">
        <v>29</v>
      </c>
      <c r="J5937" s="37">
        <v>45810</v>
      </c>
      <c r="K5937" s="27" t="s">
        <v>22</v>
      </c>
    </row>
    <row r="5938" spans="1:11" x14ac:dyDescent="0.2">
      <c r="A5938" s="24" t="s">
        <v>14074</v>
      </c>
      <c r="B5938" s="24" t="s">
        <v>14075</v>
      </c>
      <c r="C5938" s="24" t="s">
        <v>12324</v>
      </c>
      <c r="D5938" s="24" t="s">
        <v>17</v>
      </c>
      <c r="E5938" s="24" t="s">
        <v>42</v>
      </c>
      <c r="F5938" s="24" t="s">
        <v>43</v>
      </c>
      <c r="G5938" s="24" t="s">
        <v>217</v>
      </c>
      <c r="H5938" s="26">
        <v>116</v>
      </c>
      <c r="I5938" s="24" t="s">
        <v>29</v>
      </c>
      <c r="J5938" s="36">
        <v>45809</v>
      </c>
      <c r="K5938" s="24" t="s">
        <v>22</v>
      </c>
    </row>
    <row r="5939" spans="1:11" x14ac:dyDescent="0.2">
      <c r="A5939" s="27" t="s">
        <v>14076</v>
      </c>
      <c r="B5939" s="27" t="s">
        <v>14077</v>
      </c>
      <c r="C5939" s="27" t="s">
        <v>1617</v>
      </c>
      <c r="D5939" s="27" t="s">
        <v>17</v>
      </c>
      <c r="E5939" s="27" t="s">
        <v>42</v>
      </c>
      <c r="F5939" s="27" t="s">
        <v>43</v>
      </c>
      <c r="G5939" s="27" t="s">
        <v>28</v>
      </c>
      <c r="H5939" s="29">
        <v>238</v>
      </c>
      <c r="I5939" s="27" t="s">
        <v>29</v>
      </c>
      <c r="J5939" s="37">
        <v>45819</v>
      </c>
      <c r="K5939" s="27" t="s">
        <v>22</v>
      </c>
    </row>
    <row r="5940" spans="1:11" x14ac:dyDescent="0.2">
      <c r="A5940" s="24" t="s">
        <v>14078</v>
      </c>
      <c r="B5940" s="24" t="s">
        <v>14079</v>
      </c>
      <c r="C5940" s="24" t="s">
        <v>14080</v>
      </c>
      <c r="D5940" s="24" t="s">
        <v>17</v>
      </c>
      <c r="E5940" s="24" t="s">
        <v>42</v>
      </c>
      <c r="F5940" s="24" t="s">
        <v>43</v>
      </c>
      <c r="G5940" s="24" t="s">
        <v>217</v>
      </c>
      <c r="H5940" s="26">
        <v>102</v>
      </c>
      <c r="I5940" s="24" t="s">
        <v>29</v>
      </c>
      <c r="J5940" s="36">
        <v>45838</v>
      </c>
      <c r="K5940" s="24" t="s">
        <v>22</v>
      </c>
    </row>
    <row r="5941" spans="1:11" x14ac:dyDescent="0.2">
      <c r="A5941" s="27" t="s">
        <v>14081</v>
      </c>
      <c r="B5941" s="27" t="s">
        <v>14082</v>
      </c>
      <c r="C5941" s="27" t="s">
        <v>14083</v>
      </c>
      <c r="D5941" s="27" t="s">
        <v>17</v>
      </c>
      <c r="E5941" s="27" t="s">
        <v>18</v>
      </c>
      <c r="F5941" s="27" t="s">
        <v>19</v>
      </c>
      <c r="G5941" s="27" t="s">
        <v>227</v>
      </c>
      <c r="H5941" s="29">
        <v>40</v>
      </c>
      <c r="I5941" s="27" t="s">
        <v>29</v>
      </c>
      <c r="J5941" s="37">
        <v>45823</v>
      </c>
      <c r="K5941" s="27" t="s">
        <v>22</v>
      </c>
    </row>
    <row r="5942" spans="1:11" x14ac:dyDescent="0.2">
      <c r="A5942" s="24" t="s">
        <v>14084</v>
      </c>
      <c r="B5942" s="24" t="s">
        <v>14085</v>
      </c>
      <c r="C5942" s="24" t="s">
        <v>325</v>
      </c>
      <c r="D5942" s="24" t="s">
        <v>17</v>
      </c>
      <c r="E5942" s="24" t="s">
        <v>42</v>
      </c>
      <c r="F5942" s="24" t="s">
        <v>43</v>
      </c>
      <c r="G5942" s="24" t="s">
        <v>44</v>
      </c>
      <c r="H5942" s="26">
        <v>36</v>
      </c>
      <c r="I5942" s="24" t="s">
        <v>21</v>
      </c>
      <c r="J5942" s="36">
        <v>45838</v>
      </c>
      <c r="K5942" s="24" t="s">
        <v>22</v>
      </c>
    </row>
    <row r="5943" spans="1:11" x14ac:dyDescent="0.2">
      <c r="A5943" s="27" t="s">
        <v>14086</v>
      </c>
      <c r="B5943" s="27" t="s">
        <v>14087</v>
      </c>
      <c r="C5943" s="27" t="s">
        <v>595</v>
      </c>
      <c r="D5943" s="27" t="s">
        <v>17</v>
      </c>
      <c r="E5943" s="27" t="s">
        <v>18</v>
      </c>
      <c r="F5943" s="27" t="s">
        <v>19</v>
      </c>
      <c r="G5943" s="27" t="s">
        <v>28</v>
      </c>
      <c r="H5943" s="29">
        <v>82</v>
      </c>
      <c r="I5943" s="27" t="s">
        <v>29</v>
      </c>
      <c r="J5943" s="37">
        <v>45818</v>
      </c>
      <c r="K5943" s="27" t="s">
        <v>22</v>
      </c>
    </row>
    <row r="5944" spans="1:11" x14ac:dyDescent="0.2">
      <c r="A5944" s="24" t="s">
        <v>14088</v>
      </c>
      <c r="B5944" s="24" t="s">
        <v>14089</v>
      </c>
      <c r="C5944" s="24" t="s">
        <v>14090</v>
      </c>
      <c r="D5944" s="24" t="s">
        <v>17</v>
      </c>
      <c r="E5944" s="24" t="s">
        <v>26</v>
      </c>
      <c r="F5944" s="24" t="s">
        <v>27</v>
      </c>
      <c r="G5944" s="24" t="s">
        <v>28</v>
      </c>
      <c r="H5944" s="26">
        <v>58</v>
      </c>
      <c r="I5944" s="24" t="s">
        <v>29</v>
      </c>
      <c r="J5944" s="36">
        <v>45836</v>
      </c>
      <c r="K5944" s="24" t="s">
        <v>22</v>
      </c>
    </row>
    <row r="5945" spans="1:11" x14ac:dyDescent="0.2">
      <c r="A5945" s="27" t="s">
        <v>14091</v>
      </c>
      <c r="B5945" s="27" t="s">
        <v>14092</v>
      </c>
      <c r="C5945" s="27" t="s">
        <v>4269</v>
      </c>
      <c r="D5945" s="27" t="s">
        <v>17</v>
      </c>
      <c r="E5945" s="27" t="s">
        <v>26</v>
      </c>
      <c r="F5945" s="27" t="s">
        <v>27</v>
      </c>
      <c r="G5945" s="27" t="s">
        <v>28</v>
      </c>
      <c r="H5945" s="29">
        <v>80</v>
      </c>
      <c r="I5945" s="27" t="s">
        <v>29</v>
      </c>
      <c r="J5945" s="37">
        <v>45820</v>
      </c>
      <c r="K5945" s="27" t="s">
        <v>22</v>
      </c>
    </row>
    <row r="5946" spans="1:11" x14ac:dyDescent="0.2">
      <c r="A5946" s="24" t="s">
        <v>14093</v>
      </c>
      <c r="B5946" s="24" t="s">
        <v>14094</v>
      </c>
      <c r="C5946" s="24" t="s">
        <v>1799</v>
      </c>
      <c r="D5946" s="24" t="s">
        <v>17</v>
      </c>
      <c r="E5946" s="24" t="s">
        <v>18</v>
      </c>
      <c r="F5946" s="24" t="s">
        <v>19</v>
      </c>
      <c r="G5946" s="24" t="s">
        <v>28</v>
      </c>
      <c r="H5946" s="26">
        <v>55</v>
      </c>
      <c r="I5946" s="24" t="s">
        <v>29</v>
      </c>
      <c r="J5946" s="36">
        <v>45817</v>
      </c>
      <c r="K5946" s="24" t="s">
        <v>22</v>
      </c>
    </row>
    <row r="5947" spans="1:11" x14ac:dyDescent="0.2">
      <c r="A5947" s="27" t="s">
        <v>14095</v>
      </c>
      <c r="B5947" s="27" t="s">
        <v>14096</v>
      </c>
      <c r="C5947" s="27" t="s">
        <v>2944</v>
      </c>
      <c r="D5947" s="27" t="s">
        <v>17</v>
      </c>
      <c r="E5947" s="27" t="s">
        <v>42</v>
      </c>
      <c r="F5947" s="27" t="s">
        <v>43</v>
      </c>
      <c r="G5947" s="27" t="s">
        <v>217</v>
      </c>
      <c r="H5947" s="29">
        <v>500</v>
      </c>
      <c r="I5947" s="27" t="s">
        <v>29</v>
      </c>
      <c r="J5947" s="37">
        <v>45809</v>
      </c>
      <c r="K5947" s="27" t="s">
        <v>22</v>
      </c>
    </row>
    <row r="5948" spans="1:11" x14ac:dyDescent="0.2">
      <c r="A5948" s="24" t="s">
        <v>14097</v>
      </c>
      <c r="B5948" s="24" t="s">
        <v>14098</v>
      </c>
      <c r="C5948" s="24" t="s">
        <v>12358</v>
      </c>
      <c r="D5948" s="24" t="s">
        <v>17</v>
      </c>
      <c r="E5948" s="24" t="s">
        <v>33</v>
      </c>
      <c r="F5948" s="24" t="s">
        <v>34</v>
      </c>
      <c r="G5948" s="24" t="s">
        <v>44</v>
      </c>
      <c r="H5948" s="26">
        <v>600</v>
      </c>
      <c r="I5948" s="24" t="s">
        <v>29</v>
      </c>
      <c r="J5948" s="36">
        <v>45829</v>
      </c>
      <c r="K5948" s="24" t="s">
        <v>22</v>
      </c>
    </row>
    <row r="5949" spans="1:11" x14ac:dyDescent="0.2">
      <c r="A5949" s="27" t="s">
        <v>14099</v>
      </c>
      <c r="B5949" s="27" t="s">
        <v>14100</v>
      </c>
      <c r="C5949" s="27" t="s">
        <v>251</v>
      </c>
      <c r="D5949" s="27" t="s">
        <v>17</v>
      </c>
      <c r="E5949" s="27" t="s">
        <v>26</v>
      </c>
      <c r="F5949" s="27" t="s">
        <v>27</v>
      </c>
      <c r="G5949" s="27" t="s">
        <v>28</v>
      </c>
      <c r="H5949" s="29">
        <v>27</v>
      </c>
      <c r="I5949" s="27" t="s">
        <v>29</v>
      </c>
      <c r="J5949" s="37">
        <v>45828</v>
      </c>
      <c r="K5949" s="27" t="s">
        <v>22</v>
      </c>
    </row>
    <row r="5950" spans="1:11" x14ac:dyDescent="0.2">
      <c r="A5950" s="24" t="s">
        <v>14101</v>
      </c>
      <c r="B5950" s="24" t="s">
        <v>14102</v>
      </c>
      <c r="C5950" s="24" t="s">
        <v>14103</v>
      </c>
      <c r="D5950" s="24" t="s">
        <v>17</v>
      </c>
      <c r="E5950" s="24" t="s">
        <v>42</v>
      </c>
      <c r="F5950" s="24" t="s">
        <v>43</v>
      </c>
      <c r="G5950" s="24" t="s">
        <v>217</v>
      </c>
      <c r="H5950" s="26">
        <v>200</v>
      </c>
      <c r="I5950" s="24" t="s">
        <v>29</v>
      </c>
      <c r="J5950" s="36">
        <v>45838</v>
      </c>
      <c r="K5950" s="24" t="s">
        <v>22</v>
      </c>
    </row>
    <row r="5951" spans="1:11" x14ac:dyDescent="0.2">
      <c r="A5951" s="27" t="s">
        <v>14104</v>
      </c>
      <c r="B5951" s="27" t="s">
        <v>14105</v>
      </c>
      <c r="C5951" s="27" t="s">
        <v>13952</v>
      </c>
      <c r="D5951" s="27" t="s">
        <v>17</v>
      </c>
      <c r="E5951" s="27" t="s">
        <v>42</v>
      </c>
      <c r="F5951" s="27" t="s">
        <v>43</v>
      </c>
      <c r="G5951" s="27" t="s">
        <v>28</v>
      </c>
      <c r="H5951" s="29">
        <v>147</v>
      </c>
      <c r="I5951" s="27" t="s">
        <v>29</v>
      </c>
      <c r="J5951" s="37">
        <v>45838</v>
      </c>
      <c r="K5951" s="27" t="s">
        <v>22</v>
      </c>
    </row>
    <row r="5952" spans="1:11" x14ac:dyDescent="0.2">
      <c r="A5952" s="24" t="s">
        <v>14106</v>
      </c>
      <c r="B5952" s="24" t="s">
        <v>14107</v>
      </c>
      <c r="C5952" s="24" t="s">
        <v>13263</v>
      </c>
      <c r="D5952" s="24" t="s">
        <v>17</v>
      </c>
      <c r="E5952" s="24" t="s">
        <v>18</v>
      </c>
      <c r="F5952" s="24" t="s">
        <v>19</v>
      </c>
      <c r="G5952" s="24" t="s">
        <v>28</v>
      </c>
      <c r="H5952" s="26">
        <v>556</v>
      </c>
      <c r="I5952" s="24" t="s">
        <v>29</v>
      </c>
      <c r="J5952" s="36">
        <v>45812</v>
      </c>
      <c r="K5952" s="24" t="s">
        <v>22</v>
      </c>
    </row>
    <row r="5953" spans="1:11" x14ac:dyDescent="0.2">
      <c r="A5953" s="27" t="s">
        <v>14108</v>
      </c>
      <c r="B5953" s="27" t="s">
        <v>14109</v>
      </c>
      <c r="C5953" s="27" t="s">
        <v>1523</v>
      </c>
      <c r="D5953" s="27" t="s">
        <v>17</v>
      </c>
      <c r="E5953" s="27" t="s">
        <v>48</v>
      </c>
      <c r="F5953" s="27" t="s">
        <v>49</v>
      </c>
      <c r="G5953" s="27" t="s">
        <v>217</v>
      </c>
      <c r="H5953" s="29">
        <v>204</v>
      </c>
      <c r="I5953" s="27" t="s">
        <v>29</v>
      </c>
      <c r="J5953" s="37">
        <v>45828</v>
      </c>
      <c r="K5953" s="27" t="s">
        <v>22</v>
      </c>
    </row>
    <row r="5954" spans="1:11" x14ac:dyDescent="0.2">
      <c r="A5954" s="24" t="s">
        <v>14110</v>
      </c>
      <c r="B5954" s="24" t="s">
        <v>14111</v>
      </c>
      <c r="C5954" s="24" t="s">
        <v>437</v>
      </c>
      <c r="D5954" s="24" t="s">
        <v>17</v>
      </c>
      <c r="E5954" s="24" t="s">
        <v>42</v>
      </c>
      <c r="F5954" s="24" t="s">
        <v>43</v>
      </c>
      <c r="G5954" s="24" t="s">
        <v>28</v>
      </c>
      <c r="H5954" s="26">
        <v>5056</v>
      </c>
      <c r="I5954" s="24" t="s">
        <v>29</v>
      </c>
      <c r="J5954" s="36">
        <v>45833</v>
      </c>
      <c r="K5954" s="24" t="s">
        <v>22</v>
      </c>
    </row>
    <row r="5955" spans="1:11" x14ac:dyDescent="0.2">
      <c r="A5955" s="27" t="s">
        <v>14112</v>
      </c>
      <c r="B5955" s="27" t="s">
        <v>14113</v>
      </c>
      <c r="C5955" s="27" t="s">
        <v>11607</v>
      </c>
      <c r="D5955" s="27" t="s">
        <v>17</v>
      </c>
      <c r="E5955" s="27" t="s">
        <v>26</v>
      </c>
      <c r="F5955" s="27" t="s">
        <v>27</v>
      </c>
      <c r="G5955" s="27" t="s">
        <v>116</v>
      </c>
      <c r="H5955" s="29">
        <v>0</v>
      </c>
      <c r="I5955" s="27" t="s">
        <v>21</v>
      </c>
      <c r="J5955" s="37">
        <v>45838</v>
      </c>
      <c r="K5955" s="27" t="s">
        <v>22</v>
      </c>
    </row>
    <row r="5956" spans="1:11" x14ac:dyDescent="0.2">
      <c r="A5956" s="24" t="s">
        <v>14114</v>
      </c>
      <c r="B5956" s="24" t="s">
        <v>14115</v>
      </c>
      <c r="C5956" s="24" t="s">
        <v>1199</v>
      </c>
      <c r="D5956" s="24" t="s">
        <v>17</v>
      </c>
      <c r="E5956" s="24" t="s">
        <v>18</v>
      </c>
      <c r="F5956" s="24" t="s">
        <v>19</v>
      </c>
      <c r="G5956" s="24" t="s">
        <v>28</v>
      </c>
      <c r="H5956" s="26">
        <v>48</v>
      </c>
      <c r="I5956" s="24" t="s">
        <v>29</v>
      </c>
      <c r="J5956" s="36">
        <v>45824</v>
      </c>
      <c r="K5956" s="24" t="s">
        <v>22</v>
      </c>
    </row>
    <row r="5957" spans="1:11" x14ac:dyDescent="0.2">
      <c r="A5957" s="27" t="s">
        <v>14116</v>
      </c>
      <c r="B5957" s="27" t="s">
        <v>14117</v>
      </c>
      <c r="C5957" s="27" t="s">
        <v>13069</v>
      </c>
      <c r="D5957" s="27" t="s">
        <v>17</v>
      </c>
      <c r="E5957" s="27" t="s">
        <v>18</v>
      </c>
      <c r="F5957" s="27" t="s">
        <v>19</v>
      </c>
      <c r="G5957" s="27" t="s">
        <v>28</v>
      </c>
      <c r="H5957" s="29">
        <v>104</v>
      </c>
      <c r="I5957" s="27" t="s">
        <v>29</v>
      </c>
      <c r="J5957" s="37">
        <v>45834</v>
      </c>
      <c r="K5957" s="27" t="s">
        <v>22</v>
      </c>
    </row>
    <row r="5958" spans="1:11" x14ac:dyDescent="0.2">
      <c r="A5958" s="24" t="s">
        <v>14118</v>
      </c>
      <c r="B5958" s="24" t="s">
        <v>14119</v>
      </c>
      <c r="C5958" s="24" t="s">
        <v>14120</v>
      </c>
      <c r="D5958" s="24" t="s">
        <v>17</v>
      </c>
      <c r="E5958" s="24" t="s">
        <v>18</v>
      </c>
      <c r="F5958" s="24" t="s">
        <v>19</v>
      </c>
      <c r="G5958" s="24" t="s">
        <v>28</v>
      </c>
      <c r="H5958" s="26">
        <v>192</v>
      </c>
      <c r="I5958" s="24" t="s">
        <v>29</v>
      </c>
      <c r="J5958" s="36">
        <v>45826</v>
      </c>
      <c r="K5958" s="24" t="s">
        <v>22</v>
      </c>
    </row>
    <row r="5959" spans="1:11" x14ac:dyDescent="0.2">
      <c r="A5959" s="27" t="s">
        <v>14121</v>
      </c>
      <c r="B5959" s="27" t="s">
        <v>14122</v>
      </c>
      <c r="C5959" s="27" t="s">
        <v>14123</v>
      </c>
      <c r="D5959" s="27" t="s">
        <v>17</v>
      </c>
      <c r="E5959" s="27" t="s">
        <v>48</v>
      </c>
      <c r="F5959" s="27" t="s">
        <v>49</v>
      </c>
      <c r="G5959" s="27" t="s">
        <v>217</v>
      </c>
      <c r="H5959" s="29">
        <v>126</v>
      </c>
      <c r="I5959" s="27" t="s">
        <v>29</v>
      </c>
      <c r="J5959" s="37">
        <v>45809</v>
      </c>
      <c r="K5959" s="27" t="s">
        <v>22</v>
      </c>
    </row>
    <row r="5960" spans="1:11" x14ac:dyDescent="0.2">
      <c r="A5960" s="24" t="s">
        <v>14124</v>
      </c>
      <c r="B5960" s="24" t="s">
        <v>14125</v>
      </c>
      <c r="C5960" s="24" t="s">
        <v>14126</v>
      </c>
      <c r="D5960" s="24" t="s">
        <v>17</v>
      </c>
      <c r="E5960" s="24" t="s">
        <v>18</v>
      </c>
      <c r="F5960" s="24" t="s">
        <v>19</v>
      </c>
      <c r="G5960" s="24" t="s">
        <v>28</v>
      </c>
      <c r="H5960" s="26">
        <v>18</v>
      </c>
      <c r="I5960" s="24" t="s">
        <v>29</v>
      </c>
      <c r="J5960" s="36">
        <v>45821</v>
      </c>
      <c r="K5960" s="24" t="s">
        <v>22</v>
      </c>
    </row>
    <row r="5961" spans="1:11" x14ac:dyDescent="0.2">
      <c r="A5961" s="27" t="s">
        <v>14127</v>
      </c>
      <c r="B5961" s="27" t="s">
        <v>14128</v>
      </c>
      <c r="C5961" s="27" t="s">
        <v>14129</v>
      </c>
      <c r="D5961" s="27" t="s">
        <v>17</v>
      </c>
      <c r="E5961" s="27" t="s">
        <v>42</v>
      </c>
      <c r="F5961" s="27" t="s">
        <v>43</v>
      </c>
      <c r="G5961" s="27" t="s">
        <v>20</v>
      </c>
      <c r="H5961" s="29">
        <v>90</v>
      </c>
      <c r="I5961" s="27" t="s">
        <v>21</v>
      </c>
      <c r="J5961" s="37">
        <v>45824</v>
      </c>
      <c r="K5961" s="27" t="s">
        <v>22</v>
      </c>
    </row>
    <row r="5962" spans="1:11" x14ac:dyDescent="0.2">
      <c r="A5962" s="24" t="s">
        <v>14130</v>
      </c>
      <c r="B5962" s="24" t="s">
        <v>14131</v>
      </c>
      <c r="C5962" s="24" t="s">
        <v>14132</v>
      </c>
      <c r="D5962" s="24" t="s">
        <v>17</v>
      </c>
      <c r="E5962" s="24" t="s">
        <v>18</v>
      </c>
      <c r="F5962" s="24" t="s">
        <v>19</v>
      </c>
      <c r="G5962" s="24" t="s">
        <v>28</v>
      </c>
      <c r="H5962" s="26">
        <v>250</v>
      </c>
      <c r="I5962" s="24" t="s">
        <v>29</v>
      </c>
      <c r="J5962" s="36">
        <v>45818</v>
      </c>
      <c r="K5962" s="24" t="s">
        <v>22</v>
      </c>
    </row>
    <row r="5963" spans="1:11" x14ac:dyDescent="0.2">
      <c r="A5963" s="27" t="s">
        <v>14133</v>
      </c>
      <c r="B5963" s="27" t="s">
        <v>14134</v>
      </c>
      <c r="C5963" s="27" t="s">
        <v>3486</v>
      </c>
      <c r="D5963" s="27" t="s">
        <v>17</v>
      </c>
      <c r="E5963" s="27" t="s">
        <v>18</v>
      </c>
      <c r="F5963" s="27" t="s">
        <v>19</v>
      </c>
      <c r="G5963" s="27" t="s">
        <v>28</v>
      </c>
      <c r="H5963" s="29">
        <v>88</v>
      </c>
      <c r="I5963" s="27" t="s">
        <v>29</v>
      </c>
      <c r="J5963" s="37">
        <v>45826</v>
      </c>
      <c r="K5963" s="27" t="s">
        <v>22</v>
      </c>
    </row>
    <row r="5964" spans="1:11" x14ac:dyDescent="0.2">
      <c r="A5964" s="24" t="s">
        <v>14135</v>
      </c>
      <c r="B5964" s="24" t="s">
        <v>14136</v>
      </c>
      <c r="C5964" s="24" t="s">
        <v>13511</v>
      </c>
      <c r="D5964" s="24" t="s">
        <v>17</v>
      </c>
      <c r="E5964" s="24" t="s">
        <v>18</v>
      </c>
      <c r="F5964" s="24" t="s">
        <v>19</v>
      </c>
      <c r="G5964" s="24" t="s">
        <v>28</v>
      </c>
      <c r="H5964" s="26">
        <v>12</v>
      </c>
      <c r="I5964" s="24" t="s">
        <v>29</v>
      </c>
      <c r="J5964" s="36">
        <v>45818</v>
      </c>
      <c r="K5964" s="24" t="s">
        <v>22</v>
      </c>
    </row>
    <row r="5965" spans="1:11" x14ac:dyDescent="0.2">
      <c r="A5965" s="27" t="s">
        <v>14137</v>
      </c>
      <c r="B5965" s="27" t="s">
        <v>14138</v>
      </c>
      <c r="C5965" s="27" t="s">
        <v>2331</v>
      </c>
      <c r="D5965" s="27" t="s">
        <v>17</v>
      </c>
      <c r="E5965" s="27" t="s">
        <v>42</v>
      </c>
      <c r="F5965" s="27" t="s">
        <v>43</v>
      </c>
      <c r="G5965" s="27" t="s">
        <v>28</v>
      </c>
      <c r="H5965" s="29">
        <v>480</v>
      </c>
      <c r="I5965" s="27" t="s">
        <v>29</v>
      </c>
      <c r="J5965" s="37">
        <v>45818</v>
      </c>
      <c r="K5965" s="27" t="s">
        <v>22</v>
      </c>
    </row>
    <row r="5966" spans="1:11" x14ac:dyDescent="0.2">
      <c r="A5966" s="24" t="s">
        <v>14139</v>
      </c>
      <c r="B5966" s="24" t="s">
        <v>14140</v>
      </c>
      <c r="C5966" s="24" t="s">
        <v>2507</v>
      </c>
      <c r="D5966" s="24" t="s">
        <v>17</v>
      </c>
      <c r="E5966" s="24" t="s">
        <v>18</v>
      </c>
      <c r="F5966" s="24" t="s">
        <v>19</v>
      </c>
      <c r="G5966" s="24" t="s">
        <v>28</v>
      </c>
      <c r="H5966" s="26">
        <v>15</v>
      </c>
      <c r="I5966" s="24" t="s">
        <v>29</v>
      </c>
      <c r="J5966" s="36">
        <v>45820</v>
      </c>
      <c r="K5966" s="24" t="s">
        <v>22</v>
      </c>
    </row>
    <row r="5967" spans="1:11" x14ac:dyDescent="0.2">
      <c r="A5967" s="27" t="s">
        <v>14141</v>
      </c>
      <c r="B5967" s="27" t="s">
        <v>14142</v>
      </c>
      <c r="C5967" s="27" t="s">
        <v>14143</v>
      </c>
      <c r="D5967" s="27" t="s">
        <v>17</v>
      </c>
      <c r="E5967" s="27" t="s">
        <v>18</v>
      </c>
      <c r="F5967" s="27" t="s">
        <v>19</v>
      </c>
      <c r="G5967" s="27" t="s">
        <v>28</v>
      </c>
      <c r="H5967" s="29">
        <v>9</v>
      </c>
      <c r="I5967" s="27" t="s">
        <v>29</v>
      </c>
      <c r="J5967" s="37">
        <v>45820</v>
      </c>
      <c r="K5967" s="27" t="s">
        <v>22</v>
      </c>
    </row>
    <row r="5968" spans="1:11" x14ac:dyDescent="0.2">
      <c r="A5968" s="24" t="s">
        <v>14144</v>
      </c>
      <c r="B5968" s="24" t="s">
        <v>14145</v>
      </c>
      <c r="C5968" s="24" t="s">
        <v>1110</v>
      </c>
      <c r="D5968" s="24" t="s">
        <v>17</v>
      </c>
      <c r="E5968" s="24" t="s">
        <v>18</v>
      </c>
      <c r="F5968" s="24" t="s">
        <v>19</v>
      </c>
      <c r="G5968" s="24" t="s">
        <v>116</v>
      </c>
      <c r="H5968" s="26">
        <v>0</v>
      </c>
      <c r="I5968" s="24" t="s">
        <v>21</v>
      </c>
      <c r="J5968" s="36">
        <v>45823</v>
      </c>
      <c r="K5968" s="24" t="s">
        <v>22</v>
      </c>
    </row>
    <row r="5969" spans="1:11" x14ac:dyDescent="0.2">
      <c r="A5969" s="27" t="s">
        <v>14146</v>
      </c>
      <c r="B5969" s="27" t="s">
        <v>14147</v>
      </c>
      <c r="C5969" s="27" t="s">
        <v>2649</v>
      </c>
      <c r="D5969" s="27" t="s">
        <v>17</v>
      </c>
      <c r="E5969" s="27" t="s">
        <v>18</v>
      </c>
      <c r="F5969" s="27" t="s">
        <v>19</v>
      </c>
      <c r="G5969" s="27" t="s">
        <v>28</v>
      </c>
      <c r="H5969" s="29">
        <v>200</v>
      </c>
      <c r="I5969" s="27" t="s">
        <v>29</v>
      </c>
      <c r="J5969" s="37">
        <v>45813</v>
      </c>
      <c r="K5969" s="27" t="s">
        <v>22</v>
      </c>
    </row>
    <row r="5970" spans="1:11" x14ac:dyDescent="0.2">
      <c r="A5970" s="24" t="s">
        <v>14148</v>
      </c>
      <c r="B5970" s="24" t="s">
        <v>14149</v>
      </c>
      <c r="C5970" s="24" t="s">
        <v>4017</v>
      </c>
      <c r="D5970" s="24" t="s">
        <v>17</v>
      </c>
      <c r="E5970" s="24" t="s">
        <v>163</v>
      </c>
      <c r="F5970" s="24" t="s">
        <v>164</v>
      </c>
      <c r="G5970" s="24" t="s">
        <v>217</v>
      </c>
      <c r="H5970" s="26">
        <v>30</v>
      </c>
      <c r="I5970" s="24" t="s">
        <v>29</v>
      </c>
      <c r="J5970" s="36">
        <v>45809</v>
      </c>
      <c r="K5970" s="24" t="s">
        <v>22</v>
      </c>
    </row>
    <row r="5971" spans="1:11" x14ac:dyDescent="0.2">
      <c r="A5971" s="27" t="s">
        <v>14150</v>
      </c>
      <c r="B5971" s="27" t="s">
        <v>14151</v>
      </c>
      <c r="C5971" s="27" t="s">
        <v>9221</v>
      </c>
      <c r="D5971" s="27" t="s">
        <v>17</v>
      </c>
      <c r="E5971" s="27" t="s">
        <v>42</v>
      </c>
      <c r="F5971" s="27" t="s">
        <v>43</v>
      </c>
      <c r="G5971" s="27" t="s">
        <v>28</v>
      </c>
      <c r="H5971" s="29">
        <v>1100</v>
      </c>
      <c r="I5971" s="27" t="s">
        <v>29</v>
      </c>
      <c r="J5971" s="37">
        <v>45831</v>
      </c>
      <c r="K5971" s="27" t="s">
        <v>22</v>
      </c>
    </row>
    <row r="5972" spans="1:11" x14ac:dyDescent="0.2">
      <c r="A5972" s="24" t="s">
        <v>14152</v>
      </c>
      <c r="B5972" s="24" t="s">
        <v>14153</v>
      </c>
      <c r="C5972" s="24" t="s">
        <v>3299</v>
      </c>
      <c r="D5972" s="24" t="s">
        <v>17</v>
      </c>
      <c r="E5972" s="24" t="s">
        <v>42</v>
      </c>
      <c r="F5972" s="24" t="s">
        <v>43</v>
      </c>
      <c r="G5972" s="24" t="s">
        <v>28</v>
      </c>
      <c r="H5972" s="26">
        <v>175</v>
      </c>
      <c r="I5972" s="24" t="s">
        <v>29</v>
      </c>
      <c r="J5972" s="36">
        <v>45818</v>
      </c>
      <c r="K5972" s="24" t="s">
        <v>22</v>
      </c>
    </row>
    <row r="5973" spans="1:11" x14ac:dyDescent="0.2">
      <c r="A5973" s="27" t="s">
        <v>14154</v>
      </c>
      <c r="B5973" s="27" t="s">
        <v>14155</v>
      </c>
      <c r="C5973" s="27" t="s">
        <v>921</v>
      </c>
      <c r="D5973" s="27" t="s">
        <v>17</v>
      </c>
      <c r="E5973" s="27" t="s">
        <v>42</v>
      </c>
      <c r="F5973" s="27" t="s">
        <v>43</v>
      </c>
      <c r="G5973" s="27" t="s">
        <v>28</v>
      </c>
      <c r="H5973" s="29">
        <v>642</v>
      </c>
      <c r="I5973" s="27" t="s">
        <v>29</v>
      </c>
      <c r="J5973" s="37">
        <v>45831</v>
      </c>
      <c r="K5973" s="27" t="s">
        <v>22</v>
      </c>
    </row>
    <row r="5974" spans="1:11" x14ac:dyDescent="0.2">
      <c r="A5974" s="24" t="s">
        <v>14156</v>
      </c>
      <c r="B5974" s="24" t="s">
        <v>14157</v>
      </c>
      <c r="C5974" s="24" t="s">
        <v>7052</v>
      </c>
      <c r="D5974" s="24" t="s">
        <v>17</v>
      </c>
      <c r="E5974" s="24" t="s">
        <v>18</v>
      </c>
      <c r="F5974" s="24" t="s">
        <v>19</v>
      </c>
      <c r="G5974" s="24" t="s">
        <v>28</v>
      </c>
      <c r="H5974" s="26">
        <v>40</v>
      </c>
      <c r="I5974" s="24" t="s">
        <v>29</v>
      </c>
      <c r="J5974" s="36">
        <v>45824</v>
      </c>
      <c r="K5974" s="24" t="s">
        <v>22</v>
      </c>
    </row>
    <row r="5975" spans="1:11" x14ac:dyDescent="0.2">
      <c r="A5975" s="27" t="s">
        <v>14158</v>
      </c>
      <c r="B5975" s="27" t="s">
        <v>14159</v>
      </c>
      <c r="C5975" s="27" t="s">
        <v>2238</v>
      </c>
      <c r="D5975" s="27" t="s">
        <v>17</v>
      </c>
      <c r="E5975" s="27" t="s">
        <v>48</v>
      </c>
      <c r="F5975" s="27" t="s">
        <v>49</v>
      </c>
      <c r="G5975" s="27" t="s">
        <v>28</v>
      </c>
      <c r="H5975" s="29">
        <v>48</v>
      </c>
      <c r="I5975" s="27" t="s">
        <v>29</v>
      </c>
      <c r="J5975" s="37">
        <v>45820</v>
      </c>
      <c r="K5975" s="27" t="s">
        <v>22</v>
      </c>
    </row>
    <row r="5976" spans="1:11" x14ac:dyDescent="0.2">
      <c r="A5976" s="24" t="s">
        <v>14160</v>
      </c>
      <c r="B5976" s="24" t="s">
        <v>14161</v>
      </c>
      <c r="C5976" s="24" t="s">
        <v>331</v>
      </c>
      <c r="D5976" s="24" t="s">
        <v>17</v>
      </c>
      <c r="E5976" s="24" t="s">
        <v>42</v>
      </c>
      <c r="F5976" s="24" t="s">
        <v>43</v>
      </c>
      <c r="G5976" s="24" t="s">
        <v>28</v>
      </c>
      <c r="H5976" s="26">
        <v>240</v>
      </c>
      <c r="I5976" s="24" t="s">
        <v>29</v>
      </c>
      <c r="J5976" s="36">
        <v>45825</v>
      </c>
      <c r="K5976" s="24" t="s">
        <v>22</v>
      </c>
    </row>
    <row r="5977" spans="1:11" x14ac:dyDescent="0.2">
      <c r="A5977" s="27" t="s">
        <v>14162</v>
      </c>
      <c r="B5977" s="27" t="s">
        <v>14163</v>
      </c>
      <c r="C5977" s="27" t="s">
        <v>9285</v>
      </c>
      <c r="D5977" s="27" t="s">
        <v>17</v>
      </c>
      <c r="E5977" s="27" t="s">
        <v>42</v>
      </c>
      <c r="F5977" s="27" t="s">
        <v>43</v>
      </c>
      <c r="G5977" s="27" t="s">
        <v>44</v>
      </c>
      <c r="H5977" s="29">
        <v>288</v>
      </c>
      <c r="I5977" s="27" t="s">
        <v>29</v>
      </c>
      <c r="J5977" s="37">
        <v>45817</v>
      </c>
      <c r="K5977" s="27" t="s">
        <v>22</v>
      </c>
    </row>
    <row r="5978" spans="1:11" x14ac:dyDescent="0.2">
      <c r="A5978" s="24" t="s">
        <v>14164</v>
      </c>
      <c r="B5978" s="24" t="s">
        <v>14165</v>
      </c>
      <c r="C5978" s="24" t="s">
        <v>14166</v>
      </c>
      <c r="D5978" s="24" t="s">
        <v>17</v>
      </c>
      <c r="E5978" s="24" t="s">
        <v>163</v>
      </c>
      <c r="F5978" s="24" t="s">
        <v>164</v>
      </c>
      <c r="G5978" s="24" t="s">
        <v>116</v>
      </c>
      <c r="H5978" s="26">
        <v>0</v>
      </c>
      <c r="I5978" s="24" t="s">
        <v>21</v>
      </c>
      <c r="J5978" s="36">
        <v>45825</v>
      </c>
      <c r="K5978" s="24" t="s">
        <v>22</v>
      </c>
    </row>
    <row r="5979" spans="1:11" x14ac:dyDescent="0.2">
      <c r="A5979" s="27" t="s">
        <v>14167</v>
      </c>
      <c r="B5979" s="27" t="s">
        <v>14168</v>
      </c>
      <c r="C5979" s="27" t="s">
        <v>14169</v>
      </c>
      <c r="D5979" s="27" t="s">
        <v>17</v>
      </c>
      <c r="E5979" s="27" t="s">
        <v>18</v>
      </c>
      <c r="F5979" s="27" t="s">
        <v>19</v>
      </c>
      <c r="G5979" s="27" t="s">
        <v>28</v>
      </c>
      <c r="H5979" s="29">
        <v>86</v>
      </c>
      <c r="I5979" s="27" t="s">
        <v>29</v>
      </c>
      <c r="J5979" s="37">
        <v>45827</v>
      </c>
      <c r="K5979" s="27" t="s">
        <v>22</v>
      </c>
    </row>
    <row r="5980" spans="1:11" x14ac:dyDescent="0.2">
      <c r="A5980" s="24" t="s">
        <v>14170</v>
      </c>
      <c r="B5980" s="24" t="s">
        <v>14171</v>
      </c>
      <c r="C5980" s="24" t="s">
        <v>331</v>
      </c>
      <c r="D5980" s="24" t="s">
        <v>17</v>
      </c>
      <c r="E5980" s="24" t="s">
        <v>42</v>
      </c>
      <c r="F5980" s="24" t="s">
        <v>43</v>
      </c>
      <c r="G5980" s="24" t="s">
        <v>44</v>
      </c>
      <c r="H5980" s="26">
        <v>9</v>
      </c>
      <c r="I5980" s="24" t="s">
        <v>21</v>
      </c>
      <c r="J5980" s="36">
        <v>45812</v>
      </c>
      <c r="K5980" s="24" t="s">
        <v>22</v>
      </c>
    </row>
    <row r="5981" spans="1:11" x14ac:dyDescent="0.2">
      <c r="A5981" s="27" t="s">
        <v>14172</v>
      </c>
      <c r="B5981" s="27" t="s">
        <v>14173</v>
      </c>
      <c r="C5981" s="27" t="s">
        <v>827</v>
      </c>
      <c r="D5981" s="27" t="s">
        <v>17</v>
      </c>
      <c r="E5981" s="27" t="s">
        <v>48</v>
      </c>
      <c r="F5981" s="27" t="s">
        <v>49</v>
      </c>
      <c r="G5981" s="27" t="s">
        <v>217</v>
      </c>
      <c r="H5981" s="29">
        <v>120</v>
      </c>
      <c r="I5981" s="27" t="s">
        <v>29</v>
      </c>
      <c r="J5981" s="37">
        <v>45833</v>
      </c>
      <c r="K5981" s="27" t="s">
        <v>22</v>
      </c>
    </row>
    <row r="5982" spans="1:11" x14ac:dyDescent="0.2">
      <c r="A5982" s="24" t="s">
        <v>14174</v>
      </c>
      <c r="B5982" s="24" t="s">
        <v>14175</v>
      </c>
      <c r="C5982" s="24" t="s">
        <v>14176</v>
      </c>
      <c r="D5982" s="24" t="s">
        <v>17</v>
      </c>
      <c r="E5982" s="24" t="s">
        <v>42</v>
      </c>
      <c r="F5982" s="24" t="s">
        <v>43</v>
      </c>
      <c r="G5982" s="24" t="s">
        <v>28</v>
      </c>
      <c r="H5982" s="26">
        <v>480</v>
      </c>
      <c r="I5982" s="24" t="s">
        <v>29</v>
      </c>
      <c r="J5982" s="36">
        <v>45832</v>
      </c>
      <c r="K5982" s="24" t="s">
        <v>22</v>
      </c>
    </row>
    <row r="5983" spans="1:11" x14ac:dyDescent="0.2">
      <c r="A5983" s="27" t="s">
        <v>14177</v>
      </c>
      <c r="B5983" s="27" t="s">
        <v>14178</v>
      </c>
      <c r="C5983" s="27" t="s">
        <v>12073</v>
      </c>
      <c r="D5983" s="27" t="s">
        <v>17</v>
      </c>
      <c r="E5983" s="27" t="s">
        <v>18</v>
      </c>
      <c r="F5983" s="27" t="s">
        <v>19</v>
      </c>
      <c r="G5983" s="27" t="s">
        <v>44</v>
      </c>
      <c r="H5983" s="29">
        <v>46</v>
      </c>
      <c r="I5983" s="27" t="s">
        <v>29</v>
      </c>
      <c r="J5983" s="37">
        <v>45824</v>
      </c>
      <c r="K5983" s="27" t="s">
        <v>22</v>
      </c>
    </row>
    <row r="5984" spans="1:11" x14ac:dyDescent="0.2">
      <c r="A5984" s="24" t="s">
        <v>14179</v>
      </c>
      <c r="B5984" s="24" t="s">
        <v>14180</v>
      </c>
      <c r="C5984" s="24" t="s">
        <v>14181</v>
      </c>
      <c r="D5984" s="24" t="s">
        <v>17</v>
      </c>
      <c r="E5984" s="24" t="s">
        <v>48</v>
      </c>
      <c r="F5984" s="24" t="s">
        <v>49</v>
      </c>
      <c r="G5984" s="24" t="s">
        <v>28</v>
      </c>
      <c r="H5984" s="26">
        <v>60</v>
      </c>
      <c r="I5984" s="24" t="s">
        <v>29</v>
      </c>
      <c r="J5984" s="36">
        <v>45824</v>
      </c>
      <c r="K5984" s="24" t="s">
        <v>22</v>
      </c>
    </row>
    <row r="5985" spans="1:11" x14ac:dyDescent="0.2">
      <c r="A5985" s="27" t="s">
        <v>14182</v>
      </c>
      <c r="B5985" s="27" t="s">
        <v>14183</v>
      </c>
      <c r="C5985" s="27" t="s">
        <v>7226</v>
      </c>
      <c r="D5985" s="27" t="s">
        <v>17</v>
      </c>
      <c r="E5985" s="27" t="s">
        <v>42</v>
      </c>
      <c r="F5985" s="27" t="s">
        <v>43</v>
      </c>
      <c r="G5985" s="27" t="s">
        <v>217</v>
      </c>
      <c r="H5985" s="29">
        <v>240</v>
      </c>
      <c r="I5985" s="27" t="s">
        <v>29</v>
      </c>
      <c r="J5985" s="37">
        <v>45823</v>
      </c>
      <c r="K5985" s="27" t="s">
        <v>22</v>
      </c>
    </row>
    <row r="5986" spans="1:11" x14ac:dyDescent="0.2">
      <c r="A5986" s="24" t="s">
        <v>14184</v>
      </c>
      <c r="B5986" s="24" t="s">
        <v>14185</v>
      </c>
      <c r="C5986" s="24" t="s">
        <v>9996</v>
      </c>
      <c r="D5986" s="24" t="s">
        <v>17</v>
      </c>
      <c r="E5986" s="24" t="s">
        <v>33</v>
      </c>
      <c r="F5986" s="24" t="s">
        <v>34</v>
      </c>
      <c r="G5986" s="24" t="s">
        <v>28</v>
      </c>
      <c r="H5986" s="26">
        <v>610</v>
      </c>
      <c r="I5986" s="24" t="s">
        <v>29</v>
      </c>
      <c r="J5986" s="36">
        <v>45820</v>
      </c>
      <c r="K5986" s="24" t="s">
        <v>22</v>
      </c>
    </row>
    <row r="5987" spans="1:11" x14ac:dyDescent="0.2">
      <c r="A5987" s="27" t="s">
        <v>14186</v>
      </c>
      <c r="B5987" s="27" t="s">
        <v>14187</v>
      </c>
      <c r="C5987" s="27" t="s">
        <v>106</v>
      </c>
      <c r="D5987" s="27" t="s">
        <v>17</v>
      </c>
      <c r="E5987" s="27" t="s">
        <v>42</v>
      </c>
      <c r="F5987" s="27" t="s">
        <v>43</v>
      </c>
      <c r="G5987" s="27" t="s">
        <v>28</v>
      </c>
      <c r="H5987" s="29">
        <v>1755</v>
      </c>
      <c r="I5987" s="27" t="s">
        <v>29</v>
      </c>
      <c r="J5987" s="37">
        <v>45817</v>
      </c>
      <c r="K5987" s="27" t="s">
        <v>22</v>
      </c>
    </row>
    <row r="5988" spans="1:11" x14ac:dyDescent="0.2">
      <c r="A5988" s="24" t="s">
        <v>14188</v>
      </c>
      <c r="B5988" s="24" t="s">
        <v>14189</v>
      </c>
      <c r="C5988" s="24" t="s">
        <v>1189</v>
      </c>
      <c r="D5988" s="24" t="s">
        <v>17</v>
      </c>
      <c r="E5988" s="24" t="s">
        <v>26</v>
      </c>
      <c r="F5988" s="24" t="s">
        <v>27</v>
      </c>
      <c r="G5988" s="24" t="s">
        <v>28</v>
      </c>
      <c r="H5988" s="26">
        <v>52</v>
      </c>
      <c r="I5988" s="24" t="s">
        <v>29</v>
      </c>
      <c r="J5988" s="36">
        <v>45817</v>
      </c>
      <c r="K5988" s="24" t="s">
        <v>22</v>
      </c>
    </row>
    <row r="5989" spans="1:11" x14ac:dyDescent="0.2">
      <c r="A5989" s="27" t="s">
        <v>14190</v>
      </c>
      <c r="B5989" s="27" t="s">
        <v>14191</v>
      </c>
      <c r="C5989" s="27" t="s">
        <v>14192</v>
      </c>
      <c r="D5989" s="27" t="s">
        <v>17</v>
      </c>
      <c r="E5989" s="27" t="s">
        <v>33</v>
      </c>
      <c r="F5989" s="27" t="s">
        <v>34</v>
      </c>
      <c r="G5989" s="27" t="s">
        <v>217</v>
      </c>
      <c r="H5989" s="29">
        <v>125</v>
      </c>
      <c r="I5989" s="27" t="s">
        <v>29</v>
      </c>
      <c r="J5989" s="37">
        <v>45809</v>
      </c>
      <c r="K5989" s="27" t="s">
        <v>22</v>
      </c>
    </row>
    <row r="5990" spans="1:11" x14ac:dyDescent="0.2">
      <c r="A5990" s="24" t="s">
        <v>14193</v>
      </c>
      <c r="B5990" s="24" t="s">
        <v>14194</v>
      </c>
      <c r="C5990" s="24" t="s">
        <v>7487</v>
      </c>
      <c r="D5990" s="24" t="s">
        <v>17</v>
      </c>
      <c r="E5990" s="24" t="s">
        <v>48</v>
      </c>
      <c r="F5990" s="24" t="s">
        <v>49</v>
      </c>
      <c r="G5990" s="24" t="s">
        <v>28</v>
      </c>
      <c r="H5990" s="26">
        <v>90</v>
      </c>
      <c r="I5990" s="24" t="s">
        <v>29</v>
      </c>
      <c r="J5990" s="36">
        <v>45828</v>
      </c>
      <c r="K5990" s="24" t="s">
        <v>22</v>
      </c>
    </row>
    <row r="5991" spans="1:11" x14ac:dyDescent="0.2">
      <c r="A5991" s="27" t="s">
        <v>14195</v>
      </c>
      <c r="B5991" s="27" t="s">
        <v>14196</v>
      </c>
      <c r="C5991" s="27" t="s">
        <v>97</v>
      </c>
      <c r="D5991" s="27" t="s">
        <v>17</v>
      </c>
      <c r="E5991" s="27" t="s">
        <v>18</v>
      </c>
      <c r="F5991" s="27" t="s">
        <v>19</v>
      </c>
      <c r="G5991" s="27" t="s">
        <v>28</v>
      </c>
      <c r="H5991" s="29">
        <v>75</v>
      </c>
      <c r="I5991" s="27" t="s">
        <v>29</v>
      </c>
      <c r="J5991" s="37">
        <v>45812</v>
      </c>
      <c r="K5991" s="27" t="s">
        <v>22</v>
      </c>
    </row>
    <row r="5992" spans="1:11" x14ac:dyDescent="0.2">
      <c r="A5992" s="24" t="s">
        <v>14197</v>
      </c>
      <c r="B5992" s="24" t="s">
        <v>14198</v>
      </c>
      <c r="C5992" s="24" t="s">
        <v>5967</v>
      </c>
      <c r="D5992" s="24" t="s">
        <v>17</v>
      </c>
      <c r="E5992" s="24" t="s">
        <v>42</v>
      </c>
      <c r="F5992" s="24" t="s">
        <v>43</v>
      </c>
      <c r="G5992" s="24" t="s">
        <v>217</v>
      </c>
      <c r="H5992" s="26">
        <v>140</v>
      </c>
      <c r="I5992" s="24" t="s">
        <v>29</v>
      </c>
      <c r="J5992" s="36">
        <v>45809</v>
      </c>
      <c r="K5992" s="24" t="s">
        <v>22</v>
      </c>
    </row>
    <row r="5993" spans="1:11" x14ac:dyDescent="0.2">
      <c r="A5993" s="27" t="s">
        <v>14199</v>
      </c>
      <c r="B5993" s="27" t="s">
        <v>14200</v>
      </c>
      <c r="C5993" s="27" t="s">
        <v>13952</v>
      </c>
      <c r="D5993" s="27" t="s">
        <v>17</v>
      </c>
      <c r="E5993" s="27" t="s">
        <v>42</v>
      </c>
      <c r="F5993" s="27" t="s">
        <v>43</v>
      </c>
      <c r="G5993" s="27" t="s">
        <v>28</v>
      </c>
      <c r="H5993" s="29">
        <v>72</v>
      </c>
      <c r="I5993" s="27" t="s">
        <v>29</v>
      </c>
      <c r="J5993" s="37">
        <v>45838</v>
      </c>
      <c r="K5993" s="27" t="s">
        <v>22</v>
      </c>
    </row>
    <row r="5994" spans="1:11" x14ac:dyDescent="0.2">
      <c r="A5994" s="24" t="s">
        <v>14201</v>
      </c>
      <c r="B5994" s="24" t="s">
        <v>14202</v>
      </c>
      <c r="C5994" s="24" t="s">
        <v>708</v>
      </c>
      <c r="D5994" s="24" t="s">
        <v>17</v>
      </c>
      <c r="E5994" s="24" t="s">
        <v>42</v>
      </c>
      <c r="F5994" s="24" t="s">
        <v>43</v>
      </c>
      <c r="G5994" s="24" t="s">
        <v>28</v>
      </c>
      <c r="H5994" s="26">
        <v>2000</v>
      </c>
      <c r="I5994" s="24" t="s">
        <v>29</v>
      </c>
      <c r="J5994" s="36">
        <v>45833</v>
      </c>
      <c r="K5994" s="24" t="s">
        <v>22</v>
      </c>
    </row>
    <row r="5995" spans="1:11" x14ac:dyDescent="0.2">
      <c r="A5995" s="27" t="s">
        <v>14203</v>
      </c>
      <c r="B5995" s="27" t="s">
        <v>14204</v>
      </c>
      <c r="C5995" s="27" t="s">
        <v>4370</v>
      </c>
      <c r="D5995" s="27" t="s">
        <v>17</v>
      </c>
      <c r="E5995" s="27" t="s">
        <v>18</v>
      </c>
      <c r="F5995" s="27" t="s">
        <v>19</v>
      </c>
      <c r="G5995" s="27" t="s">
        <v>20</v>
      </c>
      <c r="H5995" s="29">
        <v>40</v>
      </c>
      <c r="I5995" s="27" t="s">
        <v>21</v>
      </c>
      <c r="J5995" s="37">
        <v>45832</v>
      </c>
      <c r="K5995" s="27" t="s">
        <v>22</v>
      </c>
    </row>
    <row r="5996" spans="1:11" x14ac:dyDescent="0.2">
      <c r="A5996" s="24" t="s">
        <v>14205</v>
      </c>
      <c r="B5996" s="24" t="s">
        <v>14206</v>
      </c>
      <c r="C5996" s="24" t="s">
        <v>14207</v>
      </c>
      <c r="D5996" s="24" t="s">
        <v>17</v>
      </c>
      <c r="E5996" s="24" t="s">
        <v>18</v>
      </c>
      <c r="F5996" s="24" t="s">
        <v>19</v>
      </c>
      <c r="G5996" s="24" t="s">
        <v>20</v>
      </c>
      <c r="H5996" s="26">
        <v>44</v>
      </c>
      <c r="I5996" s="24" t="s">
        <v>21</v>
      </c>
      <c r="J5996" s="36">
        <v>45817</v>
      </c>
      <c r="K5996" s="24" t="s">
        <v>22</v>
      </c>
    </row>
    <row r="5997" spans="1:11" x14ac:dyDescent="0.2">
      <c r="A5997" s="27" t="s">
        <v>14208</v>
      </c>
      <c r="B5997" s="27" t="s">
        <v>14209</v>
      </c>
      <c r="C5997" s="27" t="s">
        <v>14210</v>
      </c>
      <c r="D5997" s="27" t="s">
        <v>17</v>
      </c>
      <c r="E5997" s="27" t="s">
        <v>48</v>
      </c>
      <c r="F5997" s="27" t="s">
        <v>49</v>
      </c>
      <c r="G5997" s="27" t="s">
        <v>28</v>
      </c>
      <c r="H5997" s="29">
        <v>600</v>
      </c>
      <c r="I5997" s="27" t="s">
        <v>29</v>
      </c>
      <c r="J5997" s="37">
        <v>45818</v>
      </c>
      <c r="K5997" s="27" t="s">
        <v>22</v>
      </c>
    </row>
    <row r="5998" spans="1:11" x14ac:dyDescent="0.2">
      <c r="A5998" s="24" t="s">
        <v>14211</v>
      </c>
      <c r="B5998" s="24" t="s">
        <v>14212</v>
      </c>
      <c r="C5998" s="24" t="s">
        <v>213</v>
      </c>
      <c r="D5998" s="24" t="s">
        <v>17</v>
      </c>
      <c r="E5998" s="24" t="s">
        <v>18</v>
      </c>
      <c r="F5998" s="24" t="s">
        <v>19</v>
      </c>
      <c r="G5998" s="24" t="s">
        <v>44</v>
      </c>
      <c r="H5998" s="26">
        <v>200</v>
      </c>
      <c r="I5998" s="24" t="s">
        <v>21</v>
      </c>
      <c r="J5998" s="36">
        <v>45823</v>
      </c>
      <c r="K5998" s="24" t="s">
        <v>22</v>
      </c>
    </row>
    <row r="5999" spans="1:11" x14ac:dyDescent="0.2">
      <c r="A5999" s="27" t="s">
        <v>14213</v>
      </c>
      <c r="B5999" s="27" t="s">
        <v>14214</v>
      </c>
      <c r="C5999" s="27" t="s">
        <v>13227</v>
      </c>
      <c r="D5999" s="27" t="s">
        <v>17</v>
      </c>
      <c r="E5999" s="27" t="s">
        <v>48</v>
      </c>
      <c r="F5999" s="27" t="s">
        <v>49</v>
      </c>
      <c r="G5999" s="27" t="s">
        <v>28</v>
      </c>
      <c r="H5999" s="29">
        <v>100</v>
      </c>
      <c r="I5999" s="27" t="s">
        <v>29</v>
      </c>
      <c r="J5999" s="37">
        <v>45824</v>
      </c>
      <c r="K5999" s="27" t="s">
        <v>22</v>
      </c>
    </row>
    <row r="6000" spans="1:11" x14ac:dyDescent="0.2">
      <c r="A6000" s="24" t="s">
        <v>14215</v>
      </c>
      <c r="B6000" s="24" t="s">
        <v>14216</v>
      </c>
      <c r="C6000" s="24" t="s">
        <v>301</v>
      </c>
      <c r="D6000" s="24" t="s">
        <v>17</v>
      </c>
      <c r="E6000" s="24" t="s">
        <v>42</v>
      </c>
      <c r="F6000" s="24" t="s">
        <v>43</v>
      </c>
      <c r="G6000" s="24" t="s">
        <v>28</v>
      </c>
      <c r="H6000" s="26">
        <v>600</v>
      </c>
      <c r="I6000" s="24" t="s">
        <v>29</v>
      </c>
      <c r="J6000" s="36">
        <v>45812</v>
      </c>
      <c r="K6000" s="24" t="s">
        <v>22</v>
      </c>
    </row>
    <row r="6001" spans="1:11" x14ac:dyDescent="0.2">
      <c r="A6001" s="27" t="s">
        <v>14217</v>
      </c>
      <c r="B6001" s="27" t="s">
        <v>14218</v>
      </c>
      <c r="C6001" s="27" t="s">
        <v>3944</v>
      </c>
      <c r="D6001" s="27" t="s">
        <v>17</v>
      </c>
      <c r="E6001" s="27" t="s">
        <v>18</v>
      </c>
      <c r="F6001" s="27" t="s">
        <v>19</v>
      </c>
      <c r="G6001" s="27" t="s">
        <v>20</v>
      </c>
      <c r="H6001" s="29">
        <v>29</v>
      </c>
      <c r="I6001" s="27" t="s">
        <v>21</v>
      </c>
      <c r="J6001" s="37">
        <v>45814</v>
      </c>
      <c r="K6001" s="27" t="s">
        <v>22</v>
      </c>
    </row>
    <row r="6002" spans="1:11" x14ac:dyDescent="0.2">
      <c r="A6002" s="24" t="s">
        <v>14219</v>
      </c>
      <c r="B6002" s="24" t="s">
        <v>14220</v>
      </c>
      <c r="C6002" s="24" t="s">
        <v>14221</v>
      </c>
      <c r="D6002" s="24" t="s">
        <v>17</v>
      </c>
      <c r="E6002" s="24" t="s">
        <v>26</v>
      </c>
      <c r="F6002" s="24" t="s">
        <v>27</v>
      </c>
      <c r="G6002" s="24" t="s">
        <v>28</v>
      </c>
      <c r="H6002" s="26">
        <v>24</v>
      </c>
      <c r="I6002" s="24" t="s">
        <v>29</v>
      </c>
      <c r="J6002" s="36">
        <v>45838</v>
      </c>
      <c r="K6002" s="24" t="s">
        <v>22</v>
      </c>
    </row>
    <row r="6003" spans="1:11" x14ac:dyDescent="0.2">
      <c r="A6003" s="27" t="s">
        <v>14222</v>
      </c>
      <c r="B6003" s="27" t="s">
        <v>14223</v>
      </c>
      <c r="C6003" s="27" t="s">
        <v>653</v>
      </c>
      <c r="D6003" s="27" t="s">
        <v>17</v>
      </c>
      <c r="E6003" s="27" t="s">
        <v>18</v>
      </c>
      <c r="F6003" s="27" t="s">
        <v>19</v>
      </c>
      <c r="G6003" s="27" t="s">
        <v>28</v>
      </c>
      <c r="H6003" s="29">
        <v>48</v>
      </c>
      <c r="I6003" s="27" t="s">
        <v>29</v>
      </c>
      <c r="J6003" s="37">
        <v>45814</v>
      </c>
      <c r="K6003" s="27" t="s">
        <v>22</v>
      </c>
    </row>
    <row r="6004" spans="1:11" x14ac:dyDescent="0.2">
      <c r="A6004" s="24" t="s">
        <v>14224</v>
      </c>
      <c r="B6004" s="24" t="s">
        <v>14225</v>
      </c>
      <c r="C6004" s="24" t="s">
        <v>14226</v>
      </c>
      <c r="D6004" s="24" t="s">
        <v>17</v>
      </c>
      <c r="E6004" s="24" t="s">
        <v>18</v>
      </c>
      <c r="F6004" s="24" t="s">
        <v>19</v>
      </c>
      <c r="G6004" s="24" t="s">
        <v>217</v>
      </c>
      <c r="H6004" s="26">
        <v>44</v>
      </c>
      <c r="I6004" s="24" t="s">
        <v>29</v>
      </c>
      <c r="J6004" s="36">
        <v>45809</v>
      </c>
      <c r="K6004" s="24" t="s">
        <v>22</v>
      </c>
    </row>
    <row r="6005" spans="1:11" x14ac:dyDescent="0.2">
      <c r="A6005" s="27" t="s">
        <v>14227</v>
      </c>
      <c r="B6005" s="27" t="s">
        <v>14228</v>
      </c>
      <c r="C6005" s="27" t="s">
        <v>2321</v>
      </c>
      <c r="D6005" s="27" t="s">
        <v>17</v>
      </c>
      <c r="E6005" s="27" t="s">
        <v>48</v>
      </c>
      <c r="F6005" s="27" t="s">
        <v>49</v>
      </c>
      <c r="G6005" s="27" t="s">
        <v>28</v>
      </c>
      <c r="H6005" s="29">
        <v>144</v>
      </c>
      <c r="I6005" s="27" t="s">
        <v>29</v>
      </c>
      <c r="J6005" s="37">
        <v>45824</v>
      </c>
      <c r="K6005" s="27" t="s">
        <v>22</v>
      </c>
    </row>
    <row r="6006" spans="1:11" x14ac:dyDescent="0.2">
      <c r="A6006" s="24" t="s">
        <v>14229</v>
      </c>
      <c r="B6006" s="24" t="s">
        <v>14230</v>
      </c>
      <c r="C6006" s="24" t="s">
        <v>194</v>
      </c>
      <c r="D6006" s="24" t="s">
        <v>17</v>
      </c>
      <c r="E6006" s="24" t="s">
        <v>33</v>
      </c>
      <c r="F6006" s="24" t="s">
        <v>34</v>
      </c>
      <c r="G6006" s="24" t="s">
        <v>28</v>
      </c>
      <c r="H6006" s="26">
        <v>120</v>
      </c>
      <c r="I6006" s="24" t="s">
        <v>29</v>
      </c>
      <c r="J6006" s="36">
        <v>45813</v>
      </c>
      <c r="K6006" s="24" t="s">
        <v>22</v>
      </c>
    </row>
    <row r="6007" spans="1:11" x14ac:dyDescent="0.2">
      <c r="A6007" s="27" t="s">
        <v>14231</v>
      </c>
      <c r="B6007" s="27" t="s">
        <v>14232</v>
      </c>
      <c r="C6007" s="27" t="s">
        <v>749</v>
      </c>
      <c r="D6007" s="27" t="s">
        <v>17</v>
      </c>
      <c r="E6007" s="27" t="s">
        <v>42</v>
      </c>
      <c r="F6007" s="27" t="s">
        <v>43</v>
      </c>
      <c r="G6007" s="27" t="s">
        <v>28</v>
      </c>
      <c r="H6007" s="29">
        <v>60</v>
      </c>
      <c r="I6007" s="27" t="s">
        <v>29</v>
      </c>
      <c r="J6007" s="37">
        <v>45825</v>
      </c>
      <c r="K6007" s="27" t="s">
        <v>22</v>
      </c>
    </row>
    <row r="6008" spans="1:11" x14ac:dyDescent="0.2">
      <c r="A6008" s="24" t="s">
        <v>14233</v>
      </c>
      <c r="B6008" s="24" t="s">
        <v>14234</v>
      </c>
      <c r="C6008" s="24" t="s">
        <v>3444</v>
      </c>
      <c r="D6008" s="24" t="s">
        <v>17</v>
      </c>
      <c r="E6008" s="24" t="s">
        <v>163</v>
      </c>
      <c r="F6008" s="24" t="s">
        <v>164</v>
      </c>
      <c r="G6008" s="24" t="s">
        <v>217</v>
      </c>
      <c r="H6008" s="26">
        <v>24</v>
      </c>
      <c r="I6008" s="24" t="s">
        <v>29</v>
      </c>
      <c r="J6008" s="36">
        <v>45809</v>
      </c>
      <c r="K6008" s="24" t="s">
        <v>22</v>
      </c>
    </row>
    <row r="6009" spans="1:11" x14ac:dyDescent="0.2">
      <c r="A6009" s="27" t="s">
        <v>14235</v>
      </c>
      <c r="B6009" s="27" t="s">
        <v>14236</v>
      </c>
      <c r="C6009" s="27" t="s">
        <v>71</v>
      </c>
      <c r="D6009" s="27" t="s">
        <v>17</v>
      </c>
      <c r="E6009" s="27" t="s">
        <v>18</v>
      </c>
      <c r="F6009" s="27" t="s">
        <v>19</v>
      </c>
      <c r="G6009" s="27" t="s">
        <v>217</v>
      </c>
      <c r="H6009" s="29">
        <v>18</v>
      </c>
      <c r="I6009" s="27" t="s">
        <v>29</v>
      </c>
      <c r="J6009" s="37">
        <v>45809</v>
      </c>
      <c r="K6009" s="27" t="s">
        <v>22</v>
      </c>
    </row>
    <row r="6010" spans="1:11" x14ac:dyDescent="0.2">
      <c r="A6010" s="24" t="s">
        <v>14237</v>
      </c>
      <c r="B6010" s="24" t="s">
        <v>14238</v>
      </c>
      <c r="C6010" s="24" t="s">
        <v>146</v>
      </c>
      <c r="D6010" s="24" t="s">
        <v>17</v>
      </c>
      <c r="E6010" s="24" t="s">
        <v>26</v>
      </c>
      <c r="F6010" s="24" t="s">
        <v>27</v>
      </c>
      <c r="G6010" s="24" t="s">
        <v>28</v>
      </c>
      <c r="H6010" s="26">
        <v>320</v>
      </c>
      <c r="I6010" s="24" t="s">
        <v>29</v>
      </c>
      <c r="J6010" s="36">
        <v>45819</v>
      </c>
      <c r="K6010" s="24" t="s">
        <v>22</v>
      </c>
    </row>
    <row r="6011" spans="1:11" x14ac:dyDescent="0.2">
      <c r="A6011" s="27" t="s">
        <v>14239</v>
      </c>
      <c r="B6011" s="27" t="s">
        <v>14240</v>
      </c>
      <c r="C6011" s="27" t="s">
        <v>8162</v>
      </c>
      <c r="D6011" s="27" t="s">
        <v>17</v>
      </c>
      <c r="E6011" s="27" t="s">
        <v>81</v>
      </c>
      <c r="F6011" s="27" t="s">
        <v>82</v>
      </c>
      <c r="G6011" s="27" t="s">
        <v>28</v>
      </c>
      <c r="H6011" s="29">
        <v>94</v>
      </c>
      <c r="I6011" s="27" t="s">
        <v>29</v>
      </c>
      <c r="J6011" s="37">
        <v>45819</v>
      </c>
      <c r="K6011" s="27" t="s">
        <v>22</v>
      </c>
    </row>
    <row r="6012" spans="1:11" x14ac:dyDescent="0.2">
      <c r="A6012" s="24" t="s">
        <v>14241</v>
      </c>
      <c r="B6012" s="24" t="s">
        <v>14242</v>
      </c>
      <c r="C6012" s="24" t="s">
        <v>71</v>
      </c>
      <c r="D6012" s="24" t="s">
        <v>17</v>
      </c>
      <c r="E6012" s="24" t="s">
        <v>42</v>
      </c>
      <c r="F6012" s="24" t="s">
        <v>43</v>
      </c>
      <c r="G6012" s="24" t="s">
        <v>217</v>
      </c>
      <c r="H6012" s="26">
        <v>282</v>
      </c>
      <c r="I6012" s="24" t="s">
        <v>29</v>
      </c>
      <c r="J6012" s="36">
        <v>45809</v>
      </c>
      <c r="K6012" s="24" t="s">
        <v>22</v>
      </c>
    </row>
    <row r="6013" spans="1:11" x14ac:dyDescent="0.2">
      <c r="A6013" s="27" t="s">
        <v>14243</v>
      </c>
      <c r="B6013" s="27" t="s">
        <v>14244</v>
      </c>
      <c r="C6013" s="27" t="s">
        <v>146</v>
      </c>
      <c r="D6013" s="27" t="s">
        <v>17</v>
      </c>
      <c r="E6013" s="27" t="s">
        <v>26</v>
      </c>
      <c r="F6013" s="27" t="s">
        <v>27</v>
      </c>
      <c r="G6013" s="27" t="s">
        <v>28</v>
      </c>
      <c r="H6013" s="29">
        <v>85</v>
      </c>
      <c r="I6013" s="27" t="s">
        <v>29</v>
      </c>
      <c r="J6013" s="37">
        <v>45820</v>
      </c>
      <c r="K6013" s="27" t="s">
        <v>22</v>
      </c>
    </row>
    <row r="6014" spans="1:11" x14ac:dyDescent="0.2">
      <c r="A6014" s="24" t="s">
        <v>14245</v>
      </c>
      <c r="B6014" s="24" t="s">
        <v>14246</v>
      </c>
      <c r="C6014" s="24" t="s">
        <v>8165</v>
      </c>
      <c r="D6014" s="24" t="s">
        <v>17</v>
      </c>
      <c r="E6014" s="24" t="s">
        <v>18</v>
      </c>
      <c r="F6014" s="24" t="s">
        <v>19</v>
      </c>
      <c r="G6014" s="24" t="s">
        <v>28</v>
      </c>
      <c r="H6014" s="26">
        <v>96</v>
      </c>
      <c r="I6014" s="24" t="s">
        <v>29</v>
      </c>
      <c r="J6014" s="36">
        <v>45835</v>
      </c>
      <c r="K6014" s="24" t="s">
        <v>22</v>
      </c>
    </row>
    <row r="6015" spans="1:11" x14ac:dyDescent="0.2">
      <c r="A6015" s="27" t="s">
        <v>14247</v>
      </c>
      <c r="B6015" s="27" t="s">
        <v>14248</v>
      </c>
      <c r="C6015" s="27" t="s">
        <v>97</v>
      </c>
      <c r="D6015" s="27" t="s">
        <v>17</v>
      </c>
      <c r="E6015" s="27" t="s">
        <v>48</v>
      </c>
      <c r="F6015" s="27" t="s">
        <v>49</v>
      </c>
      <c r="G6015" s="27" t="s">
        <v>28</v>
      </c>
      <c r="H6015" s="29">
        <v>1160</v>
      </c>
      <c r="I6015" s="27" t="s">
        <v>29</v>
      </c>
      <c r="J6015" s="37">
        <v>45835</v>
      </c>
      <c r="K6015" s="27" t="s">
        <v>22</v>
      </c>
    </row>
    <row r="6016" spans="1:11" x14ac:dyDescent="0.2">
      <c r="A6016" s="24" t="s">
        <v>14249</v>
      </c>
      <c r="B6016" s="24" t="s">
        <v>14250</v>
      </c>
      <c r="C6016" s="24" t="s">
        <v>14251</v>
      </c>
      <c r="D6016" s="24" t="s">
        <v>17</v>
      </c>
      <c r="E6016" s="24" t="s">
        <v>48</v>
      </c>
      <c r="F6016" s="24" t="s">
        <v>49</v>
      </c>
      <c r="G6016" s="24" t="s">
        <v>28</v>
      </c>
      <c r="H6016" s="26">
        <v>30</v>
      </c>
      <c r="I6016" s="24" t="s">
        <v>29</v>
      </c>
      <c r="J6016" s="36">
        <v>45838</v>
      </c>
      <c r="K6016" s="24" t="s">
        <v>22</v>
      </c>
    </row>
    <row r="6017" spans="1:11" x14ac:dyDescent="0.2">
      <c r="A6017" s="27" t="s">
        <v>14252</v>
      </c>
      <c r="B6017" s="27" t="s">
        <v>14253</v>
      </c>
      <c r="C6017" s="27" t="s">
        <v>1422</v>
      </c>
      <c r="D6017" s="27" t="s">
        <v>17</v>
      </c>
      <c r="E6017" s="27" t="s">
        <v>18</v>
      </c>
      <c r="F6017" s="27" t="s">
        <v>19</v>
      </c>
      <c r="G6017" s="27" t="s">
        <v>217</v>
      </c>
      <c r="H6017" s="29">
        <v>37</v>
      </c>
      <c r="I6017" s="27" t="s">
        <v>29</v>
      </c>
      <c r="J6017" s="37">
        <v>45809</v>
      </c>
      <c r="K6017" s="27" t="s">
        <v>22</v>
      </c>
    </row>
    <row r="6018" spans="1:11" x14ac:dyDescent="0.2">
      <c r="A6018" s="24" t="s">
        <v>14254</v>
      </c>
      <c r="B6018" s="24" t="s">
        <v>14255</v>
      </c>
      <c r="C6018" s="24" t="s">
        <v>14256</v>
      </c>
      <c r="D6018" s="24" t="s">
        <v>17</v>
      </c>
      <c r="E6018" s="24" t="s">
        <v>18</v>
      </c>
      <c r="F6018" s="24" t="s">
        <v>19</v>
      </c>
      <c r="G6018" s="24" t="s">
        <v>217</v>
      </c>
      <c r="H6018" s="26">
        <v>40</v>
      </c>
      <c r="I6018" s="24" t="s">
        <v>29</v>
      </c>
      <c r="J6018" s="36">
        <v>45838</v>
      </c>
      <c r="K6018" s="24" t="s">
        <v>22</v>
      </c>
    </row>
    <row r="6019" spans="1:11" x14ac:dyDescent="0.2">
      <c r="A6019" s="27" t="s">
        <v>14257</v>
      </c>
      <c r="B6019" s="27" t="s">
        <v>14258</v>
      </c>
      <c r="C6019" s="27" t="s">
        <v>5307</v>
      </c>
      <c r="D6019" s="27" t="s">
        <v>17</v>
      </c>
      <c r="E6019" s="27" t="s">
        <v>18</v>
      </c>
      <c r="F6019" s="27" t="s">
        <v>19</v>
      </c>
      <c r="G6019" s="27" t="s">
        <v>44</v>
      </c>
      <c r="H6019" s="29">
        <v>9</v>
      </c>
      <c r="I6019" s="27" t="s">
        <v>29</v>
      </c>
      <c r="J6019" s="37">
        <v>45833</v>
      </c>
      <c r="K6019" s="27" t="s">
        <v>22</v>
      </c>
    </row>
    <row r="6020" spans="1:11" x14ac:dyDescent="0.2">
      <c r="A6020" s="24" t="s">
        <v>14259</v>
      </c>
      <c r="B6020" s="24" t="s">
        <v>14260</v>
      </c>
      <c r="C6020" s="24" t="s">
        <v>3089</v>
      </c>
      <c r="D6020" s="24" t="s">
        <v>17</v>
      </c>
      <c r="E6020" s="24" t="s">
        <v>18</v>
      </c>
      <c r="F6020" s="24" t="s">
        <v>19</v>
      </c>
      <c r="G6020" s="24" t="s">
        <v>28</v>
      </c>
      <c r="H6020" s="26">
        <v>25</v>
      </c>
      <c r="I6020" s="24" t="s">
        <v>29</v>
      </c>
      <c r="J6020" s="36">
        <v>45823</v>
      </c>
      <c r="K6020" s="24" t="s">
        <v>22</v>
      </c>
    </row>
    <row r="6021" spans="1:11" x14ac:dyDescent="0.2">
      <c r="A6021" s="27" t="s">
        <v>14261</v>
      </c>
      <c r="B6021" s="27" t="s">
        <v>14262</v>
      </c>
      <c r="C6021" s="27" t="s">
        <v>14263</v>
      </c>
      <c r="D6021" s="27" t="s">
        <v>17</v>
      </c>
      <c r="E6021" s="27" t="s">
        <v>26</v>
      </c>
      <c r="F6021" s="27" t="s">
        <v>27</v>
      </c>
      <c r="G6021" s="27" t="s">
        <v>28</v>
      </c>
      <c r="H6021" s="29">
        <v>136</v>
      </c>
      <c r="I6021" s="27" t="s">
        <v>29</v>
      </c>
      <c r="J6021" s="37">
        <v>45831</v>
      </c>
      <c r="K6021" s="27" t="s">
        <v>22</v>
      </c>
    </row>
    <row r="6022" spans="1:11" x14ac:dyDescent="0.2">
      <c r="A6022" s="24" t="s">
        <v>14264</v>
      </c>
      <c r="B6022" s="24" t="s">
        <v>14265</v>
      </c>
      <c r="C6022" s="24" t="s">
        <v>602</v>
      </c>
      <c r="D6022" s="24" t="s">
        <v>17</v>
      </c>
      <c r="E6022" s="24" t="s">
        <v>26</v>
      </c>
      <c r="F6022" s="24" t="s">
        <v>27</v>
      </c>
      <c r="G6022" s="24" t="s">
        <v>28</v>
      </c>
      <c r="H6022" s="26">
        <v>180</v>
      </c>
      <c r="I6022" s="24" t="s">
        <v>29</v>
      </c>
      <c r="J6022" s="36">
        <v>45809</v>
      </c>
      <c r="K6022" s="24" t="s">
        <v>22</v>
      </c>
    </row>
    <row r="6023" spans="1:11" x14ac:dyDescent="0.2">
      <c r="A6023" s="27" t="s">
        <v>14266</v>
      </c>
      <c r="B6023" s="27" t="s">
        <v>14267</v>
      </c>
      <c r="C6023" s="27" t="s">
        <v>14268</v>
      </c>
      <c r="D6023" s="27" t="s">
        <v>17</v>
      </c>
      <c r="E6023" s="27" t="s">
        <v>18</v>
      </c>
      <c r="F6023" s="27" t="s">
        <v>19</v>
      </c>
      <c r="G6023" s="27" t="s">
        <v>28</v>
      </c>
      <c r="H6023" s="29">
        <v>80</v>
      </c>
      <c r="I6023" s="27" t="s">
        <v>29</v>
      </c>
      <c r="J6023" s="37">
        <v>45821</v>
      </c>
      <c r="K6023" s="27" t="s">
        <v>22</v>
      </c>
    </row>
    <row r="6024" spans="1:11" x14ac:dyDescent="0.2">
      <c r="A6024" s="24" t="s">
        <v>14269</v>
      </c>
      <c r="B6024" s="24" t="s">
        <v>14270</v>
      </c>
      <c r="C6024" s="24" t="s">
        <v>618</v>
      </c>
      <c r="D6024" s="24" t="s">
        <v>17</v>
      </c>
      <c r="E6024" s="24" t="s">
        <v>42</v>
      </c>
      <c r="F6024" s="24" t="s">
        <v>43</v>
      </c>
      <c r="G6024" s="24" t="s">
        <v>217</v>
      </c>
      <c r="H6024" s="26">
        <v>720</v>
      </c>
      <c r="I6024" s="24" t="s">
        <v>29</v>
      </c>
      <c r="J6024" s="36">
        <v>45818</v>
      </c>
      <c r="K6024" s="24" t="s">
        <v>22</v>
      </c>
    </row>
    <row r="6025" spans="1:11" x14ac:dyDescent="0.2">
      <c r="A6025" s="27" t="s">
        <v>14271</v>
      </c>
      <c r="B6025" s="27" t="s">
        <v>14272</v>
      </c>
      <c r="C6025" s="27" t="s">
        <v>801</v>
      </c>
      <c r="D6025" s="27" t="s">
        <v>17</v>
      </c>
      <c r="E6025" s="27" t="s">
        <v>18</v>
      </c>
      <c r="F6025" s="27" t="s">
        <v>19</v>
      </c>
      <c r="G6025" s="27" t="s">
        <v>20</v>
      </c>
      <c r="H6025" s="29">
        <v>82</v>
      </c>
      <c r="I6025" s="27" t="s">
        <v>21</v>
      </c>
      <c r="J6025" s="37">
        <v>45810</v>
      </c>
      <c r="K6025" s="27" t="s">
        <v>22</v>
      </c>
    </row>
    <row r="6026" spans="1:11" x14ac:dyDescent="0.2">
      <c r="A6026" s="24" t="s">
        <v>14273</v>
      </c>
      <c r="B6026" s="24" t="s">
        <v>14274</v>
      </c>
      <c r="C6026" s="24" t="s">
        <v>11699</v>
      </c>
      <c r="D6026" s="24" t="s">
        <v>17</v>
      </c>
      <c r="E6026" s="24" t="s">
        <v>18</v>
      </c>
      <c r="F6026" s="24" t="s">
        <v>19</v>
      </c>
      <c r="G6026" s="24" t="s">
        <v>28</v>
      </c>
      <c r="H6026" s="26">
        <v>60</v>
      </c>
      <c r="I6026" s="24" t="s">
        <v>29</v>
      </c>
      <c r="J6026" s="36">
        <v>45826</v>
      </c>
      <c r="K6026" s="24" t="s">
        <v>22</v>
      </c>
    </row>
    <row r="6027" spans="1:11" x14ac:dyDescent="0.2">
      <c r="A6027" s="27" t="s">
        <v>14275</v>
      </c>
      <c r="B6027" s="27" t="s">
        <v>14276</v>
      </c>
      <c r="C6027" s="27" t="s">
        <v>331</v>
      </c>
      <c r="D6027" s="27" t="s">
        <v>17</v>
      </c>
      <c r="E6027" s="27" t="s">
        <v>42</v>
      </c>
      <c r="F6027" s="27" t="s">
        <v>43</v>
      </c>
      <c r="G6027" s="27" t="s">
        <v>28</v>
      </c>
      <c r="H6027" s="29">
        <v>550</v>
      </c>
      <c r="I6027" s="27" t="s">
        <v>29</v>
      </c>
      <c r="J6027" s="37">
        <v>45820</v>
      </c>
      <c r="K6027" s="27" t="s">
        <v>22</v>
      </c>
    </row>
    <row r="6028" spans="1:11" x14ac:dyDescent="0.2">
      <c r="A6028" s="24" t="s">
        <v>14277</v>
      </c>
      <c r="B6028" s="24" t="s">
        <v>14278</v>
      </c>
      <c r="C6028" s="24" t="s">
        <v>592</v>
      </c>
      <c r="D6028" s="24" t="s">
        <v>17</v>
      </c>
      <c r="E6028" s="24" t="s">
        <v>48</v>
      </c>
      <c r="F6028" s="24" t="s">
        <v>49</v>
      </c>
      <c r="G6028" s="24" t="s">
        <v>28</v>
      </c>
      <c r="H6028" s="26">
        <v>80</v>
      </c>
      <c r="I6028" s="24" t="s">
        <v>29</v>
      </c>
      <c r="J6028" s="36">
        <v>45838</v>
      </c>
      <c r="K6028" s="24" t="s">
        <v>22</v>
      </c>
    </row>
    <row r="6029" spans="1:11" x14ac:dyDescent="0.2">
      <c r="A6029" s="27" t="s">
        <v>14279</v>
      </c>
      <c r="B6029" s="27" t="s">
        <v>14280</v>
      </c>
      <c r="C6029" s="27" t="s">
        <v>213</v>
      </c>
      <c r="D6029" s="27" t="s">
        <v>17</v>
      </c>
      <c r="E6029" s="27" t="s">
        <v>18</v>
      </c>
      <c r="F6029" s="27" t="s">
        <v>19</v>
      </c>
      <c r="G6029" s="27" t="s">
        <v>28</v>
      </c>
      <c r="H6029" s="29">
        <v>53</v>
      </c>
      <c r="I6029" s="27" t="s">
        <v>29</v>
      </c>
      <c r="J6029" s="37">
        <v>45828</v>
      </c>
      <c r="K6029" s="27" t="s">
        <v>22</v>
      </c>
    </row>
    <row r="6030" spans="1:11" x14ac:dyDescent="0.2">
      <c r="A6030" s="24" t="s">
        <v>14281</v>
      </c>
      <c r="B6030" s="24" t="s">
        <v>14282</v>
      </c>
      <c r="C6030" s="24" t="s">
        <v>91</v>
      </c>
      <c r="D6030" s="24" t="s">
        <v>17</v>
      </c>
      <c r="E6030" s="24" t="s">
        <v>48</v>
      </c>
      <c r="F6030" s="24" t="s">
        <v>49</v>
      </c>
      <c r="G6030" s="24" t="s">
        <v>217</v>
      </c>
      <c r="H6030" s="26">
        <v>156</v>
      </c>
      <c r="I6030" s="24" t="s">
        <v>29</v>
      </c>
      <c r="J6030" s="36">
        <v>45838</v>
      </c>
      <c r="K6030" s="24" t="s">
        <v>22</v>
      </c>
    </row>
    <row r="6031" spans="1:11" x14ac:dyDescent="0.2">
      <c r="A6031" s="27" t="s">
        <v>14283</v>
      </c>
      <c r="B6031" s="27" t="s">
        <v>14284</v>
      </c>
      <c r="C6031" s="27" t="s">
        <v>526</v>
      </c>
      <c r="D6031" s="27" t="s">
        <v>17</v>
      </c>
      <c r="E6031" s="27" t="s">
        <v>42</v>
      </c>
      <c r="F6031" s="27" t="s">
        <v>43</v>
      </c>
      <c r="G6031" s="27" t="s">
        <v>28</v>
      </c>
      <c r="H6031" s="29">
        <v>290</v>
      </c>
      <c r="I6031" s="27" t="s">
        <v>29</v>
      </c>
      <c r="J6031" s="37">
        <v>45834</v>
      </c>
      <c r="K6031" s="27" t="s">
        <v>22</v>
      </c>
    </row>
    <row r="6032" spans="1:11" x14ac:dyDescent="0.2">
      <c r="A6032" s="24" t="s">
        <v>14285</v>
      </c>
      <c r="B6032" s="24" t="s">
        <v>14286</v>
      </c>
      <c r="C6032" s="24" t="s">
        <v>115</v>
      </c>
      <c r="D6032" s="24" t="s">
        <v>17</v>
      </c>
      <c r="E6032" s="24" t="s">
        <v>42</v>
      </c>
      <c r="F6032" s="24" t="s">
        <v>43</v>
      </c>
      <c r="G6032" s="24" t="s">
        <v>28</v>
      </c>
      <c r="H6032" s="26">
        <v>13</v>
      </c>
      <c r="I6032" s="24" t="s">
        <v>29</v>
      </c>
      <c r="J6032" s="36">
        <v>45834</v>
      </c>
      <c r="K6032" s="24" t="s">
        <v>22</v>
      </c>
    </row>
    <row r="6033" spans="1:11" x14ac:dyDescent="0.2">
      <c r="A6033" s="27" t="s">
        <v>14287</v>
      </c>
      <c r="B6033" s="27" t="s">
        <v>14288</v>
      </c>
      <c r="C6033" s="27" t="s">
        <v>687</v>
      </c>
      <c r="D6033" s="27" t="s">
        <v>17</v>
      </c>
      <c r="E6033" s="27" t="s">
        <v>18</v>
      </c>
      <c r="F6033" s="27" t="s">
        <v>19</v>
      </c>
      <c r="G6033" s="27" t="s">
        <v>28</v>
      </c>
      <c r="H6033" s="29">
        <v>144</v>
      </c>
      <c r="I6033" s="27" t="s">
        <v>29</v>
      </c>
      <c r="J6033" s="37">
        <v>45820</v>
      </c>
      <c r="K6033" s="27" t="s">
        <v>22</v>
      </c>
    </row>
    <row r="6034" spans="1:11" x14ac:dyDescent="0.2">
      <c r="A6034" s="24" t="s">
        <v>14289</v>
      </c>
      <c r="B6034" s="24" t="s">
        <v>14290</v>
      </c>
      <c r="C6034" s="24" t="s">
        <v>2507</v>
      </c>
      <c r="D6034" s="24" t="s">
        <v>17</v>
      </c>
      <c r="E6034" s="24" t="s">
        <v>42</v>
      </c>
      <c r="F6034" s="24" t="s">
        <v>43</v>
      </c>
      <c r="G6034" s="24" t="s">
        <v>28</v>
      </c>
      <c r="H6034" s="26">
        <v>420</v>
      </c>
      <c r="I6034" s="24" t="s">
        <v>29</v>
      </c>
      <c r="J6034" s="36">
        <v>45828</v>
      </c>
      <c r="K6034" s="24" t="s">
        <v>22</v>
      </c>
    </row>
    <row r="6035" spans="1:11" x14ac:dyDescent="0.2">
      <c r="A6035" s="27" t="s">
        <v>14291</v>
      </c>
      <c r="B6035" s="27" t="s">
        <v>14292</v>
      </c>
      <c r="C6035" s="27" t="s">
        <v>71</v>
      </c>
      <c r="D6035" s="27" t="s">
        <v>17</v>
      </c>
      <c r="E6035" s="27" t="s">
        <v>18</v>
      </c>
      <c r="F6035" s="27" t="s">
        <v>19</v>
      </c>
      <c r="G6035" s="27" t="s">
        <v>217</v>
      </c>
      <c r="H6035" s="29">
        <v>108</v>
      </c>
      <c r="I6035" s="27" t="s">
        <v>29</v>
      </c>
      <c r="J6035" s="37">
        <v>45809</v>
      </c>
      <c r="K6035" s="27" t="s">
        <v>22</v>
      </c>
    </row>
    <row r="6036" spans="1:11" x14ac:dyDescent="0.2">
      <c r="A6036" s="24" t="s">
        <v>14293</v>
      </c>
      <c r="B6036" s="24" t="s">
        <v>14294</v>
      </c>
      <c r="C6036" s="24" t="s">
        <v>185</v>
      </c>
      <c r="D6036" s="24" t="s">
        <v>17</v>
      </c>
      <c r="E6036" s="24" t="s">
        <v>18</v>
      </c>
      <c r="F6036" s="24" t="s">
        <v>19</v>
      </c>
      <c r="G6036" s="24" t="s">
        <v>217</v>
      </c>
      <c r="H6036" s="26">
        <v>88</v>
      </c>
      <c r="I6036" s="24" t="s">
        <v>29</v>
      </c>
      <c r="J6036" s="36">
        <v>45809</v>
      </c>
      <c r="K6036" s="24" t="s">
        <v>22</v>
      </c>
    </row>
    <row r="6037" spans="1:11" x14ac:dyDescent="0.2">
      <c r="A6037" s="27" t="s">
        <v>14295</v>
      </c>
      <c r="B6037" s="27" t="s">
        <v>14296</v>
      </c>
      <c r="C6037" s="27" t="s">
        <v>14297</v>
      </c>
      <c r="D6037" s="27" t="s">
        <v>17</v>
      </c>
      <c r="E6037" s="27" t="s">
        <v>18</v>
      </c>
      <c r="F6037" s="27" t="s">
        <v>19</v>
      </c>
      <c r="G6037" s="27" t="s">
        <v>28</v>
      </c>
      <c r="H6037" s="29">
        <v>40</v>
      </c>
      <c r="I6037" s="27" t="s">
        <v>29</v>
      </c>
      <c r="J6037" s="37">
        <v>45834</v>
      </c>
      <c r="K6037" s="27" t="s">
        <v>22</v>
      </c>
    </row>
    <row r="6038" spans="1:11" x14ac:dyDescent="0.2">
      <c r="A6038" s="24" t="s">
        <v>14298</v>
      </c>
      <c r="B6038" s="24" t="s">
        <v>14299</v>
      </c>
      <c r="C6038" s="24" t="s">
        <v>2507</v>
      </c>
      <c r="D6038" s="24" t="s">
        <v>17</v>
      </c>
      <c r="E6038" s="24" t="s">
        <v>18</v>
      </c>
      <c r="F6038" s="24" t="s">
        <v>19</v>
      </c>
      <c r="G6038" s="24" t="s">
        <v>217</v>
      </c>
      <c r="H6038" s="26">
        <v>6</v>
      </c>
      <c r="I6038" s="24" t="s">
        <v>29</v>
      </c>
      <c r="J6038" s="36">
        <v>45809</v>
      </c>
      <c r="K6038" s="24" t="s">
        <v>22</v>
      </c>
    </row>
    <row r="6039" spans="1:11" x14ac:dyDescent="0.2">
      <c r="A6039" s="27" t="s">
        <v>14300</v>
      </c>
      <c r="B6039" s="27" t="s">
        <v>14301</v>
      </c>
      <c r="C6039" s="27" t="s">
        <v>14302</v>
      </c>
      <c r="D6039" s="27" t="s">
        <v>17</v>
      </c>
      <c r="E6039" s="27" t="s">
        <v>18</v>
      </c>
      <c r="F6039" s="27" t="s">
        <v>19</v>
      </c>
      <c r="G6039" s="27" t="s">
        <v>217</v>
      </c>
      <c r="H6039" s="29">
        <v>100</v>
      </c>
      <c r="I6039" s="27" t="s">
        <v>29</v>
      </c>
      <c r="J6039" s="37">
        <v>45809</v>
      </c>
      <c r="K6039" s="27" t="s">
        <v>22</v>
      </c>
    </row>
    <row r="6040" spans="1:11" x14ac:dyDescent="0.2">
      <c r="A6040" s="24" t="s">
        <v>14303</v>
      </c>
      <c r="B6040" s="24" t="s">
        <v>14304</v>
      </c>
      <c r="C6040" s="24" t="s">
        <v>208</v>
      </c>
      <c r="D6040" s="24" t="s">
        <v>17</v>
      </c>
      <c r="E6040" s="24" t="s">
        <v>81</v>
      </c>
      <c r="F6040" s="24" t="s">
        <v>82</v>
      </c>
      <c r="G6040" s="24" t="s">
        <v>20</v>
      </c>
      <c r="H6040" s="26">
        <v>203</v>
      </c>
      <c r="I6040" s="24" t="s">
        <v>21</v>
      </c>
      <c r="J6040" s="36">
        <v>45823</v>
      </c>
      <c r="K6040" s="24" t="s">
        <v>22</v>
      </c>
    </row>
    <row r="6041" spans="1:11" x14ac:dyDescent="0.2">
      <c r="A6041" s="27" t="s">
        <v>14305</v>
      </c>
      <c r="B6041" s="27" t="s">
        <v>14306</v>
      </c>
      <c r="C6041" s="27" t="s">
        <v>2507</v>
      </c>
      <c r="D6041" s="27" t="s">
        <v>17</v>
      </c>
      <c r="E6041" s="27" t="s">
        <v>18</v>
      </c>
      <c r="F6041" s="27" t="s">
        <v>19</v>
      </c>
      <c r="G6041" s="27" t="s">
        <v>28</v>
      </c>
      <c r="H6041" s="29">
        <v>60</v>
      </c>
      <c r="I6041" s="27" t="s">
        <v>29</v>
      </c>
      <c r="J6041" s="37">
        <v>45824</v>
      </c>
      <c r="K6041" s="27" t="s">
        <v>22</v>
      </c>
    </row>
    <row r="6042" spans="1:11" x14ac:dyDescent="0.2">
      <c r="A6042" s="24" t="s">
        <v>14307</v>
      </c>
      <c r="B6042" s="24" t="s">
        <v>14308</v>
      </c>
      <c r="C6042" s="24" t="s">
        <v>14210</v>
      </c>
      <c r="D6042" s="24" t="s">
        <v>17</v>
      </c>
      <c r="E6042" s="24" t="s">
        <v>48</v>
      </c>
      <c r="F6042" s="24" t="s">
        <v>49</v>
      </c>
      <c r="G6042" s="24" t="s">
        <v>28</v>
      </c>
      <c r="H6042" s="26">
        <v>200</v>
      </c>
      <c r="I6042" s="24" t="s">
        <v>29</v>
      </c>
      <c r="J6042" s="36">
        <v>45818</v>
      </c>
      <c r="K6042" s="24" t="s">
        <v>22</v>
      </c>
    </row>
    <row r="6043" spans="1:11" x14ac:dyDescent="0.2">
      <c r="A6043" s="27" t="s">
        <v>14309</v>
      </c>
      <c r="B6043" s="27" t="s">
        <v>14310</v>
      </c>
      <c r="C6043" s="27" t="s">
        <v>6656</v>
      </c>
      <c r="D6043" s="27" t="s">
        <v>17</v>
      </c>
      <c r="E6043" s="27" t="s">
        <v>18</v>
      </c>
      <c r="F6043" s="27" t="s">
        <v>19</v>
      </c>
      <c r="G6043" s="27" t="s">
        <v>28</v>
      </c>
      <c r="H6043" s="29">
        <v>82</v>
      </c>
      <c r="I6043" s="27" t="s">
        <v>29</v>
      </c>
      <c r="J6043" s="37">
        <v>45817</v>
      </c>
      <c r="K6043" s="27" t="s">
        <v>22</v>
      </c>
    </row>
    <row r="6044" spans="1:11" x14ac:dyDescent="0.2">
      <c r="A6044" s="24" t="s">
        <v>14311</v>
      </c>
      <c r="B6044" s="24" t="s">
        <v>14312</v>
      </c>
      <c r="C6044" s="24" t="s">
        <v>14313</v>
      </c>
      <c r="D6044" s="24" t="s">
        <v>17</v>
      </c>
      <c r="E6044" s="24" t="s">
        <v>48</v>
      </c>
      <c r="F6044" s="24" t="s">
        <v>49</v>
      </c>
      <c r="G6044" s="24" t="s">
        <v>28</v>
      </c>
      <c r="H6044" s="26">
        <v>106</v>
      </c>
      <c r="I6044" s="24" t="s">
        <v>29</v>
      </c>
      <c r="J6044" s="36">
        <v>45832</v>
      </c>
      <c r="K6044" s="24" t="s">
        <v>22</v>
      </c>
    </row>
    <row r="6045" spans="1:11" x14ac:dyDescent="0.2">
      <c r="A6045" s="27" t="s">
        <v>14314</v>
      </c>
      <c r="B6045" s="27" t="s">
        <v>14315</v>
      </c>
      <c r="C6045" s="27" t="s">
        <v>85</v>
      </c>
      <c r="D6045" s="27" t="s">
        <v>17</v>
      </c>
      <c r="E6045" s="27" t="s">
        <v>48</v>
      </c>
      <c r="F6045" s="27" t="s">
        <v>49</v>
      </c>
      <c r="G6045" s="27" t="s">
        <v>28</v>
      </c>
      <c r="H6045" s="29">
        <v>240</v>
      </c>
      <c r="I6045" s="27" t="s">
        <v>29</v>
      </c>
      <c r="J6045" s="37">
        <v>45817</v>
      </c>
      <c r="K6045" s="27" t="s">
        <v>22</v>
      </c>
    </row>
    <row r="6046" spans="1:11" x14ac:dyDescent="0.2">
      <c r="A6046" s="24" t="s">
        <v>14316</v>
      </c>
      <c r="B6046" s="24" t="s">
        <v>14317</v>
      </c>
      <c r="C6046" s="24" t="s">
        <v>5732</v>
      </c>
      <c r="D6046" s="24" t="s">
        <v>17</v>
      </c>
      <c r="E6046" s="24" t="s">
        <v>26</v>
      </c>
      <c r="F6046" s="24" t="s">
        <v>27</v>
      </c>
      <c r="G6046" s="24" t="s">
        <v>28</v>
      </c>
      <c r="H6046" s="26">
        <v>54</v>
      </c>
      <c r="I6046" s="24" t="s">
        <v>29</v>
      </c>
      <c r="J6046" s="36">
        <v>45814</v>
      </c>
      <c r="K6046" s="24" t="s">
        <v>22</v>
      </c>
    </row>
    <row r="6047" spans="1:11" x14ac:dyDescent="0.2">
      <c r="A6047" s="27" t="s">
        <v>14318</v>
      </c>
      <c r="B6047" s="27" t="s">
        <v>14319</v>
      </c>
      <c r="C6047" s="27" t="s">
        <v>14320</v>
      </c>
      <c r="D6047" s="27" t="s">
        <v>17</v>
      </c>
      <c r="E6047" s="27" t="s">
        <v>26</v>
      </c>
      <c r="F6047" s="27" t="s">
        <v>27</v>
      </c>
      <c r="G6047" s="27" t="s">
        <v>28</v>
      </c>
      <c r="H6047" s="29">
        <v>24</v>
      </c>
      <c r="I6047" s="27" t="s">
        <v>29</v>
      </c>
      <c r="J6047" s="37">
        <v>45838</v>
      </c>
      <c r="K6047" s="27" t="s">
        <v>22</v>
      </c>
    </row>
    <row r="6048" spans="1:11" x14ac:dyDescent="0.2">
      <c r="A6048" s="24" t="s">
        <v>14321</v>
      </c>
      <c r="B6048" s="24" t="s">
        <v>14322</v>
      </c>
      <c r="C6048" s="24" t="s">
        <v>71</v>
      </c>
      <c r="D6048" s="24" t="s">
        <v>17</v>
      </c>
      <c r="E6048" s="24" t="s">
        <v>42</v>
      </c>
      <c r="F6048" s="24" t="s">
        <v>43</v>
      </c>
      <c r="G6048" s="24" t="s">
        <v>28</v>
      </c>
      <c r="H6048" s="26">
        <v>450</v>
      </c>
      <c r="I6048" s="24" t="s">
        <v>29</v>
      </c>
      <c r="J6048" s="36">
        <v>45812</v>
      </c>
      <c r="K6048" s="24" t="s">
        <v>22</v>
      </c>
    </row>
    <row r="6049" spans="1:11" x14ac:dyDescent="0.2">
      <c r="A6049" s="27" t="s">
        <v>14323</v>
      </c>
      <c r="B6049" s="27" t="s">
        <v>14324</v>
      </c>
      <c r="C6049" s="27" t="s">
        <v>526</v>
      </c>
      <c r="D6049" s="27" t="s">
        <v>17</v>
      </c>
      <c r="E6049" s="27" t="s">
        <v>18</v>
      </c>
      <c r="F6049" s="27" t="s">
        <v>19</v>
      </c>
      <c r="G6049" s="27" t="s">
        <v>44</v>
      </c>
      <c r="H6049" s="29">
        <v>78</v>
      </c>
      <c r="I6049" s="27" t="s">
        <v>29</v>
      </c>
      <c r="J6049" s="37">
        <v>45814</v>
      </c>
      <c r="K6049" s="27" t="s">
        <v>22</v>
      </c>
    </row>
    <row r="6050" spans="1:11" x14ac:dyDescent="0.2">
      <c r="A6050" s="24" t="s">
        <v>14325</v>
      </c>
      <c r="B6050" s="24" t="s">
        <v>14326</v>
      </c>
      <c r="C6050" s="24" t="s">
        <v>4714</v>
      </c>
      <c r="D6050" s="24" t="s">
        <v>17</v>
      </c>
      <c r="E6050" s="24" t="s">
        <v>18</v>
      </c>
      <c r="F6050" s="24" t="s">
        <v>19</v>
      </c>
      <c r="G6050" s="24" t="s">
        <v>28</v>
      </c>
      <c r="H6050" s="26">
        <v>6</v>
      </c>
      <c r="I6050" s="24" t="s">
        <v>29</v>
      </c>
      <c r="J6050" s="36">
        <v>45815</v>
      </c>
      <c r="K6050" s="24" t="s">
        <v>22</v>
      </c>
    </row>
    <row r="6051" spans="1:11" x14ac:dyDescent="0.2">
      <c r="A6051" s="27" t="s">
        <v>14327</v>
      </c>
      <c r="B6051" s="27" t="s">
        <v>14328</v>
      </c>
      <c r="C6051" s="27" t="s">
        <v>12603</v>
      </c>
      <c r="D6051" s="27" t="s">
        <v>17</v>
      </c>
      <c r="E6051" s="27" t="s">
        <v>33</v>
      </c>
      <c r="F6051" s="27" t="s">
        <v>34</v>
      </c>
      <c r="G6051" s="27" t="s">
        <v>28</v>
      </c>
      <c r="H6051" s="29">
        <v>1276</v>
      </c>
      <c r="I6051" s="27" t="s">
        <v>29</v>
      </c>
      <c r="J6051" s="37">
        <v>45835</v>
      </c>
      <c r="K6051" s="27" t="s">
        <v>22</v>
      </c>
    </row>
    <row r="6052" spans="1:11" x14ac:dyDescent="0.2">
      <c r="A6052" s="24" t="s">
        <v>14329</v>
      </c>
      <c r="B6052" s="24" t="s">
        <v>14330</v>
      </c>
      <c r="C6052" s="24" t="s">
        <v>97</v>
      </c>
      <c r="D6052" s="24" t="s">
        <v>17</v>
      </c>
      <c r="E6052" s="24" t="s">
        <v>42</v>
      </c>
      <c r="F6052" s="24" t="s">
        <v>43</v>
      </c>
      <c r="G6052" s="24" t="s">
        <v>44</v>
      </c>
      <c r="H6052" s="26">
        <v>455</v>
      </c>
      <c r="I6052" s="24" t="s">
        <v>21</v>
      </c>
      <c r="J6052" s="36">
        <v>45818</v>
      </c>
      <c r="K6052" s="24" t="s">
        <v>22</v>
      </c>
    </row>
    <row r="6053" spans="1:11" x14ac:dyDescent="0.2">
      <c r="A6053" s="27" t="s">
        <v>14331</v>
      </c>
      <c r="B6053" s="27" t="s">
        <v>14332</v>
      </c>
      <c r="C6053" s="27" t="s">
        <v>5786</v>
      </c>
      <c r="D6053" s="27" t="s">
        <v>17</v>
      </c>
      <c r="E6053" s="27" t="s">
        <v>18</v>
      </c>
      <c r="F6053" s="27" t="s">
        <v>19</v>
      </c>
      <c r="G6053" s="27" t="s">
        <v>227</v>
      </c>
      <c r="H6053" s="29">
        <v>40</v>
      </c>
      <c r="I6053" s="27" t="s">
        <v>29</v>
      </c>
      <c r="J6053" s="37">
        <v>45838</v>
      </c>
      <c r="K6053" s="27" t="s">
        <v>22</v>
      </c>
    </row>
    <row r="6054" spans="1:11" x14ac:dyDescent="0.2">
      <c r="A6054" s="24" t="s">
        <v>14333</v>
      </c>
      <c r="B6054" s="24" t="s">
        <v>14334</v>
      </c>
      <c r="C6054" s="24" t="s">
        <v>91</v>
      </c>
      <c r="D6054" s="24" t="s">
        <v>17</v>
      </c>
      <c r="E6054" s="24" t="s">
        <v>48</v>
      </c>
      <c r="F6054" s="24" t="s">
        <v>49</v>
      </c>
      <c r="G6054" s="24" t="s">
        <v>217</v>
      </c>
      <c r="H6054" s="26">
        <v>153</v>
      </c>
      <c r="I6054" s="24" t="s">
        <v>29</v>
      </c>
      <c r="J6054" s="36">
        <v>45823</v>
      </c>
      <c r="K6054" s="24" t="s">
        <v>22</v>
      </c>
    </row>
    <row r="6055" spans="1:11" x14ac:dyDescent="0.2">
      <c r="A6055" s="27" t="s">
        <v>14335</v>
      </c>
      <c r="B6055" s="27" t="s">
        <v>14336</v>
      </c>
      <c r="C6055" s="27" t="s">
        <v>251</v>
      </c>
      <c r="D6055" s="27" t="s">
        <v>17</v>
      </c>
      <c r="E6055" s="27" t="s">
        <v>81</v>
      </c>
      <c r="F6055" s="27" t="s">
        <v>82</v>
      </c>
      <c r="G6055" s="27" t="s">
        <v>44</v>
      </c>
      <c r="H6055" s="29">
        <v>1590</v>
      </c>
      <c r="I6055" s="27" t="s">
        <v>29</v>
      </c>
      <c r="J6055" s="37">
        <v>45825</v>
      </c>
      <c r="K6055" s="27" t="s">
        <v>22</v>
      </c>
    </row>
    <row r="6056" spans="1:11" x14ac:dyDescent="0.2">
      <c r="A6056" s="24" t="s">
        <v>14337</v>
      </c>
      <c r="B6056" s="24" t="s">
        <v>14338</v>
      </c>
      <c r="C6056" s="24" t="s">
        <v>7701</v>
      </c>
      <c r="D6056" s="24" t="s">
        <v>17</v>
      </c>
      <c r="E6056" s="24" t="s">
        <v>18</v>
      </c>
      <c r="F6056" s="24" t="s">
        <v>19</v>
      </c>
      <c r="G6056" s="24" t="s">
        <v>44</v>
      </c>
      <c r="H6056" s="26">
        <v>8</v>
      </c>
      <c r="I6056" s="24" t="s">
        <v>21</v>
      </c>
      <c r="J6056" s="36">
        <v>45818</v>
      </c>
      <c r="K6056" s="24" t="s">
        <v>22</v>
      </c>
    </row>
    <row r="6057" spans="1:11" x14ac:dyDescent="0.2">
      <c r="A6057" s="27" t="s">
        <v>14339</v>
      </c>
      <c r="B6057" s="27" t="s">
        <v>14340</v>
      </c>
      <c r="C6057" s="27" t="s">
        <v>14341</v>
      </c>
      <c r="D6057" s="27" t="s">
        <v>17</v>
      </c>
      <c r="E6057" s="27" t="s">
        <v>42</v>
      </c>
      <c r="F6057" s="27" t="s">
        <v>43</v>
      </c>
      <c r="G6057" s="27" t="s">
        <v>28</v>
      </c>
      <c r="H6057" s="29">
        <v>170</v>
      </c>
      <c r="I6057" s="27" t="s">
        <v>29</v>
      </c>
      <c r="J6057" s="37">
        <v>45812</v>
      </c>
      <c r="K6057" s="27" t="s">
        <v>22</v>
      </c>
    </row>
    <row r="6058" spans="1:11" x14ac:dyDescent="0.2">
      <c r="A6058" s="24" t="s">
        <v>14342</v>
      </c>
      <c r="B6058" s="24" t="s">
        <v>14343</v>
      </c>
      <c r="C6058" s="24" t="s">
        <v>213</v>
      </c>
      <c r="D6058" s="24" t="s">
        <v>17</v>
      </c>
      <c r="E6058" s="24" t="s">
        <v>48</v>
      </c>
      <c r="F6058" s="24" t="s">
        <v>49</v>
      </c>
      <c r="G6058" s="24" t="s">
        <v>28</v>
      </c>
      <c r="H6058" s="26">
        <v>620</v>
      </c>
      <c r="I6058" s="24" t="s">
        <v>29</v>
      </c>
      <c r="J6058" s="36">
        <v>45827</v>
      </c>
      <c r="K6058" s="24" t="s">
        <v>22</v>
      </c>
    </row>
    <row r="6059" spans="1:11" x14ac:dyDescent="0.2">
      <c r="A6059" s="27" t="s">
        <v>14344</v>
      </c>
      <c r="B6059" s="27" t="s">
        <v>14345</v>
      </c>
      <c r="C6059" s="27" t="s">
        <v>14346</v>
      </c>
      <c r="D6059" s="27" t="s">
        <v>17</v>
      </c>
      <c r="E6059" s="27" t="s">
        <v>48</v>
      </c>
      <c r="F6059" s="27" t="s">
        <v>49</v>
      </c>
      <c r="G6059" s="27" t="s">
        <v>28</v>
      </c>
      <c r="H6059" s="29">
        <v>50</v>
      </c>
      <c r="I6059" s="27" t="s">
        <v>29</v>
      </c>
      <c r="J6059" s="37">
        <v>45832</v>
      </c>
      <c r="K6059" s="27" t="s">
        <v>22</v>
      </c>
    </row>
    <row r="6060" spans="1:11" x14ac:dyDescent="0.2">
      <c r="A6060" s="24" t="s">
        <v>14347</v>
      </c>
      <c r="B6060" s="24" t="s">
        <v>14348</v>
      </c>
      <c r="C6060" s="24" t="s">
        <v>7413</v>
      </c>
      <c r="D6060" s="24" t="s">
        <v>17</v>
      </c>
      <c r="E6060" s="24" t="s">
        <v>42</v>
      </c>
      <c r="F6060" s="24" t="s">
        <v>43</v>
      </c>
      <c r="G6060" s="24" t="s">
        <v>28</v>
      </c>
      <c r="H6060" s="26">
        <v>720</v>
      </c>
      <c r="I6060" s="24" t="s">
        <v>29</v>
      </c>
      <c r="J6060" s="36">
        <v>45813</v>
      </c>
      <c r="K6060" s="24" t="s">
        <v>22</v>
      </c>
    </row>
    <row r="6061" spans="1:11" x14ac:dyDescent="0.2">
      <c r="A6061" s="27" t="s">
        <v>14349</v>
      </c>
      <c r="B6061" s="27" t="s">
        <v>14350</v>
      </c>
      <c r="C6061" s="27" t="s">
        <v>12358</v>
      </c>
      <c r="D6061" s="27" t="s">
        <v>17</v>
      </c>
      <c r="E6061" s="27" t="s">
        <v>33</v>
      </c>
      <c r="F6061" s="27" t="s">
        <v>34</v>
      </c>
      <c r="G6061" s="27" t="s">
        <v>44</v>
      </c>
      <c r="H6061" s="29">
        <v>600</v>
      </c>
      <c r="I6061" s="27" t="s">
        <v>29</v>
      </c>
      <c r="J6061" s="37">
        <v>45823</v>
      </c>
      <c r="K6061" s="27" t="s">
        <v>22</v>
      </c>
    </row>
    <row r="6062" spans="1:11" x14ac:dyDescent="0.2">
      <c r="A6062" s="24" t="s">
        <v>14351</v>
      </c>
      <c r="B6062" s="24" t="s">
        <v>14352</v>
      </c>
      <c r="C6062" s="24" t="s">
        <v>2741</v>
      </c>
      <c r="D6062" s="24" t="s">
        <v>17</v>
      </c>
      <c r="E6062" s="24" t="s">
        <v>42</v>
      </c>
      <c r="F6062" s="24" t="s">
        <v>43</v>
      </c>
      <c r="G6062" s="24" t="s">
        <v>116</v>
      </c>
      <c r="H6062" s="26">
        <v>0</v>
      </c>
      <c r="I6062" s="24" t="s">
        <v>21</v>
      </c>
      <c r="J6062" s="36">
        <v>45809</v>
      </c>
      <c r="K6062" s="24" t="s">
        <v>22</v>
      </c>
    </row>
    <row r="6063" spans="1:11" x14ac:dyDescent="0.2">
      <c r="A6063" s="27" t="s">
        <v>14353</v>
      </c>
      <c r="B6063" s="27" t="s">
        <v>14354</v>
      </c>
      <c r="C6063" s="27" t="s">
        <v>1737</v>
      </c>
      <c r="D6063" s="27" t="s">
        <v>17</v>
      </c>
      <c r="E6063" s="27" t="s">
        <v>48</v>
      </c>
      <c r="F6063" s="27" t="s">
        <v>49</v>
      </c>
      <c r="G6063" s="27" t="s">
        <v>28</v>
      </c>
      <c r="H6063" s="29">
        <v>100</v>
      </c>
      <c r="I6063" s="27" t="s">
        <v>29</v>
      </c>
      <c r="J6063" s="37">
        <v>45821</v>
      </c>
      <c r="K6063" s="27" t="s">
        <v>22</v>
      </c>
    </row>
    <row r="6064" spans="1:11" x14ac:dyDescent="0.2">
      <c r="A6064" s="24" t="s">
        <v>14355</v>
      </c>
      <c r="B6064" s="24" t="s">
        <v>14356</v>
      </c>
      <c r="C6064" s="24" t="s">
        <v>14357</v>
      </c>
      <c r="D6064" s="24" t="s">
        <v>17</v>
      </c>
      <c r="E6064" s="24" t="s">
        <v>48</v>
      </c>
      <c r="F6064" s="24" t="s">
        <v>49</v>
      </c>
      <c r="G6064" s="24" t="s">
        <v>44</v>
      </c>
      <c r="H6064" s="26">
        <v>216</v>
      </c>
      <c r="I6064" s="24" t="s">
        <v>29</v>
      </c>
      <c r="J6064" s="36">
        <v>45838</v>
      </c>
      <c r="K6064" s="24" t="s">
        <v>22</v>
      </c>
    </row>
    <row r="6065" spans="1:11" x14ac:dyDescent="0.2">
      <c r="A6065" s="27" t="s">
        <v>14358</v>
      </c>
      <c r="B6065" s="27" t="s">
        <v>14359</v>
      </c>
      <c r="C6065" s="27" t="s">
        <v>2321</v>
      </c>
      <c r="D6065" s="27" t="s">
        <v>17</v>
      </c>
      <c r="E6065" s="27" t="s">
        <v>18</v>
      </c>
      <c r="F6065" s="27" t="s">
        <v>19</v>
      </c>
      <c r="G6065" s="27" t="s">
        <v>217</v>
      </c>
      <c r="H6065" s="29">
        <v>66</v>
      </c>
      <c r="I6065" s="27" t="s">
        <v>29</v>
      </c>
      <c r="J6065" s="37">
        <v>45832</v>
      </c>
      <c r="K6065" s="27" t="s">
        <v>22</v>
      </c>
    </row>
    <row r="6066" spans="1:11" x14ac:dyDescent="0.2">
      <c r="A6066" s="24" t="s">
        <v>14360</v>
      </c>
      <c r="B6066" s="24" t="s">
        <v>14361</v>
      </c>
      <c r="C6066" s="24" t="s">
        <v>1212</v>
      </c>
      <c r="D6066" s="24" t="s">
        <v>17</v>
      </c>
      <c r="E6066" s="24" t="s">
        <v>81</v>
      </c>
      <c r="F6066" s="24" t="s">
        <v>82</v>
      </c>
      <c r="G6066" s="24" t="s">
        <v>28</v>
      </c>
      <c r="H6066" s="26">
        <v>204</v>
      </c>
      <c r="I6066" s="24" t="s">
        <v>29</v>
      </c>
      <c r="J6066" s="36">
        <v>45819</v>
      </c>
      <c r="K6066" s="24" t="s">
        <v>22</v>
      </c>
    </row>
    <row r="6067" spans="1:11" x14ac:dyDescent="0.2">
      <c r="A6067" s="27" t="s">
        <v>14362</v>
      </c>
      <c r="B6067" s="27" t="s">
        <v>14363</v>
      </c>
      <c r="C6067" s="27" t="s">
        <v>429</v>
      </c>
      <c r="D6067" s="27" t="s">
        <v>17</v>
      </c>
      <c r="E6067" s="27" t="s">
        <v>42</v>
      </c>
      <c r="F6067" s="27" t="s">
        <v>43</v>
      </c>
      <c r="G6067" s="27" t="s">
        <v>28</v>
      </c>
      <c r="H6067" s="29">
        <v>260</v>
      </c>
      <c r="I6067" s="27" t="s">
        <v>29</v>
      </c>
      <c r="J6067" s="37">
        <v>45820</v>
      </c>
      <c r="K6067" s="27" t="s">
        <v>22</v>
      </c>
    </row>
    <row r="6068" spans="1:11" x14ac:dyDescent="0.2">
      <c r="A6068" s="24" t="s">
        <v>14364</v>
      </c>
      <c r="B6068" s="24" t="s">
        <v>14365</v>
      </c>
      <c r="C6068" s="24" t="s">
        <v>1199</v>
      </c>
      <c r="D6068" s="24" t="s">
        <v>17</v>
      </c>
      <c r="E6068" s="24" t="s">
        <v>48</v>
      </c>
      <c r="F6068" s="24" t="s">
        <v>49</v>
      </c>
      <c r="G6068" s="24" t="s">
        <v>28</v>
      </c>
      <c r="H6068" s="26">
        <v>210</v>
      </c>
      <c r="I6068" s="24" t="s">
        <v>29</v>
      </c>
      <c r="J6068" s="36">
        <v>45832</v>
      </c>
      <c r="K6068" s="24" t="s">
        <v>22</v>
      </c>
    </row>
    <row r="6069" spans="1:11" x14ac:dyDescent="0.2">
      <c r="A6069" s="27" t="s">
        <v>14366</v>
      </c>
      <c r="B6069" s="27" t="s">
        <v>14367</v>
      </c>
      <c r="C6069" s="27" t="s">
        <v>14368</v>
      </c>
      <c r="D6069" s="27" t="s">
        <v>17</v>
      </c>
      <c r="E6069" s="27" t="s">
        <v>18</v>
      </c>
      <c r="F6069" s="27" t="s">
        <v>19</v>
      </c>
      <c r="G6069" s="27" t="s">
        <v>28</v>
      </c>
      <c r="H6069" s="29">
        <v>60</v>
      </c>
      <c r="I6069" s="27" t="s">
        <v>29</v>
      </c>
      <c r="J6069" s="37">
        <v>45821</v>
      </c>
      <c r="K6069" s="27" t="s">
        <v>22</v>
      </c>
    </row>
    <row r="6070" spans="1:11" x14ac:dyDescent="0.2">
      <c r="A6070" s="24" t="s">
        <v>14369</v>
      </c>
      <c r="B6070" s="24" t="s">
        <v>14370</v>
      </c>
      <c r="C6070" s="24" t="s">
        <v>2004</v>
      </c>
      <c r="D6070" s="24" t="s">
        <v>17</v>
      </c>
      <c r="E6070" s="24" t="s">
        <v>26</v>
      </c>
      <c r="F6070" s="24" t="s">
        <v>27</v>
      </c>
      <c r="G6070" s="24" t="s">
        <v>28</v>
      </c>
      <c r="H6070" s="26">
        <v>295</v>
      </c>
      <c r="I6070" s="24" t="s">
        <v>29</v>
      </c>
      <c r="J6070" s="36">
        <v>45832</v>
      </c>
      <c r="K6070" s="24" t="s">
        <v>22</v>
      </c>
    </row>
    <row r="6071" spans="1:11" x14ac:dyDescent="0.2">
      <c r="A6071" s="27" t="s">
        <v>14371</v>
      </c>
      <c r="B6071" s="27" t="s">
        <v>14372</v>
      </c>
      <c r="C6071" s="27" t="s">
        <v>6091</v>
      </c>
      <c r="D6071" s="27" t="s">
        <v>17</v>
      </c>
      <c r="E6071" s="27" t="s">
        <v>18</v>
      </c>
      <c r="F6071" s="27" t="s">
        <v>19</v>
      </c>
      <c r="G6071" s="27" t="s">
        <v>28</v>
      </c>
      <c r="H6071" s="29">
        <v>100</v>
      </c>
      <c r="I6071" s="27" t="s">
        <v>29</v>
      </c>
      <c r="J6071" s="37">
        <v>45835</v>
      </c>
      <c r="K6071" s="27" t="s">
        <v>22</v>
      </c>
    </row>
    <row r="6072" spans="1:11" x14ac:dyDescent="0.2">
      <c r="A6072" s="24" t="s">
        <v>14373</v>
      </c>
      <c r="B6072" s="24" t="s">
        <v>14374</v>
      </c>
      <c r="C6072" s="24" t="s">
        <v>106</v>
      </c>
      <c r="D6072" s="24" t="s">
        <v>17</v>
      </c>
      <c r="E6072" s="24" t="s">
        <v>18</v>
      </c>
      <c r="F6072" s="24" t="s">
        <v>19</v>
      </c>
      <c r="G6072" s="24" t="s">
        <v>44</v>
      </c>
      <c r="H6072" s="26">
        <v>47</v>
      </c>
      <c r="I6072" s="24" t="s">
        <v>21</v>
      </c>
      <c r="J6072" s="36">
        <v>45814</v>
      </c>
      <c r="K6072" s="24" t="s">
        <v>22</v>
      </c>
    </row>
    <row r="6073" spans="1:11" x14ac:dyDescent="0.2">
      <c r="A6073" s="27" t="s">
        <v>14375</v>
      </c>
      <c r="B6073" s="27" t="s">
        <v>14376</v>
      </c>
      <c r="C6073" s="27" t="s">
        <v>6074</v>
      </c>
      <c r="D6073" s="27" t="s">
        <v>17</v>
      </c>
      <c r="E6073" s="27" t="s">
        <v>42</v>
      </c>
      <c r="F6073" s="27" t="s">
        <v>43</v>
      </c>
      <c r="G6073" s="27" t="s">
        <v>217</v>
      </c>
      <c r="H6073" s="29">
        <v>126</v>
      </c>
      <c r="I6073" s="27" t="s">
        <v>29</v>
      </c>
      <c r="J6073" s="37">
        <v>45809</v>
      </c>
      <c r="K6073" s="27" t="s">
        <v>22</v>
      </c>
    </row>
    <row r="6074" spans="1:11" x14ac:dyDescent="0.2">
      <c r="A6074" s="24" t="s">
        <v>14377</v>
      </c>
      <c r="B6074" s="24" t="s">
        <v>14378</v>
      </c>
      <c r="C6074" s="24" t="s">
        <v>11377</v>
      </c>
      <c r="D6074" s="24" t="s">
        <v>17</v>
      </c>
      <c r="E6074" s="24" t="s">
        <v>18</v>
      </c>
      <c r="F6074" s="24" t="s">
        <v>19</v>
      </c>
      <c r="G6074" s="24" t="s">
        <v>28</v>
      </c>
      <c r="H6074" s="26">
        <v>128</v>
      </c>
      <c r="I6074" s="24" t="s">
        <v>29</v>
      </c>
      <c r="J6074" s="36">
        <v>45811</v>
      </c>
      <c r="K6074" s="24" t="s">
        <v>22</v>
      </c>
    </row>
    <row r="6075" spans="1:11" x14ac:dyDescent="0.2">
      <c r="A6075" s="27" t="s">
        <v>14379</v>
      </c>
      <c r="B6075" s="27" t="s">
        <v>14380</v>
      </c>
      <c r="C6075" s="27" t="s">
        <v>595</v>
      </c>
      <c r="D6075" s="27" t="s">
        <v>17</v>
      </c>
      <c r="E6075" s="27" t="s">
        <v>18</v>
      </c>
      <c r="F6075" s="27" t="s">
        <v>19</v>
      </c>
      <c r="G6075" s="27" t="s">
        <v>44</v>
      </c>
      <c r="H6075" s="29">
        <v>72</v>
      </c>
      <c r="I6075" s="27" t="s">
        <v>21</v>
      </c>
      <c r="J6075" s="37">
        <v>45838</v>
      </c>
      <c r="K6075" s="27" t="s">
        <v>22</v>
      </c>
    </row>
    <row r="6076" spans="1:11" x14ac:dyDescent="0.2">
      <c r="A6076" s="24" t="s">
        <v>14381</v>
      </c>
      <c r="B6076" s="24" t="s">
        <v>14382</v>
      </c>
      <c r="C6076" s="24" t="s">
        <v>97</v>
      </c>
      <c r="D6076" s="24" t="s">
        <v>17</v>
      </c>
      <c r="E6076" s="24" t="s">
        <v>18</v>
      </c>
      <c r="F6076" s="24" t="s">
        <v>19</v>
      </c>
      <c r="G6076" s="24" t="s">
        <v>217</v>
      </c>
      <c r="H6076" s="26">
        <v>178</v>
      </c>
      <c r="I6076" s="24" t="s">
        <v>29</v>
      </c>
      <c r="J6076" s="36">
        <v>45835</v>
      </c>
      <c r="K6076" s="24" t="s">
        <v>22</v>
      </c>
    </row>
    <row r="6077" spans="1:11" x14ac:dyDescent="0.2">
      <c r="A6077" s="27" t="s">
        <v>14383</v>
      </c>
      <c r="B6077" s="27" t="s">
        <v>14384</v>
      </c>
      <c r="C6077" s="27" t="s">
        <v>14210</v>
      </c>
      <c r="D6077" s="27" t="s">
        <v>17</v>
      </c>
      <c r="E6077" s="27" t="s">
        <v>48</v>
      </c>
      <c r="F6077" s="27" t="s">
        <v>49</v>
      </c>
      <c r="G6077" s="27" t="s">
        <v>28</v>
      </c>
      <c r="H6077" s="29">
        <v>200</v>
      </c>
      <c r="I6077" s="27" t="s">
        <v>29</v>
      </c>
      <c r="J6077" s="37">
        <v>45829</v>
      </c>
      <c r="K6077" s="27" t="s">
        <v>22</v>
      </c>
    </row>
    <row r="6078" spans="1:11" x14ac:dyDescent="0.2">
      <c r="A6078" s="24" t="s">
        <v>14385</v>
      </c>
      <c r="B6078" s="24" t="s">
        <v>14386</v>
      </c>
      <c r="C6078" s="24" t="s">
        <v>14387</v>
      </c>
      <c r="D6078" s="24" t="s">
        <v>17</v>
      </c>
      <c r="E6078" s="24" t="s">
        <v>81</v>
      </c>
      <c r="F6078" s="24" t="s">
        <v>82</v>
      </c>
      <c r="G6078" s="24" t="s">
        <v>28</v>
      </c>
      <c r="H6078" s="26">
        <v>100</v>
      </c>
      <c r="I6078" s="24" t="s">
        <v>29</v>
      </c>
      <c r="J6078" s="36">
        <v>45819</v>
      </c>
      <c r="K6078" s="24" t="s">
        <v>22</v>
      </c>
    </row>
    <row r="6079" spans="1:11" x14ac:dyDescent="0.2">
      <c r="A6079" s="27" t="s">
        <v>14388</v>
      </c>
      <c r="B6079" s="27" t="s">
        <v>14389</v>
      </c>
      <c r="C6079" s="27" t="s">
        <v>55</v>
      </c>
      <c r="D6079" s="27" t="s">
        <v>17</v>
      </c>
      <c r="E6079" s="27" t="s">
        <v>42</v>
      </c>
      <c r="F6079" s="27" t="s">
        <v>43</v>
      </c>
      <c r="G6079" s="27" t="s">
        <v>28</v>
      </c>
      <c r="H6079" s="29">
        <v>2400</v>
      </c>
      <c r="I6079" s="27" t="s">
        <v>29</v>
      </c>
      <c r="J6079" s="37">
        <v>45838</v>
      </c>
      <c r="K6079" s="27" t="s">
        <v>22</v>
      </c>
    </row>
    <row r="6080" spans="1:11" x14ac:dyDescent="0.2">
      <c r="A6080" s="24" t="s">
        <v>14390</v>
      </c>
      <c r="B6080" s="24" t="s">
        <v>14391</v>
      </c>
      <c r="C6080" s="24" t="s">
        <v>14392</v>
      </c>
      <c r="D6080" s="24" t="s">
        <v>17</v>
      </c>
      <c r="E6080" s="24" t="s">
        <v>48</v>
      </c>
      <c r="F6080" s="24" t="s">
        <v>49</v>
      </c>
      <c r="G6080" s="24" t="s">
        <v>44</v>
      </c>
      <c r="H6080" s="26">
        <v>30</v>
      </c>
      <c r="I6080" s="24" t="s">
        <v>29</v>
      </c>
      <c r="J6080" s="36">
        <v>45827</v>
      </c>
      <c r="K6080" s="24" t="s">
        <v>22</v>
      </c>
    </row>
    <row r="6081" spans="1:11" x14ac:dyDescent="0.2">
      <c r="A6081" s="27" t="s">
        <v>14393</v>
      </c>
      <c r="B6081" s="27" t="s">
        <v>14394</v>
      </c>
      <c r="C6081" s="27" t="s">
        <v>14395</v>
      </c>
      <c r="D6081" s="27" t="s">
        <v>17</v>
      </c>
      <c r="E6081" s="27" t="s">
        <v>48</v>
      </c>
      <c r="F6081" s="27" t="s">
        <v>49</v>
      </c>
      <c r="G6081" s="27" t="s">
        <v>20</v>
      </c>
      <c r="H6081" s="29">
        <v>131</v>
      </c>
      <c r="I6081" s="27" t="s">
        <v>21</v>
      </c>
      <c r="J6081" s="37">
        <v>45838</v>
      </c>
      <c r="K6081" s="27" t="s">
        <v>22</v>
      </c>
    </row>
    <row r="6082" spans="1:11" x14ac:dyDescent="0.2">
      <c r="A6082" s="24" t="s">
        <v>14396</v>
      </c>
      <c r="B6082" s="24" t="s">
        <v>14397</v>
      </c>
      <c r="C6082" s="24" t="s">
        <v>3836</v>
      </c>
      <c r="D6082" s="24" t="s">
        <v>17</v>
      </c>
      <c r="E6082" s="24" t="s">
        <v>18</v>
      </c>
      <c r="F6082" s="24" t="s">
        <v>19</v>
      </c>
      <c r="G6082" s="24" t="s">
        <v>20</v>
      </c>
      <c r="H6082" s="26">
        <v>120</v>
      </c>
      <c r="I6082" s="24" t="s">
        <v>21</v>
      </c>
      <c r="J6082" s="36">
        <v>45813</v>
      </c>
      <c r="K6082" s="24" t="s">
        <v>22</v>
      </c>
    </row>
    <row r="6083" spans="1:11" x14ac:dyDescent="0.2">
      <c r="A6083" s="27" t="s">
        <v>14398</v>
      </c>
      <c r="B6083" s="27" t="s">
        <v>14399</v>
      </c>
      <c r="C6083" s="27" t="s">
        <v>801</v>
      </c>
      <c r="D6083" s="27" t="s">
        <v>17</v>
      </c>
      <c r="E6083" s="27" t="s">
        <v>18</v>
      </c>
      <c r="F6083" s="27" t="s">
        <v>19</v>
      </c>
      <c r="G6083" s="27" t="s">
        <v>20</v>
      </c>
      <c r="H6083" s="29">
        <v>18</v>
      </c>
      <c r="I6083" s="27" t="s">
        <v>21</v>
      </c>
      <c r="J6083" s="37">
        <v>45835</v>
      </c>
      <c r="K6083" s="27" t="s">
        <v>22</v>
      </c>
    </row>
    <row r="6084" spans="1:11" x14ac:dyDescent="0.2">
      <c r="A6084" s="24" t="s">
        <v>14400</v>
      </c>
      <c r="B6084" s="24" t="s">
        <v>14401</v>
      </c>
      <c r="C6084" s="24" t="s">
        <v>68</v>
      </c>
      <c r="D6084" s="24" t="s">
        <v>17</v>
      </c>
      <c r="E6084" s="24" t="s">
        <v>18</v>
      </c>
      <c r="F6084" s="24" t="s">
        <v>19</v>
      </c>
      <c r="G6084" s="24" t="s">
        <v>20</v>
      </c>
      <c r="H6084" s="26">
        <v>36</v>
      </c>
      <c r="I6084" s="24" t="s">
        <v>21</v>
      </c>
      <c r="J6084" s="36">
        <v>45817</v>
      </c>
      <c r="K6084" s="24" t="s">
        <v>22</v>
      </c>
    </row>
    <row r="6085" spans="1:11" x14ac:dyDescent="0.2">
      <c r="A6085" s="27" t="s">
        <v>14402</v>
      </c>
      <c r="B6085" s="27" t="s">
        <v>14403</v>
      </c>
      <c r="C6085" s="27" t="s">
        <v>14404</v>
      </c>
      <c r="D6085" s="27" t="s">
        <v>17</v>
      </c>
      <c r="E6085" s="27" t="s">
        <v>48</v>
      </c>
      <c r="F6085" s="27" t="s">
        <v>49</v>
      </c>
      <c r="G6085" s="27" t="s">
        <v>28</v>
      </c>
      <c r="H6085" s="29">
        <v>200</v>
      </c>
      <c r="I6085" s="27" t="s">
        <v>29</v>
      </c>
      <c r="J6085" s="37">
        <v>45835</v>
      </c>
      <c r="K6085" s="27" t="s">
        <v>22</v>
      </c>
    </row>
    <row r="6086" spans="1:11" x14ac:dyDescent="0.2">
      <c r="A6086" s="24" t="s">
        <v>14405</v>
      </c>
      <c r="B6086" s="24" t="s">
        <v>14406</v>
      </c>
      <c r="C6086" s="24" t="s">
        <v>5719</v>
      </c>
      <c r="D6086" s="24" t="s">
        <v>17</v>
      </c>
      <c r="E6086" s="24" t="s">
        <v>18</v>
      </c>
      <c r="F6086" s="24" t="s">
        <v>19</v>
      </c>
      <c r="G6086" s="24" t="s">
        <v>217</v>
      </c>
      <c r="H6086" s="26">
        <v>90</v>
      </c>
      <c r="I6086" s="24" t="s">
        <v>29</v>
      </c>
      <c r="J6086" s="36">
        <v>45813</v>
      </c>
      <c r="K6086" s="24" t="s">
        <v>22</v>
      </c>
    </row>
    <row r="6087" spans="1:11" x14ac:dyDescent="0.2">
      <c r="A6087" s="27" t="s">
        <v>14407</v>
      </c>
      <c r="B6087" s="27" t="s">
        <v>14408</v>
      </c>
      <c r="C6087" s="27" t="s">
        <v>8551</v>
      </c>
      <c r="D6087" s="27" t="s">
        <v>17</v>
      </c>
      <c r="E6087" s="27" t="s">
        <v>48</v>
      </c>
      <c r="F6087" s="27" t="s">
        <v>49</v>
      </c>
      <c r="G6087" s="27" t="s">
        <v>59</v>
      </c>
      <c r="H6087" s="29">
        <v>6</v>
      </c>
      <c r="I6087" s="27" t="s">
        <v>21</v>
      </c>
      <c r="J6087" s="37">
        <v>45811</v>
      </c>
      <c r="K6087" s="27" t="s">
        <v>22</v>
      </c>
    </row>
    <row r="6088" spans="1:11" x14ac:dyDescent="0.2">
      <c r="A6088" s="24" t="s">
        <v>14409</v>
      </c>
      <c r="B6088" s="24" t="s">
        <v>14410</v>
      </c>
      <c r="C6088" s="24" t="s">
        <v>1053</v>
      </c>
      <c r="D6088" s="24" t="s">
        <v>17</v>
      </c>
      <c r="E6088" s="24" t="s">
        <v>48</v>
      </c>
      <c r="F6088" s="24" t="s">
        <v>49</v>
      </c>
      <c r="G6088" s="24" t="s">
        <v>28</v>
      </c>
      <c r="H6088" s="26">
        <v>120</v>
      </c>
      <c r="I6088" s="24" t="s">
        <v>29</v>
      </c>
      <c r="J6088" s="36">
        <v>45817</v>
      </c>
      <c r="K6088" s="24" t="s">
        <v>22</v>
      </c>
    </row>
    <row r="6089" spans="1:11" x14ac:dyDescent="0.2">
      <c r="A6089" s="27" t="s">
        <v>14411</v>
      </c>
      <c r="B6089" s="27" t="s">
        <v>14412</v>
      </c>
      <c r="C6089" s="27" t="s">
        <v>4827</v>
      </c>
      <c r="D6089" s="27" t="s">
        <v>17</v>
      </c>
      <c r="E6089" s="27" t="s">
        <v>42</v>
      </c>
      <c r="F6089" s="27" t="s">
        <v>43</v>
      </c>
      <c r="G6089" s="27" t="s">
        <v>20</v>
      </c>
      <c r="H6089" s="29">
        <v>144</v>
      </c>
      <c r="I6089" s="27" t="s">
        <v>21</v>
      </c>
      <c r="J6089" s="37">
        <v>45834</v>
      </c>
      <c r="K6089" s="27" t="s">
        <v>22</v>
      </c>
    </row>
    <row r="6090" spans="1:11" x14ac:dyDescent="0.2">
      <c r="A6090" s="24" t="s">
        <v>14413</v>
      </c>
      <c r="B6090" s="24" t="s">
        <v>14414</v>
      </c>
      <c r="C6090" s="24" t="s">
        <v>71</v>
      </c>
      <c r="D6090" s="24" t="s">
        <v>17</v>
      </c>
      <c r="E6090" s="24" t="s">
        <v>42</v>
      </c>
      <c r="F6090" s="24" t="s">
        <v>43</v>
      </c>
      <c r="G6090" s="24" t="s">
        <v>28</v>
      </c>
      <c r="H6090" s="26">
        <v>278</v>
      </c>
      <c r="I6090" s="24" t="s">
        <v>29</v>
      </c>
      <c r="J6090" s="36">
        <v>45835</v>
      </c>
      <c r="K6090" s="24" t="s">
        <v>22</v>
      </c>
    </row>
    <row r="6091" spans="1:11" x14ac:dyDescent="0.2">
      <c r="A6091" s="27" t="s">
        <v>14415</v>
      </c>
      <c r="B6091" s="27" t="s">
        <v>14416</v>
      </c>
      <c r="C6091" s="27" t="s">
        <v>14417</v>
      </c>
      <c r="D6091" s="27" t="s">
        <v>17</v>
      </c>
      <c r="E6091" s="27" t="s">
        <v>48</v>
      </c>
      <c r="F6091" s="27" t="s">
        <v>49</v>
      </c>
      <c r="G6091" s="27" t="s">
        <v>28</v>
      </c>
      <c r="H6091" s="29">
        <v>230</v>
      </c>
      <c r="I6091" s="27" t="s">
        <v>29</v>
      </c>
      <c r="J6091" s="37">
        <v>45819</v>
      </c>
      <c r="K6091" s="27" t="s">
        <v>22</v>
      </c>
    </row>
    <row r="6092" spans="1:11" x14ac:dyDescent="0.2">
      <c r="A6092" s="24" t="s">
        <v>14418</v>
      </c>
      <c r="B6092" s="24" t="s">
        <v>14419</v>
      </c>
      <c r="C6092" s="24" t="s">
        <v>194</v>
      </c>
      <c r="D6092" s="24" t="s">
        <v>17</v>
      </c>
      <c r="E6092" s="24" t="s">
        <v>48</v>
      </c>
      <c r="F6092" s="24" t="s">
        <v>49</v>
      </c>
      <c r="G6092" s="24" t="s">
        <v>28</v>
      </c>
      <c r="H6092" s="26">
        <v>46</v>
      </c>
      <c r="I6092" s="24" t="s">
        <v>29</v>
      </c>
      <c r="J6092" s="36">
        <v>45832</v>
      </c>
      <c r="K6092" s="24" t="s">
        <v>22</v>
      </c>
    </row>
    <row r="6093" spans="1:11" x14ac:dyDescent="0.2">
      <c r="A6093" s="27" t="s">
        <v>14420</v>
      </c>
      <c r="B6093" s="27" t="s">
        <v>14421</v>
      </c>
      <c r="C6093" s="27" t="s">
        <v>14422</v>
      </c>
      <c r="D6093" s="27" t="s">
        <v>17</v>
      </c>
      <c r="E6093" s="27" t="s">
        <v>26</v>
      </c>
      <c r="F6093" s="27" t="s">
        <v>27</v>
      </c>
      <c r="G6093" s="27" t="s">
        <v>28</v>
      </c>
      <c r="H6093" s="29">
        <v>125</v>
      </c>
      <c r="I6093" s="27" t="s">
        <v>29</v>
      </c>
      <c r="J6093" s="37">
        <v>45833</v>
      </c>
      <c r="K6093" s="27" t="s">
        <v>22</v>
      </c>
    </row>
    <row r="6094" spans="1:11" x14ac:dyDescent="0.2">
      <c r="A6094" s="24" t="s">
        <v>14423</v>
      </c>
      <c r="B6094" s="24" t="s">
        <v>14424</v>
      </c>
      <c r="C6094" s="24" t="s">
        <v>71</v>
      </c>
      <c r="D6094" s="24" t="s">
        <v>17</v>
      </c>
      <c r="E6094" s="24" t="s">
        <v>48</v>
      </c>
      <c r="F6094" s="24" t="s">
        <v>49</v>
      </c>
      <c r="G6094" s="24" t="s">
        <v>217</v>
      </c>
      <c r="H6094" s="26">
        <v>100</v>
      </c>
      <c r="I6094" s="24" t="s">
        <v>29</v>
      </c>
      <c r="J6094" s="36">
        <v>45809</v>
      </c>
      <c r="K6094" s="24" t="s">
        <v>22</v>
      </c>
    </row>
    <row r="6095" spans="1:11" x14ac:dyDescent="0.2">
      <c r="A6095" s="27" t="s">
        <v>14425</v>
      </c>
      <c r="B6095" s="27" t="s">
        <v>14426</v>
      </c>
      <c r="C6095" s="27" t="s">
        <v>319</v>
      </c>
      <c r="D6095" s="27" t="s">
        <v>17</v>
      </c>
      <c r="E6095" s="27" t="s">
        <v>42</v>
      </c>
      <c r="F6095" s="27" t="s">
        <v>43</v>
      </c>
      <c r="G6095" s="27" t="s">
        <v>28</v>
      </c>
      <c r="H6095" s="29">
        <v>200</v>
      </c>
      <c r="I6095" s="27" t="s">
        <v>29</v>
      </c>
      <c r="J6095" s="37">
        <v>45818</v>
      </c>
      <c r="K6095" s="27" t="s">
        <v>22</v>
      </c>
    </row>
    <row r="6096" spans="1:11" x14ac:dyDescent="0.2">
      <c r="A6096" s="24" t="s">
        <v>14427</v>
      </c>
      <c r="B6096" s="24" t="s">
        <v>14428</v>
      </c>
      <c r="C6096" s="24" t="s">
        <v>277</v>
      </c>
      <c r="D6096" s="24" t="s">
        <v>17</v>
      </c>
      <c r="E6096" s="24" t="s">
        <v>42</v>
      </c>
      <c r="F6096" s="24" t="s">
        <v>43</v>
      </c>
      <c r="G6096" s="24" t="s">
        <v>28</v>
      </c>
      <c r="H6096" s="26">
        <v>255</v>
      </c>
      <c r="I6096" s="24" t="s">
        <v>29</v>
      </c>
      <c r="J6096" s="36">
        <v>45817</v>
      </c>
      <c r="K6096" s="24" t="s">
        <v>22</v>
      </c>
    </row>
    <row r="6097" spans="1:11" x14ac:dyDescent="0.2">
      <c r="A6097" s="27" t="s">
        <v>14429</v>
      </c>
      <c r="B6097" s="27" t="s">
        <v>14430</v>
      </c>
      <c r="C6097" s="27" t="s">
        <v>12611</v>
      </c>
      <c r="D6097" s="27" t="s">
        <v>17</v>
      </c>
      <c r="E6097" s="27" t="s">
        <v>42</v>
      </c>
      <c r="F6097" s="27" t="s">
        <v>43</v>
      </c>
      <c r="G6097" s="27" t="s">
        <v>28</v>
      </c>
      <c r="H6097" s="29">
        <v>180</v>
      </c>
      <c r="I6097" s="27" t="s">
        <v>29</v>
      </c>
      <c r="J6097" s="37">
        <v>45833</v>
      </c>
      <c r="K6097" s="27" t="s">
        <v>22</v>
      </c>
    </row>
    <row r="6098" spans="1:11" x14ac:dyDescent="0.2">
      <c r="A6098" s="24" t="s">
        <v>14431</v>
      </c>
      <c r="B6098" s="24" t="s">
        <v>14432</v>
      </c>
      <c r="C6098" s="24" t="s">
        <v>14433</v>
      </c>
      <c r="D6098" s="24" t="s">
        <v>17</v>
      </c>
      <c r="E6098" s="24" t="s">
        <v>18</v>
      </c>
      <c r="F6098" s="24" t="s">
        <v>19</v>
      </c>
      <c r="G6098" s="24" t="s">
        <v>28</v>
      </c>
      <c r="H6098" s="26">
        <v>108</v>
      </c>
      <c r="I6098" s="24" t="s">
        <v>29</v>
      </c>
      <c r="J6098" s="36">
        <v>45820</v>
      </c>
      <c r="K6098" s="24" t="s">
        <v>22</v>
      </c>
    </row>
    <row r="6099" spans="1:11" x14ac:dyDescent="0.2">
      <c r="A6099" s="27" t="s">
        <v>14434</v>
      </c>
      <c r="B6099" s="27" t="s">
        <v>14435</v>
      </c>
      <c r="C6099" s="27" t="s">
        <v>115</v>
      </c>
      <c r="D6099" s="27" t="s">
        <v>17</v>
      </c>
      <c r="E6099" s="27" t="s">
        <v>18</v>
      </c>
      <c r="F6099" s="27" t="s">
        <v>19</v>
      </c>
      <c r="G6099" s="27" t="s">
        <v>116</v>
      </c>
      <c r="H6099" s="29">
        <v>0</v>
      </c>
      <c r="I6099" s="27" t="s">
        <v>21</v>
      </c>
      <c r="J6099" s="37">
        <v>45821</v>
      </c>
      <c r="K6099" s="27" t="s">
        <v>22</v>
      </c>
    </row>
    <row r="6100" spans="1:11" x14ac:dyDescent="0.2">
      <c r="A6100" s="24" t="s">
        <v>14436</v>
      </c>
      <c r="B6100" s="24" t="s">
        <v>14437</v>
      </c>
      <c r="C6100" s="24" t="s">
        <v>687</v>
      </c>
      <c r="D6100" s="24" t="s">
        <v>17</v>
      </c>
      <c r="E6100" s="24" t="s">
        <v>48</v>
      </c>
      <c r="F6100" s="24" t="s">
        <v>49</v>
      </c>
      <c r="G6100" s="24" t="s">
        <v>28</v>
      </c>
      <c r="H6100" s="26">
        <v>200</v>
      </c>
      <c r="I6100" s="24" t="s">
        <v>29</v>
      </c>
      <c r="J6100" s="36">
        <v>45838</v>
      </c>
      <c r="K6100" s="24" t="s">
        <v>22</v>
      </c>
    </row>
    <row r="6101" spans="1:11" x14ac:dyDescent="0.2">
      <c r="A6101" s="27" t="s">
        <v>14438</v>
      </c>
      <c r="B6101" s="27" t="s">
        <v>14439</v>
      </c>
      <c r="C6101" s="27" t="s">
        <v>14440</v>
      </c>
      <c r="D6101" s="27" t="s">
        <v>17</v>
      </c>
      <c r="E6101" s="27" t="s">
        <v>18</v>
      </c>
      <c r="F6101" s="27" t="s">
        <v>19</v>
      </c>
      <c r="G6101" s="27" t="s">
        <v>44</v>
      </c>
      <c r="H6101" s="29">
        <v>10</v>
      </c>
      <c r="I6101" s="27" t="s">
        <v>29</v>
      </c>
      <c r="J6101" s="37">
        <v>45809</v>
      </c>
      <c r="K6101" s="27" t="s">
        <v>22</v>
      </c>
    </row>
    <row r="6102" spans="1:11" x14ac:dyDescent="0.2">
      <c r="A6102" s="24" t="s">
        <v>14441</v>
      </c>
      <c r="B6102" s="24" t="s">
        <v>14442</v>
      </c>
      <c r="C6102" s="24" t="s">
        <v>14443</v>
      </c>
      <c r="D6102" s="24" t="s">
        <v>17</v>
      </c>
      <c r="E6102" s="24" t="s">
        <v>33</v>
      </c>
      <c r="F6102" s="24" t="s">
        <v>34</v>
      </c>
      <c r="G6102" s="24" t="s">
        <v>227</v>
      </c>
      <c r="H6102" s="26">
        <v>30</v>
      </c>
      <c r="I6102" s="24" t="s">
        <v>29</v>
      </c>
      <c r="J6102" s="36">
        <v>45820</v>
      </c>
      <c r="K6102" s="24" t="s">
        <v>22</v>
      </c>
    </row>
    <row r="6103" spans="1:11" x14ac:dyDescent="0.2">
      <c r="A6103" s="27" t="s">
        <v>14444</v>
      </c>
      <c r="B6103" s="27" t="s">
        <v>14445</v>
      </c>
      <c r="C6103" s="27" t="s">
        <v>85</v>
      </c>
      <c r="D6103" s="27" t="s">
        <v>17</v>
      </c>
      <c r="E6103" s="27" t="s">
        <v>18</v>
      </c>
      <c r="F6103" s="27" t="s">
        <v>19</v>
      </c>
      <c r="G6103" s="27" t="s">
        <v>20</v>
      </c>
      <c r="H6103" s="29">
        <v>260</v>
      </c>
      <c r="I6103" s="27" t="s">
        <v>21</v>
      </c>
      <c r="J6103" s="37">
        <v>45820</v>
      </c>
      <c r="K6103" s="27" t="s">
        <v>22</v>
      </c>
    </row>
    <row r="6104" spans="1:11" x14ac:dyDescent="0.2">
      <c r="A6104" s="24" t="s">
        <v>14446</v>
      </c>
      <c r="B6104" s="24" t="s">
        <v>14447</v>
      </c>
      <c r="C6104" s="24" t="s">
        <v>3886</v>
      </c>
      <c r="D6104" s="24" t="s">
        <v>17</v>
      </c>
      <c r="E6104" s="24" t="s">
        <v>48</v>
      </c>
      <c r="F6104" s="24" t="s">
        <v>49</v>
      </c>
      <c r="G6104" s="24" t="s">
        <v>217</v>
      </c>
      <c r="H6104" s="26">
        <v>63</v>
      </c>
      <c r="I6104" s="24" t="s">
        <v>29</v>
      </c>
      <c r="J6104" s="36">
        <v>45809</v>
      </c>
      <c r="K6104" s="24" t="s">
        <v>22</v>
      </c>
    </row>
    <row r="6105" spans="1:11" x14ac:dyDescent="0.2">
      <c r="A6105" s="27" t="s">
        <v>14448</v>
      </c>
      <c r="B6105" s="27" t="s">
        <v>14449</v>
      </c>
      <c r="C6105" s="27" t="s">
        <v>71</v>
      </c>
      <c r="D6105" s="27" t="s">
        <v>17</v>
      </c>
      <c r="E6105" s="27" t="s">
        <v>26</v>
      </c>
      <c r="F6105" s="27" t="s">
        <v>27</v>
      </c>
      <c r="G6105" s="27" t="s">
        <v>217</v>
      </c>
      <c r="H6105" s="29">
        <v>240</v>
      </c>
      <c r="I6105" s="27" t="s">
        <v>29</v>
      </c>
      <c r="J6105" s="37">
        <v>45809</v>
      </c>
      <c r="K6105" s="27" t="s">
        <v>22</v>
      </c>
    </row>
    <row r="6106" spans="1:11" x14ac:dyDescent="0.2">
      <c r="A6106" s="24" t="s">
        <v>14450</v>
      </c>
      <c r="B6106" s="24" t="s">
        <v>14451</v>
      </c>
      <c r="C6106" s="24" t="s">
        <v>251</v>
      </c>
      <c r="D6106" s="24" t="s">
        <v>17</v>
      </c>
      <c r="E6106" s="24" t="s">
        <v>26</v>
      </c>
      <c r="F6106" s="24" t="s">
        <v>27</v>
      </c>
      <c r="G6106" s="24" t="s">
        <v>28</v>
      </c>
      <c r="H6106" s="26">
        <v>30</v>
      </c>
      <c r="I6106" s="24" t="s">
        <v>29</v>
      </c>
      <c r="J6106" s="36">
        <v>45810</v>
      </c>
      <c r="K6106" s="24" t="s">
        <v>22</v>
      </c>
    </row>
    <row r="6107" spans="1:11" x14ac:dyDescent="0.2">
      <c r="A6107" s="27" t="s">
        <v>14452</v>
      </c>
      <c r="B6107" s="27" t="s">
        <v>14453</v>
      </c>
      <c r="C6107" s="27" t="s">
        <v>2484</v>
      </c>
      <c r="D6107" s="27" t="s">
        <v>17</v>
      </c>
      <c r="E6107" s="27" t="s">
        <v>18</v>
      </c>
      <c r="F6107" s="27" t="s">
        <v>19</v>
      </c>
      <c r="G6107" s="27" t="s">
        <v>20</v>
      </c>
      <c r="H6107" s="29">
        <v>55</v>
      </c>
      <c r="I6107" s="27" t="s">
        <v>21</v>
      </c>
      <c r="J6107" s="37">
        <v>45820</v>
      </c>
      <c r="K6107" s="27" t="s">
        <v>22</v>
      </c>
    </row>
    <row r="6108" spans="1:11" x14ac:dyDescent="0.2">
      <c r="A6108" s="24" t="s">
        <v>14454</v>
      </c>
      <c r="B6108" s="24" t="s">
        <v>14455</v>
      </c>
      <c r="C6108" s="24" t="s">
        <v>1209</v>
      </c>
      <c r="D6108" s="24" t="s">
        <v>17</v>
      </c>
      <c r="E6108" s="24" t="s">
        <v>18</v>
      </c>
      <c r="F6108" s="24" t="s">
        <v>19</v>
      </c>
      <c r="G6108" s="24" t="s">
        <v>20</v>
      </c>
      <c r="H6108" s="26">
        <v>24</v>
      </c>
      <c r="I6108" s="24" t="s">
        <v>21</v>
      </c>
      <c r="J6108" s="36">
        <v>45809</v>
      </c>
      <c r="K6108" s="24" t="s">
        <v>22</v>
      </c>
    </row>
    <row r="6109" spans="1:11" x14ac:dyDescent="0.2">
      <c r="A6109" s="27" t="s">
        <v>14456</v>
      </c>
      <c r="B6109" s="27" t="s">
        <v>9150</v>
      </c>
      <c r="C6109" s="27" t="s">
        <v>9151</v>
      </c>
      <c r="D6109" s="27" t="s">
        <v>17</v>
      </c>
      <c r="E6109" s="27" t="s">
        <v>48</v>
      </c>
      <c r="F6109" s="27" t="s">
        <v>49</v>
      </c>
      <c r="G6109" s="27" t="s">
        <v>28</v>
      </c>
      <c r="H6109" s="29">
        <v>210</v>
      </c>
      <c r="I6109" s="27" t="s">
        <v>29</v>
      </c>
      <c r="J6109" s="37">
        <v>45827</v>
      </c>
      <c r="K6109" s="27" t="s">
        <v>22</v>
      </c>
    </row>
    <row r="6110" spans="1:11" x14ac:dyDescent="0.2">
      <c r="A6110" s="24" t="s">
        <v>14457</v>
      </c>
      <c r="B6110" s="24" t="s">
        <v>14458</v>
      </c>
      <c r="C6110" s="24" t="s">
        <v>14459</v>
      </c>
      <c r="D6110" s="24" t="s">
        <v>17</v>
      </c>
      <c r="E6110" s="24" t="s">
        <v>48</v>
      </c>
      <c r="F6110" s="24" t="s">
        <v>49</v>
      </c>
      <c r="G6110" s="24" t="s">
        <v>28</v>
      </c>
      <c r="H6110" s="26">
        <v>240</v>
      </c>
      <c r="I6110" s="24" t="s">
        <v>29</v>
      </c>
      <c r="J6110" s="36">
        <v>45831</v>
      </c>
      <c r="K6110" s="24" t="s">
        <v>22</v>
      </c>
    </row>
    <row r="6111" spans="1:11" x14ac:dyDescent="0.2">
      <c r="A6111" s="27" t="s">
        <v>14460</v>
      </c>
      <c r="B6111" s="27" t="s">
        <v>14461</v>
      </c>
      <c r="C6111" s="27" t="s">
        <v>1983</v>
      </c>
      <c r="D6111" s="27" t="s">
        <v>17</v>
      </c>
      <c r="E6111" s="27" t="s">
        <v>48</v>
      </c>
      <c r="F6111" s="27" t="s">
        <v>49</v>
      </c>
      <c r="G6111" s="27" t="s">
        <v>28</v>
      </c>
      <c r="H6111" s="29">
        <v>220</v>
      </c>
      <c r="I6111" s="27" t="s">
        <v>29</v>
      </c>
      <c r="J6111" s="37">
        <v>45825</v>
      </c>
      <c r="K6111" s="27" t="s">
        <v>22</v>
      </c>
    </row>
    <row r="6112" spans="1:11" x14ac:dyDescent="0.2">
      <c r="A6112" s="24" t="s">
        <v>14462</v>
      </c>
      <c r="B6112" s="24" t="s">
        <v>14463</v>
      </c>
      <c r="C6112" s="24" t="s">
        <v>512</v>
      </c>
      <c r="D6112" s="24" t="s">
        <v>17</v>
      </c>
      <c r="E6112" s="24" t="s">
        <v>18</v>
      </c>
      <c r="F6112" s="24" t="s">
        <v>19</v>
      </c>
      <c r="G6112" s="24" t="s">
        <v>28</v>
      </c>
      <c r="H6112" s="26">
        <v>12</v>
      </c>
      <c r="I6112" s="24" t="s">
        <v>29</v>
      </c>
      <c r="J6112" s="36">
        <v>45820</v>
      </c>
      <c r="K6112" s="24" t="s">
        <v>22</v>
      </c>
    </row>
    <row r="6113" spans="1:11" x14ac:dyDescent="0.2">
      <c r="A6113" s="27" t="s">
        <v>14464</v>
      </c>
      <c r="B6113" s="27" t="s">
        <v>14465</v>
      </c>
      <c r="C6113" s="27" t="s">
        <v>2048</v>
      </c>
      <c r="D6113" s="27" t="s">
        <v>17</v>
      </c>
      <c r="E6113" s="27" t="s">
        <v>48</v>
      </c>
      <c r="F6113" s="27" t="s">
        <v>49</v>
      </c>
      <c r="G6113" s="27" t="s">
        <v>217</v>
      </c>
      <c r="H6113" s="29">
        <v>160</v>
      </c>
      <c r="I6113" s="27" t="s">
        <v>29</v>
      </c>
      <c r="J6113" s="37">
        <v>45809</v>
      </c>
      <c r="K6113" s="27" t="s">
        <v>22</v>
      </c>
    </row>
    <row r="6114" spans="1:11" x14ac:dyDescent="0.2">
      <c r="A6114" s="24" t="s">
        <v>14466</v>
      </c>
      <c r="B6114" s="24" t="s">
        <v>14467</v>
      </c>
      <c r="C6114" s="24" t="s">
        <v>8285</v>
      </c>
      <c r="D6114" s="24" t="s">
        <v>17</v>
      </c>
      <c r="E6114" s="24" t="s">
        <v>26</v>
      </c>
      <c r="F6114" s="24" t="s">
        <v>27</v>
      </c>
      <c r="G6114" s="24" t="s">
        <v>28</v>
      </c>
      <c r="H6114" s="26">
        <v>120</v>
      </c>
      <c r="I6114" s="24" t="s">
        <v>29</v>
      </c>
      <c r="J6114" s="36">
        <v>45813</v>
      </c>
      <c r="K6114" s="24" t="s">
        <v>22</v>
      </c>
    </row>
    <row r="6115" spans="1:11" x14ac:dyDescent="0.2">
      <c r="A6115" s="27" t="s">
        <v>14468</v>
      </c>
      <c r="B6115" s="27" t="s">
        <v>14469</v>
      </c>
      <c r="C6115" s="27" t="s">
        <v>1593</v>
      </c>
      <c r="D6115" s="27" t="s">
        <v>17</v>
      </c>
      <c r="E6115" s="27" t="s">
        <v>26</v>
      </c>
      <c r="F6115" s="27" t="s">
        <v>27</v>
      </c>
      <c r="G6115" s="27" t="s">
        <v>217</v>
      </c>
      <c r="H6115" s="29">
        <v>184</v>
      </c>
      <c r="I6115" s="27" t="s">
        <v>29</v>
      </c>
      <c r="J6115" s="37">
        <v>45809</v>
      </c>
      <c r="K6115" s="27" t="s">
        <v>22</v>
      </c>
    </row>
    <row r="6116" spans="1:11" x14ac:dyDescent="0.2">
      <c r="A6116" s="24" t="s">
        <v>14470</v>
      </c>
      <c r="B6116" s="24" t="s">
        <v>14471</v>
      </c>
      <c r="C6116" s="24" t="s">
        <v>9191</v>
      </c>
      <c r="D6116" s="24" t="s">
        <v>17</v>
      </c>
      <c r="E6116" s="24" t="s">
        <v>48</v>
      </c>
      <c r="F6116" s="24" t="s">
        <v>49</v>
      </c>
      <c r="G6116" s="24" t="s">
        <v>28</v>
      </c>
      <c r="H6116" s="26">
        <v>140</v>
      </c>
      <c r="I6116" s="24" t="s">
        <v>29</v>
      </c>
      <c r="J6116" s="36">
        <v>45834</v>
      </c>
      <c r="K6116" s="24" t="s">
        <v>22</v>
      </c>
    </row>
    <row r="6117" spans="1:11" x14ac:dyDescent="0.2">
      <c r="A6117" s="27" t="s">
        <v>14472</v>
      </c>
      <c r="B6117" s="27" t="s">
        <v>14473</v>
      </c>
      <c r="C6117" s="27" t="s">
        <v>1438</v>
      </c>
      <c r="D6117" s="27" t="s">
        <v>17</v>
      </c>
      <c r="E6117" s="27" t="s">
        <v>18</v>
      </c>
      <c r="F6117" s="27" t="s">
        <v>19</v>
      </c>
      <c r="G6117" s="27" t="s">
        <v>20</v>
      </c>
      <c r="H6117" s="29">
        <v>16</v>
      </c>
      <c r="I6117" s="27" t="s">
        <v>21</v>
      </c>
      <c r="J6117" s="37">
        <v>45838</v>
      </c>
      <c r="K6117" s="27" t="s">
        <v>22</v>
      </c>
    </row>
    <row r="6118" spans="1:11" x14ac:dyDescent="0.2">
      <c r="A6118" s="24" t="s">
        <v>14474</v>
      </c>
      <c r="B6118" s="24" t="s">
        <v>14475</v>
      </c>
      <c r="C6118" s="24" t="s">
        <v>14476</v>
      </c>
      <c r="D6118" s="24" t="s">
        <v>17</v>
      </c>
      <c r="E6118" s="24" t="s">
        <v>48</v>
      </c>
      <c r="F6118" s="24" t="s">
        <v>49</v>
      </c>
      <c r="G6118" s="24" t="s">
        <v>28</v>
      </c>
      <c r="H6118" s="26">
        <v>277</v>
      </c>
      <c r="I6118" s="24" t="s">
        <v>29</v>
      </c>
      <c r="J6118" s="36">
        <v>45821</v>
      </c>
      <c r="K6118" s="24" t="s">
        <v>22</v>
      </c>
    </row>
    <row r="6119" spans="1:11" x14ac:dyDescent="0.2">
      <c r="A6119" s="27" t="s">
        <v>14477</v>
      </c>
      <c r="B6119" s="27" t="s">
        <v>14478</v>
      </c>
      <c r="C6119" s="27" t="s">
        <v>1473</v>
      </c>
      <c r="D6119" s="27" t="s">
        <v>17</v>
      </c>
      <c r="E6119" s="27" t="s">
        <v>18</v>
      </c>
      <c r="F6119" s="27" t="s">
        <v>19</v>
      </c>
      <c r="G6119" s="27" t="s">
        <v>28</v>
      </c>
      <c r="H6119" s="29">
        <v>52</v>
      </c>
      <c r="I6119" s="27" t="s">
        <v>29</v>
      </c>
      <c r="J6119" s="37">
        <v>45811</v>
      </c>
      <c r="K6119" s="27" t="s">
        <v>22</v>
      </c>
    </row>
    <row r="6120" spans="1:11" x14ac:dyDescent="0.2">
      <c r="A6120" s="24" t="s">
        <v>14479</v>
      </c>
      <c r="B6120" s="24" t="s">
        <v>14480</v>
      </c>
      <c r="C6120" s="24" t="s">
        <v>85</v>
      </c>
      <c r="D6120" s="24" t="s">
        <v>17</v>
      </c>
      <c r="E6120" s="24" t="s">
        <v>42</v>
      </c>
      <c r="F6120" s="24" t="s">
        <v>43</v>
      </c>
      <c r="G6120" s="24" t="s">
        <v>28</v>
      </c>
      <c r="H6120" s="26">
        <v>530</v>
      </c>
      <c r="I6120" s="24" t="s">
        <v>29</v>
      </c>
      <c r="J6120" s="36">
        <v>45825</v>
      </c>
      <c r="K6120" s="24" t="s">
        <v>22</v>
      </c>
    </row>
    <row r="6121" spans="1:11" x14ac:dyDescent="0.2">
      <c r="A6121" s="27" t="s">
        <v>14481</v>
      </c>
      <c r="B6121" s="27" t="s">
        <v>14482</v>
      </c>
      <c r="C6121" s="27" t="s">
        <v>8374</v>
      </c>
      <c r="D6121" s="27" t="s">
        <v>17</v>
      </c>
      <c r="E6121" s="27" t="s">
        <v>26</v>
      </c>
      <c r="F6121" s="27" t="s">
        <v>27</v>
      </c>
      <c r="G6121" s="27" t="s">
        <v>28</v>
      </c>
      <c r="H6121" s="29">
        <v>270</v>
      </c>
      <c r="I6121" s="27" t="s">
        <v>29</v>
      </c>
      <c r="J6121" s="37">
        <v>45813</v>
      </c>
      <c r="K6121" s="27" t="s">
        <v>22</v>
      </c>
    </row>
    <row r="6122" spans="1:11" x14ac:dyDescent="0.2">
      <c r="A6122" s="24" t="s">
        <v>14483</v>
      </c>
      <c r="B6122" s="24" t="s">
        <v>14484</v>
      </c>
      <c r="C6122" s="24" t="s">
        <v>14485</v>
      </c>
      <c r="D6122" s="24" t="s">
        <v>17</v>
      </c>
      <c r="E6122" s="24" t="s">
        <v>18</v>
      </c>
      <c r="F6122" s="24" t="s">
        <v>19</v>
      </c>
      <c r="G6122" s="24" t="s">
        <v>28</v>
      </c>
      <c r="H6122" s="26">
        <v>18</v>
      </c>
      <c r="I6122" s="24" t="s">
        <v>29</v>
      </c>
      <c r="J6122" s="36">
        <v>45820</v>
      </c>
      <c r="K6122" s="24" t="s">
        <v>22</v>
      </c>
    </row>
    <row r="6123" spans="1:11" x14ac:dyDescent="0.2">
      <c r="A6123" s="27" t="s">
        <v>14486</v>
      </c>
      <c r="B6123" s="27" t="s">
        <v>14487</v>
      </c>
      <c r="C6123" s="27" t="s">
        <v>1174</v>
      </c>
      <c r="D6123" s="27" t="s">
        <v>17</v>
      </c>
      <c r="E6123" s="27" t="s">
        <v>42</v>
      </c>
      <c r="F6123" s="27" t="s">
        <v>43</v>
      </c>
      <c r="G6123" s="27" t="s">
        <v>28</v>
      </c>
      <c r="H6123" s="29">
        <v>16</v>
      </c>
      <c r="I6123" s="27" t="s">
        <v>29</v>
      </c>
      <c r="J6123" s="37">
        <v>45828</v>
      </c>
      <c r="K6123" s="27" t="s">
        <v>22</v>
      </c>
    </row>
    <row r="6124" spans="1:11" x14ac:dyDescent="0.2">
      <c r="A6124" s="24" t="s">
        <v>14488</v>
      </c>
      <c r="B6124" s="24" t="s">
        <v>14489</v>
      </c>
      <c r="C6124" s="24" t="s">
        <v>11724</v>
      </c>
      <c r="D6124" s="24" t="s">
        <v>17</v>
      </c>
      <c r="E6124" s="24" t="s">
        <v>48</v>
      </c>
      <c r="F6124" s="24" t="s">
        <v>49</v>
      </c>
      <c r="G6124" s="24" t="s">
        <v>28</v>
      </c>
      <c r="H6124" s="26">
        <v>90</v>
      </c>
      <c r="I6124" s="24" t="s">
        <v>29</v>
      </c>
      <c r="J6124" s="36">
        <v>45835</v>
      </c>
      <c r="K6124" s="24" t="s">
        <v>22</v>
      </c>
    </row>
    <row r="6125" spans="1:11" x14ac:dyDescent="0.2">
      <c r="A6125" s="27" t="s">
        <v>14490</v>
      </c>
      <c r="B6125" s="27" t="s">
        <v>14491</v>
      </c>
      <c r="C6125" s="27" t="s">
        <v>213</v>
      </c>
      <c r="D6125" s="27" t="s">
        <v>17</v>
      </c>
      <c r="E6125" s="27" t="s">
        <v>18</v>
      </c>
      <c r="F6125" s="27" t="s">
        <v>19</v>
      </c>
      <c r="G6125" s="27" t="s">
        <v>20</v>
      </c>
      <c r="H6125" s="29">
        <v>10</v>
      </c>
      <c r="I6125" s="27" t="s">
        <v>21</v>
      </c>
      <c r="J6125" s="37">
        <v>45828</v>
      </c>
      <c r="K6125" s="27" t="s">
        <v>22</v>
      </c>
    </row>
    <row r="6126" spans="1:11" x14ac:dyDescent="0.2">
      <c r="A6126" s="24" t="s">
        <v>14492</v>
      </c>
      <c r="B6126" s="24" t="s">
        <v>14493</v>
      </c>
      <c r="C6126" s="24" t="s">
        <v>14494</v>
      </c>
      <c r="D6126" s="24" t="s">
        <v>17</v>
      </c>
      <c r="E6126" s="24" t="s">
        <v>48</v>
      </c>
      <c r="F6126" s="24" t="s">
        <v>49</v>
      </c>
      <c r="G6126" s="24" t="s">
        <v>28</v>
      </c>
      <c r="H6126" s="26">
        <v>129</v>
      </c>
      <c r="I6126" s="24" t="s">
        <v>29</v>
      </c>
      <c r="J6126" s="36">
        <v>45825</v>
      </c>
      <c r="K6126" s="24" t="s">
        <v>22</v>
      </c>
    </row>
    <row r="6127" spans="1:11" x14ac:dyDescent="0.2">
      <c r="A6127" s="27" t="s">
        <v>14495</v>
      </c>
      <c r="B6127" s="27" t="s">
        <v>14496</v>
      </c>
      <c r="C6127" s="27" t="s">
        <v>251</v>
      </c>
      <c r="D6127" s="27" t="s">
        <v>17</v>
      </c>
      <c r="E6127" s="27" t="s">
        <v>18</v>
      </c>
      <c r="F6127" s="27" t="s">
        <v>19</v>
      </c>
      <c r="G6127" s="27" t="s">
        <v>28</v>
      </c>
      <c r="H6127" s="29">
        <v>57</v>
      </c>
      <c r="I6127" s="27" t="s">
        <v>29</v>
      </c>
      <c r="J6127" s="37">
        <v>45820</v>
      </c>
      <c r="K6127" s="27" t="s">
        <v>22</v>
      </c>
    </row>
    <row r="6128" spans="1:11" x14ac:dyDescent="0.2">
      <c r="A6128" s="24" t="s">
        <v>14497</v>
      </c>
      <c r="B6128" s="24" t="s">
        <v>14498</v>
      </c>
      <c r="C6128" s="24" t="s">
        <v>1212</v>
      </c>
      <c r="D6128" s="24" t="s">
        <v>17</v>
      </c>
      <c r="E6128" s="24" t="s">
        <v>18</v>
      </c>
      <c r="F6128" s="24" t="s">
        <v>19</v>
      </c>
      <c r="G6128" s="24" t="s">
        <v>28</v>
      </c>
      <c r="H6128" s="26">
        <v>24</v>
      </c>
      <c r="I6128" s="24" t="s">
        <v>29</v>
      </c>
      <c r="J6128" s="36">
        <v>45825</v>
      </c>
      <c r="K6128" s="24" t="s">
        <v>22</v>
      </c>
    </row>
    <row r="6129" spans="1:11" x14ac:dyDescent="0.2">
      <c r="A6129" s="27" t="s">
        <v>14499</v>
      </c>
      <c r="B6129" s="27" t="s">
        <v>14500</v>
      </c>
      <c r="C6129" s="27" t="s">
        <v>526</v>
      </c>
      <c r="D6129" s="27" t="s">
        <v>17</v>
      </c>
      <c r="E6129" s="27" t="s">
        <v>48</v>
      </c>
      <c r="F6129" s="27" t="s">
        <v>49</v>
      </c>
      <c r="G6129" s="27" t="s">
        <v>59</v>
      </c>
      <c r="H6129" s="29">
        <v>1</v>
      </c>
      <c r="I6129" s="27" t="s">
        <v>21</v>
      </c>
      <c r="J6129" s="37">
        <v>45827</v>
      </c>
      <c r="K6129" s="27" t="s">
        <v>22</v>
      </c>
    </row>
    <row r="6130" spans="1:11" x14ac:dyDescent="0.2">
      <c r="A6130" s="24" t="s">
        <v>14501</v>
      </c>
      <c r="B6130" s="24" t="s">
        <v>14502</v>
      </c>
      <c r="C6130" s="24" t="s">
        <v>14503</v>
      </c>
      <c r="D6130" s="24" t="s">
        <v>17</v>
      </c>
      <c r="E6130" s="24" t="s">
        <v>33</v>
      </c>
      <c r="F6130" s="24" t="s">
        <v>34</v>
      </c>
      <c r="G6130" s="24" t="s">
        <v>217</v>
      </c>
      <c r="H6130" s="26">
        <v>60</v>
      </c>
      <c r="I6130" s="24" t="s">
        <v>29</v>
      </c>
      <c r="J6130" s="36">
        <v>45809</v>
      </c>
      <c r="K6130" s="24" t="s">
        <v>22</v>
      </c>
    </row>
    <row r="6131" spans="1:11" x14ac:dyDescent="0.2">
      <c r="A6131" s="27" t="s">
        <v>14504</v>
      </c>
      <c r="B6131" s="27" t="s">
        <v>14505</v>
      </c>
      <c r="C6131" s="27" t="s">
        <v>1523</v>
      </c>
      <c r="D6131" s="27" t="s">
        <v>17</v>
      </c>
      <c r="E6131" s="27" t="s">
        <v>48</v>
      </c>
      <c r="F6131" s="27" t="s">
        <v>49</v>
      </c>
      <c r="G6131" s="27" t="s">
        <v>28</v>
      </c>
      <c r="H6131" s="29">
        <v>200</v>
      </c>
      <c r="I6131" s="27" t="s">
        <v>29</v>
      </c>
      <c r="J6131" s="37">
        <v>45827</v>
      </c>
      <c r="K6131" s="27" t="s">
        <v>22</v>
      </c>
    </row>
    <row r="6132" spans="1:11" x14ac:dyDescent="0.2">
      <c r="A6132" s="24" t="s">
        <v>14506</v>
      </c>
      <c r="B6132" s="24" t="s">
        <v>14507</v>
      </c>
      <c r="C6132" s="24" t="s">
        <v>1529</v>
      </c>
      <c r="D6132" s="24" t="s">
        <v>17</v>
      </c>
      <c r="E6132" s="24" t="s">
        <v>48</v>
      </c>
      <c r="F6132" s="24" t="s">
        <v>49</v>
      </c>
      <c r="G6132" s="24" t="s">
        <v>28</v>
      </c>
      <c r="H6132" s="26">
        <v>57</v>
      </c>
      <c r="I6132" s="24" t="s">
        <v>29</v>
      </c>
      <c r="J6132" s="36">
        <v>45810</v>
      </c>
      <c r="K6132" s="24" t="s">
        <v>22</v>
      </c>
    </row>
    <row r="6133" spans="1:11" x14ac:dyDescent="0.2">
      <c r="A6133" s="27" t="s">
        <v>14508</v>
      </c>
      <c r="B6133" s="27" t="s">
        <v>14509</v>
      </c>
      <c r="C6133" s="27" t="s">
        <v>1980</v>
      </c>
      <c r="D6133" s="27" t="s">
        <v>17</v>
      </c>
      <c r="E6133" s="27" t="s">
        <v>42</v>
      </c>
      <c r="F6133" s="27" t="s">
        <v>43</v>
      </c>
      <c r="G6133" s="27" t="s">
        <v>116</v>
      </c>
      <c r="H6133" s="29">
        <v>0</v>
      </c>
      <c r="I6133" s="27" t="s">
        <v>21</v>
      </c>
      <c r="J6133" s="37">
        <v>45809</v>
      </c>
      <c r="K6133" s="27" t="s">
        <v>22</v>
      </c>
    </row>
    <row r="6134" spans="1:11" x14ac:dyDescent="0.2">
      <c r="A6134" s="24" t="s">
        <v>14510</v>
      </c>
      <c r="B6134" s="24" t="s">
        <v>14511</v>
      </c>
      <c r="C6134" s="24" t="s">
        <v>3202</v>
      </c>
      <c r="D6134" s="24" t="s">
        <v>17</v>
      </c>
      <c r="E6134" s="24" t="s">
        <v>18</v>
      </c>
      <c r="F6134" s="24" t="s">
        <v>19</v>
      </c>
      <c r="G6134" s="24" t="s">
        <v>20</v>
      </c>
      <c r="H6134" s="26">
        <v>32</v>
      </c>
      <c r="I6134" s="24" t="s">
        <v>21</v>
      </c>
      <c r="J6134" s="36">
        <v>45828</v>
      </c>
      <c r="K6134" s="24" t="s">
        <v>22</v>
      </c>
    </row>
    <row r="6135" spans="1:11" x14ac:dyDescent="0.2">
      <c r="A6135" s="27" t="s">
        <v>14512</v>
      </c>
      <c r="B6135" s="27" t="s">
        <v>14513</v>
      </c>
      <c r="C6135" s="27" t="s">
        <v>14514</v>
      </c>
      <c r="D6135" s="27" t="s">
        <v>17</v>
      </c>
      <c r="E6135" s="27" t="s">
        <v>81</v>
      </c>
      <c r="F6135" s="27" t="s">
        <v>82</v>
      </c>
      <c r="G6135" s="27" t="s">
        <v>28</v>
      </c>
      <c r="H6135" s="29">
        <v>47</v>
      </c>
      <c r="I6135" s="27" t="s">
        <v>29</v>
      </c>
      <c r="J6135" s="37">
        <v>45817</v>
      </c>
      <c r="K6135" s="27" t="s">
        <v>22</v>
      </c>
    </row>
    <row r="6136" spans="1:11" x14ac:dyDescent="0.2">
      <c r="A6136" s="24" t="s">
        <v>14515</v>
      </c>
      <c r="B6136" s="24" t="s">
        <v>14516</v>
      </c>
      <c r="C6136" s="24" t="s">
        <v>500</v>
      </c>
      <c r="D6136" s="24" t="s">
        <v>17</v>
      </c>
      <c r="E6136" s="24" t="s">
        <v>18</v>
      </c>
      <c r="F6136" s="24" t="s">
        <v>19</v>
      </c>
      <c r="G6136" s="24" t="s">
        <v>20</v>
      </c>
      <c r="H6136" s="26">
        <v>36</v>
      </c>
      <c r="I6136" s="24" t="s">
        <v>21</v>
      </c>
      <c r="J6136" s="36">
        <v>45830</v>
      </c>
      <c r="K6136" s="24" t="s">
        <v>22</v>
      </c>
    </row>
    <row r="6137" spans="1:11" x14ac:dyDescent="0.2">
      <c r="A6137" s="27" t="s">
        <v>14517</v>
      </c>
      <c r="B6137" s="27" t="s">
        <v>14518</v>
      </c>
      <c r="C6137" s="27" t="s">
        <v>14519</v>
      </c>
      <c r="D6137" s="27" t="s">
        <v>17</v>
      </c>
      <c r="E6137" s="27" t="s">
        <v>18</v>
      </c>
      <c r="F6137" s="27" t="s">
        <v>19</v>
      </c>
      <c r="G6137" s="27" t="s">
        <v>20</v>
      </c>
      <c r="H6137" s="29">
        <v>49</v>
      </c>
      <c r="I6137" s="27" t="s">
        <v>21</v>
      </c>
      <c r="J6137" s="37">
        <v>45828</v>
      </c>
      <c r="K6137" s="27" t="s">
        <v>22</v>
      </c>
    </row>
    <row r="6138" spans="1:11" x14ac:dyDescent="0.2">
      <c r="A6138" s="24" t="s">
        <v>14520</v>
      </c>
      <c r="B6138" s="24" t="s">
        <v>14521</v>
      </c>
      <c r="C6138" s="24" t="s">
        <v>4326</v>
      </c>
      <c r="D6138" s="24" t="s">
        <v>17</v>
      </c>
      <c r="E6138" s="24" t="s">
        <v>48</v>
      </c>
      <c r="F6138" s="24" t="s">
        <v>49</v>
      </c>
      <c r="G6138" s="24" t="s">
        <v>28</v>
      </c>
      <c r="H6138" s="26">
        <v>160</v>
      </c>
      <c r="I6138" s="24" t="s">
        <v>29</v>
      </c>
      <c r="J6138" s="36">
        <v>45817</v>
      </c>
      <c r="K6138" s="24" t="s">
        <v>22</v>
      </c>
    </row>
    <row r="6139" spans="1:11" x14ac:dyDescent="0.2">
      <c r="A6139" s="27" t="s">
        <v>14522</v>
      </c>
      <c r="B6139" s="27" t="s">
        <v>14523</v>
      </c>
      <c r="C6139" s="27" t="s">
        <v>14524</v>
      </c>
      <c r="D6139" s="27" t="s">
        <v>17</v>
      </c>
      <c r="E6139" s="27" t="s">
        <v>18</v>
      </c>
      <c r="F6139" s="27" t="s">
        <v>19</v>
      </c>
      <c r="G6139" s="27" t="s">
        <v>217</v>
      </c>
      <c r="H6139" s="29">
        <v>48</v>
      </c>
      <c r="I6139" s="27" t="s">
        <v>29</v>
      </c>
      <c r="J6139" s="37">
        <v>45809</v>
      </c>
      <c r="K6139" s="27" t="s">
        <v>22</v>
      </c>
    </row>
    <row r="6140" spans="1:11" x14ac:dyDescent="0.2">
      <c r="A6140" s="24" t="s">
        <v>14525</v>
      </c>
      <c r="B6140" s="24" t="s">
        <v>14526</v>
      </c>
      <c r="C6140" s="24" t="s">
        <v>827</v>
      </c>
      <c r="D6140" s="24" t="s">
        <v>17</v>
      </c>
      <c r="E6140" s="24" t="s">
        <v>42</v>
      </c>
      <c r="F6140" s="24" t="s">
        <v>43</v>
      </c>
      <c r="G6140" s="24" t="s">
        <v>28</v>
      </c>
      <c r="H6140" s="26">
        <v>560</v>
      </c>
      <c r="I6140" s="24" t="s">
        <v>29</v>
      </c>
      <c r="J6140" s="36">
        <v>45821</v>
      </c>
      <c r="K6140" s="24" t="s">
        <v>22</v>
      </c>
    </row>
    <row r="6141" spans="1:11" x14ac:dyDescent="0.2">
      <c r="A6141" s="27" t="s">
        <v>14527</v>
      </c>
      <c r="B6141" s="27" t="s">
        <v>14528</v>
      </c>
      <c r="C6141" s="27" t="s">
        <v>85</v>
      </c>
      <c r="D6141" s="27" t="s">
        <v>17</v>
      </c>
      <c r="E6141" s="27" t="s">
        <v>42</v>
      </c>
      <c r="F6141" s="27" t="s">
        <v>43</v>
      </c>
      <c r="G6141" s="27" t="s">
        <v>28</v>
      </c>
      <c r="H6141" s="29">
        <v>123</v>
      </c>
      <c r="I6141" s="27" t="s">
        <v>29</v>
      </c>
      <c r="J6141" s="37">
        <v>45827</v>
      </c>
      <c r="K6141" s="27" t="s">
        <v>22</v>
      </c>
    </row>
    <row r="6142" spans="1:11" x14ac:dyDescent="0.2">
      <c r="A6142" s="24" t="s">
        <v>14529</v>
      </c>
      <c r="B6142" s="24" t="s">
        <v>14530</v>
      </c>
      <c r="C6142" s="24" t="s">
        <v>146</v>
      </c>
      <c r="D6142" s="24" t="s">
        <v>17</v>
      </c>
      <c r="E6142" s="24" t="s">
        <v>42</v>
      </c>
      <c r="F6142" s="24" t="s">
        <v>43</v>
      </c>
      <c r="G6142" s="24" t="s">
        <v>28</v>
      </c>
      <c r="H6142" s="26">
        <v>981</v>
      </c>
      <c r="I6142" s="24" t="s">
        <v>29</v>
      </c>
      <c r="J6142" s="36">
        <v>45828</v>
      </c>
      <c r="K6142" s="24" t="s">
        <v>22</v>
      </c>
    </row>
    <row r="6143" spans="1:11" x14ac:dyDescent="0.2">
      <c r="A6143" s="27" t="s">
        <v>14531</v>
      </c>
      <c r="B6143" s="27" t="s">
        <v>14532</v>
      </c>
      <c r="C6143" s="27" t="s">
        <v>3836</v>
      </c>
      <c r="D6143" s="27" t="s">
        <v>17</v>
      </c>
      <c r="E6143" s="27" t="s">
        <v>42</v>
      </c>
      <c r="F6143" s="27" t="s">
        <v>43</v>
      </c>
      <c r="G6143" s="27" t="s">
        <v>227</v>
      </c>
      <c r="H6143" s="29">
        <v>835</v>
      </c>
      <c r="I6143" s="27" t="s">
        <v>29</v>
      </c>
      <c r="J6143" s="37">
        <v>45835</v>
      </c>
      <c r="K6143" s="27" t="s">
        <v>22</v>
      </c>
    </row>
    <row r="6144" spans="1:11" x14ac:dyDescent="0.2">
      <c r="A6144" s="24" t="s">
        <v>14533</v>
      </c>
      <c r="B6144" s="24" t="s">
        <v>14534</v>
      </c>
      <c r="C6144" s="24" t="s">
        <v>14535</v>
      </c>
      <c r="D6144" s="24" t="s">
        <v>17</v>
      </c>
      <c r="E6144" s="24" t="s">
        <v>26</v>
      </c>
      <c r="F6144" s="24" t="s">
        <v>27</v>
      </c>
      <c r="G6144" s="24" t="s">
        <v>257</v>
      </c>
      <c r="H6144" s="26">
        <v>43</v>
      </c>
      <c r="I6144" s="24" t="s">
        <v>29</v>
      </c>
      <c r="J6144" s="36">
        <v>45817</v>
      </c>
      <c r="K6144" s="24" t="s">
        <v>22</v>
      </c>
    </row>
    <row r="6145" spans="1:11" x14ac:dyDescent="0.2">
      <c r="A6145" s="27" t="s">
        <v>14536</v>
      </c>
      <c r="B6145" s="27" t="s">
        <v>14537</v>
      </c>
      <c r="C6145" s="27" t="s">
        <v>4253</v>
      </c>
      <c r="D6145" s="27" t="s">
        <v>17</v>
      </c>
      <c r="E6145" s="27" t="s">
        <v>48</v>
      </c>
      <c r="F6145" s="27" t="s">
        <v>49</v>
      </c>
      <c r="G6145" s="27" t="s">
        <v>217</v>
      </c>
      <c r="H6145" s="29">
        <v>20</v>
      </c>
      <c r="I6145" s="27" t="s">
        <v>29</v>
      </c>
      <c r="J6145" s="37">
        <v>45809</v>
      </c>
      <c r="K6145" s="27" t="s">
        <v>22</v>
      </c>
    </row>
    <row r="6146" spans="1:11" x14ac:dyDescent="0.2">
      <c r="A6146" s="24" t="s">
        <v>14538</v>
      </c>
      <c r="B6146" s="24" t="s">
        <v>14539</v>
      </c>
      <c r="C6146" s="24" t="s">
        <v>97</v>
      </c>
      <c r="D6146" s="24" t="s">
        <v>17</v>
      </c>
      <c r="E6146" s="24" t="s">
        <v>18</v>
      </c>
      <c r="F6146" s="24" t="s">
        <v>19</v>
      </c>
      <c r="G6146" s="24" t="s">
        <v>20</v>
      </c>
      <c r="H6146" s="26">
        <v>10</v>
      </c>
      <c r="I6146" s="24" t="s">
        <v>21</v>
      </c>
      <c r="J6146" s="36">
        <v>45819</v>
      </c>
      <c r="K6146" s="24" t="s">
        <v>22</v>
      </c>
    </row>
    <row r="6147" spans="1:11" x14ac:dyDescent="0.2">
      <c r="A6147" s="27" t="s">
        <v>14540</v>
      </c>
      <c r="B6147" s="27" t="s">
        <v>14541</v>
      </c>
      <c r="C6147" s="27" t="s">
        <v>6735</v>
      </c>
      <c r="D6147" s="27" t="s">
        <v>17</v>
      </c>
      <c r="E6147" s="27" t="s">
        <v>18</v>
      </c>
      <c r="F6147" s="27" t="s">
        <v>19</v>
      </c>
      <c r="G6147" s="27" t="s">
        <v>20</v>
      </c>
      <c r="H6147" s="29">
        <v>74</v>
      </c>
      <c r="I6147" s="27" t="s">
        <v>21</v>
      </c>
      <c r="J6147" s="37">
        <v>45810</v>
      </c>
      <c r="K6147" s="27" t="s">
        <v>22</v>
      </c>
    </row>
    <row r="6148" spans="1:11" x14ac:dyDescent="0.2">
      <c r="A6148" s="24" t="s">
        <v>14542</v>
      </c>
      <c r="B6148" s="24" t="s">
        <v>14543</v>
      </c>
      <c r="C6148" s="24" t="s">
        <v>14544</v>
      </c>
      <c r="D6148" s="24" t="s">
        <v>17</v>
      </c>
      <c r="E6148" s="24" t="s">
        <v>18</v>
      </c>
      <c r="F6148" s="24" t="s">
        <v>19</v>
      </c>
      <c r="G6148" s="24" t="s">
        <v>28</v>
      </c>
      <c r="H6148" s="26">
        <v>36</v>
      </c>
      <c r="I6148" s="24" t="s">
        <v>29</v>
      </c>
      <c r="J6148" s="36">
        <v>45826</v>
      </c>
      <c r="K6148" s="24" t="s">
        <v>22</v>
      </c>
    </row>
    <row r="6149" spans="1:11" x14ac:dyDescent="0.2">
      <c r="A6149" s="27" t="s">
        <v>14545</v>
      </c>
      <c r="B6149" s="27" t="s">
        <v>14546</v>
      </c>
      <c r="C6149" s="27" t="s">
        <v>14547</v>
      </c>
      <c r="D6149" s="27" t="s">
        <v>17</v>
      </c>
      <c r="E6149" s="27" t="s">
        <v>48</v>
      </c>
      <c r="F6149" s="27" t="s">
        <v>49</v>
      </c>
      <c r="G6149" s="27" t="s">
        <v>28</v>
      </c>
      <c r="H6149" s="29">
        <v>25</v>
      </c>
      <c r="I6149" s="27" t="s">
        <v>29</v>
      </c>
      <c r="J6149" s="37">
        <v>45827</v>
      </c>
      <c r="K6149" s="27" t="s">
        <v>22</v>
      </c>
    </row>
    <row r="6150" spans="1:11" x14ac:dyDescent="0.2">
      <c r="A6150" s="24" t="s">
        <v>14548</v>
      </c>
      <c r="B6150" s="24" t="s">
        <v>14549</v>
      </c>
      <c r="C6150" s="24" t="s">
        <v>1663</v>
      </c>
      <c r="D6150" s="24" t="s">
        <v>17</v>
      </c>
      <c r="E6150" s="24" t="s">
        <v>18</v>
      </c>
      <c r="F6150" s="24" t="s">
        <v>19</v>
      </c>
      <c r="G6150" s="24" t="s">
        <v>44</v>
      </c>
      <c r="H6150" s="26">
        <v>322</v>
      </c>
      <c r="I6150" s="24" t="s">
        <v>29</v>
      </c>
      <c r="J6150" s="36">
        <v>45812</v>
      </c>
      <c r="K6150" s="24" t="s">
        <v>22</v>
      </c>
    </row>
    <row r="6151" spans="1:11" x14ac:dyDescent="0.2">
      <c r="A6151" s="27" t="s">
        <v>14550</v>
      </c>
      <c r="B6151" s="27" t="s">
        <v>14551</v>
      </c>
      <c r="C6151" s="27" t="s">
        <v>97</v>
      </c>
      <c r="D6151" s="27" t="s">
        <v>17</v>
      </c>
      <c r="E6151" s="27" t="s">
        <v>18</v>
      </c>
      <c r="F6151" s="27" t="s">
        <v>19</v>
      </c>
      <c r="G6151" s="27" t="s">
        <v>28</v>
      </c>
      <c r="H6151" s="29">
        <v>124</v>
      </c>
      <c r="I6151" s="27" t="s">
        <v>29</v>
      </c>
      <c r="J6151" s="37">
        <v>45817</v>
      </c>
      <c r="K6151" s="27" t="s">
        <v>22</v>
      </c>
    </row>
    <row r="6152" spans="1:11" x14ac:dyDescent="0.2">
      <c r="A6152" s="24" t="s">
        <v>14552</v>
      </c>
      <c r="B6152" s="24" t="s">
        <v>14553</v>
      </c>
      <c r="C6152" s="24" t="s">
        <v>1283</v>
      </c>
      <c r="D6152" s="24" t="s">
        <v>17</v>
      </c>
      <c r="E6152" s="24" t="s">
        <v>26</v>
      </c>
      <c r="F6152" s="24" t="s">
        <v>27</v>
      </c>
      <c r="G6152" s="24" t="s">
        <v>28</v>
      </c>
      <c r="H6152" s="26">
        <v>110</v>
      </c>
      <c r="I6152" s="24" t="s">
        <v>29</v>
      </c>
      <c r="J6152" s="36">
        <v>45831</v>
      </c>
      <c r="K6152" s="24" t="s">
        <v>22</v>
      </c>
    </row>
    <row r="6153" spans="1:11" x14ac:dyDescent="0.2">
      <c r="A6153" s="27" t="s">
        <v>14554</v>
      </c>
      <c r="B6153" s="27" t="s">
        <v>14555</v>
      </c>
      <c r="C6153" s="27" t="s">
        <v>68</v>
      </c>
      <c r="D6153" s="27" t="s">
        <v>17</v>
      </c>
      <c r="E6153" s="27" t="s">
        <v>26</v>
      </c>
      <c r="F6153" s="27" t="s">
        <v>27</v>
      </c>
      <c r="G6153" s="27" t="s">
        <v>217</v>
      </c>
      <c r="H6153" s="29">
        <v>80</v>
      </c>
      <c r="I6153" s="27" t="s">
        <v>29</v>
      </c>
      <c r="J6153" s="37">
        <v>45809</v>
      </c>
      <c r="K6153" s="27" t="s">
        <v>22</v>
      </c>
    </row>
    <row r="6154" spans="1:11" x14ac:dyDescent="0.2">
      <c r="A6154" s="24" t="s">
        <v>14556</v>
      </c>
      <c r="B6154" s="24" t="s">
        <v>14557</v>
      </c>
      <c r="C6154" s="24" t="s">
        <v>14558</v>
      </c>
      <c r="D6154" s="24" t="s">
        <v>17</v>
      </c>
      <c r="E6154" s="24" t="s">
        <v>163</v>
      </c>
      <c r="F6154" s="24" t="s">
        <v>164</v>
      </c>
      <c r="G6154" s="24" t="s">
        <v>28</v>
      </c>
      <c r="H6154" s="26">
        <v>10</v>
      </c>
      <c r="I6154" s="24" t="s">
        <v>29</v>
      </c>
      <c r="J6154" s="36">
        <v>45819</v>
      </c>
      <c r="K6154" s="24" t="s">
        <v>22</v>
      </c>
    </row>
    <row r="6155" spans="1:11" x14ac:dyDescent="0.2">
      <c r="A6155" s="27" t="s">
        <v>14559</v>
      </c>
      <c r="B6155" s="27" t="s">
        <v>14560</v>
      </c>
      <c r="C6155" s="27" t="s">
        <v>11460</v>
      </c>
      <c r="D6155" s="27" t="s">
        <v>17</v>
      </c>
      <c r="E6155" s="27" t="s">
        <v>18</v>
      </c>
      <c r="F6155" s="27" t="s">
        <v>19</v>
      </c>
      <c r="G6155" s="27" t="s">
        <v>44</v>
      </c>
      <c r="H6155" s="29">
        <v>9</v>
      </c>
      <c r="I6155" s="27" t="s">
        <v>21</v>
      </c>
      <c r="J6155" s="37">
        <v>45828</v>
      </c>
      <c r="K6155" s="27" t="s">
        <v>22</v>
      </c>
    </row>
    <row r="6156" spans="1:11" x14ac:dyDescent="0.2">
      <c r="A6156" s="24" t="s">
        <v>14561</v>
      </c>
      <c r="B6156" s="24" t="s">
        <v>14562</v>
      </c>
      <c r="C6156" s="24" t="s">
        <v>9221</v>
      </c>
      <c r="D6156" s="24" t="s">
        <v>17</v>
      </c>
      <c r="E6156" s="24" t="s">
        <v>42</v>
      </c>
      <c r="F6156" s="24" t="s">
        <v>43</v>
      </c>
      <c r="G6156" s="24" t="s">
        <v>44</v>
      </c>
      <c r="H6156" s="26">
        <v>4500</v>
      </c>
      <c r="I6156" s="24" t="s">
        <v>29</v>
      </c>
      <c r="J6156" s="36">
        <v>45831</v>
      </c>
      <c r="K6156" s="24" t="s">
        <v>22</v>
      </c>
    </row>
    <row r="6157" spans="1:11" x14ac:dyDescent="0.2">
      <c r="A6157" s="27" t="s">
        <v>14563</v>
      </c>
      <c r="B6157" s="27" t="s">
        <v>14564</v>
      </c>
      <c r="C6157" s="27" t="s">
        <v>13795</v>
      </c>
      <c r="D6157" s="27" t="s">
        <v>17</v>
      </c>
      <c r="E6157" s="27" t="s">
        <v>18</v>
      </c>
      <c r="F6157" s="27" t="s">
        <v>19</v>
      </c>
      <c r="G6157" s="27" t="s">
        <v>20</v>
      </c>
      <c r="H6157" s="29">
        <v>80</v>
      </c>
      <c r="I6157" s="27" t="s">
        <v>21</v>
      </c>
      <c r="J6157" s="37">
        <v>45815</v>
      </c>
      <c r="K6157" s="27" t="s">
        <v>22</v>
      </c>
    </row>
    <row r="6158" spans="1:11" x14ac:dyDescent="0.2">
      <c r="A6158" s="24" t="s">
        <v>14565</v>
      </c>
      <c r="B6158" s="24" t="s">
        <v>14566</v>
      </c>
      <c r="C6158" s="24" t="s">
        <v>14567</v>
      </c>
      <c r="D6158" s="24" t="s">
        <v>17</v>
      </c>
      <c r="E6158" s="24" t="s">
        <v>26</v>
      </c>
      <c r="F6158" s="24" t="s">
        <v>27</v>
      </c>
      <c r="G6158" s="24" t="s">
        <v>28</v>
      </c>
      <c r="H6158" s="26">
        <v>90</v>
      </c>
      <c r="I6158" s="24" t="s">
        <v>29</v>
      </c>
      <c r="J6158" s="36">
        <v>45825</v>
      </c>
      <c r="K6158" s="24" t="s">
        <v>22</v>
      </c>
    </row>
    <row r="6159" spans="1:11" x14ac:dyDescent="0.2">
      <c r="A6159" s="27" t="s">
        <v>14568</v>
      </c>
      <c r="B6159" s="27" t="s">
        <v>14569</v>
      </c>
      <c r="C6159" s="27" t="s">
        <v>687</v>
      </c>
      <c r="D6159" s="27" t="s">
        <v>17</v>
      </c>
      <c r="E6159" s="27" t="s">
        <v>18</v>
      </c>
      <c r="F6159" s="27" t="s">
        <v>19</v>
      </c>
      <c r="G6159" s="27" t="s">
        <v>20</v>
      </c>
      <c r="H6159" s="29">
        <v>116</v>
      </c>
      <c r="I6159" s="27" t="s">
        <v>21</v>
      </c>
      <c r="J6159" s="37">
        <v>45821</v>
      </c>
      <c r="K6159" s="27" t="s">
        <v>22</v>
      </c>
    </row>
    <row r="6160" spans="1:11" x14ac:dyDescent="0.2">
      <c r="A6160" s="24" t="s">
        <v>14570</v>
      </c>
      <c r="B6160" s="24" t="s">
        <v>14571</v>
      </c>
      <c r="C6160" s="24" t="s">
        <v>194</v>
      </c>
      <c r="D6160" s="24" t="s">
        <v>17</v>
      </c>
      <c r="E6160" s="24" t="s">
        <v>18</v>
      </c>
      <c r="F6160" s="24" t="s">
        <v>19</v>
      </c>
      <c r="G6160" s="24" t="s">
        <v>28</v>
      </c>
      <c r="H6160" s="26">
        <v>54</v>
      </c>
      <c r="I6160" s="24" t="s">
        <v>29</v>
      </c>
      <c r="J6160" s="36">
        <v>45812</v>
      </c>
      <c r="K6160" s="24" t="s">
        <v>22</v>
      </c>
    </row>
    <row r="6161" spans="1:11" x14ac:dyDescent="0.2">
      <c r="A6161" s="27" t="s">
        <v>14572</v>
      </c>
      <c r="B6161" s="27" t="s">
        <v>14573</v>
      </c>
      <c r="C6161" s="27" t="s">
        <v>6277</v>
      </c>
      <c r="D6161" s="27" t="s">
        <v>17</v>
      </c>
      <c r="E6161" s="27" t="s">
        <v>42</v>
      </c>
      <c r="F6161" s="27" t="s">
        <v>43</v>
      </c>
      <c r="G6161" s="27" t="s">
        <v>28</v>
      </c>
      <c r="H6161" s="29">
        <v>32</v>
      </c>
      <c r="I6161" s="27" t="s">
        <v>29</v>
      </c>
      <c r="J6161" s="37">
        <v>45812</v>
      </c>
      <c r="K6161" s="27" t="s">
        <v>22</v>
      </c>
    </row>
    <row r="6162" spans="1:11" x14ac:dyDescent="0.2">
      <c r="A6162" s="24" t="s">
        <v>14574</v>
      </c>
      <c r="B6162" s="24" t="s">
        <v>14575</v>
      </c>
      <c r="C6162" s="24" t="s">
        <v>5617</v>
      </c>
      <c r="D6162" s="24" t="s">
        <v>17</v>
      </c>
      <c r="E6162" s="24" t="s">
        <v>18</v>
      </c>
      <c r="F6162" s="24" t="s">
        <v>19</v>
      </c>
      <c r="G6162" s="24" t="s">
        <v>28</v>
      </c>
      <c r="H6162" s="26">
        <v>94</v>
      </c>
      <c r="I6162" s="24" t="s">
        <v>29</v>
      </c>
      <c r="J6162" s="36">
        <v>45809</v>
      </c>
      <c r="K6162" s="24" t="s">
        <v>22</v>
      </c>
    </row>
    <row r="6163" spans="1:11" x14ac:dyDescent="0.2">
      <c r="A6163" s="27" t="s">
        <v>14576</v>
      </c>
      <c r="B6163" s="27" t="s">
        <v>14577</v>
      </c>
      <c r="C6163" s="27" t="s">
        <v>8117</v>
      </c>
      <c r="D6163" s="27" t="s">
        <v>17</v>
      </c>
      <c r="E6163" s="27" t="s">
        <v>48</v>
      </c>
      <c r="F6163" s="27" t="s">
        <v>49</v>
      </c>
      <c r="G6163" s="27" t="s">
        <v>28</v>
      </c>
      <c r="H6163" s="29">
        <v>136</v>
      </c>
      <c r="I6163" s="27" t="s">
        <v>29</v>
      </c>
      <c r="J6163" s="37">
        <v>45809</v>
      </c>
      <c r="K6163" s="27" t="s">
        <v>22</v>
      </c>
    </row>
    <row r="6164" spans="1:11" x14ac:dyDescent="0.2">
      <c r="A6164" s="24" t="s">
        <v>14578</v>
      </c>
      <c r="B6164" s="24" t="s">
        <v>14579</v>
      </c>
      <c r="C6164" s="24" t="s">
        <v>14580</v>
      </c>
      <c r="D6164" s="24" t="s">
        <v>17</v>
      </c>
      <c r="E6164" s="24" t="s">
        <v>18</v>
      </c>
      <c r="F6164" s="24" t="s">
        <v>19</v>
      </c>
      <c r="G6164" s="24" t="s">
        <v>28</v>
      </c>
      <c r="H6164" s="26">
        <v>48</v>
      </c>
      <c r="I6164" s="24" t="s">
        <v>29</v>
      </c>
      <c r="J6164" s="36">
        <v>45813</v>
      </c>
      <c r="K6164" s="24" t="s">
        <v>22</v>
      </c>
    </row>
    <row r="6165" spans="1:11" x14ac:dyDescent="0.2">
      <c r="A6165" s="27" t="s">
        <v>14581</v>
      </c>
      <c r="B6165" s="27" t="s">
        <v>14582</v>
      </c>
      <c r="C6165" s="27" t="s">
        <v>14583</v>
      </c>
      <c r="D6165" s="27" t="s">
        <v>17</v>
      </c>
      <c r="E6165" s="27" t="s">
        <v>18</v>
      </c>
      <c r="F6165" s="27" t="s">
        <v>19</v>
      </c>
      <c r="G6165" s="27" t="s">
        <v>217</v>
      </c>
      <c r="H6165" s="29">
        <v>60</v>
      </c>
      <c r="I6165" s="27" t="s">
        <v>29</v>
      </c>
      <c r="J6165" s="37">
        <v>45809</v>
      </c>
      <c r="K6165" s="27" t="s">
        <v>22</v>
      </c>
    </row>
    <row r="6166" spans="1:11" x14ac:dyDescent="0.2">
      <c r="A6166" s="24" t="s">
        <v>14584</v>
      </c>
      <c r="B6166" s="24" t="s">
        <v>14585</v>
      </c>
      <c r="C6166" s="24" t="s">
        <v>5824</v>
      </c>
      <c r="D6166" s="24" t="s">
        <v>17</v>
      </c>
      <c r="E6166" s="24" t="s">
        <v>18</v>
      </c>
      <c r="F6166" s="24" t="s">
        <v>19</v>
      </c>
      <c r="G6166" s="24" t="s">
        <v>20</v>
      </c>
      <c r="H6166" s="26">
        <v>24</v>
      </c>
      <c r="I6166" s="24" t="s">
        <v>21</v>
      </c>
      <c r="J6166" s="36">
        <v>45809</v>
      </c>
      <c r="K6166" s="24" t="s">
        <v>22</v>
      </c>
    </row>
    <row r="6167" spans="1:11" x14ac:dyDescent="0.2">
      <c r="A6167" s="27" t="s">
        <v>14586</v>
      </c>
      <c r="B6167" s="27" t="s">
        <v>14587</v>
      </c>
      <c r="C6167" s="27" t="s">
        <v>14588</v>
      </c>
      <c r="D6167" s="27" t="s">
        <v>17</v>
      </c>
      <c r="E6167" s="27" t="s">
        <v>18</v>
      </c>
      <c r="F6167" s="27" t="s">
        <v>19</v>
      </c>
      <c r="G6167" s="27" t="s">
        <v>28</v>
      </c>
      <c r="H6167" s="29">
        <v>47</v>
      </c>
      <c r="I6167" s="27" t="s">
        <v>29</v>
      </c>
      <c r="J6167" s="37">
        <v>45824</v>
      </c>
      <c r="K6167" s="27" t="s">
        <v>22</v>
      </c>
    </row>
    <row r="6168" spans="1:11" x14ac:dyDescent="0.2">
      <c r="A6168" s="24" t="s">
        <v>14589</v>
      </c>
      <c r="B6168" s="24" t="s">
        <v>14590</v>
      </c>
      <c r="C6168" s="24" t="s">
        <v>9288</v>
      </c>
      <c r="D6168" s="24" t="s">
        <v>17</v>
      </c>
      <c r="E6168" s="24" t="s">
        <v>48</v>
      </c>
      <c r="F6168" s="24" t="s">
        <v>49</v>
      </c>
      <c r="G6168" s="24" t="s">
        <v>28</v>
      </c>
      <c r="H6168" s="26">
        <v>100</v>
      </c>
      <c r="I6168" s="24" t="s">
        <v>29</v>
      </c>
      <c r="J6168" s="36">
        <v>45835</v>
      </c>
      <c r="K6168" s="24" t="s">
        <v>22</v>
      </c>
    </row>
    <row r="6169" spans="1:11" x14ac:dyDescent="0.2">
      <c r="A6169" s="27" t="s">
        <v>14591</v>
      </c>
      <c r="B6169" s="27" t="s">
        <v>14592</v>
      </c>
      <c r="C6169" s="27" t="s">
        <v>14593</v>
      </c>
      <c r="D6169" s="27" t="s">
        <v>17</v>
      </c>
      <c r="E6169" s="27" t="s">
        <v>48</v>
      </c>
      <c r="F6169" s="27" t="s">
        <v>49</v>
      </c>
      <c r="G6169" s="27" t="s">
        <v>28</v>
      </c>
      <c r="H6169" s="29">
        <v>150</v>
      </c>
      <c r="I6169" s="27" t="s">
        <v>29</v>
      </c>
      <c r="J6169" s="37">
        <v>45828</v>
      </c>
      <c r="K6169" s="27" t="s">
        <v>22</v>
      </c>
    </row>
    <row r="6170" spans="1:11" x14ac:dyDescent="0.2">
      <c r="A6170" s="24" t="s">
        <v>14594</v>
      </c>
      <c r="B6170" s="24" t="s">
        <v>14595</v>
      </c>
      <c r="C6170" s="24" t="s">
        <v>1008</v>
      </c>
      <c r="D6170" s="24" t="s">
        <v>17</v>
      </c>
      <c r="E6170" s="24" t="s">
        <v>18</v>
      </c>
      <c r="F6170" s="24" t="s">
        <v>19</v>
      </c>
      <c r="G6170" s="24" t="s">
        <v>28</v>
      </c>
      <c r="H6170" s="26">
        <v>40</v>
      </c>
      <c r="I6170" s="24" t="s">
        <v>29</v>
      </c>
      <c r="J6170" s="36">
        <v>45833</v>
      </c>
      <c r="K6170" s="24" t="s">
        <v>22</v>
      </c>
    </row>
    <row r="6171" spans="1:11" x14ac:dyDescent="0.2">
      <c r="A6171" s="27" t="s">
        <v>14596</v>
      </c>
      <c r="B6171" s="27" t="s">
        <v>14597</v>
      </c>
      <c r="C6171" s="27" t="s">
        <v>14598</v>
      </c>
      <c r="D6171" s="27" t="s">
        <v>17</v>
      </c>
      <c r="E6171" s="27" t="s">
        <v>48</v>
      </c>
      <c r="F6171" s="27" t="s">
        <v>49</v>
      </c>
      <c r="G6171" s="27" t="s">
        <v>116</v>
      </c>
      <c r="H6171" s="29">
        <v>0</v>
      </c>
      <c r="I6171" s="27" t="s">
        <v>21</v>
      </c>
      <c r="J6171" s="37">
        <v>45838</v>
      </c>
      <c r="K6171" s="27" t="s">
        <v>22</v>
      </c>
    </row>
    <row r="6172" spans="1:11" x14ac:dyDescent="0.2">
      <c r="A6172" s="24" t="s">
        <v>14599</v>
      </c>
      <c r="B6172" s="24" t="s">
        <v>14600</v>
      </c>
      <c r="C6172" s="24" t="s">
        <v>68</v>
      </c>
      <c r="D6172" s="24" t="s">
        <v>17</v>
      </c>
      <c r="E6172" s="24" t="s">
        <v>18</v>
      </c>
      <c r="F6172" s="24" t="s">
        <v>19</v>
      </c>
      <c r="G6172" s="24" t="s">
        <v>20</v>
      </c>
      <c r="H6172" s="26">
        <v>14</v>
      </c>
      <c r="I6172" s="24" t="s">
        <v>21</v>
      </c>
      <c r="J6172" s="36">
        <v>45831</v>
      </c>
      <c r="K6172" s="24" t="s">
        <v>22</v>
      </c>
    </row>
    <row r="6173" spans="1:11" x14ac:dyDescent="0.2">
      <c r="A6173" s="27" t="s">
        <v>14601</v>
      </c>
      <c r="B6173" s="27" t="s">
        <v>14602</v>
      </c>
      <c r="C6173" s="27" t="s">
        <v>14603</v>
      </c>
      <c r="D6173" s="27" t="s">
        <v>17</v>
      </c>
      <c r="E6173" s="27" t="s">
        <v>48</v>
      </c>
      <c r="F6173" s="27" t="s">
        <v>49</v>
      </c>
      <c r="G6173" s="27" t="s">
        <v>28</v>
      </c>
      <c r="H6173" s="29">
        <v>34</v>
      </c>
      <c r="I6173" s="27" t="s">
        <v>29</v>
      </c>
      <c r="J6173" s="37">
        <v>45821</v>
      </c>
      <c r="K6173" s="27" t="s">
        <v>22</v>
      </c>
    </row>
    <row r="6174" spans="1:11" x14ac:dyDescent="0.2">
      <c r="A6174" s="24" t="s">
        <v>14604</v>
      </c>
      <c r="B6174" s="24" t="s">
        <v>14605</v>
      </c>
      <c r="C6174" s="24" t="s">
        <v>14606</v>
      </c>
      <c r="D6174" s="24" t="s">
        <v>17</v>
      </c>
      <c r="E6174" s="24" t="s">
        <v>18</v>
      </c>
      <c r="F6174" s="24" t="s">
        <v>19</v>
      </c>
      <c r="G6174" s="24" t="s">
        <v>28</v>
      </c>
      <c r="H6174" s="26">
        <v>10</v>
      </c>
      <c r="I6174" s="24" t="s">
        <v>29</v>
      </c>
      <c r="J6174" s="36">
        <v>45838</v>
      </c>
      <c r="K6174" s="24" t="s">
        <v>22</v>
      </c>
    </row>
    <row r="6175" spans="1:11" x14ac:dyDescent="0.2">
      <c r="A6175" s="27" t="s">
        <v>14607</v>
      </c>
      <c r="B6175" s="27" t="s">
        <v>14608</v>
      </c>
      <c r="C6175" s="27" t="s">
        <v>10723</v>
      </c>
      <c r="D6175" s="27" t="s">
        <v>17</v>
      </c>
      <c r="E6175" s="27" t="s">
        <v>48</v>
      </c>
      <c r="F6175" s="27" t="s">
        <v>49</v>
      </c>
      <c r="G6175" s="27" t="s">
        <v>116</v>
      </c>
      <c r="H6175" s="29">
        <v>0</v>
      </c>
      <c r="I6175" s="27" t="s">
        <v>21</v>
      </c>
      <c r="J6175" s="37">
        <v>45809</v>
      </c>
      <c r="K6175" s="27" t="s">
        <v>22</v>
      </c>
    </row>
    <row r="6176" spans="1:11" x14ac:dyDescent="0.2">
      <c r="A6176" s="24" t="s">
        <v>14609</v>
      </c>
      <c r="B6176" s="24" t="s">
        <v>14610</v>
      </c>
      <c r="C6176" s="24" t="s">
        <v>4448</v>
      </c>
      <c r="D6176" s="24" t="s">
        <v>17</v>
      </c>
      <c r="E6176" s="24" t="s">
        <v>42</v>
      </c>
      <c r="F6176" s="24" t="s">
        <v>43</v>
      </c>
      <c r="G6176" s="24" t="s">
        <v>20</v>
      </c>
      <c r="H6176" s="26">
        <v>24</v>
      </c>
      <c r="I6176" s="24" t="s">
        <v>21</v>
      </c>
      <c r="J6176" s="36">
        <v>45823</v>
      </c>
      <c r="K6176" s="24" t="s">
        <v>22</v>
      </c>
    </row>
    <row r="6177" spans="1:11" x14ac:dyDescent="0.2">
      <c r="A6177" s="27" t="s">
        <v>14611</v>
      </c>
      <c r="B6177" s="27" t="s">
        <v>14612</v>
      </c>
      <c r="C6177" s="27" t="s">
        <v>14613</v>
      </c>
      <c r="D6177" s="27" t="s">
        <v>17</v>
      </c>
      <c r="E6177" s="27" t="s">
        <v>42</v>
      </c>
      <c r="F6177" s="27" t="s">
        <v>43</v>
      </c>
      <c r="G6177" s="27" t="s">
        <v>116</v>
      </c>
      <c r="H6177" s="29">
        <v>0</v>
      </c>
      <c r="I6177" s="27" t="s">
        <v>21</v>
      </c>
      <c r="J6177" s="37">
        <v>45809</v>
      </c>
      <c r="K6177" s="27" t="s">
        <v>22</v>
      </c>
    </row>
    <row r="6178" spans="1:11" x14ac:dyDescent="0.2">
      <c r="A6178" s="24" t="s">
        <v>14614</v>
      </c>
      <c r="B6178" s="24" t="s">
        <v>14615</v>
      </c>
      <c r="C6178" s="24" t="s">
        <v>146</v>
      </c>
      <c r="D6178" s="24" t="s">
        <v>17</v>
      </c>
      <c r="E6178" s="24" t="s">
        <v>48</v>
      </c>
      <c r="F6178" s="24" t="s">
        <v>49</v>
      </c>
      <c r="G6178" s="24" t="s">
        <v>28</v>
      </c>
      <c r="H6178" s="26">
        <v>80</v>
      </c>
      <c r="I6178" s="24" t="s">
        <v>29</v>
      </c>
      <c r="J6178" s="36">
        <v>45813</v>
      </c>
      <c r="K6178" s="24" t="s">
        <v>22</v>
      </c>
    </row>
    <row r="6179" spans="1:11" x14ac:dyDescent="0.2">
      <c r="A6179" s="27" t="s">
        <v>14616</v>
      </c>
      <c r="B6179" s="27" t="s">
        <v>14617</v>
      </c>
      <c r="C6179" s="27" t="s">
        <v>4616</v>
      </c>
      <c r="D6179" s="27" t="s">
        <v>17</v>
      </c>
      <c r="E6179" s="27" t="s">
        <v>18</v>
      </c>
      <c r="F6179" s="27" t="s">
        <v>19</v>
      </c>
      <c r="G6179" s="27" t="s">
        <v>28</v>
      </c>
      <c r="H6179" s="29">
        <v>84</v>
      </c>
      <c r="I6179" s="27" t="s">
        <v>29</v>
      </c>
      <c r="J6179" s="37">
        <v>45832</v>
      </c>
      <c r="K6179" s="27" t="s">
        <v>22</v>
      </c>
    </row>
    <row r="6180" spans="1:11" x14ac:dyDescent="0.2">
      <c r="A6180" s="24" t="s">
        <v>14618</v>
      </c>
      <c r="B6180" s="24" t="s">
        <v>14619</v>
      </c>
      <c r="C6180" s="24" t="s">
        <v>1383</v>
      </c>
      <c r="D6180" s="24" t="s">
        <v>17</v>
      </c>
      <c r="E6180" s="24" t="s">
        <v>18</v>
      </c>
      <c r="F6180" s="24" t="s">
        <v>19</v>
      </c>
      <c r="G6180" s="24" t="s">
        <v>20</v>
      </c>
      <c r="H6180" s="26">
        <v>132</v>
      </c>
      <c r="I6180" s="24" t="s">
        <v>21</v>
      </c>
      <c r="J6180" s="36">
        <v>45838</v>
      </c>
      <c r="K6180" s="24" t="s">
        <v>22</v>
      </c>
    </row>
    <row r="6181" spans="1:11" x14ac:dyDescent="0.2">
      <c r="A6181" s="27" t="s">
        <v>14620</v>
      </c>
      <c r="B6181" s="27" t="s">
        <v>14621</v>
      </c>
      <c r="C6181" s="27" t="s">
        <v>9557</v>
      </c>
      <c r="D6181" s="27" t="s">
        <v>17</v>
      </c>
      <c r="E6181" s="27" t="s">
        <v>18</v>
      </c>
      <c r="F6181" s="27" t="s">
        <v>19</v>
      </c>
      <c r="G6181" s="27" t="s">
        <v>28</v>
      </c>
      <c r="H6181" s="29">
        <v>48</v>
      </c>
      <c r="I6181" s="27" t="s">
        <v>29</v>
      </c>
      <c r="J6181" s="37">
        <v>45823</v>
      </c>
      <c r="K6181" s="27" t="s">
        <v>22</v>
      </c>
    </row>
    <row r="6182" spans="1:11" x14ac:dyDescent="0.2">
      <c r="A6182" s="24" t="s">
        <v>14622</v>
      </c>
      <c r="B6182" s="24" t="s">
        <v>14623</v>
      </c>
      <c r="C6182" s="24" t="s">
        <v>526</v>
      </c>
      <c r="D6182" s="24" t="s">
        <v>17</v>
      </c>
      <c r="E6182" s="24" t="s">
        <v>81</v>
      </c>
      <c r="F6182" s="24" t="s">
        <v>82</v>
      </c>
      <c r="G6182" s="24" t="s">
        <v>28</v>
      </c>
      <c r="H6182" s="26">
        <v>200</v>
      </c>
      <c r="I6182" s="24" t="s">
        <v>29</v>
      </c>
      <c r="J6182" s="36">
        <v>45824</v>
      </c>
      <c r="K6182" s="24" t="s">
        <v>22</v>
      </c>
    </row>
    <row r="6183" spans="1:11" x14ac:dyDescent="0.2">
      <c r="A6183" s="27" t="s">
        <v>14624</v>
      </c>
      <c r="B6183" s="27" t="s">
        <v>14625</v>
      </c>
      <c r="C6183" s="27" t="s">
        <v>331</v>
      </c>
      <c r="D6183" s="27" t="s">
        <v>17</v>
      </c>
      <c r="E6183" s="27" t="s">
        <v>26</v>
      </c>
      <c r="F6183" s="27" t="s">
        <v>27</v>
      </c>
      <c r="G6183" s="27" t="s">
        <v>44</v>
      </c>
      <c r="H6183" s="29">
        <v>9</v>
      </c>
      <c r="I6183" s="27" t="s">
        <v>21</v>
      </c>
      <c r="J6183" s="37">
        <v>45838</v>
      </c>
      <c r="K6183" s="27" t="s">
        <v>22</v>
      </c>
    </row>
    <row r="6184" spans="1:11" x14ac:dyDescent="0.2">
      <c r="A6184" s="24" t="s">
        <v>14626</v>
      </c>
      <c r="B6184" s="24" t="s">
        <v>14627</v>
      </c>
      <c r="C6184" s="24" t="s">
        <v>134</v>
      </c>
      <c r="D6184" s="24" t="s">
        <v>17</v>
      </c>
      <c r="E6184" s="24" t="s">
        <v>42</v>
      </c>
      <c r="F6184" s="24" t="s">
        <v>43</v>
      </c>
      <c r="G6184" s="24" t="s">
        <v>28</v>
      </c>
      <c r="H6184" s="26">
        <v>274</v>
      </c>
      <c r="I6184" s="24" t="s">
        <v>29</v>
      </c>
      <c r="J6184" s="36">
        <v>45821</v>
      </c>
      <c r="K6184" s="24" t="s">
        <v>22</v>
      </c>
    </row>
    <row r="6185" spans="1:11" x14ac:dyDescent="0.2">
      <c r="A6185" s="27" t="s">
        <v>14628</v>
      </c>
      <c r="B6185" s="27" t="s">
        <v>14629</v>
      </c>
      <c r="C6185" s="27" t="s">
        <v>55</v>
      </c>
      <c r="D6185" s="27" t="s">
        <v>17</v>
      </c>
      <c r="E6185" s="27" t="s">
        <v>42</v>
      </c>
      <c r="F6185" s="27" t="s">
        <v>43</v>
      </c>
      <c r="G6185" s="27" t="s">
        <v>28</v>
      </c>
      <c r="H6185" s="29">
        <v>12000</v>
      </c>
      <c r="I6185" s="27" t="s">
        <v>29</v>
      </c>
      <c r="J6185" s="37">
        <v>45819</v>
      </c>
      <c r="K6185" s="27" t="s">
        <v>22</v>
      </c>
    </row>
    <row r="6186" spans="1:11" x14ac:dyDescent="0.2">
      <c r="A6186" s="24" t="s">
        <v>14630</v>
      </c>
      <c r="B6186" s="24" t="s">
        <v>14631</v>
      </c>
      <c r="C6186" s="24" t="s">
        <v>134</v>
      </c>
      <c r="D6186" s="24" t="s">
        <v>17</v>
      </c>
      <c r="E6186" s="24" t="s">
        <v>42</v>
      </c>
      <c r="F6186" s="24" t="s">
        <v>43</v>
      </c>
      <c r="G6186" s="24" t="s">
        <v>28</v>
      </c>
      <c r="H6186" s="26">
        <v>274</v>
      </c>
      <c r="I6186" s="24" t="s">
        <v>29</v>
      </c>
      <c r="J6186" s="36">
        <v>45819</v>
      </c>
      <c r="K6186" s="24" t="s">
        <v>22</v>
      </c>
    </row>
    <row r="6187" spans="1:11" x14ac:dyDescent="0.2">
      <c r="A6187" s="27" t="s">
        <v>14632</v>
      </c>
      <c r="B6187" s="27" t="s">
        <v>14633</v>
      </c>
      <c r="C6187" s="27" t="s">
        <v>11288</v>
      </c>
      <c r="D6187" s="27" t="s">
        <v>17</v>
      </c>
      <c r="E6187" s="27" t="s">
        <v>26</v>
      </c>
      <c r="F6187" s="27" t="s">
        <v>27</v>
      </c>
      <c r="G6187" s="27" t="s">
        <v>28</v>
      </c>
      <c r="H6187" s="29">
        <v>20</v>
      </c>
      <c r="I6187" s="27" t="s">
        <v>29</v>
      </c>
      <c r="J6187" s="37">
        <v>45809</v>
      </c>
      <c r="K6187" s="27" t="s">
        <v>22</v>
      </c>
    </row>
    <row r="6188" spans="1:11" x14ac:dyDescent="0.2">
      <c r="A6188" s="24" t="s">
        <v>14634</v>
      </c>
      <c r="B6188" s="24" t="s">
        <v>14635</v>
      </c>
      <c r="C6188" s="24" t="s">
        <v>526</v>
      </c>
      <c r="D6188" s="24" t="s">
        <v>17</v>
      </c>
      <c r="E6188" s="24" t="s">
        <v>18</v>
      </c>
      <c r="F6188" s="24" t="s">
        <v>19</v>
      </c>
      <c r="G6188" s="24" t="s">
        <v>20</v>
      </c>
      <c r="H6188" s="26">
        <v>16</v>
      </c>
      <c r="I6188" s="24" t="s">
        <v>21</v>
      </c>
      <c r="J6188" s="36">
        <v>45831</v>
      </c>
      <c r="K6188" s="24" t="s">
        <v>22</v>
      </c>
    </row>
    <row r="6189" spans="1:11" x14ac:dyDescent="0.2">
      <c r="A6189" s="27" t="s">
        <v>14636</v>
      </c>
      <c r="B6189" s="27" t="s">
        <v>14637</v>
      </c>
      <c r="C6189" s="27" t="s">
        <v>6436</v>
      </c>
      <c r="D6189" s="27" t="s">
        <v>17</v>
      </c>
      <c r="E6189" s="27" t="s">
        <v>42</v>
      </c>
      <c r="F6189" s="27" t="s">
        <v>43</v>
      </c>
      <c r="G6189" s="27" t="s">
        <v>217</v>
      </c>
      <c r="H6189" s="29">
        <v>45</v>
      </c>
      <c r="I6189" s="27" t="s">
        <v>29</v>
      </c>
      <c r="J6189" s="37">
        <v>45809</v>
      </c>
      <c r="K6189" s="27" t="s">
        <v>22</v>
      </c>
    </row>
    <row r="6190" spans="1:11" x14ac:dyDescent="0.2">
      <c r="A6190" s="24" t="s">
        <v>14638</v>
      </c>
      <c r="B6190" s="24" t="s">
        <v>14639</v>
      </c>
      <c r="C6190" s="24" t="s">
        <v>14640</v>
      </c>
      <c r="D6190" s="24" t="s">
        <v>17</v>
      </c>
      <c r="E6190" s="24" t="s">
        <v>18</v>
      </c>
      <c r="F6190" s="24" t="s">
        <v>19</v>
      </c>
      <c r="G6190" s="24" t="s">
        <v>28</v>
      </c>
      <c r="H6190" s="26">
        <v>18</v>
      </c>
      <c r="I6190" s="24" t="s">
        <v>29</v>
      </c>
      <c r="J6190" s="36">
        <v>45817</v>
      </c>
      <c r="K6190" s="24" t="s">
        <v>22</v>
      </c>
    </row>
    <row r="6191" spans="1:11" x14ac:dyDescent="0.2">
      <c r="A6191" s="27" t="s">
        <v>14641</v>
      </c>
      <c r="B6191" s="27" t="s">
        <v>14642</v>
      </c>
      <c r="C6191" s="27" t="s">
        <v>14643</v>
      </c>
      <c r="D6191" s="27" t="s">
        <v>17</v>
      </c>
      <c r="E6191" s="27" t="s">
        <v>48</v>
      </c>
      <c r="F6191" s="27" t="s">
        <v>49</v>
      </c>
      <c r="G6191" s="27" t="s">
        <v>44</v>
      </c>
      <c r="H6191" s="29">
        <v>20</v>
      </c>
      <c r="I6191" s="27" t="s">
        <v>29</v>
      </c>
      <c r="J6191" s="37">
        <v>45820</v>
      </c>
      <c r="K6191" s="27" t="s">
        <v>22</v>
      </c>
    </row>
    <row r="6192" spans="1:11" x14ac:dyDescent="0.2">
      <c r="A6192" s="24" t="s">
        <v>14644</v>
      </c>
      <c r="B6192" s="24" t="s">
        <v>14645</v>
      </c>
      <c r="C6192" s="24" t="s">
        <v>106</v>
      </c>
      <c r="D6192" s="24" t="s">
        <v>17</v>
      </c>
      <c r="E6192" s="24" t="s">
        <v>48</v>
      </c>
      <c r="F6192" s="24" t="s">
        <v>49</v>
      </c>
      <c r="G6192" s="24" t="s">
        <v>28</v>
      </c>
      <c r="H6192" s="26">
        <v>300</v>
      </c>
      <c r="I6192" s="24" t="s">
        <v>29</v>
      </c>
      <c r="J6192" s="36">
        <v>45813</v>
      </c>
      <c r="K6192" s="24" t="s">
        <v>22</v>
      </c>
    </row>
    <row r="6193" spans="1:11" x14ac:dyDescent="0.2">
      <c r="A6193" s="27" t="s">
        <v>14646</v>
      </c>
      <c r="B6193" s="27" t="s">
        <v>14647</v>
      </c>
      <c r="C6193" s="27" t="s">
        <v>1346</v>
      </c>
      <c r="D6193" s="27" t="s">
        <v>17</v>
      </c>
      <c r="E6193" s="27" t="s">
        <v>48</v>
      </c>
      <c r="F6193" s="27" t="s">
        <v>49</v>
      </c>
      <c r="G6193" s="27" t="s">
        <v>28</v>
      </c>
      <c r="H6193" s="29">
        <v>141</v>
      </c>
      <c r="I6193" s="27" t="s">
        <v>29</v>
      </c>
      <c r="J6193" s="37">
        <v>45821</v>
      </c>
      <c r="K6193" s="27" t="s">
        <v>22</v>
      </c>
    </row>
    <row r="6194" spans="1:11" x14ac:dyDescent="0.2">
      <c r="A6194" s="24" t="s">
        <v>14648</v>
      </c>
      <c r="B6194" s="24" t="s">
        <v>14649</v>
      </c>
      <c r="C6194" s="24" t="s">
        <v>154</v>
      </c>
      <c r="D6194" s="24" t="s">
        <v>17</v>
      </c>
      <c r="E6194" s="24" t="s">
        <v>42</v>
      </c>
      <c r="F6194" s="24" t="s">
        <v>43</v>
      </c>
      <c r="G6194" s="24" t="s">
        <v>227</v>
      </c>
      <c r="H6194" s="26">
        <v>140</v>
      </c>
      <c r="I6194" s="24" t="s">
        <v>29</v>
      </c>
      <c r="J6194" s="36">
        <v>45828</v>
      </c>
      <c r="K6194" s="24" t="s">
        <v>22</v>
      </c>
    </row>
    <row r="6195" spans="1:11" x14ac:dyDescent="0.2">
      <c r="A6195" s="27" t="s">
        <v>14650</v>
      </c>
      <c r="B6195" s="27" t="s">
        <v>14651</v>
      </c>
      <c r="C6195" s="27" t="s">
        <v>1523</v>
      </c>
      <c r="D6195" s="27" t="s">
        <v>17</v>
      </c>
      <c r="E6195" s="27" t="s">
        <v>26</v>
      </c>
      <c r="F6195" s="27" t="s">
        <v>27</v>
      </c>
      <c r="G6195" s="27" t="s">
        <v>28</v>
      </c>
      <c r="H6195" s="29">
        <v>434</v>
      </c>
      <c r="I6195" s="27" t="s">
        <v>29</v>
      </c>
      <c r="J6195" s="37">
        <v>45835</v>
      </c>
      <c r="K6195" s="27" t="s">
        <v>22</v>
      </c>
    </row>
    <row r="6196" spans="1:11" x14ac:dyDescent="0.2">
      <c r="A6196" s="24" t="s">
        <v>14652</v>
      </c>
      <c r="B6196" s="24" t="s">
        <v>14653</v>
      </c>
      <c r="C6196" s="24" t="s">
        <v>429</v>
      </c>
      <c r="D6196" s="24" t="s">
        <v>17</v>
      </c>
      <c r="E6196" s="24" t="s">
        <v>26</v>
      </c>
      <c r="F6196" s="24" t="s">
        <v>27</v>
      </c>
      <c r="G6196" s="24" t="s">
        <v>44</v>
      </c>
      <c r="H6196" s="26">
        <v>98</v>
      </c>
      <c r="I6196" s="24" t="s">
        <v>21</v>
      </c>
      <c r="J6196" s="36">
        <v>45825</v>
      </c>
      <c r="K6196" s="24" t="s">
        <v>22</v>
      </c>
    </row>
    <row r="6197" spans="1:11" x14ac:dyDescent="0.2">
      <c r="A6197" s="27" t="s">
        <v>14654</v>
      </c>
      <c r="B6197" s="27" t="s">
        <v>14655</v>
      </c>
      <c r="C6197" s="27" t="s">
        <v>1050</v>
      </c>
      <c r="D6197" s="27" t="s">
        <v>17</v>
      </c>
      <c r="E6197" s="27" t="s">
        <v>48</v>
      </c>
      <c r="F6197" s="27" t="s">
        <v>49</v>
      </c>
      <c r="G6197" s="27" t="s">
        <v>28</v>
      </c>
      <c r="H6197" s="29">
        <v>350</v>
      </c>
      <c r="I6197" s="27" t="s">
        <v>29</v>
      </c>
      <c r="J6197" s="37">
        <v>45812</v>
      </c>
      <c r="K6197" s="27" t="s">
        <v>22</v>
      </c>
    </row>
    <row r="6198" spans="1:11" x14ac:dyDescent="0.2">
      <c r="A6198" s="24" t="s">
        <v>14656</v>
      </c>
      <c r="B6198" s="24" t="s">
        <v>14657</v>
      </c>
      <c r="C6198" s="24" t="s">
        <v>1766</v>
      </c>
      <c r="D6198" s="24" t="s">
        <v>17</v>
      </c>
      <c r="E6198" s="24" t="s">
        <v>48</v>
      </c>
      <c r="F6198" s="24" t="s">
        <v>49</v>
      </c>
      <c r="G6198" s="24" t="s">
        <v>20</v>
      </c>
      <c r="H6198" s="26">
        <v>282</v>
      </c>
      <c r="I6198" s="24" t="s">
        <v>21</v>
      </c>
      <c r="J6198" s="36">
        <v>45814</v>
      </c>
      <c r="K6198" s="24" t="s">
        <v>22</v>
      </c>
    </row>
    <row r="6199" spans="1:11" x14ac:dyDescent="0.2">
      <c r="A6199" s="27" t="s">
        <v>14658</v>
      </c>
      <c r="B6199" s="27" t="s">
        <v>14659</v>
      </c>
      <c r="C6199" s="27" t="s">
        <v>687</v>
      </c>
      <c r="D6199" s="27" t="s">
        <v>17</v>
      </c>
      <c r="E6199" s="27" t="s">
        <v>42</v>
      </c>
      <c r="F6199" s="27" t="s">
        <v>43</v>
      </c>
      <c r="G6199" s="27" t="s">
        <v>44</v>
      </c>
      <c r="H6199" s="29">
        <v>609</v>
      </c>
      <c r="I6199" s="27" t="s">
        <v>21</v>
      </c>
      <c r="J6199" s="37">
        <v>45811</v>
      </c>
      <c r="K6199" s="27" t="s">
        <v>22</v>
      </c>
    </row>
    <row r="6200" spans="1:11" x14ac:dyDescent="0.2">
      <c r="A6200" s="24" t="s">
        <v>14660</v>
      </c>
      <c r="B6200" s="24" t="s">
        <v>14661</v>
      </c>
      <c r="C6200" s="24" t="s">
        <v>71</v>
      </c>
      <c r="D6200" s="24" t="s">
        <v>17</v>
      </c>
      <c r="E6200" s="24" t="s">
        <v>81</v>
      </c>
      <c r="F6200" s="24" t="s">
        <v>82</v>
      </c>
      <c r="G6200" s="24" t="s">
        <v>28</v>
      </c>
      <c r="H6200" s="26">
        <v>15</v>
      </c>
      <c r="I6200" s="24" t="s">
        <v>29</v>
      </c>
      <c r="J6200" s="36">
        <v>45827</v>
      </c>
      <c r="K6200" s="24" t="s">
        <v>22</v>
      </c>
    </row>
    <row r="6201" spans="1:11" x14ac:dyDescent="0.2">
      <c r="A6201" s="27" t="s">
        <v>14662</v>
      </c>
      <c r="B6201" s="27" t="s">
        <v>14663</v>
      </c>
      <c r="C6201" s="27" t="s">
        <v>526</v>
      </c>
      <c r="D6201" s="27" t="s">
        <v>17</v>
      </c>
      <c r="E6201" s="27" t="s">
        <v>18</v>
      </c>
      <c r="F6201" s="27" t="s">
        <v>19</v>
      </c>
      <c r="G6201" s="27" t="s">
        <v>20</v>
      </c>
      <c r="H6201" s="29">
        <v>72</v>
      </c>
      <c r="I6201" s="27" t="s">
        <v>21</v>
      </c>
      <c r="J6201" s="37">
        <v>45832</v>
      </c>
      <c r="K6201" s="27" t="s">
        <v>22</v>
      </c>
    </row>
    <row r="6202" spans="1:11" x14ac:dyDescent="0.2">
      <c r="A6202" s="24" t="s">
        <v>14664</v>
      </c>
      <c r="B6202" s="24" t="s">
        <v>14665</v>
      </c>
      <c r="C6202" s="24" t="s">
        <v>8100</v>
      </c>
      <c r="D6202" s="24" t="s">
        <v>17</v>
      </c>
      <c r="E6202" s="24" t="s">
        <v>18</v>
      </c>
      <c r="F6202" s="24" t="s">
        <v>19</v>
      </c>
      <c r="G6202" s="24" t="s">
        <v>28</v>
      </c>
      <c r="H6202" s="26">
        <v>96</v>
      </c>
      <c r="I6202" s="24" t="s">
        <v>29</v>
      </c>
      <c r="J6202" s="36">
        <v>45811</v>
      </c>
      <c r="K6202" s="24" t="s">
        <v>22</v>
      </c>
    </row>
    <row r="6203" spans="1:11" x14ac:dyDescent="0.2">
      <c r="A6203" s="27" t="s">
        <v>14666</v>
      </c>
      <c r="B6203" s="27" t="s">
        <v>14667</v>
      </c>
      <c r="C6203" s="27" t="s">
        <v>14668</v>
      </c>
      <c r="D6203" s="27" t="s">
        <v>17</v>
      </c>
      <c r="E6203" s="27" t="s">
        <v>18</v>
      </c>
      <c r="F6203" s="27" t="s">
        <v>19</v>
      </c>
      <c r="G6203" s="27" t="s">
        <v>59</v>
      </c>
      <c r="H6203" s="29">
        <v>16</v>
      </c>
      <c r="I6203" s="27" t="s">
        <v>21</v>
      </c>
      <c r="J6203" s="37">
        <v>45831</v>
      </c>
      <c r="K6203" s="27" t="s">
        <v>22</v>
      </c>
    </row>
    <row r="6204" spans="1:11" x14ac:dyDescent="0.2">
      <c r="A6204" s="24" t="s">
        <v>14669</v>
      </c>
      <c r="B6204" s="24" t="s">
        <v>14670</v>
      </c>
      <c r="C6204" s="24" t="s">
        <v>9933</v>
      </c>
      <c r="D6204" s="24" t="s">
        <v>17</v>
      </c>
      <c r="E6204" s="24" t="s">
        <v>18</v>
      </c>
      <c r="F6204" s="24" t="s">
        <v>19</v>
      </c>
      <c r="G6204" s="24" t="s">
        <v>28</v>
      </c>
      <c r="H6204" s="26">
        <v>180</v>
      </c>
      <c r="I6204" s="24" t="s">
        <v>29</v>
      </c>
      <c r="J6204" s="36">
        <v>45831</v>
      </c>
      <c r="K6204" s="24" t="s">
        <v>22</v>
      </c>
    </row>
    <row r="6205" spans="1:11" x14ac:dyDescent="0.2">
      <c r="A6205" s="27" t="s">
        <v>14671</v>
      </c>
      <c r="B6205" s="27" t="s">
        <v>14672</v>
      </c>
      <c r="C6205" s="27" t="s">
        <v>14673</v>
      </c>
      <c r="D6205" s="27" t="s">
        <v>17</v>
      </c>
      <c r="E6205" s="27" t="s">
        <v>48</v>
      </c>
      <c r="F6205" s="27" t="s">
        <v>49</v>
      </c>
      <c r="G6205" s="27" t="s">
        <v>217</v>
      </c>
      <c r="H6205" s="29">
        <v>40</v>
      </c>
      <c r="I6205" s="27" t="s">
        <v>29</v>
      </c>
      <c r="J6205" s="37">
        <v>45809</v>
      </c>
      <c r="K6205" s="27" t="s">
        <v>22</v>
      </c>
    </row>
    <row r="6206" spans="1:11" x14ac:dyDescent="0.2">
      <c r="A6206" s="24" t="s">
        <v>14674</v>
      </c>
      <c r="B6206" s="24" t="s">
        <v>14675</v>
      </c>
      <c r="C6206" s="24" t="s">
        <v>12624</v>
      </c>
      <c r="D6206" s="24" t="s">
        <v>17</v>
      </c>
      <c r="E6206" s="24" t="s">
        <v>42</v>
      </c>
      <c r="F6206" s="24" t="s">
        <v>43</v>
      </c>
      <c r="G6206" s="24" t="s">
        <v>28</v>
      </c>
      <c r="H6206" s="26">
        <v>216</v>
      </c>
      <c r="I6206" s="24" t="s">
        <v>29</v>
      </c>
      <c r="J6206" s="36">
        <v>45809</v>
      </c>
      <c r="K6206" s="24" t="s">
        <v>22</v>
      </c>
    </row>
    <row r="6207" spans="1:11" x14ac:dyDescent="0.2">
      <c r="A6207" s="27" t="s">
        <v>14676</v>
      </c>
      <c r="B6207" s="27" t="s">
        <v>14677</v>
      </c>
      <c r="C6207" s="27" t="s">
        <v>14678</v>
      </c>
      <c r="D6207" s="27" t="s">
        <v>17</v>
      </c>
      <c r="E6207" s="27" t="s">
        <v>18</v>
      </c>
      <c r="F6207" s="27" t="s">
        <v>19</v>
      </c>
      <c r="G6207" s="27" t="s">
        <v>28</v>
      </c>
      <c r="H6207" s="29">
        <v>20</v>
      </c>
      <c r="I6207" s="27" t="s">
        <v>29</v>
      </c>
      <c r="J6207" s="37">
        <v>45811</v>
      </c>
      <c r="K6207" s="27" t="s">
        <v>22</v>
      </c>
    </row>
    <row r="6208" spans="1:11" x14ac:dyDescent="0.2">
      <c r="A6208" s="24" t="s">
        <v>14679</v>
      </c>
      <c r="B6208" s="24" t="s">
        <v>14680</v>
      </c>
      <c r="C6208" s="24" t="s">
        <v>9616</v>
      </c>
      <c r="D6208" s="24" t="s">
        <v>17</v>
      </c>
      <c r="E6208" s="24" t="s">
        <v>18</v>
      </c>
      <c r="F6208" s="24" t="s">
        <v>19</v>
      </c>
      <c r="G6208" s="24" t="s">
        <v>28</v>
      </c>
      <c r="H6208" s="26">
        <v>208</v>
      </c>
      <c r="I6208" s="24" t="s">
        <v>29</v>
      </c>
      <c r="J6208" s="36">
        <v>45838</v>
      </c>
      <c r="K6208" s="24" t="s">
        <v>22</v>
      </c>
    </row>
    <row r="6209" spans="1:11" x14ac:dyDescent="0.2">
      <c r="A6209" s="27" t="s">
        <v>14681</v>
      </c>
      <c r="B6209" s="27" t="s">
        <v>14682</v>
      </c>
      <c r="C6209" s="27" t="s">
        <v>11510</v>
      </c>
      <c r="D6209" s="27" t="s">
        <v>17</v>
      </c>
      <c r="E6209" s="27" t="s">
        <v>42</v>
      </c>
      <c r="F6209" s="27" t="s">
        <v>43</v>
      </c>
      <c r="G6209" s="27" t="s">
        <v>28</v>
      </c>
      <c r="H6209" s="29">
        <v>102</v>
      </c>
      <c r="I6209" s="27" t="s">
        <v>29</v>
      </c>
      <c r="J6209" s="37">
        <v>45825</v>
      </c>
      <c r="K6209" s="27" t="s">
        <v>22</v>
      </c>
    </row>
    <row r="6210" spans="1:11" x14ac:dyDescent="0.2">
      <c r="A6210" s="24" t="s">
        <v>14683</v>
      </c>
      <c r="B6210" s="24" t="s">
        <v>14684</v>
      </c>
      <c r="C6210" s="24" t="s">
        <v>280</v>
      </c>
      <c r="D6210" s="24" t="s">
        <v>17</v>
      </c>
      <c r="E6210" s="24" t="s">
        <v>18</v>
      </c>
      <c r="F6210" s="24" t="s">
        <v>19</v>
      </c>
      <c r="G6210" s="24" t="s">
        <v>28</v>
      </c>
      <c r="H6210" s="26">
        <v>28</v>
      </c>
      <c r="I6210" s="24" t="s">
        <v>29</v>
      </c>
      <c r="J6210" s="36">
        <v>45834</v>
      </c>
      <c r="K6210" s="24" t="s">
        <v>22</v>
      </c>
    </row>
    <row r="6211" spans="1:11" x14ac:dyDescent="0.2">
      <c r="A6211" s="27" t="s">
        <v>14685</v>
      </c>
      <c r="B6211" s="27" t="s">
        <v>14686</v>
      </c>
      <c r="C6211" s="27" t="s">
        <v>2048</v>
      </c>
      <c r="D6211" s="27" t="s">
        <v>17</v>
      </c>
      <c r="E6211" s="27" t="s">
        <v>18</v>
      </c>
      <c r="F6211" s="27" t="s">
        <v>19</v>
      </c>
      <c r="G6211" s="27" t="s">
        <v>28</v>
      </c>
      <c r="H6211" s="29">
        <v>72</v>
      </c>
      <c r="I6211" s="27" t="s">
        <v>29</v>
      </c>
      <c r="J6211" s="37">
        <v>45814</v>
      </c>
      <c r="K6211" s="27" t="s">
        <v>22</v>
      </c>
    </row>
    <row r="6212" spans="1:11" x14ac:dyDescent="0.2">
      <c r="A6212" s="24" t="s">
        <v>14687</v>
      </c>
      <c r="B6212" s="24" t="s">
        <v>14688</v>
      </c>
      <c r="C6212" s="24" t="s">
        <v>68</v>
      </c>
      <c r="D6212" s="24" t="s">
        <v>17</v>
      </c>
      <c r="E6212" s="24" t="s">
        <v>18</v>
      </c>
      <c r="F6212" s="24" t="s">
        <v>19</v>
      </c>
      <c r="G6212" s="24" t="s">
        <v>20</v>
      </c>
      <c r="H6212" s="26">
        <v>16</v>
      </c>
      <c r="I6212" s="24" t="s">
        <v>21</v>
      </c>
      <c r="J6212" s="36">
        <v>45828</v>
      </c>
      <c r="K6212" s="24" t="s">
        <v>22</v>
      </c>
    </row>
    <row r="6213" spans="1:11" x14ac:dyDescent="0.2">
      <c r="A6213" s="27" t="s">
        <v>14689</v>
      </c>
      <c r="B6213" s="27" t="s">
        <v>14690</v>
      </c>
      <c r="C6213" s="27" t="s">
        <v>134</v>
      </c>
      <c r="D6213" s="27" t="s">
        <v>17</v>
      </c>
      <c r="E6213" s="27" t="s">
        <v>18</v>
      </c>
      <c r="F6213" s="27" t="s">
        <v>19</v>
      </c>
      <c r="G6213" s="27" t="s">
        <v>28</v>
      </c>
      <c r="H6213" s="29">
        <v>72</v>
      </c>
      <c r="I6213" s="27" t="s">
        <v>29</v>
      </c>
      <c r="J6213" s="37">
        <v>45835</v>
      </c>
      <c r="K6213" s="27" t="s">
        <v>22</v>
      </c>
    </row>
    <row r="6214" spans="1:11" x14ac:dyDescent="0.2">
      <c r="A6214" s="24" t="s">
        <v>14691</v>
      </c>
      <c r="B6214" s="24" t="s">
        <v>14692</v>
      </c>
      <c r="C6214" s="24" t="s">
        <v>687</v>
      </c>
      <c r="D6214" s="24" t="s">
        <v>17</v>
      </c>
      <c r="E6214" s="24" t="s">
        <v>18</v>
      </c>
      <c r="F6214" s="24" t="s">
        <v>19</v>
      </c>
      <c r="G6214" s="24" t="s">
        <v>20</v>
      </c>
      <c r="H6214" s="26">
        <v>33</v>
      </c>
      <c r="I6214" s="24" t="s">
        <v>21</v>
      </c>
      <c r="J6214" s="36">
        <v>45817</v>
      </c>
      <c r="K6214" s="24" t="s">
        <v>22</v>
      </c>
    </row>
    <row r="6215" spans="1:11" x14ac:dyDescent="0.2">
      <c r="A6215" s="27" t="s">
        <v>14693</v>
      </c>
      <c r="B6215" s="27" t="s">
        <v>14694</v>
      </c>
      <c r="C6215" s="27" t="s">
        <v>97</v>
      </c>
      <c r="D6215" s="27" t="s">
        <v>17</v>
      </c>
      <c r="E6215" s="27" t="s">
        <v>42</v>
      </c>
      <c r="F6215" s="27" t="s">
        <v>43</v>
      </c>
      <c r="G6215" s="27" t="s">
        <v>28</v>
      </c>
      <c r="H6215" s="29">
        <v>15100</v>
      </c>
      <c r="I6215" s="27" t="s">
        <v>29</v>
      </c>
      <c r="J6215" s="37">
        <v>45812</v>
      </c>
      <c r="K6215" s="27" t="s">
        <v>22</v>
      </c>
    </row>
    <row r="6216" spans="1:11" x14ac:dyDescent="0.2">
      <c r="A6216" s="24" t="s">
        <v>14695</v>
      </c>
      <c r="B6216" s="24" t="s">
        <v>14696</v>
      </c>
      <c r="C6216" s="24" t="s">
        <v>14080</v>
      </c>
      <c r="D6216" s="24" t="s">
        <v>17</v>
      </c>
      <c r="E6216" s="24" t="s">
        <v>26</v>
      </c>
      <c r="F6216" s="24" t="s">
        <v>27</v>
      </c>
      <c r="G6216" s="24" t="s">
        <v>217</v>
      </c>
      <c r="H6216" s="26">
        <v>65</v>
      </c>
      <c r="I6216" s="24" t="s">
        <v>29</v>
      </c>
      <c r="J6216" s="36">
        <v>45820</v>
      </c>
      <c r="K6216" s="24" t="s">
        <v>22</v>
      </c>
    </row>
    <row r="6217" spans="1:11" x14ac:dyDescent="0.2">
      <c r="A6217" s="27" t="s">
        <v>14697</v>
      </c>
      <c r="B6217" s="27" t="s">
        <v>14698</v>
      </c>
      <c r="C6217" s="27" t="s">
        <v>213</v>
      </c>
      <c r="D6217" s="27" t="s">
        <v>17</v>
      </c>
      <c r="E6217" s="27" t="s">
        <v>26</v>
      </c>
      <c r="F6217" s="27" t="s">
        <v>27</v>
      </c>
      <c r="G6217" s="27" t="s">
        <v>28</v>
      </c>
      <c r="H6217" s="29">
        <v>100</v>
      </c>
      <c r="I6217" s="27" t="s">
        <v>29</v>
      </c>
      <c r="J6217" s="37">
        <v>45838</v>
      </c>
      <c r="K6217" s="27" t="s">
        <v>22</v>
      </c>
    </row>
    <row r="6218" spans="1:11" x14ac:dyDescent="0.2">
      <c r="A6218" s="24" t="s">
        <v>14699</v>
      </c>
      <c r="B6218" s="24" t="s">
        <v>14700</v>
      </c>
      <c r="C6218" s="24" t="s">
        <v>14701</v>
      </c>
      <c r="D6218" s="24" t="s">
        <v>17</v>
      </c>
      <c r="E6218" s="24" t="s">
        <v>18</v>
      </c>
      <c r="F6218" s="24" t="s">
        <v>19</v>
      </c>
      <c r="G6218" s="24" t="s">
        <v>20</v>
      </c>
      <c r="H6218" s="26">
        <v>30</v>
      </c>
      <c r="I6218" s="24" t="s">
        <v>21</v>
      </c>
      <c r="J6218" s="36">
        <v>45819</v>
      </c>
      <c r="K6218" s="24" t="s">
        <v>22</v>
      </c>
    </row>
    <row r="6219" spans="1:11" x14ac:dyDescent="0.2">
      <c r="A6219" s="27" t="s">
        <v>14702</v>
      </c>
      <c r="B6219" s="27" t="s">
        <v>14703</v>
      </c>
      <c r="C6219" s="27" t="s">
        <v>14704</v>
      </c>
      <c r="D6219" s="27" t="s">
        <v>17</v>
      </c>
      <c r="E6219" s="27" t="s">
        <v>48</v>
      </c>
      <c r="F6219" s="27" t="s">
        <v>49</v>
      </c>
      <c r="G6219" s="27" t="s">
        <v>28</v>
      </c>
      <c r="H6219" s="29">
        <v>60</v>
      </c>
      <c r="I6219" s="27" t="s">
        <v>29</v>
      </c>
      <c r="J6219" s="37">
        <v>45838</v>
      </c>
      <c r="K6219" s="27" t="s">
        <v>22</v>
      </c>
    </row>
    <row r="6220" spans="1:11" x14ac:dyDescent="0.2">
      <c r="A6220" s="24" t="s">
        <v>14705</v>
      </c>
      <c r="B6220" s="24" t="s">
        <v>14706</v>
      </c>
      <c r="C6220" s="24" t="s">
        <v>1030</v>
      </c>
      <c r="D6220" s="24" t="s">
        <v>17</v>
      </c>
      <c r="E6220" s="24" t="s">
        <v>18</v>
      </c>
      <c r="F6220" s="24" t="s">
        <v>19</v>
      </c>
      <c r="G6220" s="24" t="s">
        <v>20</v>
      </c>
      <c r="H6220" s="26">
        <v>45</v>
      </c>
      <c r="I6220" s="24" t="s">
        <v>21</v>
      </c>
      <c r="J6220" s="36">
        <v>45825</v>
      </c>
      <c r="K6220" s="24" t="s">
        <v>22</v>
      </c>
    </row>
    <row r="6221" spans="1:11" x14ac:dyDescent="0.2">
      <c r="A6221" s="27" t="s">
        <v>14707</v>
      </c>
      <c r="B6221" s="27" t="s">
        <v>14708</v>
      </c>
      <c r="C6221" s="27" t="s">
        <v>213</v>
      </c>
      <c r="D6221" s="27" t="s">
        <v>17</v>
      </c>
      <c r="E6221" s="27" t="s">
        <v>18</v>
      </c>
      <c r="F6221" s="27" t="s">
        <v>19</v>
      </c>
      <c r="G6221" s="27" t="s">
        <v>28</v>
      </c>
      <c r="H6221" s="29">
        <v>372</v>
      </c>
      <c r="I6221" s="27" t="s">
        <v>29</v>
      </c>
      <c r="J6221" s="37">
        <v>45860</v>
      </c>
      <c r="K6221" s="27" t="s">
        <v>22</v>
      </c>
    </row>
    <row r="6222" spans="1:11" x14ac:dyDescent="0.2">
      <c r="A6222" s="24" t="s">
        <v>14709</v>
      </c>
      <c r="B6222" s="24" t="s">
        <v>14710</v>
      </c>
      <c r="C6222" s="24" t="s">
        <v>14711</v>
      </c>
      <c r="D6222" s="24" t="s">
        <v>17</v>
      </c>
      <c r="E6222" s="24" t="s">
        <v>81</v>
      </c>
      <c r="F6222" s="24" t="s">
        <v>82</v>
      </c>
      <c r="G6222" s="24" t="s">
        <v>217</v>
      </c>
      <c r="H6222" s="26">
        <v>150</v>
      </c>
      <c r="I6222" s="24" t="s">
        <v>29</v>
      </c>
      <c r="J6222" s="36">
        <v>45854</v>
      </c>
      <c r="K6222" s="24" t="s">
        <v>22</v>
      </c>
    </row>
    <row r="6223" spans="1:11" x14ac:dyDescent="0.2">
      <c r="A6223" s="27" t="s">
        <v>14712</v>
      </c>
      <c r="B6223" s="27" t="s">
        <v>14713</v>
      </c>
      <c r="C6223" s="27" t="s">
        <v>14714</v>
      </c>
      <c r="D6223" s="27" t="s">
        <v>17</v>
      </c>
      <c r="E6223" s="27" t="s">
        <v>48</v>
      </c>
      <c r="F6223" s="27" t="s">
        <v>49</v>
      </c>
      <c r="G6223" s="27" t="s">
        <v>28</v>
      </c>
      <c r="H6223" s="29">
        <v>100</v>
      </c>
      <c r="I6223" s="27" t="s">
        <v>29</v>
      </c>
      <c r="J6223" s="37">
        <v>45849</v>
      </c>
      <c r="K6223" s="27" t="s">
        <v>22</v>
      </c>
    </row>
    <row r="6224" spans="1:11" x14ac:dyDescent="0.2">
      <c r="A6224" s="24" t="s">
        <v>14715</v>
      </c>
      <c r="B6224" s="24" t="s">
        <v>14716</v>
      </c>
      <c r="C6224" s="24" t="s">
        <v>2638</v>
      </c>
      <c r="D6224" s="24" t="s">
        <v>17</v>
      </c>
      <c r="E6224" s="24" t="s">
        <v>26</v>
      </c>
      <c r="F6224" s="24" t="s">
        <v>27</v>
      </c>
      <c r="G6224" s="24" t="s">
        <v>28</v>
      </c>
      <c r="H6224" s="26">
        <v>20</v>
      </c>
      <c r="I6224" s="24" t="s">
        <v>29</v>
      </c>
      <c r="J6224" s="36">
        <v>45841</v>
      </c>
      <c r="K6224" s="24" t="s">
        <v>22</v>
      </c>
    </row>
    <row r="6225" spans="1:11" x14ac:dyDescent="0.2">
      <c r="A6225" s="27" t="s">
        <v>14717</v>
      </c>
      <c r="B6225" s="27" t="s">
        <v>14718</v>
      </c>
      <c r="C6225" s="27" t="s">
        <v>5347</v>
      </c>
      <c r="D6225" s="27" t="s">
        <v>17</v>
      </c>
      <c r="E6225" s="27" t="s">
        <v>33</v>
      </c>
      <c r="F6225" s="27" t="s">
        <v>34</v>
      </c>
      <c r="G6225" s="27" t="s">
        <v>28</v>
      </c>
      <c r="H6225" s="29">
        <v>165</v>
      </c>
      <c r="I6225" s="27" t="s">
        <v>29</v>
      </c>
      <c r="J6225" s="37">
        <v>45863</v>
      </c>
      <c r="K6225" s="27" t="s">
        <v>22</v>
      </c>
    </row>
    <row r="6226" spans="1:11" x14ac:dyDescent="0.2">
      <c r="A6226" s="24" t="s">
        <v>14719</v>
      </c>
      <c r="B6226" s="24" t="s">
        <v>14720</v>
      </c>
      <c r="C6226" s="24" t="s">
        <v>792</v>
      </c>
      <c r="D6226" s="24" t="s">
        <v>17</v>
      </c>
      <c r="E6226" s="24" t="s">
        <v>48</v>
      </c>
      <c r="F6226" s="24" t="s">
        <v>49</v>
      </c>
      <c r="G6226" s="24" t="s">
        <v>28</v>
      </c>
      <c r="H6226" s="26">
        <v>130</v>
      </c>
      <c r="I6226" s="24" t="s">
        <v>29</v>
      </c>
      <c r="J6226" s="36">
        <v>45856</v>
      </c>
      <c r="K6226" s="24" t="s">
        <v>22</v>
      </c>
    </row>
    <row r="6227" spans="1:11" x14ac:dyDescent="0.2">
      <c r="A6227" s="27" t="s">
        <v>14721</v>
      </c>
      <c r="B6227" s="27" t="s">
        <v>14722</v>
      </c>
      <c r="C6227" s="27" t="s">
        <v>1227</v>
      </c>
      <c r="D6227" s="27" t="s">
        <v>17</v>
      </c>
      <c r="E6227" s="27" t="s">
        <v>48</v>
      </c>
      <c r="F6227" s="27" t="s">
        <v>49</v>
      </c>
      <c r="G6227" s="27" t="s">
        <v>28</v>
      </c>
      <c r="H6227" s="29">
        <v>90</v>
      </c>
      <c r="I6227" s="27" t="s">
        <v>29</v>
      </c>
      <c r="J6227" s="37">
        <v>45840</v>
      </c>
      <c r="K6227" s="27" t="s">
        <v>22</v>
      </c>
    </row>
    <row r="6228" spans="1:11" x14ac:dyDescent="0.2">
      <c r="A6228" s="24" t="s">
        <v>14723</v>
      </c>
      <c r="B6228" s="24" t="s">
        <v>14724</v>
      </c>
      <c r="C6228" s="24" t="s">
        <v>55</v>
      </c>
      <c r="D6228" s="24" t="s">
        <v>17</v>
      </c>
      <c r="E6228" s="24" t="s">
        <v>26</v>
      </c>
      <c r="F6228" s="24" t="s">
        <v>27</v>
      </c>
      <c r="G6228" s="24" t="s">
        <v>28</v>
      </c>
      <c r="H6228" s="26">
        <v>360</v>
      </c>
      <c r="I6228" s="24" t="s">
        <v>29</v>
      </c>
      <c r="J6228" s="36">
        <v>45841</v>
      </c>
      <c r="K6228" s="24" t="s">
        <v>22</v>
      </c>
    </row>
    <row r="6229" spans="1:11" x14ac:dyDescent="0.2">
      <c r="A6229" s="27" t="s">
        <v>14725</v>
      </c>
      <c r="B6229" s="27" t="s">
        <v>14726</v>
      </c>
      <c r="C6229" s="27" t="s">
        <v>14727</v>
      </c>
      <c r="D6229" s="27" t="s">
        <v>17</v>
      </c>
      <c r="E6229" s="27" t="s">
        <v>26</v>
      </c>
      <c r="F6229" s="27" t="s">
        <v>27</v>
      </c>
      <c r="G6229" s="27" t="s">
        <v>28</v>
      </c>
      <c r="H6229" s="29">
        <v>198</v>
      </c>
      <c r="I6229" s="27" t="s">
        <v>29</v>
      </c>
      <c r="J6229" s="37">
        <v>45839</v>
      </c>
      <c r="K6229" s="27" t="s">
        <v>22</v>
      </c>
    </row>
    <row r="6230" spans="1:11" x14ac:dyDescent="0.2">
      <c r="A6230" s="24" t="s">
        <v>14728</v>
      </c>
      <c r="B6230" s="24" t="s">
        <v>14729</v>
      </c>
      <c r="C6230" s="24" t="s">
        <v>7864</v>
      </c>
      <c r="D6230" s="24" t="s">
        <v>17</v>
      </c>
      <c r="E6230" s="24" t="s">
        <v>42</v>
      </c>
      <c r="F6230" s="24" t="s">
        <v>43</v>
      </c>
      <c r="G6230" s="24" t="s">
        <v>28</v>
      </c>
      <c r="H6230" s="26">
        <v>477</v>
      </c>
      <c r="I6230" s="24" t="s">
        <v>29</v>
      </c>
      <c r="J6230" s="36">
        <v>45842</v>
      </c>
      <c r="K6230" s="24" t="s">
        <v>22</v>
      </c>
    </row>
    <row r="6231" spans="1:11" x14ac:dyDescent="0.2">
      <c r="A6231" s="27" t="s">
        <v>14730</v>
      </c>
      <c r="B6231" s="27" t="s">
        <v>14731</v>
      </c>
      <c r="C6231" s="27" t="s">
        <v>1635</v>
      </c>
      <c r="D6231" s="27" t="s">
        <v>17</v>
      </c>
      <c r="E6231" s="27" t="s">
        <v>48</v>
      </c>
      <c r="F6231" s="27" t="s">
        <v>49</v>
      </c>
      <c r="G6231" s="27" t="s">
        <v>28</v>
      </c>
      <c r="H6231" s="29">
        <v>666</v>
      </c>
      <c r="I6231" s="27" t="s">
        <v>29</v>
      </c>
      <c r="J6231" s="37">
        <v>45840</v>
      </c>
      <c r="K6231" s="27" t="s">
        <v>22</v>
      </c>
    </row>
    <row r="6232" spans="1:11" x14ac:dyDescent="0.2">
      <c r="A6232" s="24" t="s">
        <v>14732</v>
      </c>
      <c r="B6232" s="24" t="s">
        <v>14733</v>
      </c>
      <c r="C6232" s="24" t="s">
        <v>915</v>
      </c>
      <c r="D6232" s="24" t="s">
        <v>17</v>
      </c>
      <c r="E6232" s="24" t="s">
        <v>42</v>
      </c>
      <c r="F6232" s="24" t="s">
        <v>43</v>
      </c>
      <c r="G6232" s="24" t="s">
        <v>44</v>
      </c>
      <c r="H6232" s="26">
        <v>30</v>
      </c>
      <c r="I6232" s="24" t="s">
        <v>29</v>
      </c>
      <c r="J6232" s="36">
        <v>45861</v>
      </c>
      <c r="K6232" s="24" t="s">
        <v>22</v>
      </c>
    </row>
    <row r="6233" spans="1:11" x14ac:dyDescent="0.2">
      <c r="A6233" s="27" t="s">
        <v>14734</v>
      </c>
      <c r="B6233" s="27" t="s">
        <v>14735</v>
      </c>
      <c r="C6233" s="27" t="s">
        <v>3878</v>
      </c>
      <c r="D6233" s="27" t="s">
        <v>17</v>
      </c>
      <c r="E6233" s="27" t="s">
        <v>42</v>
      </c>
      <c r="F6233" s="27" t="s">
        <v>43</v>
      </c>
      <c r="G6233" s="27" t="s">
        <v>227</v>
      </c>
      <c r="H6233" s="29">
        <v>468</v>
      </c>
      <c r="I6233" s="27" t="s">
        <v>29</v>
      </c>
      <c r="J6233" s="37">
        <v>45856</v>
      </c>
      <c r="K6233" s="27" t="s">
        <v>22</v>
      </c>
    </row>
    <row r="6234" spans="1:11" x14ac:dyDescent="0.2">
      <c r="A6234" s="24" t="s">
        <v>14736</v>
      </c>
      <c r="B6234" s="24" t="s">
        <v>14737</v>
      </c>
      <c r="C6234" s="24" t="s">
        <v>10303</v>
      </c>
      <c r="D6234" s="24" t="s">
        <v>17</v>
      </c>
      <c r="E6234" s="24" t="s">
        <v>18</v>
      </c>
      <c r="F6234" s="24" t="s">
        <v>19</v>
      </c>
      <c r="G6234" s="24" t="s">
        <v>28</v>
      </c>
      <c r="H6234" s="26">
        <v>15</v>
      </c>
      <c r="I6234" s="24" t="s">
        <v>29</v>
      </c>
      <c r="J6234" s="36">
        <v>45863</v>
      </c>
      <c r="K6234" s="24" t="s">
        <v>22</v>
      </c>
    </row>
    <row r="6235" spans="1:11" x14ac:dyDescent="0.2">
      <c r="A6235" s="27" t="s">
        <v>14738</v>
      </c>
      <c r="B6235" s="27" t="s">
        <v>14739</v>
      </c>
      <c r="C6235" s="27" t="s">
        <v>5106</v>
      </c>
      <c r="D6235" s="27" t="s">
        <v>17</v>
      </c>
      <c r="E6235" s="27" t="s">
        <v>42</v>
      </c>
      <c r="F6235" s="27" t="s">
        <v>43</v>
      </c>
      <c r="G6235" s="27" t="s">
        <v>28</v>
      </c>
      <c r="H6235" s="29">
        <v>552</v>
      </c>
      <c r="I6235" s="27" t="s">
        <v>29</v>
      </c>
      <c r="J6235" s="37">
        <v>45863</v>
      </c>
      <c r="K6235" s="27" t="s">
        <v>22</v>
      </c>
    </row>
    <row r="6236" spans="1:11" x14ac:dyDescent="0.2">
      <c r="A6236" s="24" t="s">
        <v>14740</v>
      </c>
      <c r="B6236" s="24" t="s">
        <v>14741</v>
      </c>
      <c r="C6236" s="24" t="s">
        <v>13131</v>
      </c>
      <c r="D6236" s="24" t="s">
        <v>17</v>
      </c>
      <c r="E6236" s="24" t="s">
        <v>48</v>
      </c>
      <c r="F6236" s="24" t="s">
        <v>49</v>
      </c>
      <c r="G6236" s="24" t="s">
        <v>28</v>
      </c>
      <c r="H6236" s="26">
        <v>42</v>
      </c>
      <c r="I6236" s="24" t="s">
        <v>29</v>
      </c>
      <c r="J6236" s="36">
        <v>45847</v>
      </c>
      <c r="K6236" s="24" t="s">
        <v>22</v>
      </c>
    </row>
    <row r="6237" spans="1:11" x14ac:dyDescent="0.2">
      <c r="A6237" s="27" t="s">
        <v>14742</v>
      </c>
      <c r="B6237" s="27" t="s">
        <v>14743</v>
      </c>
      <c r="C6237" s="27" t="s">
        <v>1883</v>
      </c>
      <c r="D6237" s="27" t="s">
        <v>17</v>
      </c>
      <c r="E6237" s="27" t="s">
        <v>26</v>
      </c>
      <c r="F6237" s="27" t="s">
        <v>27</v>
      </c>
      <c r="G6237" s="27" t="s">
        <v>28</v>
      </c>
      <c r="H6237" s="29">
        <v>97</v>
      </c>
      <c r="I6237" s="27" t="s">
        <v>29</v>
      </c>
      <c r="J6237" s="37">
        <v>45868</v>
      </c>
      <c r="K6237" s="27" t="s">
        <v>22</v>
      </c>
    </row>
    <row r="6238" spans="1:11" x14ac:dyDescent="0.2">
      <c r="A6238" s="24" t="s">
        <v>14744</v>
      </c>
      <c r="B6238" s="24" t="s">
        <v>14745</v>
      </c>
      <c r="C6238" s="24" t="s">
        <v>9208</v>
      </c>
      <c r="D6238" s="24" t="s">
        <v>17</v>
      </c>
      <c r="E6238" s="24" t="s">
        <v>48</v>
      </c>
      <c r="F6238" s="24" t="s">
        <v>49</v>
      </c>
      <c r="G6238" s="24" t="s">
        <v>28</v>
      </c>
      <c r="H6238" s="26">
        <v>200</v>
      </c>
      <c r="I6238" s="24" t="s">
        <v>29</v>
      </c>
      <c r="J6238" s="36">
        <v>45845</v>
      </c>
      <c r="K6238" s="24" t="s">
        <v>22</v>
      </c>
    </row>
    <row r="6239" spans="1:11" x14ac:dyDescent="0.2">
      <c r="A6239" s="27" t="s">
        <v>14746</v>
      </c>
      <c r="B6239" s="27" t="s">
        <v>14747</v>
      </c>
      <c r="C6239" s="27" t="s">
        <v>14748</v>
      </c>
      <c r="D6239" s="27" t="s">
        <v>17</v>
      </c>
      <c r="E6239" s="27" t="s">
        <v>48</v>
      </c>
      <c r="F6239" s="27" t="s">
        <v>49</v>
      </c>
      <c r="G6239" s="27" t="s">
        <v>20</v>
      </c>
      <c r="H6239" s="29">
        <v>24</v>
      </c>
      <c r="I6239" s="27" t="s">
        <v>21</v>
      </c>
      <c r="J6239" s="37">
        <v>45849</v>
      </c>
      <c r="K6239" s="27" t="s">
        <v>22</v>
      </c>
    </row>
    <row r="6240" spans="1:11" x14ac:dyDescent="0.2">
      <c r="A6240" s="24" t="s">
        <v>14749</v>
      </c>
      <c r="B6240" s="24" t="s">
        <v>14750</v>
      </c>
      <c r="C6240" s="24" t="s">
        <v>14751</v>
      </c>
      <c r="D6240" s="24" t="s">
        <v>17</v>
      </c>
      <c r="E6240" s="24" t="s">
        <v>18</v>
      </c>
      <c r="F6240" s="24" t="s">
        <v>19</v>
      </c>
      <c r="G6240" s="24" t="s">
        <v>28</v>
      </c>
      <c r="H6240" s="26">
        <v>110</v>
      </c>
      <c r="I6240" s="24" t="s">
        <v>29</v>
      </c>
      <c r="J6240" s="36">
        <v>45853</v>
      </c>
      <c r="K6240" s="24" t="s">
        <v>22</v>
      </c>
    </row>
    <row r="6241" spans="1:11" x14ac:dyDescent="0.2">
      <c r="A6241" s="27" t="s">
        <v>14752</v>
      </c>
      <c r="B6241" s="27" t="s">
        <v>14753</v>
      </c>
      <c r="C6241" s="27" t="s">
        <v>494</v>
      </c>
      <c r="D6241" s="27" t="s">
        <v>17</v>
      </c>
      <c r="E6241" s="27" t="s">
        <v>48</v>
      </c>
      <c r="F6241" s="27" t="s">
        <v>49</v>
      </c>
      <c r="G6241" s="27" t="s">
        <v>116</v>
      </c>
      <c r="H6241" s="29">
        <v>0</v>
      </c>
      <c r="I6241" s="27" t="s">
        <v>21</v>
      </c>
      <c r="J6241" s="37">
        <v>45847</v>
      </c>
      <c r="K6241" s="27" t="s">
        <v>22</v>
      </c>
    </row>
    <row r="6242" spans="1:11" x14ac:dyDescent="0.2">
      <c r="A6242" s="24" t="s">
        <v>14754</v>
      </c>
      <c r="B6242" s="24" t="s">
        <v>14755</v>
      </c>
      <c r="C6242" s="24" t="s">
        <v>1523</v>
      </c>
      <c r="D6242" s="24" t="s">
        <v>17</v>
      </c>
      <c r="E6242" s="24" t="s">
        <v>48</v>
      </c>
      <c r="F6242" s="24" t="s">
        <v>49</v>
      </c>
      <c r="G6242" s="24" t="s">
        <v>28</v>
      </c>
      <c r="H6242" s="26">
        <v>90</v>
      </c>
      <c r="I6242" s="24" t="s">
        <v>29</v>
      </c>
      <c r="J6242" s="36">
        <v>45863</v>
      </c>
      <c r="K6242" s="24" t="s">
        <v>22</v>
      </c>
    </row>
    <row r="6243" spans="1:11" x14ac:dyDescent="0.2">
      <c r="A6243" s="27" t="s">
        <v>14756</v>
      </c>
      <c r="B6243" s="27" t="s">
        <v>14757</v>
      </c>
      <c r="C6243" s="27" t="s">
        <v>14758</v>
      </c>
      <c r="D6243" s="27" t="s">
        <v>17</v>
      </c>
      <c r="E6243" s="27" t="s">
        <v>18</v>
      </c>
      <c r="F6243" s="27" t="s">
        <v>19</v>
      </c>
      <c r="G6243" s="27" t="s">
        <v>28</v>
      </c>
      <c r="H6243" s="29">
        <v>12</v>
      </c>
      <c r="I6243" s="27" t="s">
        <v>29</v>
      </c>
      <c r="J6243" s="37">
        <v>45860</v>
      </c>
      <c r="K6243" s="27" t="s">
        <v>22</v>
      </c>
    </row>
    <row r="6244" spans="1:11" x14ac:dyDescent="0.2">
      <c r="A6244" s="24" t="s">
        <v>14759</v>
      </c>
      <c r="B6244" s="24" t="s">
        <v>14760</v>
      </c>
      <c r="C6244" s="24" t="s">
        <v>437</v>
      </c>
      <c r="D6244" s="24" t="s">
        <v>17</v>
      </c>
      <c r="E6244" s="24" t="s">
        <v>48</v>
      </c>
      <c r="F6244" s="24" t="s">
        <v>49</v>
      </c>
      <c r="G6244" s="24" t="s">
        <v>28</v>
      </c>
      <c r="H6244" s="26">
        <v>220</v>
      </c>
      <c r="I6244" s="24" t="s">
        <v>29</v>
      </c>
      <c r="J6244" s="36">
        <v>45854</v>
      </c>
      <c r="K6244" s="24" t="s">
        <v>22</v>
      </c>
    </row>
    <row r="6245" spans="1:11" x14ac:dyDescent="0.2">
      <c r="A6245" s="27" t="s">
        <v>14761</v>
      </c>
      <c r="B6245" s="27" t="s">
        <v>14762</v>
      </c>
      <c r="C6245" s="27" t="s">
        <v>14763</v>
      </c>
      <c r="D6245" s="27" t="s">
        <v>17</v>
      </c>
      <c r="E6245" s="27" t="s">
        <v>26</v>
      </c>
      <c r="F6245" s="27" t="s">
        <v>27</v>
      </c>
      <c r="G6245" s="27" t="s">
        <v>28</v>
      </c>
      <c r="H6245" s="29">
        <v>86</v>
      </c>
      <c r="I6245" s="27" t="s">
        <v>29</v>
      </c>
      <c r="J6245" s="37">
        <v>45848</v>
      </c>
      <c r="K6245" s="27" t="s">
        <v>22</v>
      </c>
    </row>
    <row r="6246" spans="1:11" x14ac:dyDescent="0.2">
      <c r="A6246" s="24" t="s">
        <v>14764</v>
      </c>
      <c r="B6246" s="24" t="s">
        <v>14765</v>
      </c>
      <c r="C6246" s="24" t="s">
        <v>1199</v>
      </c>
      <c r="D6246" s="24" t="s">
        <v>17</v>
      </c>
      <c r="E6246" s="24" t="s">
        <v>18</v>
      </c>
      <c r="F6246" s="24" t="s">
        <v>19</v>
      </c>
      <c r="G6246" s="24" t="s">
        <v>28</v>
      </c>
      <c r="H6246" s="26">
        <v>102</v>
      </c>
      <c r="I6246" s="24" t="s">
        <v>29</v>
      </c>
      <c r="J6246" s="36">
        <v>45860</v>
      </c>
      <c r="K6246" s="24" t="s">
        <v>22</v>
      </c>
    </row>
    <row r="6247" spans="1:11" x14ac:dyDescent="0.2">
      <c r="A6247" s="27" t="s">
        <v>14766</v>
      </c>
      <c r="B6247" s="27" t="s">
        <v>14767</v>
      </c>
      <c r="C6247" s="27" t="s">
        <v>14768</v>
      </c>
      <c r="D6247" s="27" t="s">
        <v>17</v>
      </c>
      <c r="E6247" s="27" t="s">
        <v>163</v>
      </c>
      <c r="F6247" s="27" t="s">
        <v>164</v>
      </c>
      <c r="G6247" s="27" t="s">
        <v>28</v>
      </c>
      <c r="H6247" s="29">
        <v>32</v>
      </c>
      <c r="I6247" s="27" t="s">
        <v>29</v>
      </c>
      <c r="J6247" s="37">
        <v>45852</v>
      </c>
      <c r="K6247" s="27" t="s">
        <v>22</v>
      </c>
    </row>
    <row r="6248" spans="1:11" x14ac:dyDescent="0.2">
      <c r="A6248" s="24" t="s">
        <v>14769</v>
      </c>
      <c r="B6248" s="24" t="s">
        <v>14770</v>
      </c>
      <c r="C6248" s="24" t="s">
        <v>14771</v>
      </c>
      <c r="D6248" s="24" t="s">
        <v>17</v>
      </c>
      <c r="E6248" s="24" t="s">
        <v>26</v>
      </c>
      <c r="F6248" s="24" t="s">
        <v>27</v>
      </c>
      <c r="G6248" s="24" t="s">
        <v>217</v>
      </c>
      <c r="H6248" s="26">
        <v>20</v>
      </c>
      <c r="I6248" s="24" t="s">
        <v>29</v>
      </c>
      <c r="J6248" s="36">
        <v>45839</v>
      </c>
      <c r="K6248" s="24" t="s">
        <v>22</v>
      </c>
    </row>
    <row r="6249" spans="1:11" x14ac:dyDescent="0.2">
      <c r="A6249" s="27" t="s">
        <v>14772</v>
      </c>
      <c r="B6249" s="27" t="s">
        <v>14773</v>
      </c>
      <c r="C6249" s="27" t="s">
        <v>14774</v>
      </c>
      <c r="D6249" s="27" t="s">
        <v>17</v>
      </c>
      <c r="E6249" s="27" t="s">
        <v>26</v>
      </c>
      <c r="F6249" s="27" t="s">
        <v>27</v>
      </c>
      <c r="G6249" s="27" t="s">
        <v>28</v>
      </c>
      <c r="H6249" s="29">
        <v>12</v>
      </c>
      <c r="I6249" s="27" t="s">
        <v>29</v>
      </c>
      <c r="J6249" s="37">
        <v>45855</v>
      </c>
      <c r="K6249" s="27" t="s">
        <v>22</v>
      </c>
    </row>
    <row r="6250" spans="1:11" x14ac:dyDescent="0.2">
      <c r="A6250" s="24" t="s">
        <v>14775</v>
      </c>
      <c r="B6250" s="24" t="s">
        <v>14776</v>
      </c>
      <c r="C6250" s="24" t="s">
        <v>208</v>
      </c>
      <c r="D6250" s="24" t="s">
        <v>17</v>
      </c>
      <c r="E6250" s="24" t="s">
        <v>18</v>
      </c>
      <c r="F6250" s="24" t="s">
        <v>19</v>
      </c>
      <c r="G6250" s="24" t="s">
        <v>44</v>
      </c>
      <c r="H6250" s="26">
        <v>240</v>
      </c>
      <c r="I6250" s="24" t="s">
        <v>21</v>
      </c>
      <c r="J6250" s="36">
        <v>45852</v>
      </c>
      <c r="K6250" s="24" t="s">
        <v>22</v>
      </c>
    </row>
    <row r="6251" spans="1:11" x14ac:dyDescent="0.2">
      <c r="A6251" s="27" t="s">
        <v>14777</v>
      </c>
      <c r="B6251" s="27" t="s">
        <v>14778</v>
      </c>
      <c r="C6251" s="27" t="s">
        <v>146</v>
      </c>
      <c r="D6251" s="27" t="s">
        <v>17</v>
      </c>
      <c r="E6251" s="27" t="s">
        <v>42</v>
      </c>
      <c r="F6251" s="27" t="s">
        <v>43</v>
      </c>
      <c r="G6251" s="27" t="s">
        <v>28</v>
      </c>
      <c r="H6251" s="29">
        <v>150</v>
      </c>
      <c r="I6251" s="27" t="s">
        <v>29</v>
      </c>
      <c r="J6251" s="37">
        <v>45849</v>
      </c>
      <c r="K6251" s="27" t="s">
        <v>22</v>
      </c>
    </row>
    <row r="6252" spans="1:11" x14ac:dyDescent="0.2">
      <c r="A6252" s="24" t="s">
        <v>14779</v>
      </c>
      <c r="B6252" s="24" t="s">
        <v>14780</v>
      </c>
      <c r="C6252" s="24" t="s">
        <v>1470</v>
      </c>
      <c r="D6252" s="24" t="s">
        <v>17</v>
      </c>
      <c r="E6252" s="24" t="s">
        <v>18</v>
      </c>
      <c r="F6252" s="24" t="s">
        <v>19</v>
      </c>
      <c r="G6252" s="24" t="s">
        <v>217</v>
      </c>
      <c r="H6252" s="26">
        <v>70</v>
      </c>
      <c r="I6252" s="24" t="s">
        <v>29</v>
      </c>
      <c r="J6252" s="36">
        <v>45839</v>
      </c>
      <c r="K6252" s="24" t="s">
        <v>22</v>
      </c>
    </row>
    <row r="6253" spans="1:11" x14ac:dyDescent="0.2">
      <c r="A6253" s="27" t="s">
        <v>14781</v>
      </c>
      <c r="B6253" s="27" t="s">
        <v>14782</v>
      </c>
      <c r="C6253" s="27" t="s">
        <v>1110</v>
      </c>
      <c r="D6253" s="27" t="s">
        <v>17</v>
      </c>
      <c r="E6253" s="27" t="s">
        <v>18</v>
      </c>
      <c r="F6253" s="27" t="s">
        <v>19</v>
      </c>
      <c r="G6253" s="27" t="s">
        <v>28</v>
      </c>
      <c r="H6253" s="29">
        <v>132</v>
      </c>
      <c r="I6253" s="27" t="s">
        <v>29</v>
      </c>
      <c r="J6253" s="37">
        <v>45854</v>
      </c>
      <c r="K6253" s="27" t="s">
        <v>22</v>
      </c>
    </row>
    <row r="6254" spans="1:11" x14ac:dyDescent="0.2">
      <c r="A6254" s="24" t="s">
        <v>14783</v>
      </c>
      <c r="B6254" s="24" t="s">
        <v>14784</v>
      </c>
      <c r="C6254" s="24" t="s">
        <v>14785</v>
      </c>
      <c r="D6254" s="24" t="s">
        <v>17</v>
      </c>
      <c r="E6254" s="24" t="s">
        <v>26</v>
      </c>
      <c r="F6254" s="24" t="s">
        <v>27</v>
      </c>
      <c r="G6254" s="24" t="s">
        <v>28</v>
      </c>
      <c r="H6254" s="26">
        <v>45</v>
      </c>
      <c r="I6254" s="24" t="s">
        <v>29</v>
      </c>
      <c r="J6254" s="36">
        <v>45855</v>
      </c>
      <c r="K6254" s="24" t="s">
        <v>22</v>
      </c>
    </row>
    <row r="6255" spans="1:11" x14ac:dyDescent="0.2">
      <c r="A6255" s="27" t="s">
        <v>14786</v>
      </c>
      <c r="B6255" s="27" t="s">
        <v>14787</v>
      </c>
      <c r="C6255" s="27" t="s">
        <v>14788</v>
      </c>
      <c r="D6255" s="27" t="s">
        <v>17</v>
      </c>
      <c r="E6255" s="27" t="s">
        <v>18</v>
      </c>
      <c r="F6255" s="27" t="s">
        <v>19</v>
      </c>
      <c r="G6255" s="27" t="s">
        <v>28</v>
      </c>
      <c r="H6255" s="29">
        <v>405</v>
      </c>
      <c r="I6255" s="27" t="s">
        <v>29</v>
      </c>
      <c r="J6255" s="37">
        <v>45863</v>
      </c>
      <c r="K6255" s="27" t="s">
        <v>22</v>
      </c>
    </row>
    <row r="6256" spans="1:11" x14ac:dyDescent="0.2">
      <c r="A6256" s="24" t="s">
        <v>14789</v>
      </c>
      <c r="B6256" s="24" t="s">
        <v>14790</v>
      </c>
      <c r="C6256" s="24" t="s">
        <v>2953</v>
      </c>
      <c r="D6256" s="24" t="s">
        <v>17</v>
      </c>
      <c r="E6256" s="24" t="s">
        <v>48</v>
      </c>
      <c r="F6256" s="24" t="s">
        <v>49</v>
      </c>
      <c r="G6256" s="24" t="s">
        <v>28</v>
      </c>
      <c r="H6256" s="26">
        <v>200</v>
      </c>
      <c r="I6256" s="24" t="s">
        <v>29</v>
      </c>
      <c r="J6256" s="36">
        <v>45853</v>
      </c>
      <c r="K6256" s="24" t="s">
        <v>22</v>
      </c>
    </row>
    <row r="6257" spans="1:11" x14ac:dyDescent="0.2">
      <c r="A6257" s="27" t="s">
        <v>14791</v>
      </c>
      <c r="B6257" s="27" t="s">
        <v>14792</v>
      </c>
      <c r="C6257" s="27" t="s">
        <v>6591</v>
      </c>
      <c r="D6257" s="27" t="s">
        <v>17</v>
      </c>
      <c r="E6257" s="27" t="s">
        <v>48</v>
      </c>
      <c r="F6257" s="27" t="s">
        <v>49</v>
      </c>
      <c r="G6257" s="27" t="s">
        <v>217</v>
      </c>
      <c r="H6257" s="29">
        <v>10</v>
      </c>
      <c r="I6257" s="27" t="s">
        <v>29</v>
      </c>
      <c r="J6257" s="37">
        <v>45839</v>
      </c>
      <c r="K6257" s="27" t="s">
        <v>22</v>
      </c>
    </row>
    <row r="6258" spans="1:11" x14ac:dyDescent="0.2">
      <c r="A6258" s="24" t="s">
        <v>14793</v>
      </c>
      <c r="B6258" s="24" t="s">
        <v>14794</v>
      </c>
      <c r="C6258" s="24" t="s">
        <v>14795</v>
      </c>
      <c r="D6258" s="24" t="s">
        <v>17</v>
      </c>
      <c r="E6258" s="24" t="s">
        <v>18</v>
      </c>
      <c r="F6258" s="24" t="s">
        <v>19</v>
      </c>
      <c r="G6258" s="24" t="s">
        <v>28</v>
      </c>
      <c r="H6258" s="26">
        <v>12</v>
      </c>
      <c r="I6258" s="24" t="s">
        <v>29</v>
      </c>
      <c r="J6258" s="36">
        <v>45853</v>
      </c>
      <c r="K6258" s="24" t="s">
        <v>22</v>
      </c>
    </row>
    <row r="6259" spans="1:11" x14ac:dyDescent="0.2">
      <c r="A6259" s="27" t="s">
        <v>14796</v>
      </c>
      <c r="B6259" s="27" t="s">
        <v>14797</v>
      </c>
      <c r="C6259" s="27" t="s">
        <v>14798</v>
      </c>
      <c r="D6259" s="27" t="s">
        <v>17</v>
      </c>
      <c r="E6259" s="27" t="s">
        <v>26</v>
      </c>
      <c r="F6259" s="27" t="s">
        <v>27</v>
      </c>
      <c r="G6259" s="27" t="s">
        <v>28</v>
      </c>
      <c r="H6259" s="29">
        <v>76</v>
      </c>
      <c r="I6259" s="27" t="s">
        <v>29</v>
      </c>
      <c r="J6259" s="37">
        <v>45868</v>
      </c>
      <c r="K6259" s="27" t="s">
        <v>22</v>
      </c>
    </row>
    <row r="6260" spans="1:11" x14ac:dyDescent="0.2">
      <c r="A6260" s="24" t="s">
        <v>14799</v>
      </c>
      <c r="B6260" s="24" t="s">
        <v>14800</v>
      </c>
      <c r="C6260" s="24" t="s">
        <v>14801</v>
      </c>
      <c r="D6260" s="24" t="s">
        <v>17</v>
      </c>
      <c r="E6260" s="24" t="s">
        <v>48</v>
      </c>
      <c r="F6260" s="24" t="s">
        <v>49</v>
      </c>
      <c r="G6260" s="24" t="s">
        <v>28</v>
      </c>
      <c r="H6260" s="26">
        <v>136</v>
      </c>
      <c r="I6260" s="24" t="s">
        <v>29</v>
      </c>
      <c r="J6260" s="36">
        <v>45862</v>
      </c>
      <c r="K6260" s="24" t="s">
        <v>22</v>
      </c>
    </row>
    <row r="6261" spans="1:11" x14ac:dyDescent="0.2">
      <c r="A6261" s="27" t="s">
        <v>14802</v>
      </c>
      <c r="B6261" s="27" t="s">
        <v>14803</v>
      </c>
      <c r="C6261" s="27" t="s">
        <v>319</v>
      </c>
      <c r="D6261" s="27" t="s">
        <v>17</v>
      </c>
      <c r="E6261" s="27" t="s">
        <v>42</v>
      </c>
      <c r="F6261" s="27" t="s">
        <v>43</v>
      </c>
      <c r="G6261" s="27" t="s">
        <v>227</v>
      </c>
      <c r="H6261" s="29">
        <v>230</v>
      </c>
      <c r="I6261" s="27" t="s">
        <v>29</v>
      </c>
      <c r="J6261" s="37">
        <v>45863</v>
      </c>
      <c r="K6261" s="27" t="s">
        <v>22</v>
      </c>
    </row>
    <row r="6262" spans="1:11" x14ac:dyDescent="0.2">
      <c r="A6262" s="24" t="s">
        <v>14804</v>
      </c>
      <c r="B6262" s="24" t="s">
        <v>14805</v>
      </c>
      <c r="C6262" s="24" t="s">
        <v>14806</v>
      </c>
      <c r="D6262" s="24" t="s">
        <v>17</v>
      </c>
      <c r="E6262" s="24" t="s">
        <v>48</v>
      </c>
      <c r="F6262" s="24" t="s">
        <v>49</v>
      </c>
      <c r="G6262" s="24" t="s">
        <v>28</v>
      </c>
      <c r="H6262" s="26">
        <v>160</v>
      </c>
      <c r="I6262" s="24" t="s">
        <v>29</v>
      </c>
      <c r="J6262" s="36">
        <v>45866</v>
      </c>
      <c r="K6262" s="24" t="s">
        <v>22</v>
      </c>
    </row>
    <row r="6263" spans="1:11" x14ac:dyDescent="0.2">
      <c r="A6263" s="27" t="s">
        <v>14807</v>
      </c>
      <c r="B6263" s="27" t="s">
        <v>14808</v>
      </c>
      <c r="C6263" s="27" t="s">
        <v>14809</v>
      </c>
      <c r="D6263" s="27" t="s">
        <v>17</v>
      </c>
      <c r="E6263" s="27" t="s">
        <v>18</v>
      </c>
      <c r="F6263" s="27" t="s">
        <v>19</v>
      </c>
      <c r="G6263" s="27" t="s">
        <v>217</v>
      </c>
      <c r="H6263" s="29">
        <v>20</v>
      </c>
      <c r="I6263" s="27" t="s">
        <v>29</v>
      </c>
      <c r="J6263" s="37">
        <v>45839</v>
      </c>
      <c r="K6263" s="27" t="s">
        <v>22</v>
      </c>
    </row>
    <row r="6264" spans="1:11" x14ac:dyDescent="0.2">
      <c r="A6264" s="24" t="s">
        <v>14810</v>
      </c>
      <c r="B6264" s="24" t="s">
        <v>14811</v>
      </c>
      <c r="C6264" s="24" t="s">
        <v>984</v>
      </c>
      <c r="D6264" s="24" t="s">
        <v>17</v>
      </c>
      <c r="E6264" s="24" t="s">
        <v>81</v>
      </c>
      <c r="F6264" s="24" t="s">
        <v>82</v>
      </c>
      <c r="G6264" s="24" t="s">
        <v>28</v>
      </c>
      <c r="H6264" s="26">
        <v>832</v>
      </c>
      <c r="I6264" s="24" t="s">
        <v>29</v>
      </c>
      <c r="J6264" s="36">
        <v>45859</v>
      </c>
      <c r="K6264" s="24" t="s">
        <v>22</v>
      </c>
    </row>
    <row r="6265" spans="1:11" x14ac:dyDescent="0.2">
      <c r="A6265" s="27" t="s">
        <v>14812</v>
      </c>
      <c r="B6265" s="27" t="s">
        <v>14813</v>
      </c>
      <c r="C6265" s="27" t="s">
        <v>97</v>
      </c>
      <c r="D6265" s="27" t="s">
        <v>17</v>
      </c>
      <c r="E6265" s="27" t="s">
        <v>26</v>
      </c>
      <c r="F6265" s="27" t="s">
        <v>27</v>
      </c>
      <c r="G6265" s="27" t="s">
        <v>28</v>
      </c>
      <c r="H6265" s="29">
        <v>60</v>
      </c>
      <c r="I6265" s="27" t="s">
        <v>29</v>
      </c>
      <c r="J6265" s="37">
        <v>45867</v>
      </c>
      <c r="K6265" s="27" t="s">
        <v>22</v>
      </c>
    </row>
    <row r="6266" spans="1:11" x14ac:dyDescent="0.2">
      <c r="A6266" s="24" t="s">
        <v>14814</v>
      </c>
      <c r="B6266" s="24" t="s">
        <v>14815</v>
      </c>
      <c r="C6266" s="24" t="s">
        <v>68</v>
      </c>
      <c r="D6266" s="24" t="s">
        <v>17</v>
      </c>
      <c r="E6266" s="24" t="s">
        <v>26</v>
      </c>
      <c r="F6266" s="24" t="s">
        <v>27</v>
      </c>
      <c r="G6266" s="24" t="s">
        <v>217</v>
      </c>
      <c r="H6266" s="26">
        <v>50</v>
      </c>
      <c r="I6266" s="24" t="s">
        <v>29</v>
      </c>
      <c r="J6266" s="36">
        <v>45839</v>
      </c>
      <c r="K6266" s="24" t="s">
        <v>22</v>
      </c>
    </row>
    <row r="6267" spans="1:11" x14ac:dyDescent="0.2">
      <c r="A6267" s="27" t="s">
        <v>14816</v>
      </c>
      <c r="B6267" s="27" t="s">
        <v>14817</v>
      </c>
      <c r="C6267" s="27" t="s">
        <v>14818</v>
      </c>
      <c r="D6267" s="27" t="s">
        <v>17</v>
      </c>
      <c r="E6267" s="27" t="s">
        <v>26</v>
      </c>
      <c r="F6267" s="27" t="s">
        <v>27</v>
      </c>
      <c r="G6267" s="27" t="s">
        <v>217</v>
      </c>
      <c r="H6267" s="29">
        <v>152</v>
      </c>
      <c r="I6267" s="27" t="s">
        <v>29</v>
      </c>
      <c r="J6267" s="37">
        <v>45845</v>
      </c>
      <c r="K6267" s="27" t="s">
        <v>22</v>
      </c>
    </row>
    <row r="6268" spans="1:11" x14ac:dyDescent="0.2">
      <c r="A6268" s="24" t="s">
        <v>14819</v>
      </c>
      <c r="B6268" s="24" t="s">
        <v>14820</v>
      </c>
      <c r="C6268" s="24" t="s">
        <v>14821</v>
      </c>
      <c r="D6268" s="24" t="s">
        <v>17</v>
      </c>
      <c r="E6268" s="24" t="s">
        <v>26</v>
      </c>
      <c r="F6268" s="24" t="s">
        <v>27</v>
      </c>
      <c r="G6268" s="24" t="s">
        <v>28</v>
      </c>
      <c r="H6268" s="26">
        <v>110</v>
      </c>
      <c r="I6268" s="24" t="s">
        <v>29</v>
      </c>
      <c r="J6268" s="36">
        <v>45866</v>
      </c>
      <c r="K6268" s="24" t="s">
        <v>22</v>
      </c>
    </row>
    <row r="6269" spans="1:11" x14ac:dyDescent="0.2">
      <c r="A6269" s="27" t="s">
        <v>14822</v>
      </c>
      <c r="B6269" s="27" t="s">
        <v>14823</v>
      </c>
      <c r="C6269" s="27" t="s">
        <v>4350</v>
      </c>
      <c r="D6269" s="27" t="s">
        <v>17</v>
      </c>
      <c r="E6269" s="27" t="s">
        <v>48</v>
      </c>
      <c r="F6269" s="27" t="s">
        <v>49</v>
      </c>
      <c r="G6269" s="27" t="s">
        <v>28</v>
      </c>
      <c r="H6269" s="29">
        <v>480</v>
      </c>
      <c r="I6269" s="27" t="s">
        <v>29</v>
      </c>
      <c r="J6269" s="37">
        <v>45869</v>
      </c>
      <c r="K6269" s="27" t="s">
        <v>22</v>
      </c>
    </row>
    <row r="6270" spans="1:11" x14ac:dyDescent="0.2">
      <c r="A6270" s="24" t="s">
        <v>14824</v>
      </c>
      <c r="B6270" s="24" t="s">
        <v>14825</v>
      </c>
      <c r="C6270" s="24" t="s">
        <v>68</v>
      </c>
      <c r="D6270" s="24" t="s">
        <v>17</v>
      </c>
      <c r="E6270" s="24" t="s">
        <v>33</v>
      </c>
      <c r="F6270" s="24" t="s">
        <v>34</v>
      </c>
      <c r="G6270" s="24" t="s">
        <v>28</v>
      </c>
      <c r="H6270" s="26">
        <v>240</v>
      </c>
      <c r="I6270" s="24" t="s">
        <v>29</v>
      </c>
      <c r="J6270" s="36">
        <v>45848</v>
      </c>
      <c r="K6270" s="24" t="s">
        <v>22</v>
      </c>
    </row>
    <row r="6271" spans="1:11" x14ac:dyDescent="0.2">
      <c r="A6271" s="27" t="s">
        <v>14826</v>
      </c>
      <c r="B6271" s="27" t="s">
        <v>14827</v>
      </c>
      <c r="C6271" s="27" t="s">
        <v>1212</v>
      </c>
      <c r="D6271" s="27" t="s">
        <v>17</v>
      </c>
      <c r="E6271" s="27" t="s">
        <v>18</v>
      </c>
      <c r="F6271" s="27" t="s">
        <v>19</v>
      </c>
      <c r="G6271" s="27" t="s">
        <v>28</v>
      </c>
      <c r="H6271" s="29">
        <v>40</v>
      </c>
      <c r="I6271" s="27" t="s">
        <v>29</v>
      </c>
      <c r="J6271" s="37">
        <v>45843</v>
      </c>
      <c r="K6271" s="27" t="s">
        <v>22</v>
      </c>
    </row>
    <row r="6272" spans="1:11" x14ac:dyDescent="0.2">
      <c r="A6272" s="24" t="s">
        <v>14828</v>
      </c>
      <c r="B6272" s="24" t="s">
        <v>14829</v>
      </c>
      <c r="C6272" s="24" t="s">
        <v>208</v>
      </c>
      <c r="D6272" s="24" t="s">
        <v>17</v>
      </c>
      <c r="E6272" s="24" t="s">
        <v>81</v>
      </c>
      <c r="F6272" s="24" t="s">
        <v>82</v>
      </c>
      <c r="G6272" s="24" t="s">
        <v>28</v>
      </c>
      <c r="H6272" s="26">
        <v>110</v>
      </c>
      <c r="I6272" s="24" t="s">
        <v>29</v>
      </c>
      <c r="J6272" s="36">
        <v>45869</v>
      </c>
      <c r="K6272" s="24" t="s">
        <v>22</v>
      </c>
    </row>
    <row r="6273" spans="1:11" x14ac:dyDescent="0.2">
      <c r="A6273" s="27" t="s">
        <v>14830</v>
      </c>
      <c r="B6273" s="27" t="s">
        <v>14831</v>
      </c>
      <c r="C6273" s="27" t="s">
        <v>14832</v>
      </c>
      <c r="D6273" s="27" t="s">
        <v>17</v>
      </c>
      <c r="E6273" s="27" t="s">
        <v>42</v>
      </c>
      <c r="F6273" s="27" t="s">
        <v>43</v>
      </c>
      <c r="G6273" s="27" t="s">
        <v>217</v>
      </c>
      <c r="H6273" s="29">
        <v>44</v>
      </c>
      <c r="I6273" s="27" t="s">
        <v>29</v>
      </c>
      <c r="J6273" s="37">
        <v>45839</v>
      </c>
      <c r="K6273" s="27" t="s">
        <v>22</v>
      </c>
    </row>
    <row r="6274" spans="1:11" x14ac:dyDescent="0.2">
      <c r="A6274" s="24" t="s">
        <v>14833</v>
      </c>
      <c r="B6274" s="24" t="s">
        <v>14834</v>
      </c>
      <c r="C6274" s="24" t="s">
        <v>213</v>
      </c>
      <c r="D6274" s="24" t="s">
        <v>17</v>
      </c>
      <c r="E6274" s="24" t="s">
        <v>18</v>
      </c>
      <c r="F6274" s="24" t="s">
        <v>19</v>
      </c>
      <c r="G6274" s="24" t="s">
        <v>20</v>
      </c>
      <c r="H6274" s="26">
        <v>400</v>
      </c>
      <c r="I6274" s="24" t="s">
        <v>21</v>
      </c>
      <c r="J6274" s="36">
        <v>45844</v>
      </c>
      <c r="K6274" s="24" t="s">
        <v>22</v>
      </c>
    </row>
    <row r="6275" spans="1:11" x14ac:dyDescent="0.2">
      <c r="A6275" s="27" t="s">
        <v>14835</v>
      </c>
      <c r="B6275" s="27" t="s">
        <v>14836</v>
      </c>
      <c r="C6275" s="27" t="s">
        <v>85</v>
      </c>
      <c r="D6275" s="27" t="s">
        <v>17</v>
      </c>
      <c r="E6275" s="27" t="s">
        <v>81</v>
      </c>
      <c r="F6275" s="27" t="s">
        <v>82</v>
      </c>
      <c r="G6275" s="27" t="s">
        <v>28</v>
      </c>
      <c r="H6275" s="29">
        <v>100</v>
      </c>
      <c r="I6275" s="27" t="s">
        <v>29</v>
      </c>
      <c r="J6275" s="37">
        <v>45862</v>
      </c>
      <c r="K6275" s="27" t="s">
        <v>22</v>
      </c>
    </row>
    <row r="6276" spans="1:11" x14ac:dyDescent="0.2">
      <c r="A6276" s="24" t="s">
        <v>14837</v>
      </c>
      <c r="B6276" s="24" t="s">
        <v>14838</v>
      </c>
      <c r="C6276" s="24" t="s">
        <v>2331</v>
      </c>
      <c r="D6276" s="24" t="s">
        <v>17</v>
      </c>
      <c r="E6276" s="24" t="s">
        <v>48</v>
      </c>
      <c r="F6276" s="24" t="s">
        <v>49</v>
      </c>
      <c r="G6276" s="24" t="s">
        <v>116</v>
      </c>
      <c r="H6276" s="26">
        <v>0</v>
      </c>
      <c r="I6276" s="24" t="s">
        <v>21</v>
      </c>
      <c r="J6276" s="36">
        <v>45839</v>
      </c>
      <c r="K6276" s="24" t="s">
        <v>22</v>
      </c>
    </row>
    <row r="6277" spans="1:11" x14ac:dyDescent="0.2">
      <c r="A6277" s="27" t="s">
        <v>14839</v>
      </c>
      <c r="B6277" s="27" t="s">
        <v>14840</v>
      </c>
      <c r="C6277" s="27" t="s">
        <v>185</v>
      </c>
      <c r="D6277" s="27" t="s">
        <v>17</v>
      </c>
      <c r="E6277" s="27" t="s">
        <v>26</v>
      </c>
      <c r="F6277" s="27" t="s">
        <v>27</v>
      </c>
      <c r="G6277" s="27" t="s">
        <v>28</v>
      </c>
      <c r="H6277" s="29">
        <v>104</v>
      </c>
      <c r="I6277" s="27" t="s">
        <v>29</v>
      </c>
      <c r="J6277" s="37">
        <v>45848</v>
      </c>
      <c r="K6277" s="27" t="s">
        <v>22</v>
      </c>
    </row>
    <row r="6278" spans="1:11" x14ac:dyDescent="0.2">
      <c r="A6278" s="24" t="s">
        <v>14841</v>
      </c>
      <c r="B6278" s="24" t="s">
        <v>14842</v>
      </c>
      <c r="C6278" s="24" t="s">
        <v>298</v>
      </c>
      <c r="D6278" s="24" t="s">
        <v>17</v>
      </c>
      <c r="E6278" s="24" t="s">
        <v>26</v>
      </c>
      <c r="F6278" s="24" t="s">
        <v>27</v>
      </c>
      <c r="G6278" s="24" t="s">
        <v>28</v>
      </c>
      <c r="H6278" s="26">
        <v>107</v>
      </c>
      <c r="I6278" s="24" t="s">
        <v>29</v>
      </c>
      <c r="J6278" s="36">
        <v>45869</v>
      </c>
      <c r="K6278" s="24" t="s">
        <v>22</v>
      </c>
    </row>
    <row r="6279" spans="1:11" x14ac:dyDescent="0.2">
      <c r="A6279" s="27" t="s">
        <v>14843</v>
      </c>
      <c r="B6279" s="27" t="s">
        <v>14844</v>
      </c>
      <c r="C6279" s="27" t="s">
        <v>208</v>
      </c>
      <c r="D6279" s="27" t="s">
        <v>17</v>
      </c>
      <c r="E6279" s="27" t="s">
        <v>48</v>
      </c>
      <c r="F6279" s="27" t="s">
        <v>49</v>
      </c>
      <c r="G6279" s="27" t="s">
        <v>28</v>
      </c>
      <c r="H6279" s="29">
        <v>10</v>
      </c>
      <c r="I6279" s="27" t="s">
        <v>29</v>
      </c>
      <c r="J6279" s="37">
        <v>45863</v>
      </c>
      <c r="K6279" s="27" t="s">
        <v>22</v>
      </c>
    </row>
    <row r="6280" spans="1:11" x14ac:dyDescent="0.2">
      <c r="A6280" s="24" t="s">
        <v>14845</v>
      </c>
      <c r="B6280" s="24" t="s">
        <v>14846</v>
      </c>
      <c r="C6280" s="24" t="s">
        <v>14847</v>
      </c>
      <c r="D6280" s="24" t="s">
        <v>17</v>
      </c>
      <c r="E6280" s="24" t="s">
        <v>48</v>
      </c>
      <c r="F6280" s="24" t="s">
        <v>49</v>
      </c>
      <c r="G6280" s="24" t="s">
        <v>28</v>
      </c>
      <c r="H6280" s="26">
        <v>80</v>
      </c>
      <c r="I6280" s="24" t="s">
        <v>29</v>
      </c>
      <c r="J6280" s="36">
        <v>45839</v>
      </c>
      <c r="K6280" s="24" t="s">
        <v>22</v>
      </c>
    </row>
    <row r="6281" spans="1:11" x14ac:dyDescent="0.2">
      <c r="A6281" s="27" t="s">
        <v>14848</v>
      </c>
      <c r="B6281" s="27" t="s">
        <v>14849</v>
      </c>
      <c r="C6281" s="27" t="s">
        <v>11585</v>
      </c>
      <c r="D6281" s="27" t="s">
        <v>17</v>
      </c>
      <c r="E6281" s="27" t="s">
        <v>42</v>
      </c>
      <c r="F6281" s="27" t="s">
        <v>43</v>
      </c>
      <c r="G6281" s="27" t="s">
        <v>28</v>
      </c>
      <c r="H6281" s="29">
        <v>150</v>
      </c>
      <c r="I6281" s="27" t="s">
        <v>29</v>
      </c>
      <c r="J6281" s="37">
        <v>45868</v>
      </c>
      <c r="K6281" s="27" t="s">
        <v>22</v>
      </c>
    </row>
    <row r="6282" spans="1:11" x14ac:dyDescent="0.2">
      <c r="A6282" s="24" t="s">
        <v>14850</v>
      </c>
      <c r="B6282" s="24" t="s">
        <v>14851</v>
      </c>
      <c r="C6282" s="24" t="s">
        <v>97</v>
      </c>
      <c r="D6282" s="24" t="s">
        <v>17</v>
      </c>
      <c r="E6282" s="24" t="s">
        <v>18</v>
      </c>
      <c r="F6282" s="24" t="s">
        <v>19</v>
      </c>
      <c r="G6282" s="24" t="s">
        <v>20</v>
      </c>
      <c r="H6282" s="26">
        <v>20</v>
      </c>
      <c r="I6282" s="24" t="s">
        <v>21</v>
      </c>
      <c r="J6282" s="36">
        <v>45866</v>
      </c>
      <c r="K6282" s="24" t="s">
        <v>22</v>
      </c>
    </row>
    <row r="6283" spans="1:11" x14ac:dyDescent="0.2">
      <c r="A6283" s="27" t="s">
        <v>14852</v>
      </c>
      <c r="B6283" s="27" t="s">
        <v>14853</v>
      </c>
      <c r="C6283" s="27" t="s">
        <v>1110</v>
      </c>
      <c r="D6283" s="27" t="s">
        <v>17</v>
      </c>
      <c r="E6283" s="27" t="s">
        <v>42</v>
      </c>
      <c r="F6283" s="27" t="s">
        <v>43</v>
      </c>
      <c r="G6283" s="27" t="s">
        <v>28</v>
      </c>
      <c r="H6283" s="29">
        <v>13000</v>
      </c>
      <c r="I6283" s="27" t="s">
        <v>29</v>
      </c>
      <c r="J6283" s="37">
        <v>45840</v>
      </c>
      <c r="K6283" s="27" t="s">
        <v>22</v>
      </c>
    </row>
    <row r="6284" spans="1:11" x14ac:dyDescent="0.2">
      <c r="A6284" s="24" t="s">
        <v>14854</v>
      </c>
      <c r="B6284" s="24" t="s">
        <v>14855</v>
      </c>
      <c r="C6284" s="24" t="s">
        <v>14856</v>
      </c>
      <c r="D6284" s="24" t="s">
        <v>17</v>
      </c>
      <c r="E6284" s="24" t="s">
        <v>18</v>
      </c>
      <c r="F6284" s="24" t="s">
        <v>19</v>
      </c>
      <c r="G6284" s="24" t="s">
        <v>28</v>
      </c>
      <c r="H6284" s="26">
        <v>24</v>
      </c>
      <c r="I6284" s="24" t="s">
        <v>29</v>
      </c>
      <c r="J6284" s="36">
        <v>45849</v>
      </c>
      <c r="K6284" s="24" t="s">
        <v>22</v>
      </c>
    </row>
    <row r="6285" spans="1:11" x14ac:dyDescent="0.2">
      <c r="A6285" s="27" t="s">
        <v>14857</v>
      </c>
      <c r="B6285" s="27" t="s">
        <v>14858</v>
      </c>
      <c r="C6285" s="27" t="s">
        <v>1407</v>
      </c>
      <c r="D6285" s="27" t="s">
        <v>17</v>
      </c>
      <c r="E6285" s="27" t="s">
        <v>18</v>
      </c>
      <c r="F6285" s="27" t="s">
        <v>19</v>
      </c>
      <c r="G6285" s="27" t="s">
        <v>28</v>
      </c>
      <c r="H6285" s="29">
        <v>40</v>
      </c>
      <c r="I6285" s="27" t="s">
        <v>29</v>
      </c>
      <c r="J6285" s="37">
        <v>45858</v>
      </c>
      <c r="K6285" s="27" t="s">
        <v>22</v>
      </c>
    </row>
    <row r="6286" spans="1:11" x14ac:dyDescent="0.2">
      <c r="A6286" s="24" t="s">
        <v>14859</v>
      </c>
      <c r="B6286" s="24" t="s">
        <v>14860</v>
      </c>
      <c r="C6286" s="24" t="s">
        <v>10338</v>
      </c>
      <c r="D6286" s="24" t="s">
        <v>17</v>
      </c>
      <c r="E6286" s="24" t="s">
        <v>42</v>
      </c>
      <c r="F6286" s="24" t="s">
        <v>43</v>
      </c>
      <c r="G6286" s="24" t="s">
        <v>44</v>
      </c>
      <c r="H6286" s="26">
        <v>353</v>
      </c>
      <c r="I6286" s="24" t="s">
        <v>21</v>
      </c>
      <c r="J6286" s="36">
        <v>45862</v>
      </c>
      <c r="K6286" s="24" t="s">
        <v>22</v>
      </c>
    </row>
    <row r="6287" spans="1:11" x14ac:dyDescent="0.2">
      <c r="A6287" s="27" t="s">
        <v>14861</v>
      </c>
      <c r="B6287" s="27" t="s">
        <v>14862</v>
      </c>
      <c r="C6287" s="27" t="s">
        <v>5810</v>
      </c>
      <c r="D6287" s="27" t="s">
        <v>17</v>
      </c>
      <c r="E6287" s="27" t="s">
        <v>163</v>
      </c>
      <c r="F6287" s="27" t="s">
        <v>164</v>
      </c>
      <c r="G6287" s="27" t="s">
        <v>28</v>
      </c>
      <c r="H6287" s="29">
        <v>84</v>
      </c>
      <c r="I6287" s="27" t="s">
        <v>29</v>
      </c>
      <c r="J6287" s="37">
        <v>45862</v>
      </c>
      <c r="K6287" s="27" t="s">
        <v>22</v>
      </c>
    </row>
    <row r="6288" spans="1:11" x14ac:dyDescent="0.2">
      <c r="A6288" s="24" t="s">
        <v>14863</v>
      </c>
      <c r="B6288" s="24" t="s">
        <v>14864</v>
      </c>
      <c r="C6288" s="24" t="s">
        <v>14865</v>
      </c>
      <c r="D6288" s="24" t="s">
        <v>17</v>
      </c>
      <c r="E6288" s="24" t="s">
        <v>42</v>
      </c>
      <c r="F6288" s="24" t="s">
        <v>43</v>
      </c>
      <c r="G6288" s="24" t="s">
        <v>217</v>
      </c>
      <c r="H6288" s="26">
        <v>434</v>
      </c>
      <c r="I6288" s="24" t="s">
        <v>29</v>
      </c>
      <c r="J6288" s="36">
        <v>45839</v>
      </c>
      <c r="K6288" s="24" t="s">
        <v>22</v>
      </c>
    </row>
    <row r="6289" spans="1:11" x14ac:dyDescent="0.2">
      <c r="A6289" s="27" t="s">
        <v>14866</v>
      </c>
      <c r="B6289" s="27" t="s">
        <v>14867</v>
      </c>
      <c r="C6289" s="27" t="s">
        <v>301</v>
      </c>
      <c r="D6289" s="27" t="s">
        <v>17</v>
      </c>
      <c r="E6289" s="27" t="s">
        <v>18</v>
      </c>
      <c r="F6289" s="27" t="s">
        <v>19</v>
      </c>
      <c r="G6289" s="27" t="s">
        <v>28</v>
      </c>
      <c r="H6289" s="29">
        <v>380</v>
      </c>
      <c r="I6289" s="27" t="s">
        <v>29</v>
      </c>
      <c r="J6289" s="37">
        <v>45853</v>
      </c>
      <c r="K6289" s="27" t="s">
        <v>22</v>
      </c>
    </row>
    <row r="6290" spans="1:11" x14ac:dyDescent="0.2">
      <c r="A6290" s="24" t="s">
        <v>14868</v>
      </c>
      <c r="B6290" s="24" t="s">
        <v>14869</v>
      </c>
      <c r="C6290" s="24" t="s">
        <v>921</v>
      </c>
      <c r="D6290" s="24" t="s">
        <v>17</v>
      </c>
      <c r="E6290" s="24" t="s">
        <v>42</v>
      </c>
      <c r="F6290" s="24" t="s">
        <v>43</v>
      </c>
      <c r="G6290" s="24" t="s">
        <v>28</v>
      </c>
      <c r="H6290" s="26">
        <v>416</v>
      </c>
      <c r="I6290" s="24" t="s">
        <v>29</v>
      </c>
      <c r="J6290" s="36">
        <v>45863</v>
      </c>
      <c r="K6290" s="24" t="s">
        <v>22</v>
      </c>
    </row>
    <row r="6291" spans="1:11" x14ac:dyDescent="0.2">
      <c r="A6291" s="27" t="s">
        <v>14870</v>
      </c>
      <c r="B6291" s="27" t="s">
        <v>14871</v>
      </c>
      <c r="C6291" s="27" t="s">
        <v>7651</v>
      </c>
      <c r="D6291" s="27" t="s">
        <v>17</v>
      </c>
      <c r="E6291" s="27" t="s">
        <v>81</v>
      </c>
      <c r="F6291" s="27" t="s">
        <v>82</v>
      </c>
      <c r="G6291" s="27" t="s">
        <v>28</v>
      </c>
      <c r="H6291" s="29">
        <v>120</v>
      </c>
      <c r="I6291" s="27" t="s">
        <v>29</v>
      </c>
      <c r="J6291" s="37">
        <v>45841</v>
      </c>
      <c r="K6291" s="27" t="s">
        <v>22</v>
      </c>
    </row>
    <row r="6292" spans="1:11" x14ac:dyDescent="0.2">
      <c r="A6292" s="24" t="s">
        <v>14872</v>
      </c>
      <c r="B6292" s="24" t="s">
        <v>14873</v>
      </c>
      <c r="C6292" s="24" t="s">
        <v>8654</v>
      </c>
      <c r="D6292" s="24" t="s">
        <v>17</v>
      </c>
      <c r="E6292" s="24" t="s">
        <v>18</v>
      </c>
      <c r="F6292" s="24" t="s">
        <v>19</v>
      </c>
      <c r="G6292" s="24" t="s">
        <v>217</v>
      </c>
      <c r="H6292" s="26">
        <v>228</v>
      </c>
      <c r="I6292" s="24" t="s">
        <v>29</v>
      </c>
      <c r="J6292" s="36">
        <v>45869</v>
      </c>
      <c r="K6292" s="24" t="s">
        <v>22</v>
      </c>
    </row>
    <row r="6293" spans="1:11" x14ac:dyDescent="0.2">
      <c r="A6293" s="27" t="s">
        <v>14874</v>
      </c>
      <c r="B6293" s="27" t="s">
        <v>14875</v>
      </c>
      <c r="C6293" s="27" t="s">
        <v>134</v>
      </c>
      <c r="D6293" s="27" t="s">
        <v>17</v>
      </c>
      <c r="E6293" s="27" t="s">
        <v>42</v>
      </c>
      <c r="F6293" s="27" t="s">
        <v>43</v>
      </c>
      <c r="G6293" s="27" t="s">
        <v>28</v>
      </c>
      <c r="H6293" s="29">
        <v>450</v>
      </c>
      <c r="I6293" s="27" t="s">
        <v>29</v>
      </c>
      <c r="J6293" s="37">
        <v>45856</v>
      </c>
      <c r="K6293" s="27" t="s">
        <v>22</v>
      </c>
    </row>
    <row r="6294" spans="1:11" x14ac:dyDescent="0.2">
      <c r="A6294" s="24" t="s">
        <v>14876</v>
      </c>
      <c r="B6294" s="24" t="s">
        <v>14877</v>
      </c>
      <c r="C6294" s="24" t="s">
        <v>55</v>
      </c>
      <c r="D6294" s="24" t="s">
        <v>17</v>
      </c>
      <c r="E6294" s="24" t="s">
        <v>18</v>
      </c>
      <c r="F6294" s="24" t="s">
        <v>19</v>
      </c>
      <c r="G6294" s="24" t="s">
        <v>28</v>
      </c>
      <c r="H6294" s="26">
        <v>67</v>
      </c>
      <c r="I6294" s="24" t="s">
        <v>29</v>
      </c>
      <c r="J6294" s="36">
        <v>45861</v>
      </c>
      <c r="K6294" s="24" t="s">
        <v>22</v>
      </c>
    </row>
    <row r="6295" spans="1:11" x14ac:dyDescent="0.2">
      <c r="A6295" s="27" t="s">
        <v>14878</v>
      </c>
      <c r="B6295" s="27" t="s">
        <v>14879</v>
      </c>
      <c r="C6295" s="27" t="s">
        <v>1093</v>
      </c>
      <c r="D6295" s="27" t="s">
        <v>17</v>
      </c>
      <c r="E6295" s="27" t="s">
        <v>81</v>
      </c>
      <c r="F6295" s="27" t="s">
        <v>82</v>
      </c>
      <c r="G6295" s="27" t="s">
        <v>20</v>
      </c>
      <c r="H6295" s="29">
        <v>80</v>
      </c>
      <c r="I6295" s="27" t="s">
        <v>21</v>
      </c>
      <c r="J6295" s="37">
        <v>45845</v>
      </c>
      <c r="K6295" s="27" t="s">
        <v>22</v>
      </c>
    </row>
    <row r="6296" spans="1:11" x14ac:dyDescent="0.2">
      <c r="A6296" s="24" t="s">
        <v>14880</v>
      </c>
      <c r="B6296" s="24" t="s">
        <v>14881</v>
      </c>
      <c r="C6296" s="24" t="s">
        <v>251</v>
      </c>
      <c r="D6296" s="24" t="s">
        <v>17</v>
      </c>
      <c r="E6296" s="24" t="s">
        <v>48</v>
      </c>
      <c r="F6296" s="24" t="s">
        <v>49</v>
      </c>
      <c r="G6296" s="24" t="s">
        <v>28</v>
      </c>
      <c r="H6296" s="26">
        <v>150</v>
      </c>
      <c r="I6296" s="24" t="s">
        <v>29</v>
      </c>
      <c r="J6296" s="36">
        <v>45845</v>
      </c>
      <c r="K6296" s="24" t="s">
        <v>22</v>
      </c>
    </row>
    <row r="6297" spans="1:11" x14ac:dyDescent="0.2">
      <c r="A6297" s="27" t="s">
        <v>14882</v>
      </c>
      <c r="B6297" s="27" t="s">
        <v>14883</v>
      </c>
      <c r="C6297" s="27" t="s">
        <v>71</v>
      </c>
      <c r="D6297" s="27" t="s">
        <v>17</v>
      </c>
      <c r="E6297" s="27" t="s">
        <v>42</v>
      </c>
      <c r="F6297" s="27" t="s">
        <v>43</v>
      </c>
      <c r="G6297" s="27" t="s">
        <v>217</v>
      </c>
      <c r="H6297" s="29">
        <v>430</v>
      </c>
      <c r="I6297" s="27" t="s">
        <v>29</v>
      </c>
      <c r="J6297" s="37">
        <v>45839</v>
      </c>
      <c r="K6297" s="27" t="s">
        <v>22</v>
      </c>
    </row>
    <row r="6298" spans="1:11" x14ac:dyDescent="0.2">
      <c r="A6298" s="24" t="s">
        <v>14884</v>
      </c>
      <c r="B6298" s="24" t="s">
        <v>14885</v>
      </c>
      <c r="C6298" s="24" t="s">
        <v>134</v>
      </c>
      <c r="D6298" s="24" t="s">
        <v>17</v>
      </c>
      <c r="E6298" s="24" t="s">
        <v>42</v>
      </c>
      <c r="F6298" s="24" t="s">
        <v>43</v>
      </c>
      <c r="G6298" s="24" t="s">
        <v>28</v>
      </c>
      <c r="H6298" s="26">
        <v>586</v>
      </c>
      <c r="I6298" s="24" t="s">
        <v>29</v>
      </c>
      <c r="J6298" s="36">
        <v>45852</v>
      </c>
      <c r="K6298" s="24" t="s">
        <v>22</v>
      </c>
    </row>
    <row r="6299" spans="1:11" x14ac:dyDescent="0.2">
      <c r="A6299" s="27" t="s">
        <v>14886</v>
      </c>
      <c r="B6299" s="27" t="s">
        <v>14887</v>
      </c>
      <c r="C6299" s="27" t="s">
        <v>298</v>
      </c>
      <c r="D6299" s="27" t="s">
        <v>17</v>
      </c>
      <c r="E6299" s="27" t="s">
        <v>42</v>
      </c>
      <c r="F6299" s="27" t="s">
        <v>43</v>
      </c>
      <c r="G6299" s="27" t="s">
        <v>28</v>
      </c>
      <c r="H6299" s="29">
        <v>350</v>
      </c>
      <c r="I6299" s="27" t="s">
        <v>29</v>
      </c>
      <c r="J6299" s="37">
        <v>45860</v>
      </c>
      <c r="K6299" s="27" t="s">
        <v>22</v>
      </c>
    </row>
    <row r="6300" spans="1:11" x14ac:dyDescent="0.2">
      <c r="A6300" s="24" t="s">
        <v>14888</v>
      </c>
      <c r="B6300" s="24" t="s">
        <v>14889</v>
      </c>
      <c r="C6300" s="24" t="s">
        <v>9855</v>
      </c>
      <c r="D6300" s="24" t="s">
        <v>17</v>
      </c>
      <c r="E6300" s="24" t="s">
        <v>18</v>
      </c>
      <c r="F6300" s="24" t="s">
        <v>19</v>
      </c>
      <c r="G6300" s="24" t="s">
        <v>44</v>
      </c>
      <c r="H6300" s="26">
        <v>32</v>
      </c>
      <c r="I6300" s="24" t="s">
        <v>29</v>
      </c>
      <c r="J6300" s="36">
        <v>45858</v>
      </c>
      <c r="K6300" s="24" t="s">
        <v>22</v>
      </c>
    </row>
    <row r="6301" spans="1:11" x14ac:dyDescent="0.2">
      <c r="A6301" s="27" t="s">
        <v>14890</v>
      </c>
      <c r="B6301" s="27" t="s">
        <v>14891</v>
      </c>
      <c r="C6301" s="27" t="s">
        <v>14892</v>
      </c>
      <c r="D6301" s="27" t="s">
        <v>17</v>
      </c>
      <c r="E6301" s="27" t="s">
        <v>42</v>
      </c>
      <c r="F6301" s="27" t="s">
        <v>43</v>
      </c>
      <c r="G6301" s="27" t="s">
        <v>28</v>
      </c>
      <c r="H6301" s="29">
        <v>84</v>
      </c>
      <c r="I6301" s="27" t="s">
        <v>29</v>
      </c>
      <c r="J6301" s="37">
        <v>45866</v>
      </c>
      <c r="K6301" s="27" t="s">
        <v>22</v>
      </c>
    </row>
    <row r="6302" spans="1:11" x14ac:dyDescent="0.2">
      <c r="A6302" s="24" t="s">
        <v>14893</v>
      </c>
      <c r="B6302" s="24" t="s">
        <v>14894</v>
      </c>
      <c r="C6302" s="24" t="s">
        <v>8856</v>
      </c>
      <c r="D6302" s="24" t="s">
        <v>17</v>
      </c>
      <c r="E6302" s="24" t="s">
        <v>18</v>
      </c>
      <c r="F6302" s="24" t="s">
        <v>19</v>
      </c>
      <c r="G6302" s="24" t="s">
        <v>217</v>
      </c>
      <c r="H6302" s="26">
        <v>105</v>
      </c>
      <c r="I6302" s="24" t="s">
        <v>29</v>
      </c>
      <c r="J6302" s="36">
        <v>45869</v>
      </c>
      <c r="K6302" s="24" t="s">
        <v>22</v>
      </c>
    </row>
    <row r="6303" spans="1:11" x14ac:dyDescent="0.2">
      <c r="A6303" s="27" t="s">
        <v>14895</v>
      </c>
      <c r="B6303" s="27" t="s">
        <v>14896</v>
      </c>
      <c r="C6303" s="27" t="s">
        <v>242</v>
      </c>
      <c r="D6303" s="27" t="s">
        <v>17</v>
      </c>
      <c r="E6303" s="27" t="s">
        <v>42</v>
      </c>
      <c r="F6303" s="27" t="s">
        <v>43</v>
      </c>
      <c r="G6303" s="27" t="s">
        <v>28</v>
      </c>
      <c r="H6303" s="29">
        <v>594</v>
      </c>
      <c r="I6303" s="27" t="s">
        <v>29</v>
      </c>
      <c r="J6303" s="37">
        <v>45854</v>
      </c>
      <c r="K6303" s="27" t="s">
        <v>22</v>
      </c>
    </row>
    <row r="6304" spans="1:11" x14ac:dyDescent="0.2">
      <c r="A6304" s="24" t="s">
        <v>14897</v>
      </c>
      <c r="B6304" s="24" t="s">
        <v>14898</v>
      </c>
      <c r="C6304" s="24" t="s">
        <v>14899</v>
      </c>
      <c r="D6304" s="24" t="s">
        <v>17</v>
      </c>
      <c r="E6304" s="24" t="s">
        <v>42</v>
      </c>
      <c r="F6304" s="24" t="s">
        <v>43</v>
      </c>
      <c r="G6304" s="24" t="s">
        <v>28</v>
      </c>
      <c r="H6304" s="26">
        <v>230</v>
      </c>
      <c r="I6304" s="24" t="s">
        <v>29</v>
      </c>
      <c r="J6304" s="36">
        <v>45839</v>
      </c>
      <c r="K6304" s="24" t="s">
        <v>22</v>
      </c>
    </row>
    <row r="6305" spans="1:11" x14ac:dyDescent="0.2">
      <c r="A6305" s="27" t="s">
        <v>14900</v>
      </c>
      <c r="B6305" s="27" t="s">
        <v>14901</v>
      </c>
      <c r="C6305" s="27" t="s">
        <v>55</v>
      </c>
      <c r="D6305" s="27" t="s">
        <v>17</v>
      </c>
      <c r="E6305" s="27" t="s">
        <v>48</v>
      </c>
      <c r="F6305" s="27" t="s">
        <v>49</v>
      </c>
      <c r="G6305" s="27" t="s">
        <v>28</v>
      </c>
      <c r="H6305" s="29">
        <v>340</v>
      </c>
      <c r="I6305" s="27" t="s">
        <v>29</v>
      </c>
      <c r="J6305" s="37">
        <v>45854</v>
      </c>
      <c r="K6305" s="27" t="s">
        <v>22</v>
      </c>
    </row>
    <row r="6306" spans="1:11" x14ac:dyDescent="0.2">
      <c r="A6306" s="24" t="s">
        <v>14902</v>
      </c>
      <c r="B6306" s="24" t="s">
        <v>14903</v>
      </c>
      <c r="C6306" s="24" t="s">
        <v>68</v>
      </c>
      <c r="D6306" s="24" t="s">
        <v>17</v>
      </c>
      <c r="E6306" s="24" t="s">
        <v>18</v>
      </c>
      <c r="F6306" s="24" t="s">
        <v>19</v>
      </c>
      <c r="G6306" s="24" t="s">
        <v>20</v>
      </c>
      <c r="H6306" s="26">
        <v>36</v>
      </c>
      <c r="I6306" s="24" t="s">
        <v>21</v>
      </c>
      <c r="J6306" s="36">
        <v>45848</v>
      </c>
      <c r="K6306" s="24" t="s">
        <v>22</v>
      </c>
    </row>
    <row r="6307" spans="1:11" x14ac:dyDescent="0.2">
      <c r="A6307" s="27" t="s">
        <v>14904</v>
      </c>
      <c r="B6307" s="27" t="s">
        <v>14905</v>
      </c>
      <c r="C6307" s="27" t="s">
        <v>14906</v>
      </c>
      <c r="D6307" s="27" t="s">
        <v>17</v>
      </c>
      <c r="E6307" s="27" t="s">
        <v>33</v>
      </c>
      <c r="F6307" s="27" t="s">
        <v>34</v>
      </c>
      <c r="G6307" s="27" t="s">
        <v>28</v>
      </c>
      <c r="H6307" s="29">
        <v>89</v>
      </c>
      <c r="I6307" s="27" t="s">
        <v>29</v>
      </c>
      <c r="J6307" s="37">
        <v>45865</v>
      </c>
      <c r="K6307" s="27" t="s">
        <v>22</v>
      </c>
    </row>
    <row r="6308" spans="1:11" x14ac:dyDescent="0.2">
      <c r="A6308" s="24" t="s">
        <v>14907</v>
      </c>
      <c r="B6308" s="24" t="s">
        <v>14908</v>
      </c>
      <c r="C6308" s="24" t="s">
        <v>4227</v>
      </c>
      <c r="D6308" s="24" t="s">
        <v>17</v>
      </c>
      <c r="E6308" s="24" t="s">
        <v>48</v>
      </c>
      <c r="F6308" s="24" t="s">
        <v>49</v>
      </c>
      <c r="G6308" s="24" t="s">
        <v>28</v>
      </c>
      <c r="H6308" s="26">
        <v>100</v>
      </c>
      <c r="I6308" s="24" t="s">
        <v>29</v>
      </c>
      <c r="J6308" s="36">
        <v>45868</v>
      </c>
      <c r="K6308" s="24" t="s">
        <v>22</v>
      </c>
    </row>
    <row r="6309" spans="1:11" x14ac:dyDescent="0.2">
      <c r="A6309" s="27" t="s">
        <v>14909</v>
      </c>
      <c r="B6309" s="27" t="s">
        <v>14910</v>
      </c>
      <c r="C6309" s="27" t="s">
        <v>14911</v>
      </c>
      <c r="D6309" s="27" t="s">
        <v>17</v>
      </c>
      <c r="E6309" s="27" t="s">
        <v>18</v>
      </c>
      <c r="F6309" s="27" t="s">
        <v>19</v>
      </c>
      <c r="G6309" s="27" t="s">
        <v>217</v>
      </c>
      <c r="H6309" s="29">
        <v>56</v>
      </c>
      <c r="I6309" s="27" t="s">
        <v>29</v>
      </c>
      <c r="J6309" s="37">
        <v>45854</v>
      </c>
      <c r="K6309" s="27" t="s">
        <v>22</v>
      </c>
    </row>
    <row r="6310" spans="1:11" x14ac:dyDescent="0.2">
      <c r="A6310" s="24" t="s">
        <v>14912</v>
      </c>
      <c r="B6310" s="24" t="s">
        <v>14913</v>
      </c>
      <c r="C6310" s="24" t="s">
        <v>1260</v>
      </c>
      <c r="D6310" s="24" t="s">
        <v>17</v>
      </c>
      <c r="E6310" s="24" t="s">
        <v>18</v>
      </c>
      <c r="F6310" s="24" t="s">
        <v>19</v>
      </c>
      <c r="G6310" s="24" t="s">
        <v>28</v>
      </c>
      <c r="H6310" s="26">
        <v>100</v>
      </c>
      <c r="I6310" s="24" t="s">
        <v>29</v>
      </c>
      <c r="J6310" s="36">
        <v>45848</v>
      </c>
      <c r="K6310" s="24" t="s">
        <v>22</v>
      </c>
    </row>
    <row r="6311" spans="1:11" x14ac:dyDescent="0.2">
      <c r="A6311" s="27" t="s">
        <v>14914</v>
      </c>
      <c r="B6311" s="27" t="s">
        <v>14915</v>
      </c>
      <c r="C6311" s="27" t="s">
        <v>9249</v>
      </c>
      <c r="D6311" s="27" t="s">
        <v>17</v>
      </c>
      <c r="E6311" s="27" t="s">
        <v>18</v>
      </c>
      <c r="F6311" s="27" t="s">
        <v>19</v>
      </c>
      <c r="G6311" s="27" t="s">
        <v>28</v>
      </c>
      <c r="H6311" s="29">
        <v>32</v>
      </c>
      <c r="I6311" s="27" t="s">
        <v>29</v>
      </c>
      <c r="J6311" s="37">
        <v>45862</v>
      </c>
      <c r="K6311" s="27" t="s">
        <v>22</v>
      </c>
    </row>
    <row r="6312" spans="1:11" x14ac:dyDescent="0.2">
      <c r="A6312" s="24" t="s">
        <v>14916</v>
      </c>
      <c r="B6312" s="24" t="s">
        <v>14917</v>
      </c>
      <c r="C6312" s="24" t="s">
        <v>526</v>
      </c>
      <c r="D6312" s="24" t="s">
        <v>17</v>
      </c>
      <c r="E6312" s="24" t="s">
        <v>48</v>
      </c>
      <c r="F6312" s="24" t="s">
        <v>49</v>
      </c>
      <c r="G6312" s="24" t="s">
        <v>59</v>
      </c>
      <c r="H6312" s="26">
        <v>1</v>
      </c>
      <c r="I6312" s="24" t="s">
        <v>21</v>
      </c>
      <c r="J6312" s="36">
        <v>45859</v>
      </c>
      <c r="K6312" s="24" t="s">
        <v>22</v>
      </c>
    </row>
    <row r="6313" spans="1:11" x14ac:dyDescent="0.2">
      <c r="A6313" s="27" t="s">
        <v>14918</v>
      </c>
      <c r="B6313" s="27" t="s">
        <v>14919</v>
      </c>
      <c r="C6313" s="27" t="s">
        <v>9499</v>
      </c>
      <c r="D6313" s="27" t="s">
        <v>17</v>
      </c>
      <c r="E6313" s="27" t="s">
        <v>18</v>
      </c>
      <c r="F6313" s="27" t="s">
        <v>19</v>
      </c>
      <c r="G6313" s="27" t="s">
        <v>28</v>
      </c>
      <c r="H6313" s="29">
        <v>36</v>
      </c>
      <c r="I6313" s="27" t="s">
        <v>29</v>
      </c>
      <c r="J6313" s="37">
        <v>45863</v>
      </c>
      <c r="K6313" s="27" t="s">
        <v>22</v>
      </c>
    </row>
    <row r="6314" spans="1:11" x14ac:dyDescent="0.2">
      <c r="A6314" s="24" t="s">
        <v>14920</v>
      </c>
      <c r="B6314" s="24" t="s">
        <v>14921</v>
      </c>
      <c r="C6314" s="24" t="s">
        <v>14922</v>
      </c>
      <c r="D6314" s="24" t="s">
        <v>17</v>
      </c>
      <c r="E6314" s="24" t="s">
        <v>48</v>
      </c>
      <c r="F6314" s="24" t="s">
        <v>49</v>
      </c>
      <c r="G6314" s="24" t="s">
        <v>217</v>
      </c>
      <c r="H6314" s="26">
        <v>98</v>
      </c>
      <c r="I6314" s="24" t="s">
        <v>29</v>
      </c>
      <c r="J6314" s="36">
        <v>45855</v>
      </c>
      <c r="K6314" s="24" t="s">
        <v>22</v>
      </c>
    </row>
    <row r="6315" spans="1:11" x14ac:dyDescent="0.2">
      <c r="A6315" s="27" t="s">
        <v>14923</v>
      </c>
      <c r="B6315" s="27" t="s">
        <v>14924</v>
      </c>
      <c r="C6315" s="27" t="s">
        <v>1967</v>
      </c>
      <c r="D6315" s="27" t="s">
        <v>17</v>
      </c>
      <c r="E6315" s="27" t="s">
        <v>18</v>
      </c>
      <c r="F6315" s="27" t="s">
        <v>19</v>
      </c>
      <c r="G6315" s="27" t="s">
        <v>20</v>
      </c>
      <c r="H6315" s="29">
        <v>20</v>
      </c>
      <c r="I6315" s="27" t="s">
        <v>21</v>
      </c>
      <c r="J6315" s="37">
        <v>45866</v>
      </c>
      <c r="K6315" s="27" t="s">
        <v>22</v>
      </c>
    </row>
    <row r="6316" spans="1:11" x14ac:dyDescent="0.2">
      <c r="A6316" s="24" t="s">
        <v>14925</v>
      </c>
      <c r="B6316" s="24" t="s">
        <v>14926</v>
      </c>
      <c r="C6316" s="24" t="s">
        <v>4598</v>
      </c>
      <c r="D6316" s="24" t="s">
        <v>17</v>
      </c>
      <c r="E6316" s="24" t="s">
        <v>42</v>
      </c>
      <c r="F6316" s="24" t="s">
        <v>43</v>
      </c>
      <c r="G6316" s="24" t="s">
        <v>28</v>
      </c>
      <c r="H6316" s="26">
        <v>500</v>
      </c>
      <c r="I6316" s="24" t="s">
        <v>29</v>
      </c>
      <c r="J6316" s="36">
        <v>45847</v>
      </c>
      <c r="K6316" s="24" t="s">
        <v>22</v>
      </c>
    </row>
    <row r="6317" spans="1:11" x14ac:dyDescent="0.2">
      <c r="A6317" s="27" t="s">
        <v>14927</v>
      </c>
      <c r="B6317" s="27" t="s">
        <v>14928</v>
      </c>
      <c r="C6317" s="27" t="s">
        <v>14929</v>
      </c>
      <c r="D6317" s="27" t="s">
        <v>17</v>
      </c>
      <c r="E6317" s="27" t="s">
        <v>18</v>
      </c>
      <c r="F6317" s="27" t="s">
        <v>19</v>
      </c>
      <c r="G6317" s="27" t="s">
        <v>28</v>
      </c>
      <c r="H6317" s="29">
        <v>72</v>
      </c>
      <c r="I6317" s="27" t="s">
        <v>29</v>
      </c>
      <c r="J6317" s="37">
        <v>45854</v>
      </c>
      <c r="K6317" s="27" t="s">
        <v>22</v>
      </c>
    </row>
    <row r="6318" spans="1:11" x14ac:dyDescent="0.2">
      <c r="A6318" s="24" t="s">
        <v>14930</v>
      </c>
      <c r="B6318" s="24" t="s">
        <v>14931</v>
      </c>
      <c r="C6318" s="24" t="s">
        <v>921</v>
      </c>
      <c r="D6318" s="24" t="s">
        <v>17</v>
      </c>
      <c r="E6318" s="24" t="s">
        <v>26</v>
      </c>
      <c r="F6318" s="24" t="s">
        <v>27</v>
      </c>
      <c r="G6318" s="24" t="s">
        <v>28</v>
      </c>
      <c r="H6318" s="26">
        <v>72</v>
      </c>
      <c r="I6318" s="24" t="s">
        <v>29</v>
      </c>
      <c r="J6318" s="36">
        <v>45868</v>
      </c>
      <c r="K6318" s="24" t="s">
        <v>22</v>
      </c>
    </row>
    <row r="6319" spans="1:11" x14ac:dyDescent="0.2">
      <c r="A6319" s="27" t="s">
        <v>14932</v>
      </c>
      <c r="B6319" s="27" t="s">
        <v>14933</v>
      </c>
      <c r="C6319" s="27" t="s">
        <v>213</v>
      </c>
      <c r="D6319" s="27" t="s">
        <v>17</v>
      </c>
      <c r="E6319" s="27" t="s">
        <v>42</v>
      </c>
      <c r="F6319" s="27" t="s">
        <v>43</v>
      </c>
      <c r="G6319" s="27" t="s">
        <v>28</v>
      </c>
      <c r="H6319" s="29">
        <v>150</v>
      </c>
      <c r="I6319" s="27" t="s">
        <v>29</v>
      </c>
      <c r="J6319" s="37">
        <v>45862</v>
      </c>
      <c r="K6319" s="27" t="s">
        <v>22</v>
      </c>
    </row>
    <row r="6320" spans="1:11" x14ac:dyDescent="0.2">
      <c r="A6320" s="24" t="s">
        <v>14934</v>
      </c>
      <c r="B6320" s="24" t="s">
        <v>14935</v>
      </c>
      <c r="C6320" s="24" t="s">
        <v>11288</v>
      </c>
      <c r="D6320" s="24" t="s">
        <v>17</v>
      </c>
      <c r="E6320" s="24" t="s">
        <v>48</v>
      </c>
      <c r="F6320" s="24" t="s">
        <v>49</v>
      </c>
      <c r="G6320" s="24" t="s">
        <v>28</v>
      </c>
      <c r="H6320" s="26">
        <v>28</v>
      </c>
      <c r="I6320" s="24" t="s">
        <v>29</v>
      </c>
      <c r="J6320" s="36">
        <v>45868</v>
      </c>
      <c r="K6320" s="24" t="s">
        <v>22</v>
      </c>
    </row>
    <row r="6321" spans="1:11" x14ac:dyDescent="0.2">
      <c r="A6321" s="27" t="s">
        <v>14936</v>
      </c>
      <c r="B6321" s="27" t="s">
        <v>14937</v>
      </c>
      <c r="C6321" s="27" t="s">
        <v>14938</v>
      </c>
      <c r="D6321" s="27" t="s">
        <v>17</v>
      </c>
      <c r="E6321" s="27" t="s">
        <v>42</v>
      </c>
      <c r="F6321" s="27" t="s">
        <v>43</v>
      </c>
      <c r="G6321" s="27" t="s">
        <v>217</v>
      </c>
      <c r="H6321" s="29">
        <v>195</v>
      </c>
      <c r="I6321" s="27" t="s">
        <v>29</v>
      </c>
      <c r="J6321" s="37">
        <v>45839</v>
      </c>
      <c r="K6321" s="27" t="s">
        <v>22</v>
      </c>
    </row>
    <row r="6322" spans="1:11" x14ac:dyDescent="0.2">
      <c r="A6322" s="24" t="s">
        <v>14939</v>
      </c>
      <c r="B6322" s="24" t="s">
        <v>14940</v>
      </c>
      <c r="C6322" s="24" t="s">
        <v>743</v>
      </c>
      <c r="D6322" s="24" t="s">
        <v>17</v>
      </c>
      <c r="E6322" s="24" t="s">
        <v>18</v>
      </c>
      <c r="F6322" s="24" t="s">
        <v>19</v>
      </c>
      <c r="G6322" s="24" t="s">
        <v>227</v>
      </c>
      <c r="H6322" s="26">
        <v>10</v>
      </c>
      <c r="I6322" s="24" t="s">
        <v>29</v>
      </c>
      <c r="J6322" s="36">
        <v>45848</v>
      </c>
      <c r="K6322" s="24" t="s">
        <v>22</v>
      </c>
    </row>
    <row r="6323" spans="1:11" x14ac:dyDescent="0.2">
      <c r="A6323" s="27" t="s">
        <v>14941</v>
      </c>
      <c r="B6323" s="27" t="s">
        <v>14942</v>
      </c>
      <c r="C6323" s="27" t="s">
        <v>14943</v>
      </c>
      <c r="D6323" s="27" t="s">
        <v>17</v>
      </c>
      <c r="E6323" s="27" t="s">
        <v>26</v>
      </c>
      <c r="F6323" s="27" t="s">
        <v>27</v>
      </c>
      <c r="G6323" s="27" t="s">
        <v>28</v>
      </c>
      <c r="H6323" s="29">
        <v>350</v>
      </c>
      <c r="I6323" s="27" t="s">
        <v>29</v>
      </c>
      <c r="J6323" s="37">
        <v>45849</v>
      </c>
      <c r="K6323" s="27" t="s">
        <v>22</v>
      </c>
    </row>
    <row r="6324" spans="1:11" x14ac:dyDescent="0.2">
      <c r="A6324" s="24" t="s">
        <v>14944</v>
      </c>
      <c r="B6324" s="24" t="s">
        <v>14945</v>
      </c>
      <c r="C6324" s="24" t="s">
        <v>1260</v>
      </c>
      <c r="D6324" s="24" t="s">
        <v>17</v>
      </c>
      <c r="E6324" s="24" t="s">
        <v>18</v>
      </c>
      <c r="F6324" s="24" t="s">
        <v>19</v>
      </c>
      <c r="G6324" s="24" t="s">
        <v>20</v>
      </c>
      <c r="H6324" s="26">
        <v>126</v>
      </c>
      <c r="I6324" s="24" t="s">
        <v>21</v>
      </c>
      <c r="J6324" s="36">
        <v>45845</v>
      </c>
      <c r="K6324" s="24" t="s">
        <v>22</v>
      </c>
    </row>
    <row r="6325" spans="1:11" x14ac:dyDescent="0.2">
      <c r="A6325" s="27" t="s">
        <v>14946</v>
      </c>
      <c r="B6325" s="27" t="s">
        <v>14947</v>
      </c>
      <c r="C6325" s="27" t="s">
        <v>251</v>
      </c>
      <c r="D6325" s="27" t="s">
        <v>17</v>
      </c>
      <c r="E6325" s="27" t="s">
        <v>18</v>
      </c>
      <c r="F6325" s="27" t="s">
        <v>19</v>
      </c>
      <c r="G6325" s="27" t="s">
        <v>20</v>
      </c>
      <c r="H6325" s="29">
        <v>16</v>
      </c>
      <c r="I6325" s="27" t="s">
        <v>21</v>
      </c>
      <c r="J6325" s="37">
        <v>45861</v>
      </c>
      <c r="K6325" s="27" t="s">
        <v>22</v>
      </c>
    </row>
    <row r="6326" spans="1:11" x14ac:dyDescent="0.2">
      <c r="A6326" s="24" t="s">
        <v>14948</v>
      </c>
      <c r="B6326" s="24" t="s">
        <v>14949</v>
      </c>
      <c r="C6326" s="24" t="s">
        <v>827</v>
      </c>
      <c r="D6326" s="24" t="s">
        <v>17</v>
      </c>
      <c r="E6326" s="24" t="s">
        <v>18</v>
      </c>
      <c r="F6326" s="24" t="s">
        <v>19</v>
      </c>
      <c r="G6326" s="24" t="s">
        <v>217</v>
      </c>
      <c r="H6326" s="26">
        <v>204</v>
      </c>
      <c r="I6326" s="24" t="s">
        <v>29</v>
      </c>
      <c r="J6326" s="36">
        <v>45839</v>
      </c>
      <c r="K6326" s="24" t="s">
        <v>22</v>
      </c>
    </row>
    <row r="6327" spans="1:11" x14ac:dyDescent="0.2">
      <c r="A6327" s="27" t="s">
        <v>14950</v>
      </c>
      <c r="B6327" s="27" t="s">
        <v>14951</v>
      </c>
      <c r="C6327" s="27" t="s">
        <v>1518</v>
      </c>
      <c r="D6327" s="27" t="s">
        <v>17</v>
      </c>
      <c r="E6327" s="27" t="s">
        <v>18</v>
      </c>
      <c r="F6327" s="27" t="s">
        <v>19</v>
      </c>
      <c r="G6327" s="27" t="s">
        <v>28</v>
      </c>
      <c r="H6327" s="29">
        <v>220</v>
      </c>
      <c r="I6327" s="27" t="s">
        <v>29</v>
      </c>
      <c r="J6327" s="37">
        <v>45840</v>
      </c>
      <c r="K6327" s="27" t="s">
        <v>22</v>
      </c>
    </row>
    <row r="6328" spans="1:11" x14ac:dyDescent="0.2">
      <c r="A6328" s="24" t="s">
        <v>14952</v>
      </c>
      <c r="B6328" s="24" t="s">
        <v>14953</v>
      </c>
      <c r="C6328" s="24" t="s">
        <v>2870</v>
      </c>
      <c r="D6328" s="24" t="s">
        <v>17</v>
      </c>
      <c r="E6328" s="24" t="s">
        <v>18</v>
      </c>
      <c r="F6328" s="24" t="s">
        <v>19</v>
      </c>
      <c r="G6328" s="24" t="s">
        <v>28</v>
      </c>
      <c r="H6328" s="26">
        <v>24</v>
      </c>
      <c r="I6328" s="24" t="s">
        <v>29</v>
      </c>
      <c r="J6328" s="36">
        <v>45841</v>
      </c>
      <c r="K6328" s="24" t="s">
        <v>22</v>
      </c>
    </row>
    <row r="6329" spans="1:11" x14ac:dyDescent="0.2">
      <c r="A6329" s="27" t="s">
        <v>14954</v>
      </c>
      <c r="B6329" s="27" t="s">
        <v>14955</v>
      </c>
      <c r="C6329" s="27" t="s">
        <v>55</v>
      </c>
      <c r="D6329" s="27" t="s">
        <v>17</v>
      </c>
      <c r="E6329" s="27" t="s">
        <v>42</v>
      </c>
      <c r="F6329" s="27" t="s">
        <v>43</v>
      </c>
      <c r="G6329" s="27" t="s">
        <v>28</v>
      </c>
      <c r="H6329" s="29">
        <v>4390</v>
      </c>
      <c r="I6329" s="27" t="s">
        <v>29</v>
      </c>
      <c r="J6329" s="37">
        <v>45869</v>
      </c>
      <c r="K6329" s="27" t="s">
        <v>22</v>
      </c>
    </row>
    <row r="6330" spans="1:11" x14ac:dyDescent="0.2">
      <c r="A6330" s="24" t="s">
        <v>14956</v>
      </c>
      <c r="B6330" s="24" t="s">
        <v>14957</v>
      </c>
      <c r="C6330" s="24" t="s">
        <v>14958</v>
      </c>
      <c r="D6330" s="24" t="s">
        <v>17</v>
      </c>
      <c r="E6330" s="24" t="s">
        <v>42</v>
      </c>
      <c r="F6330" s="24" t="s">
        <v>43</v>
      </c>
      <c r="G6330" s="24" t="s">
        <v>28</v>
      </c>
      <c r="H6330" s="26">
        <v>250</v>
      </c>
      <c r="I6330" s="24" t="s">
        <v>29</v>
      </c>
      <c r="J6330" s="36">
        <v>45868</v>
      </c>
      <c r="K6330" s="24" t="s">
        <v>22</v>
      </c>
    </row>
    <row r="6331" spans="1:11" x14ac:dyDescent="0.2">
      <c r="A6331" s="27" t="s">
        <v>14959</v>
      </c>
      <c r="B6331" s="27" t="s">
        <v>14960</v>
      </c>
      <c r="C6331" s="27" t="s">
        <v>9465</v>
      </c>
      <c r="D6331" s="27" t="s">
        <v>17</v>
      </c>
      <c r="E6331" s="27" t="s">
        <v>48</v>
      </c>
      <c r="F6331" s="27" t="s">
        <v>49</v>
      </c>
      <c r="G6331" s="27" t="s">
        <v>44</v>
      </c>
      <c r="H6331" s="29">
        <v>80</v>
      </c>
      <c r="I6331" s="27" t="s">
        <v>29</v>
      </c>
      <c r="J6331" s="37">
        <v>45856</v>
      </c>
      <c r="K6331" s="27" t="s">
        <v>22</v>
      </c>
    </row>
    <row r="6332" spans="1:11" x14ac:dyDescent="0.2">
      <c r="A6332" s="24" t="s">
        <v>14961</v>
      </c>
      <c r="B6332" s="24" t="s">
        <v>14962</v>
      </c>
      <c r="C6332" s="24" t="s">
        <v>12952</v>
      </c>
      <c r="D6332" s="24" t="s">
        <v>17</v>
      </c>
      <c r="E6332" s="24" t="s">
        <v>26</v>
      </c>
      <c r="F6332" s="24" t="s">
        <v>27</v>
      </c>
      <c r="G6332" s="24" t="s">
        <v>28</v>
      </c>
      <c r="H6332" s="26">
        <v>49</v>
      </c>
      <c r="I6332" s="24" t="s">
        <v>29</v>
      </c>
      <c r="J6332" s="36">
        <v>45866</v>
      </c>
      <c r="K6332" s="24" t="s">
        <v>22</v>
      </c>
    </row>
    <row r="6333" spans="1:11" x14ac:dyDescent="0.2">
      <c r="A6333" s="27" t="s">
        <v>14963</v>
      </c>
      <c r="B6333" s="27" t="s">
        <v>14964</v>
      </c>
      <c r="C6333" s="27" t="s">
        <v>2507</v>
      </c>
      <c r="D6333" s="27" t="s">
        <v>17</v>
      </c>
      <c r="E6333" s="27" t="s">
        <v>18</v>
      </c>
      <c r="F6333" s="27" t="s">
        <v>19</v>
      </c>
      <c r="G6333" s="27" t="s">
        <v>28</v>
      </c>
      <c r="H6333" s="29">
        <v>30</v>
      </c>
      <c r="I6333" s="27" t="s">
        <v>29</v>
      </c>
      <c r="J6333" s="37">
        <v>45856</v>
      </c>
      <c r="K6333" s="27" t="s">
        <v>22</v>
      </c>
    </row>
    <row r="6334" spans="1:11" x14ac:dyDescent="0.2">
      <c r="A6334" s="24" t="s">
        <v>14965</v>
      </c>
      <c r="B6334" s="24" t="s">
        <v>14966</v>
      </c>
      <c r="C6334" s="24" t="s">
        <v>2060</v>
      </c>
      <c r="D6334" s="24" t="s">
        <v>17</v>
      </c>
      <c r="E6334" s="24" t="s">
        <v>26</v>
      </c>
      <c r="F6334" s="24" t="s">
        <v>27</v>
      </c>
      <c r="G6334" s="24" t="s">
        <v>28</v>
      </c>
      <c r="H6334" s="26">
        <v>130</v>
      </c>
      <c r="I6334" s="24" t="s">
        <v>29</v>
      </c>
      <c r="J6334" s="36">
        <v>45851</v>
      </c>
      <c r="K6334" s="24" t="s">
        <v>22</v>
      </c>
    </row>
    <row r="6335" spans="1:11" x14ac:dyDescent="0.2">
      <c r="A6335" s="27" t="s">
        <v>14967</v>
      </c>
      <c r="B6335" s="27" t="s">
        <v>14968</v>
      </c>
      <c r="C6335" s="27" t="s">
        <v>1017</v>
      </c>
      <c r="D6335" s="27" t="s">
        <v>17</v>
      </c>
      <c r="E6335" s="27" t="s">
        <v>26</v>
      </c>
      <c r="F6335" s="27" t="s">
        <v>27</v>
      </c>
      <c r="G6335" s="27" t="s">
        <v>28</v>
      </c>
      <c r="H6335" s="29">
        <v>261</v>
      </c>
      <c r="I6335" s="27" t="s">
        <v>29</v>
      </c>
      <c r="J6335" s="37">
        <v>45859</v>
      </c>
      <c r="K6335" s="27" t="s">
        <v>22</v>
      </c>
    </row>
    <row r="6336" spans="1:11" x14ac:dyDescent="0.2">
      <c r="A6336" s="24" t="s">
        <v>14969</v>
      </c>
      <c r="B6336" s="24" t="s">
        <v>14970</v>
      </c>
      <c r="C6336" s="24" t="s">
        <v>14971</v>
      </c>
      <c r="D6336" s="24" t="s">
        <v>17</v>
      </c>
      <c r="E6336" s="24" t="s">
        <v>18</v>
      </c>
      <c r="F6336" s="24" t="s">
        <v>19</v>
      </c>
      <c r="G6336" s="24" t="s">
        <v>28</v>
      </c>
      <c r="H6336" s="26">
        <v>144</v>
      </c>
      <c r="I6336" s="24" t="s">
        <v>29</v>
      </c>
      <c r="J6336" s="36">
        <v>45861</v>
      </c>
      <c r="K6336" s="24" t="s">
        <v>22</v>
      </c>
    </row>
    <row r="6337" spans="1:11" x14ac:dyDescent="0.2">
      <c r="A6337" s="27" t="s">
        <v>14972</v>
      </c>
      <c r="B6337" s="27" t="s">
        <v>14973</v>
      </c>
      <c r="C6337" s="27" t="s">
        <v>746</v>
      </c>
      <c r="D6337" s="27" t="s">
        <v>17</v>
      </c>
      <c r="E6337" s="27" t="s">
        <v>42</v>
      </c>
      <c r="F6337" s="27" t="s">
        <v>43</v>
      </c>
      <c r="G6337" s="27" t="s">
        <v>44</v>
      </c>
      <c r="H6337" s="29">
        <v>87</v>
      </c>
      <c r="I6337" s="27" t="s">
        <v>21</v>
      </c>
      <c r="J6337" s="37">
        <v>45839</v>
      </c>
      <c r="K6337" s="27" t="s">
        <v>22</v>
      </c>
    </row>
    <row r="6338" spans="1:11" x14ac:dyDescent="0.2">
      <c r="A6338" s="24" t="s">
        <v>14974</v>
      </c>
      <c r="B6338" s="24" t="s">
        <v>14975</v>
      </c>
      <c r="C6338" s="24" t="s">
        <v>97</v>
      </c>
      <c r="D6338" s="24" t="s">
        <v>17</v>
      </c>
      <c r="E6338" s="24" t="s">
        <v>48</v>
      </c>
      <c r="F6338" s="24" t="s">
        <v>49</v>
      </c>
      <c r="G6338" s="24" t="s">
        <v>28</v>
      </c>
      <c r="H6338" s="26">
        <v>100</v>
      </c>
      <c r="I6338" s="24" t="s">
        <v>29</v>
      </c>
      <c r="J6338" s="36">
        <v>45855</v>
      </c>
      <c r="K6338" s="24" t="s">
        <v>22</v>
      </c>
    </row>
    <row r="6339" spans="1:11" x14ac:dyDescent="0.2">
      <c r="A6339" s="27" t="s">
        <v>14976</v>
      </c>
      <c r="B6339" s="27" t="s">
        <v>14977</v>
      </c>
      <c r="C6339" s="27" t="s">
        <v>251</v>
      </c>
      <c r="D6339" s="27" t="s">
        <v>17</v>
      </c>
      <c r="E6339" s="27" t="s">
        <v>48</v>
      </c>
      <c r="F6339" s="27" t="s">
        <v>49</v>
      </c>
      <c r="G6339" s="27" t="s">
        <v>28</v>
      </c>
      <c r="H6339" s="29">
        <v>130</v>
      </c>
      <c r="I6339" s="27" t="s">
        <v>29</v>
      </c>
      <c r="J6339" s="37">
        <v>45841</v>
      </c>
      <c r="K6339" s="27" t="s">
        <v>22</v>
      </c>
    </row>
    <row r="6340" spans="1:11" x14ac:dyDescent="0.2">
      <c r="A6340" s="24" t="s">
        <v>14978</v>
      </c>
      <c r="B6340" s="24" t="s">
        <v>14979</v>
      </c>
      <c r="C6340" s="24" t="s">
        <v>14980</v>
      </c>
      <c r="D6340" s="24" t="s">
        <v>17</v>
      </c>
      <c r="E6340" s="24" t="s">
        <v>18</v>
      </c>
      <c r="F6340" s="24" t="s">
        <v>19</v>
      </c>
      <c r="G6340" s="24" t="s">
        <v>28</v>
      </c>
      <c r="H6340" s="26">
        <v>22</v>
      </c>
      <c r="I6340" s="24" t="s">
        <v>29</v>
      </c>
      <c r="J6340" s="36">
        <v>45864</v>
      </c>
      <c r="K6340" s="24" t="s">
        <v>22</v>
      </c>
    </row>
    <row r="6341" spans="1:11" x14ac:dyDescent="0.2">
      <c r="A6341" s="27" t="s">
        <v>14981</v>
      </c>
      <c r="B6341" s="27" t="s">
        <v>14982</v>
      </c>
      <c r="C6341" s="27" t="s">
        <v>687</v>
      </c>
      <c r="D6341" s="27" t="s">
        <v>17</v>
      </c>
      <c r="E6341" s="27" t="s">
        <v>18</v>
      </c>
      <c r="F6341" s="27" t="s">
        <v>19</v>
      </c>
      <c r="G6341" s="27" t="s">
        <v>28</v>
      </c>
      <c r="H6341" s="29">
        <v>96</v>
      </c>
      <c r="I6341" s="27" t="s">
        <v>29</v>
      </c>
      <c r="J6341" s="37">
        <v>45839</v>
      </c>
      <c r="K6341" s="27" t="s">
        <v>22</v>
      </c>
    </row>
    <row r="6342" spans="1:11" x14ac:dyDescent="0.2">
      <c r="A6342" s="24" t="s">
        <v>14983</v>
      </c>
      <c r="B6342" s="24" t="s">
        <v>14984</v>
      </c>
      <c r="C6342" s="24" t="s">
        <v>1719</v>
      </c>
      <c r="D6342" s="24" t="s">
        <v>17</v>
      </c>
      <c r="E6342" s="24" t="s">
        <v>18</v>
      </c>
      <c r="F6342" s="24" t="s">
        <v>19</v>
      </c>
      <c r="G6342" s="24" t="s">
        <v>20</v>
      </c>
      <c r="H6342" s="26">
        <v>6</v>
      </c>
      <c r="I6342" s="24" t="s">
        <v>21</v>
      </c>
      <c r="J6342" s="36">
        <v>45845</v>
      </c>
      <c r="K6342" s="24" t="s">
        <v>22</v>
      </c>
    </row>
    <row r="6343" spans="1:11" x14ac:dyDescent="0.2">
      <c r="A6343" s="27" t="s">
        <v>14985</v>
      </c>
      <c r="B6343" s="27" t="s">
        <v>14986</v>
      </c>
      <c r="C6343" s="27" t="s">
        <v>14987</v>
      </c>
      <c r="D6343" s="27" t="s">
        <v>17</v>
      </c>
      <c r="E6343" s="27" t="s">
        <v>81</v>
      </c>
      <c r="F6343" s="27" t="s">
        <v>82</v>
      </c>
      <c r="G6343" s="27" t="s">
        <v>28</v>
      </c>
      <c r="H6343" s="29">
        <v>650</v>
      </c>
      <c r="I6343" s="27" t="s">
        <v>29</v>
      </c>
      <c r="J6343" s="37">
        <v>45853</v>
      </c>
      <c r="K6343" s="27" t="s">
        <v>22</v>
      </c>
    </row>
    <row r="6344" spans="1:11" x14ac:dyDescent="0.2">
      <c r="A6344" s="24" t="s">
        <v>14988</v>
      </c>
      <c r="B6344" s="24" t="s">
        <v>14989</v>
      </c>
      <c r="C6344" s="24" t="s">
        <v>71</v>
      </c>
      <c r="D6344" s="24" t="s">
        <v>17</v>
      </c>
      <c r="E6344" s="24" t="s">
        <v>26</v>
      </c>
      <c r="F6344" s="24" t="s">
        <v>27</v>
      </c>
      <c r="G6344" s="24" t="s">
        <v>217</v>
      </c>
      <c r="H6344" s="26">
        <v>212</v>
      </c>
      <c r="I6344" s="24" t="s">
        <v>29</v>
      </c>
      <c r="J6344" s="36">
        <v>45839</v>
      </c>
      <c r="K6344" s="24" t="s">
        <v>22</v>
      </c>
    </row>
    <row r="6345" spans="1:11" x14ac:dyDescent="0.2">
      <c r="A6345" s="27" t="s">
        <v>14990</v>
      </c>
      <c r="B6345" s="27" t="s">
        <v>14991</v>
      </c>
      <c r="C6345" s="27" t="s">
        <v>68</v>
      </c>
      <c r="D6345" s="27" t="s">
        <v>17</v>
      </c>
      <c r="E6345" s="27" t="s">
        <v>48</v>
      </c>
      <c r="F6345" s="27" t="s">
        <v>49</v>
      </c>
      <c r="G6345" s="27" t="s">
        <v>44</v>
      </c>
      <c r="H6345" s="29">
        <v>173</v>
      </c>
      <c r="I6345" s="27" t="s">
        <v>21</v>
      </c>
      <c r="J6345" s="37">
        <v>45854</v>
      </c>
      <c r="K6345" s="27" t="s">
        <v>22</v>
      </c>
    </row>
    <row r="6346" spans="1:11" x14ac:dyDescent="0.2">
      <c r="A6346" s="24" t="s">
        <v>14992</v>
      </c>
      <c r="B6346" s="24" t="s">
        <v>14993</v>
      </c>
      <c r="C6346" s="24" t="s">
        <v>14994</v>
      </c>
      <c r="D6346" s="24" t="s">
        <v>17</v>
      </c>
      <c r="E6346" s="24" t="s">
        <v>18</v>
      </c>
      <c r="F6346" s="24" t="s">
        <v>19</v>
      </c>
      <c r="G6346" s="24" t="s">
        <v>217</v>
      </c>
      <c r="H6346" s="26">
        <v>36</v>
      </c>
      <c r="I6346" s="24" t="s">
        <v>29</v>
      </c>
      <c r="J6346" s="36">
        <v>45868</v>
      </c>
      <c r="K6346" s="24" t="s">
        <v>22</v>
      </c>
    </row>
    <row r="6347" spans="1:11" x14ac:dyDescent="0.2">
      <c r="A6347" s="27" t="s">
        <v>14995</v>
      </c>
      <c r="B6347" s="27" t="s">
        <v>14996</v>
      </c>
      <c r="C6347" s="27" t="s">
        <v>5932</v>
      </c>
      <c r="D6347" s="27" t="s">
        <v>17</v>
      </c>
      <c r="E6347" s="27" t="s">
        <v>18</v>
      </c>
      <c r="F6347" s="27" t="s">
        <v>19</v>
      </c>
      <c r="G6347" s="27" t="s">
        <v>28</v>
      </c>
      <c r="H6347" s="29">
        <v>132</v>
      </c>
      <c r="I6347" s="27" t="s">
        <v>29</v>
      </c>
      <c r="J6347" s="37">
        <v>45854</v>
      </c>
      <c r="K6347" s="27" t="s">
        <v>22</v>
      </c>
    </row>
    <row r="6348" spans="1:11" x14ac:dyDescent="0.2">
      <c r="A6348" s="24" t="s">
        <v>14997</v>
      </c>
      <c r="B6348" s="24" t="s">
        <v>14998</v>
      </c>
      <c r="C6348" s="24" t="s">
        <v>301</v>
      </c>
      <c r="D6348" s="24" t="s">
        <v>17</v>
      </c>
      <c r="E6348" s="24" t="s">
        <v>18</v>
      </c>
      <c r="F6348" s="24" t="s">
        <v>19</v>
      </c>
      <c r="G6348" s="24" t="s">
        <v>28</v>
      </c>
      <c r="H6348" s="26">
        <v>140</v>
      </c>
      <c r="I6348" s="24" t="s">
        <v>29</v>
      </c>
      <c r="J6348" s="36">
        <v>45845</v>
      </c>
      <c r="K6348" s="24" t="s">
        <v>22</v>
      </c>
    </row>
    <row r="6349" spans="1:11" x14ac:dyDescent="0.2">
      <c r="A6349" s="27" t="s">
        <v>14999</v>
      </c>
      <c r="B6349" s="27" t="s">
        <v>15000</v>
      </c>
      <c r="C6349" s="27" t="s">
        <v>13313</v>
      </c>
      <c r="D6349" s="27" t="s">
        <v>17</v>
      </c>
      <c r="E6349" s="27" t="s">
        <v>18</v>
      </c>
      <c r="F6349" s="27" t="s">
        <v>19</v>
      </c>
      <c r="G6349" s="27" t="s">
        <v>44</v>
      </c>
      <c r="H6349" s="29">
        <v>50</v>
      </c>
      <c r="I6349" s="27" t="s">
        <v>29</v>
      </c>
      <c r="J6349" s="37">
        <v>45839</v>
      </c>
      <c r="K6349" s="27" t="s">
        <v>22</v>
      </c>
    </row>
    <row r="6350" spans="1:11" x14ac:dyDescent="0.2">
      <c r="A6350" s="24" t="s">
        <v>15001</v>
      </c>
      <c r="B6350" s="24" t="s">
        <v>15002</v>
      </c>
      <c r="C6350" s="24" t="s">
        <v>15003</v>
      </c>
      <c r="D6350" s="24" t="s">
        <v>17</v>
      </c>
      <c r="E6350" s="24" t="s">
        <v>18</v>
      </c>
      <c r="F6350" s="24" t="s">
        <v>19</v>
      </c>
      <c r="G6350" s="24" t="s">
        <v>217</v>
      </c>
      <c r="H6350" s="26">
        <v>12</v>
      </c>
      <c r="I6350" s="24" t="s">
        <v>29</v>
      </c>
      <c r="J6350" s="36">
        <v>45839</v>
      </c>
      <c r="K6350" s="24" t="s">
        <v>22</v>
      </c>
    </row>
    <row r="6351" spans="1:11" x14ac:dyDescent="0.2">
      <c r="A6351" s="27" t="s">
        <v>15004</v>
      </c>
      <c r="B6351" s="27" t="s">
        <v>15005</v>
      </c>
      <c r="C6351" s="27" t="s">
        <v>2331</v>
      </c>
      <c r="D6351" s="27" t="s">
        <v>17</v>
      </c>
      <c r="E6351" s="27" t="s">
        <v>42</v>
      </c>
      <c r="F6351" s="27" t="s">
        <v>43</v>
      </c>
      <c r="G6351" s="27" t="s">
        <v>44</v>
      </c>
      <c r="H6351" s="29">
        <v>760</v>
      </c>
      <c r="I6351" s="27" t="s">
        <v>29</v>
      </c>
      <c r="J6351" s="37">
        <v>45846</v>
      </c>
      <c r="K6351" s="27" t="s">
        <v>22</v>
      </c>
    </row>
    <row r="6352" spans="1:11" x14ac:dyDescent="0.2">
      <c r="A6352" s="24" t="s">
        <v>15006</v>
      </c>
      <c r="B6352" s="24" t="s">
        <v>15007</v>
      </c>
      <c r="C6352" s="24" t="s">
        <v>15008</v>
      </c>
      <c r="D6352" s="24" t="s">
        <v>17</v>
      </c>
      <c r="E6352" s="24" t="s">
        <v>163</v>
      </c>
      <c r="F6352" s="24" t="s">
        <v>164</v>
      </c>
      <c r="G6352" s="24" t="s">
        <v>28</v>
      </c>
      <c r="H6352" s="26">
        <v>29</v>
      </c>
      <c r="I6352" s="24" t="s">
        <v>29</v>
      </c>
      <c r="J6352" s="36">
        <v>45839</v>
      </c>
      <c r="K6352" s="24" t="s">
        <v>22</v>
      </c>
    </row>
    <row r="6353" spans="1:11" x14ac:dyDescent="0.2">
      <c r="A6353" s="27" t="s">
        <v>15009</v>
      </c>
      <c r="B6353" s="27" t="s">
        <v>15010</v>
      </c>
      <c r="C6353" s="27" t="s">
        <v>921</v>
      </c>
      <c r="D6353" s="27" t="s">
        <v>17</v>
      </c>
      <c r="E6353" s="27" t="s">
        <v>48</v>
      </c>
      <c r="F6353" s="27" t="s">
        <v>49</v>
      </c>
      <c r="G6353" s="27" t="s">
        <v>20</v>
      </c>
      <c r="H6353" s="29">
        <v>136</v>
      </c>
      <c r="I6353" s="27" t="s">
        <v>21</v>
      </c>
      <c r="J6353" s="37">
        <v>45869</v>
      </c>
      <c r="K6353" s="27" t="s">
        <v>22</v>
      </c>
    </row>
    <row r="6354" spans="1:11" x14ac:dyDescent="0.2">
      <c r="A6354" s="24" t="s">
        <v>15011</v>
      </c>
      <c r="B6354" s="24" t="s">
        <v>15012</v>
      </c>
      <c r="C6354" s="24" t="s">
        <v>5617</v>
      </c>
      <c r="D6354" s="24" t="s">
        <v>17</v>
      </c>
      <c r="E6354" s="24" t="s">
        <v>48</v>
      </c>
      <c r="F6354" s="24" t="s">
        <v>49</v>
      </c>
      <c r="G6354" s="24" t="s">
        <v>20</v>
      </c>
      <c r="H6354" s="26">
        <v>125</v>
      </c>
      <c r="I6354" s="24" t="s">
        <v>21</v>
      </c>
      <c r="J6354" s="36">
        <v>45841</v>
      </c>
      <c r="K6354" s="24" t="s">
        <v>22</v>
      </c>
    </row>
    <row r="6355" spans="1:11" x14ac:dyDescent="0.2">
      <c r="A6355" s="27" t="s">
        <v>15013</v>
      </c>
      <c r="B6355" s="27" t="s">
        <v>15014</v>
      </c>
      <c r="C6355" s="27" t="s">
        <v>1444</v>
      </c>
      <c r="D6355" s="27" t="s">
        <v>17</v>
      </c>
      <c r="E6355" s="27" t="s">
        <v>42</v>
      </c>
      <c r="F6355" s="27" t="s">
        <v>43</v>
      </c>
      <c r="G6355" s="27" t="s">
        <v>28</v>
      </c>
      <c r="H6355" s="29">
        <v>430</v>
      </c>
      <c r="I6355" s="27" t="s">
        <v>29</v>
      </c>
      <c r="J6355" s="37">
        <v>45856</v>
      </c>
      <c r="K6355" s="27" t="s">
        <v>22</v>
      </c>
    </row>
    <row r="6356" spans="1:11" x14ac:dyDescent="0.2">
      <c r="A6356" s="24" t="s">
        <v>15015</v>
      </c>
      <c r="B6356" s="24" t="s">
        <v>15016</v>
      </c>
      <c r="C6356" s="24" t="s">
        <v>1931</v>
      </c>
      <c r="D6356" s="24" t="s">
        <v>17</v>
      </c>
      <c r="E6356" s="24" t="s">
        <v>18</v>
      </c>
      <c r="F6356" s="24" t="s">
        <v>19</v>
      </c>
      <c r="G6356" s="24" t="s">
        <v>44</v>
      </c>
      <c r="H6356" s="26">
        <v>34</v>
      </c>
      <c r="I6356" s="24" t="s">
        <v>21</v>
      </c>
      <c r="J6356" s="36">
        <v>45857</v>
      </c>
      <c r="K6356" s="24" t="s">
        <v>22</v>
      </c>
    </row>
    <row r="6357" spans="1:11" x14ac:dyDescent="0.2">
      <c r="A6357" s="27" t="s">
        <v>15017</v>
      </c>
      <c r="B6357" s="27" t="s">
        <v>15018</v>
      </c>
      <c r="C6357" s="27" t="s">
        <v>526</v>
      </c>
      <c r="D6357" s="27" t="s">
        <v>17</v>
      </c>
      <c r="E6357" s="27" t="s">
        <v>18</v>
      </c>
      <c r="F6357" s="27" t="s">
        <v>19</v>
      </c>
      <c r="G6357" s="27" t="s">
        <v>28</v>
      </c>
      <c r="H6357" s="29">
        <v>104</v>
      </c>
      <c r="I6357" s="27" t="s">
        <v>29</v>
      </c>
      <c r="J6357" s="37">
        <v>45862</v>
      </c>
      <c r="K6357" s="27" t="s">
        <v>22</v>
      </c>
    </row>
    <row r="6358" spans="1:11" x14ac:dyDescent="0.2">
      <c r="A6358" s="24" t="s">
        <v>15019</v>
      </c>
      <c r="B6358" s="24" t="s">
        <v>15020</v>
      </c>
      <c r="C6358" s="24" t="s">
        <v>437</v>
      </c>
      <c r="D6358" s="24" t="s">
        <v>17</v>
      </c>
      <c r="E6358" s="24" t="s">
        <v>18</v>
      </c>
      <c r="F6358" s="24" t="s">
        <v>19</v>
      </c>
      <c r="G6358" s="24" t="s">
        <v>28</v>
      </c>
      <c r="H6358" s="26">
        <v>434</v>
      </c>
      <c r="I6358" s="24" t="s">
        <v>29</v>
      </c>
      <c r="J6358" s="36">
        <v>45869</v>
      </c>
      <c r="K6358" s="24" t="s">
        <v>22</v>
      </c>
    </row>
    <row r="6359" spans="1:11" x14ac:dyDescent="0.2">
      <c r="A6359" s="27" t="s">
        <v>15021</v>
      </c>
      <c r="B6359" s="27" t="s">
        <v>15022</v>
      </c>
      <c r="C6359" s="27" t="s">
        <v>1307</v>
      </c>
      <c r="D6359" s="27" t="s">
        <v>17</v>
      </c>
      <c r="E6359" s="27" t="s">
        <v>48</v>
      </c>
      <c r="F6359" s="27" t="s">
        <v>49</v>
      </c>
      <c r="G6359" s="27" t="s">
        <v>28</v>
      </c>
      <c r="H6359" s="29">
        <v>100</v>
      </c>
      <c r="I6359" s="27" t="s">
        <v>29</v>
      </c>
      <c r="J6359" s="37">
        <v>45847</v>
      </c>
      <c r="K6359" s="27" t="s">
        <v>22</v>
      </c>
    </row>
    <row r="6360" spans="1:11" x14ac:dyDescent="0.2">
      <c r="A6360" s="24" t="s">
        <v>15023</v>
      </c>
      <c r="B6360" s="24" t="s">
        <v>15024</v>
      </c>
      <c r="C6360" s="24" t="s">
        <v>1022</v>
      </c>
      <c r="D6360" s="24" t="s">
        <v>17</v>
      </c>
      <c r="E6360" s="24" t="s">
        <v>42</v>
      </c>
      <c r="F6360" s="24" t="s">
        <v>43</v>
      </c>
      <c r="G6360" s="24" t="s">
        <v>217</v>
      </c>
      <c r="H6360" s="26">
        <v>280</v>
      </c>
      <c r="I6360" s="24" t="s">
        <v>29</v>
      </c>
      <c r="J6360" s="36">
        <v>45839</v>
      </c>
      <c r="K6360" s="24" t="s">
        <v>22</v>
      </c>
    </row>
    <row r="6361" spans="1:11" x14ac:dyDescent="0.2">
      <c r="A6361" s="27" t="s">
        <v>15025</v>
      </c>
      <c r="B6361" s="27" t="s">
        <v>15026</v>
      </c>
      <c r="C6361" s="27" t="s">
        <v>1088</v>
      </c>
      <c r="D6361" s="27" t="s">
        <v>17</v>
      </c>
      <c r="E6361" s="27" t="s">
        <v>42</v>
      </c>
      <c r="F6361" s="27" t="s">
        <v>43</v>
      </c>
      <c r="G6361" s="27" t="s">
        <v>28</v>
      </c>
      <c r="H6361" s="29">
        <v>1250</v>
      </c>
      <c r="I6361" s="27" t="s">
        <v>29</v>
      </c>
      <c r="J6361" s="37">
        <v>45840</v>
      </c>
      <c r="K6361" s="27" t="s">
        <v>22</v>
      </c>
    </row>
    <row r="6362" spans="1:11" x14ac:dyDescent="0.2">
      <c r="A6362" s="24" t="s">
        <v>15027</v>
      </c>
      <c r="B6362" s="24" t="s">
        <v>15028</v>
      </c>
      <c r="C6362" s="24" t="s">
        <v>7261</v>
      </c>
      <c r="D6362" s="24" t="s">
        <v>17</v>
      </c>
      <c r="E6362" s="24" t="s">
        <v>48</v>
      </c>
      <c r="F6362" s="24" t="s">
        <v>49</v>
      </c>
      <c r="G6362" s="24" t="s">
        <v>20</v>
      </c>
      <c r="H6362" s="26">
        <v>343</v>
      </c>
      <c r="I6362" s="24" t="s">
        <v>21</v>
      </c>
      <c r="J6362" s="36">
        <v>45862</v>
      </c>
      <c r="K6362" s="24" t="s">
        <v>22</v>
      </c>
    </row>
    <row r="6363" spans="1:11" x14ac:dyDescent="0.2">
      <c r="A6363" s="27" t="s">
        <v>15029</v>
      </c>
      <c r="B6363" s="27" t="s">
        <v>15030</v>
      </c>
      <c r="C6363" s="27" t="s">
        <v>827</v>
      </c>
      <c r="D6363" s="27" t="s">
        <v>17</v>
      </c>
      <c r="E6363" s="27" t="s">
        <v>18</v>
      </c>
      <c r="F6363" s="27" t="s">
        <v>19</v>
      </c>
      <c r="G6363" s="27" t="s">
        <v>217</v>
      </c>
      <c r="H6363" s="29">
        <v>60</v>
      </c>
      <c r="I6363" s="27" t="s">
        <v>29</v>
      </c>
      <c r="J6363" s="37">
        <v>45860</v>
      </c>
      <c r="K6363" s="27" t="s">
        <v>22</v>
      </c>
    </row>
    <row r="6364" spans="1:11" x14ac:dyDescent="0.2">
      <c r="A6364" s="24" t="s">
        <v>15031</v>
      </c>
      <c r="B6364" s="24" t="s">
        <v>15032</v>
      </c>
      <c r="C6364" s="24" t="s">
        <v>208</v>
      </c>
      <c r="D6364" s="24" t="s">
        <v>17</v>
      </c>
      <c r="E6364" s="24" t="s">
        <v>26</v>
      </c>
      <c r="F6364" s="24" t="s">
        <v>27</v>
      </c>
      <c r="G6364" s="24" t="s">
        <v>28</v>
      </c>
      <c r="H6364" s="26">
        <v>32</v>
      </c>
      <c r="I6364" s="24" t="s">
        <v>29</v>
      </c>
      <c r="J6364" s="36">
        <v>45861</v>
      </c>
      <c r="K6364" s="24" t="s">
        <v>22</v>
      </c>
    </row>
    <row r="6365" spans="1:11" x14ac:dyDescent="0.2">
      <c r="A6365" s="27" t="s">
        <v>15033</v>
      </c>
      <c r="B6365" s="27" t="s">
        <v>15034</v>
      </c>
      <c r="C6365" s="27" t="s">
        <v>15035</v>
      </c>
      <c r="D6365" s="27" t="s">
        <v>17</v>
      </c>
      <c r="E6365" s="27" t="s">
        <v>48</v>
      </c>
      <c r="F6365" s="27" t="s">
        <v>49</v>
      </c>
      <c r="G6365" s="27" t="s">
        <v>28</v>
      </c>
      <c r="H6365" s="29">
        <v>63</v>
      </c>
      <c r="I6365" s="27" t="s">
        <v>29</v>
      </c>
      <c r="J6365" s="37">
        <v>45840</v>
      </c>
      <c r="K6365" s="27" t="s">
        <v>22</v>
      </c>
    </row>
    <row r="6366" spans="1:11" x14ac:dyDescent="0.2">
      <c r="A6366" s="24" t="s">
        <v>15036</v>
      </c>
      <c r="B6366" s="24" t="s">
        <v>15037</v>
      </c>
      <c r="C6366" s="24" t="s">
        <v>363</v>
      </c>
      <c r="D6366" s="24" t="s">
        <v>17</v>
      </c>
      <c r="E6366" s="24" t="s">
        <v>18</v>
      </c>
      <c r="F6366" s="24" t="s">
        <v>19</v>
      </c>
      <c r="G6366" s="24" t="s">
        <v>44</v>
      </c>
      <c r="H6366" s="26">
        <v>16</v>
      </c>
      <c r="I6366" s="24" t="s">
        <v>21</v>
      </c>
      <c r="J6366" s="36">
        <v>45868</v>
      </c>
      <c r="K6366" s="24" t="s">
        <v>22</v>
      </c>
    </row>
    <row r="6367" spans="1:11" x14ac:dyDescent="0.2">
      <c r="A6367" s="27" t="s">
        <v>15038</v>
      </c>
      <c r="B6367" s="27" t="s">
        <v>15039</v>
      </c>
      <c r="C6367" s="27" t="s">
        <v>2741</v>
      </c>
      <c r="D6367" s="27" t="s">
        <v>17</v>
      </c>
      <c r="E6367" s="27" t="s">
        <v>42</v>
      </c>
      <c r="F6367" s="27" t="s">
        <v>43</v>
      </c>
      <c r="G6367" s="27" t="s">
        <v>116</v>
      </c>
      <c r="H6367" s="29">
        <v>0</v>
      </c>
      <c r="I6367" s="27" t="s">
        <v>21</v>
      </c>
      <c r="J6367" s="37">
        <v>45839</v>
      </c>
      <c r="K6367" s="27" t="s">
        <v>22</v>
      </c>
    </row>
    <row r="6368" spans="1:11" x14ac:dyDescent="0.2">
      <c r="A6368" s="24" t="s">
        <v>15040</v>
      </c>
      <c r="B6368" s="24" t="s">
        <v>15041</v>
      </c>
      <c r="C6368" s="24" t="s">
        <v>6799</v>
      </c>
      <c r="D6368" s="24" t="s">
        <v>17</v>
      </c>
      <c r="E6368" s="24" t="s">
        <v>33</v>
      </c>
      <c r="F6368" s="24" t="s">
        <v>34</v>
      </c>
      <c r="G6368" s="24" t="s">
        <v>44</v>
      </c>
      <c r="H6368" s="26">
        <v>50</v>
      </c>
      <c r="I6368" s="24" t="s">
        <v>29</v>
      </c>
      <c r="J6368" s="36">
        <v>45847</v>
      </c>
      <c r="K6368" s="24" t="s">
        <v>22</v>
      </c>
    </row>
    <row r="6369" spans="1:11" x14ac:dyDescent="0.2">
      <c r="A6369" s="27" t="s">
        <v>15042</v>
      </c>
      <c r="B6369" s="27" t="s">
        <v>15043</v>
      </c>
      <c r="C6369" s="27" t="s">
        <v>7787</v>
      </c>
      <c r="D6369" s="27" t="s">
        <v>17</v>
      </c>
      <c r="E6369" s="27" t="s">
        <v>48</v>
      </c>
      <c r="F6369" s="27" t="s">
        <v>49</v>
      </c>
      <c r="G6369" s="27" t="s">
        <v>28</v>
      </c>
      <c r="H6369" s="29">
        <v>224</v>
      </c>
      <c r="I6369" s="27" t="s">
        <v>29</v>
      </c>
      <c r="J6369" s="37">
        <v>45863</v>
      </c>
      <c r="K6369" s="27" t="s">
        <v>22</v>
      </c>
    </row>
    <row r="6370" spans="1:11" x14ac:dyDescent="0.2">
      <c r="A6370" s="24" t="s">
        <v>15044</v>
      </c>
      <c r="B6370" s="24" t="s">
        <v>15045</v>
      </c>
      <c r="C6370" s="24" t="s">
        <v>15046</v>
      </c>
      <c r="D6370" s="24" t="s">
        <v>17</v>
      </c>
      <c r="E6370" s="24" t="s">
        <v>48</v>
      </c>
      <c r="F6370" s="24" t="s">
        <v>49</v>
      </c>
      <c r="G6370" s="24" t="s">
        <v>28</v>
      </c>
      <c r="H6370" s="26">
        <v>88</v>
      </c>
      <c r="I6370" s="24" t="s">
        <v>29</v>
      </c>
      <c r="J6370" s="36">
        <v>45867</v>
      </c>
      <c r="K6370" s="24" t="s">
        <v>22</v>
      </c>
    </row>
    <row r="6371" spans="1:11" x14ac:dyDescent="0.2">
      <c r="A6371" s="27" t="s">
        <v>15047</v>
      </c>
      <c r="B6371" s="27" t="s">
        <v>15048</v>
      </c>
      <c r="C6371" s="27" t="s">
        <v>146</v>
      </c>
      <c r="D6371" s="27" t="s">
        <v>17</v>
      </c>
      <c r="E6371" s="27" t="s">
        <v>42</v>
      </c>
      <c r="F6371" s="27" t="s">
        <v>43</v>
      </c>
      <c r="G6371" s="27" t="s">
        <v>44</v>
      </c>
      <c r="H6371" s="29">
        <v>226</v>
      </c>
      <c r="I6371" s="27" t="s">
        <v>21</v>
      </c>
      <c r="J6371" s="37">
        <v>45845</v>
      </c>
      <c r="K6371" s="27" t="s">
        <v>22</v>
      </c>
    </row>
    <row r="6372" spans="1:11" x14ac:dyDescent="0.2">
      <c r="A6372" s="24" t="s">
        <v>15049</v>
      </c>
      <c r="B6372" s="24" t="s">
        <v>15050</v>
      </c>
      <c r="C6372" s="24" t="s">
        <v>331</v>
      </c>
      <c r="D6372" s="24" t="s">
        <v>17</v>
      </c>
      <c r="E6372" s="24" t="s">
        <v>18</v>
      </c>
      <c r="F6372" s="24" t="s">
        <v>19</v>
      </c>
      <c r="G6372" s="24" t="s">
        <v>59</v>
      </c>
      <c r="H6372" s="26">
        <v>24</v>
      </c>
      <c r="I6372" s="24" t="s">
        <v>21</v>
      </c>
      <c r="J6372" s="36">
        <v>45866</v>
      </c>
      <c r="K6372" s="24" t="s">
        <v>22</v>
      </c>
    </row>
    <row r="6373" spans="1:11" x14ac:dyDescent="0.2">
      <c r="A6373" s="27" t="s">
        <v>15051</v>
      </c>
      <c r="B6373" s="27" t="s">
        <v>15052</v>
      </c>
      <c r="C6373" s="27" t="s">
        <v>1053</v>
      </c>
      <c r="D6373" s="27" t="s">
        <v>17</v>
      </c>
      <c r="E6373" s="27" t="s">
        <v>42</v>
      </c>
      <c r="F6373" s="27" t="s">
        <v>43</v>
      </c>
      <c r="G6373" s="27" t="s">
        <v>28</v>
      </c>
      <c r="H6373" s="29">
        <v>400</v>
      </c>
      <c r="I6373" s="27" t="s">
        <v>29</v>
      </c>
      <c r="J6373" s="37">
        <v>45866</v>
      </c>
      <c r="K6373" s="27" t="s">
        <v>22</v>
      </c>
    </row>
    <row r="6374" spans="1:11" x14ac:dyDescent="0.2">
      <c r="A6374" s="24" t="s">
        <v>15053</v>
      </c>
      <c r="B6374" s="24" t="s">
        <v>15054</v>
      </c>
      <c r="C6374" s="24" t="s">
        <v>220</v>
      </c>
      <c r="D6374" s="24" t="s">
        <v>17</v>
      </c>
      <c r="E6374" s="24" t="s">
        <v>48</v>
      </c>
      <c r="F6374" s="24" t="s">
        <v>49</v>
      </c>
      <c r="G6374" s="24" t="s">
        <v>28</v>
      </c>
      <c r="H6374" s="26">
        <v>70</v>
      </c>
      <c r="I6374" s="24" t="s">
        <v>29</v>
      </c>
      <c r="J6374" s="36">
        <v>45848</v>
      </c>
      <c r="K6374" s="24" t="s">
        <v>22</v>
      </c>
    </row>
    <row r="6375" spans="1:11" x14ac:dyDescent="0.2">
      <c r="A6375" s="27" t="s">
        <v>15055</v>
      </c>
      <c r="B6375" s="27" t="s">
        <v>15056</v>
      </c>
      <c r="C6375" s="27" t="s">
        <v>1083</v>
      </c>
      <c r="D6375" s="27" t="s">
        <v>17</v>
      </c>
      <c r="E6375" s="27" t="s">
        <v>18</v>
      </c>
      <c r="F6375" s="27" t="s">
        <v>19</v>
      </c>
      <c r="G6375" s="27" t="s">
        <v>44</v>
      </c>
      <c r="H6375" s="29">
        <v>24</v>
      </c>
      <c r="I6375" s="27" t="s">
        <v>21</v>
      </c>
      <c r="J6375" s="37">
        <v>45867</v>
      </c>
      <c r="K6375" s="27" t="s">
        <v>22</v>
      </c>
    </row>
    <row r="6376" spans="1:11" x14ac:dyDescent="0.2">
      <c r="A6376" s="24" t="s">
        <v>15057</v>
      </c>
      <c r="B6376" s="24" t="s">
        <v>15058</v>
      </c>
      <c r="C6376" s="24" t="s">
        <v>1257</v>
      </c>
      <c r="D6376" s="24" t="s">
        <v>17</v>
      </c>
      <c r="E6376" s="24" t="s">
        <v>18</v>
      </c>
      <c r="F6376" s="24" t="s">
        <v>19</v>
      </c>
      <c r="G6376" s="24" t="s">
        <v>28</v>
      </c>
      <c r="H6376" s="26">
        <v>364</v>
      </c>
      <c r="I6376" s="24" t="s">
        <v>29</v>
      </c>
      <c r="J6376" s="36">
        <v>45863</v>
      </c>
      <c r="K6376" s="24" t="s">
        <v>22</v>
      </c>
    </row>
    <row r="6377" spans="1:11" x14ac:dyDescent="0.2">
      <c r="A6377" s="27" t="s">
        <v>15059</v>
      </c>
      <c r="B6377" s="27" t="s">
        <v>15060</v>
      </c>
      <c r="C6377" s="27" t="s">
        <v>15061</v>
      </c>
      <c r="D6377" s="27" t="s">
        <v>17</v>
      </c>
      <c r="E6377" s="27" t="s">
        <v>18</v>
      </c>
      <c r="F6377" s="27" t="s">
        <v>19</v>
      </c>
      <c r="G6377" s="27" t="s">
        <v>28</v>
      </c>
      <c r="H6377" s="29">
        <v>60</v>
      </c>
      <c r="I6377" s="27" t="s">
        <v>29</v>
      </c>
      <c r="J6377" s="37">
        <v>45859</v>
      </c>
      <c r="K6377" s="27" t="s">
        <v>22</v>
      </c>
    </row>
    <row r="6378" spans="1:11" x14ac:dyDescent="0.2">
      <c r="A6378" s="24" t="s">
        <v>15062</v>
      </c>
      <c r="B6378" s="24" t="s">
        <v>15063</v>
      </c>
      <c r="C6378" s="24" t="s">
        <v>9855</v>
      </c>
      <c r="D6378" s="24" t="s">
        <v>17</v>
      </c>
      <c r="E6378" s="24" t="s">
        <v>18</v>
      </c>
      <c r="F6378" s="24" t="s">
        <v>19</v>
      </c>
      <c r="G6378" s="24" t="s">
        <v>44</v>
      </c>
      <c r="H6378" s="26">
        <v>24</v>
      </c>
      <c r="I6378" s="24" t="s">
        <v>29</v>
      </c>
      <c r="J6378" s="36">
        <v>45839</v>
      </c>
      <c r="K6378" s="24" t="s">
        <v>22</v>
      </c>
    </row>
    <row r="6379" spans="1:11" x14ac:dyDescent="0.2">
      <c r="A6379" s="27" t="s">
        <v>15064</v>
      </c>
      <c r="B6379" s="27" t="s">
        <v>15065</v>
      </c>
      <c r="C6379" s="27" t="s">
        <v>5791</v>
      </c>
      <c r="D6379" s="27" t="s">
        <v>17</v>
      </c>
      <c r="E6379" s="27" t="s">
        <v>48</v>
      </c>
      <c r="F6379" s="27" t="s">
        <v>49</v>
      </c>
      <c r="G6379" s="27" t="s">
        <v>20</v>
      </c>
      <c r="H6379" s="29">
        <v>42</v>
      </c>
      <c r="I6379" s="27" t="s">
        <v>21</v>
      </c>
      <c r="J6379" s="37">
        <v>45860</v>
      </c>
      <c r="K6379" s="27" t="s">
        <v>22</v>
      </c>
    </row>
    <row r="6380" spans="1:11" x14ac:dyDescent="0.2">
      <c r="A6380" s="24" t="s">
        <v>15066</v>
      </c>
      <c r="B6380" s="24" t="s">
        <v>15067</v>
      </c>
      <c r="C6380" s="24" t="s">
        <v>137</v>
      </c>
      <c r="D6380" s="24" t="s">
        <v>17</v>
      </c>
      <c r="E6380" s="24" t="s">
        <v>48</v>
      </c>
      <c r="F6380" s="24" t="s">
        <v>49</v>
      </c>
      <c r="G6380" s="24" t="s">
        <v>28</v>
      </c>
      <c r="H6380" s="26">
        <v>73</v>
      </c>
      <c r="I6380" s="24" t="s">
        <v>29</v>
      </c>
      <c r="J6380" s="36">
        <v>45856</v>
      </c>
      <c r="K6380" s="24" t="s">
        <v>22</v>
      </c>
    </row>
    <row r="6381" spans="1:11" x14ac:dyDescent="0.2">
      <c r="A6381" s="27" t="s">
        <v>15068</v>
      </c>
      <c r="B6381" s="27" t="s">
        <v>15069</v>
      </c>
      <c r="C6381" s="27" t="s">
        <v>154</v>
      </c>
      <c r="D6381" s="27" t="s">
        <v>17</v>
      </c>
      <c r="E6381" s="27" t="s">
        <v>48</v>
      </c>
      <c r="F6381" s="27" t="s">
        <v>49</v>
      </c>
      <c r="G6381" s="27" t="s">
        <v>28</v>
      </c>
      <c r="H6381" s="29">
        <v>60</v>
      </c>
      <c r="I6381" s="27" t="s">
        <v>29</v>
      </c>
      <c r="J6381" s="37">
        <v>45868</v>
      </c>
      <c r="K6381" s="27" t="s">
        <v>22</v>
      </c>
    </row>
    <row r="6382" spans="1:11" x14ac:dyDescent="0.2">
      <c r="A6382" s="24" t="s">
        <v>15070</v>
      </c>
      <c r="B6382" s="24" t="s">
        <v>15071</v>
      </c>
      <c r="C6382" s="24" t="s">
        <v>2331</v>
      </c>
      <c r="D6382" s="24" t="s">
        <v>17</v>
      </c>
      <c r="E6382" s="24" t="s">
        <v>26</v>
      </c>
      <c r="F6382" s="24" t="s">
        <v>27</v>
      </c>
      <c r="G6382" s="24" t="s">
        <v>28</v>
      </c>
      <c r="H6382" s="26">
        <v>482</v>
      </c>
      <c r="I6382" s="24" t="s">
        <v>29</v>
      </c>
      <c r="J6382" s="36">
        <v>45856</v>
      </c>
      <c r="K6382" s="24" t="s">
        <v>22</v>
      </c>
    </row>
    <row r="6383" spans="1:11" x14ac:dyDescent="0.2">
      <c r="A6383" s="27" t="s">
        <v>15072</v>
      </c>
      <c r="B6383" s="27" t="s">
        <v>15073</v>
      </c>
      <c r="C6383" s="27" t="s">
        <v>251</v>
      </c>
      <c r="D6383" s="27" t="s">
        <v>17</v>
      </c>
      <c r="E6383" s="27" t="s">
        <v>42</v>
      </c>
      <c r="F6383" s="27" t="s">
        <v>43</v>
      </c>
      <c r="G6383" s="27" t="s">
        <v>28</v>
      </c>
      <c r="H6383" s="29">
        <v>940</v>
      </c>
      <c r="I6383" s="27" t="s">
        <v>29</v>
      </c>
      <c r="J6383" s="37">
        <v>45839</v>
      </c>
      <c r="K6383" s="27" t="s">
        <v>22</v>
      </c>
    </row>
    <row r="6384" spans="1:11" x14ac:dyDescent="0.2">
      <c r="A6384" s="24" t="s">
        <v>15074</v>
      </c>
      <c r="B6384" s="24" t="s">
        <v>15075</v>
      </c>
      <c r="C6384" s="24" t="s">
        <v>208</v>
      </c>
      <c r="D6384" s="24" t="s">
        <v>17</v>
      </c>
      <c r="E6384" s="24" t="s">
        <v>48</v>
      </c>
      <c r="F6384" s="24" t="s">
        <v>49</v>
      </c>
      <c r="G6384" s="24" t="s">
        <v>28</v>
      </c>
      <c r="H6384" s="26">
        <v>99</v>
      </c>
      <c r="I6384" s="24" t="s">
        <v>29</v>
      </c>
      <c r="J6384" s="36">
        <v>45845</v>
      </c>
      <c r="K6384" s="24" t="s">
        <v>22</v>
      </c>
    </row>
    <row r="6385" spans="1:11" x14ac:dyDescent="0.2">
      <c r="A6385" s="27" t="s">
        <v>15076</v>
      </c>
      <c r="B6385" s="27" t="s">
        <v>15077</v>
      </c>
      <c r="C6385" s="27" t="s">
        <v>146</v>
      </c>
      <c r="D6385" s="27" t="s">
        <v>17</v>
      </c>
      <c r="E6385" s="27" t="s">
        <v>18</v>
      </c>
      <c r="F6385" s="27" t="s">
        <v>19</v>
      </c>
      <c r="G6385" s="27" t="s">
        <v>28</v>
      </c>
      <c r="H6385" s="29">
        <v>108</v>
      </c>
      <c r="I6385" s="27" t="s">
        <v>29</v>
      </c>
      <c r="J6385" s="37">
        <v>45869</v>
      </c>
      <c r="K6385" s="27" t="s">
        <v>22</v>
      </c>
    </row>
    <row r="6386" spans="1:11" x14ac:dyDescent="0.2">
      <c r="A6386" s="24" t="s">
        <v>15078</v>
      </c>
      <c r="B6386" s="24" t="s">
        <v>15079</v>
      </c>
      <c r="C6386" s="24" t="s">
        <v>715</v>
      </c>
      <c r="D6386" s="24" t="s">
        <v>17</v>
      </c>
      <c r="E6386" s="24" t="s">
        <v>48</v>
      </c>
      <c r="F6386" s="24" t="s">
        <v>49</v>
      </c>
      <c r="G6386" s="24" t="s">
        <v>20</v>
      </c>
      <c r="H6386" s="26">
        <v>10</v>
      </c>
      <c r="I6386" s="24" t="s">
        <v>21</v>
      </c>
      <c r="J6386" s="36">
        <v>45853</v>
      </c>
      <c r="K6386" s="24" t="s">
        <v>22</v>
      </c>
    </row>
    <row r="6387" spans="1:11" x14ac:dyDescent="0.2">
      <c r="A6387" s="27" t="s">
        <v>15080</v>
      </c>
      <c r="B6387" s="27" t="s">
        <v>15081</v>
      </c>
      <c r="C6387" s="27" t="s">
        <v>194</v>
      </c>
      <c r="D6387" s="27" t="s">
        <v>17</v>
      </c>
      <c r="E6387" s="27" t="s">
        <v>18</v>
      </c>
      <c r="F6387" s="27" t="s">
        <v>19</v>
      </c>
      <c r="G6387" s="27" t="s">
        <v>28</v>
      </c>
      <c r="H6387" s="29">
        <v>31</v>
      </c>
      <c r="I6387" s="27" t="s">
        <v>29</v>
      </c>
      <c r="J6387" s="37">
        <v>45868</v>
      </c>
      <c r="K6387" s="27" t="s">
        <v>22</v>
      </c>
    </row>
    <row r="6388" spans="1:11" x14ac:dyDescent="0.2">
      <c r="A6388" s="24" t="s">
        <v>15082</v>
      </c>
      <c r="B6388" s="24" t="s">
        <v>15083</v>
      </c>
      <c r="C6388" s="24" t="s">
        <v>134</v>
      </c>
      <c r="D6388" s="24" t="s">
        <v>17</v>
      </c>
      <c r="E6388" s="24" t="s">
        <v>42</v>
      </c>
      <c r="F6388" s="24" t="s">
        <v>43</v>
      </c>
      <c r="G6388" s="24" t="s">
        <v>217</v>
      </c>
      <c r="H6388" s="26">
        <v>1046</v>
      </c>
      <c r="I6388" s="24" t="s">
        <v>29</v>
      </c>
      <c r="J6388" s="36">
        <v>45869</v>
      </c>
      <c r="K6388" s="24" t="s">
        <v>22</v>
      </c>
    </row>
    <row r="6389" spans="1:11" x14ac:dyDescent="0.2">
      <c r="A6389" s="27" t="s">
        <v>15084</v>
      </c>
      <c r="B6389" s="27" t="s">
        <v>15085</v>
      </c>
      <c r="C6389" s="27" t="s">
        <v>3595</v>
      </c>
      <c r="D6389" s="27" t="s">
        <v>17</v>
      </c>
      <c r="E6389" s="27" t="s">
        <v>42</v>
      </c>
      <c r="F6389" s="27" t="s">
        <v>43</v>
      </c>
      <c r="G6389" s="27" t="s">
        <v>28</v>
      </c>
      <c r="H6389" s="29">
        <v>150</v>
      </c>
      <c r="I6389" s="27" t="s">
        <v>29</v>
      </c>
      <c r="J6389" s="37">
        <v>45854</v>
      </c>
      <c r="K6389" s="27" t="s">
        <v>22</v>
      </c>
    </row>
    <row r="6390" spans="1:11" x14ac:dyDescent="0.2">
      <c r="A6390" s="24" t="s">
        <v>15086</v>
      </c>
      <c r="B6390" s="24" t="s">
        <v>15087</v>
      </c>
      <c r="C6390" s="24" t="s">
        <v>2257</v>
      </c>
      <c r="D6390" s="24" t="s">
        <v>17</v>
      </c>
      <c r="E6390" s="24" t="s">
        <v>42</v>
      </c>
      <c r="F6390" s="24" t="s">
        <v>43</v>
      </c>
      <c r="G6390" s="24" t="s">
        <v>28</v>
      </c>
      <c r="H6390" s="26">
        <v>108</v>
      </c>
      <c r="I6390" s="24" t="s">
        <v>29</v>
      </c>
      <c r="J6390" s="36">
        <v>45860</v>
      </c>
      <c r="K6390" s="24" t="s">
        <v>22</v>
      </c>
    </row>
    <row r="6391" spans="1:11" x14ac:dyDescent="0.2">
      <c r="A6391" s="27" t="s">
        <v>15088</v>
      </c>
      <c r="B6391" s="27" t="s">
        <v>15089</v>
      </c>
      <c r="C6391" s="27" t="s">
        <v>3504</v>
      </c>
      <c r="D6391" s="27" t="s">
        <v>17</v>
      </c>
      <c r="E6391" s="27" t="s">
        <v>48</v>
      </c>
      <c r="F6391" s="27" t="s">
        <v>49</v>
      </c>
      <c r="G6391" s="27" t="s">
        <v>217</v>
      </c>
      <c r="H6391" s="29">
        <v>120</v>
      </c>
      <c r="I6391" s="27" t="s">
        <v>29</v>
      </c>
      <c r="J6391" s="37">
        <v>45866</v>
      </c>
      <c r="K6391" s="27" t="s">
        <v>22</v>
      </c>
    </row>
    <row r="6392" spans="1:11" x14ac:dyDescent="0.2">
      <c r="A6392" s="24" t="s">
        <v>15090</v>
      </c>
      <c r="B6392" s="24" t="s">
        <v>15091</v>
      </c>
      <c r="C6392" s="24" t="s">
        <v>354</v>
      </c>
      <c r="D6392" s="24" t="s">
        <v>17</v>
      </c>
      <c r="E6392" s="24" t="s">
        <v>18</v>
      </c>
      <c r="F6392" s="24" t="s">
        <v>19</v>
      </c>
      <c r="G6392" s="24" t="s">
        <v>44</v>
      </c>
      <c r="H6392" s="26">
        <v>74</v>
      </c>
      <c r="I6392" s="24" t="s">
        <v>21</v>
      </c>
      <c r="J6392" s="36">
        <v>45849</v>
      </c>
      <c r="K6392" s="24" t="s">
        <v>22</v>
      </c>
    </row>
    <row r="6393" spans="1:11" x14ac:dyDescent="0.2">
      <c r="A6393" s="27" t="s">
        <v>15092</v>
      </c>
      <c r="B6393" s="27" t="s">
        <v>15093</v>
      </c>
      <c r="C6393" s="27" t="s">
        <v>12358</v>
      </c>
      <c r="D6393" s="27" t="s">
        <v>17</v>
      </c>
      <c r="E6393" s="27" t="s">
        <v>33</v>
      </c>
      <c r="F6393" s="27" t="s">
        <v>34</v>
      </c>
      <c r="G6393" s="27" t="s">
        <v>44</v>
      </c>
      <c r="H6393" s="29">
        <v>600</v>
      </c>
      <c r="I6393" s="27" t="s">
        <v>29</v>
      </c>
      <c r="J6393" s="37">
        <v>45854</v>
      </c>
      <c r="K6393" s="27" t="s">
        <v>22</v>
      </c>
    </row>
    <row r="6394" spans="1:11" x14ac:dyDescent="0.2">
      <c r="A6394" s="24" t="s">
        <v>15094</v>
      </c>
      <c r="B6394" s="24" t="s">
        <v>15095</v>
      </c>
      <c r="C6394" s="24" t="s">
        <v>15096</v>
      </c>
      <c r="D6394" s="24" t="s">
        <v>17</v>
      </c>
      <c r="E6394" s="24" t="s">
        <v>48</v>
      </c>
      <c r="F6394" s="24" t="s">
        <v>49</v>
      </c>
      <c r="G6394" s="24" t="s">
        <v>28</v>
      </c>
      <c r="H6394" s="26">
        <v>95</v>
      </c>
      <c r="I6394" s="24" t="s">
        <v>29</v>
      </c>
      <c r="J6394" s="36">
        <v>45845</v>
      </c>
      <c r="K6394" s="24" t="s">
        <v>22</v>
      </c>
    </row>
    <row r="6395" spans="1:11" x14ac:dyDescent="0.2">
      <c r="A6395" s="27" t="s">
        <v>15097</v>
      </c>
      <c r="B6395" s="27" t="s">
        <v>15098</v>
      </c>
      <c r="C6395" s="27" t="s">
        <v>15099</v>
      </c>
      <c r="D6395" s="27" t="s">
        <v>17</v>
      </c>
      <c r="E6395" s="27" t="s">
        <v>18</v>
      </c>
      <c r="F6395" s="27" t="s">
        <v>19</v>
      </c>
      <c r="G6395" s="27" t="s">
        <v>28</v>
      </c>
      <c r="H6395" s="29">
        <v>48</v>
      </c>
      <c r="I6395" s="27" t="s">
        <v>29</v>
      </c>
      <c r="J6395" s="37">
        <v>45862</v>
      </c>
      <c r="K6395" s="27" t="s">
        <v>22</v>
      </c>
    </row>
    <row r="6396" spans="1:11" x14ac:dyDescent="0.2">
      <c r="A6396" s="24" t="s">
        <v>15100</v>
      </c>
      <c r="B6396" s="24" t="s">
        <v>15101</v>
      </c>
      <c r="C6396" s="24" t="s">
        <v>912</v>
      </c>
      <c r="D6396" s="24" t="s">
        <v>17</v>
      </c>
      <c r="E6396" s="24" t="s">
        <v>48</v>
      </c>
      <c r="F6396" s="24" t="s">
        <v>49</v>
      </c>
      <c r="G6396" s="24" t="s">
        <v>59</v>
      </c>
      <c r="H6396" s="26">
        <v>1</v>
      </c>
      <c r="I6396" s="24" t="s">
        <v>21</v>
      </c>
      <c r="J6396" s="36">
        <v>45863</v>
      </c>
      <c r="K6396" s="24" t="s">
        <v>22</v>
      </c>
    </row>
    <row r="6397" spans="1:11" x14ac:dyDescent="0.2">
      <c r="A6397" s="27" t="s">
        <v>15102</v>
      </c>
      <c r="B6397" s="27" t="s">
        <v>15103</v>
      </c>
      <c r="C6397" s="27" t="s">
        <v>1017</v>
      </c>
      <c r="D6397" s="27" t="s">
        <v>17</v>
      </c>
      <c r="E6397" s="27" t="s">
        <v>26</v>
      </c>
      <c r="F6397" s="27" t="s">
        <v>27</v>
      </c>
      <c r="G6397" s="27" t="s">
        <v>28</v>
      </c>
      <c r="H6397" s="29">
        <v>262</v>
      </c>
      <c r="I6397" s="27" t="s">
        <v>29</v>
      </c>
      <c r="J6397" s="37">
        <v>45860</v>
      </c>
      <c r="K6397" s="27" t="s">
        <v>22</v>
      </c>
    </row>
    <row r="6398" spans="1:11" x14ac:dyDescent="0.2">
      <c r="A6398" s="24" t="s">
        <v>15104</v>
      </c>
      <c r="B6398" s="24" t="s">
        <v>15105</v>
      </c>
      <c r="C6398" s="24" t="s">
        <v>2287</v>
      </c>
      <c r="D6398" s="24" t="s">
        <v>17</v>
      </c>
      <c r="E6398" s="24" t="s">
        <v>42</v>
      </c>
      <c r="F6398" s="24" t="s">
        <v>43</v>
      </c>
      <c r="G6398" s="24" t="s">
        <v>28</v>
      </c>
      <c r="H6398" s="26">
        <v>800</v>
      </c>
      <c r="I6398" s="24" t="s">
        <v>29</v>
      </c>
      <c r="J6398" s="36">
        <v>45849</v>
      </c>
      <c r="K6398" s="24" t="s">
        <v>22</v>
      </c>
    </row>
    <row r="6399" spans="1:11" x14ac:dyDescent="0.2">
      <c r="A6399" s="27" t="s">
        <v>15106</v>
      </c>
      <c r="B6399" s="27" t="s">
        <v>15107</v>
      </c>
      <c r="C6399" s="27" t="s">
        <v>5810</v>
      </c>
      <c r="D6399" s="27" t="s">
        <v>17</v>
      </c>
      <c r="E6399" s="27" t="s">
        <v>163</v>
      </c>
      <c r="F6399" s="27" t="s">
        <v>164</v>
      </c>
      <c r="G6399" s="27" t="s">
        <v>44</v>
      </c>
      <c r="H6399" s="29">
        <v>3</v>
      </c>
      <c r="I6399" s="27" t="s">
        <v>29</v>
      </c>
      <c r="J6399" s="37">
        <v>45858</v>
      </c>
      <c r="K6399" s="27" t="s">
        <v>22</v>
      </c>
    </row>
    <row r="6400" spans="1:11" x14ac:dyDescent="0.2">
      <c r="A6400" s="24" t="s">
        <v>15108</v>
      </c>
      <c r="B6400" s="24" t="s">
        <v>15109</v>
      </c>
      <c r="C6400" s="24" t="s">
        <v>382</v>
      </c>
      <c r="D6400" s="24" t="s">
        <v>17</v>
      </c>
      <c r="E6400" s="24" t="s">
        <v>48</v>
      </c>
      <c r="F6400" s="24" t="s">
        <v>49</v>
      </c>
      <c r="G6400" s="24" t="s">
        <v>28</v>
      </c>
      <c r="H6400" s="26">
        <v>89</v>
      </c>
      <c r="I6400" s="24" t="s">
        <v>29</v>
      </c>
      <c r="J6400" s="36">
        <v>45852</v>
      </c>
      <c r="K6400" s="24" t="s">
        <v>22</v>
      </c>
    </row>
    <row r="6401" spans="1:11" x14ac:dyDescent="0.2">
      <c r="A6401" s="27" t="s">
        <v>15110</v>
      </c>
      <c r="B6401" s="27" t="s">
        <v>15111</v>
      </c>
      <c r="C6401" s="27" t="s">
        <v>55</v>
      </c>
      <c r="D6401" s="27" t="s">
        <v>17</v>
      </c>
      <c r="E6401" s="27" t="s">
        <v>42</v>
      </c>
      <c r="F6401" s="27" t="s">
        <v>43</v>
      </c>
      <c r="G6401" s="27" t="s">
        <v>28</v>
      </c>
      <c r="H6401" s="29">
        <v>1000</v>
      </c>
      <c r="I6401" s="27" t="s">
        <v>29</v>
      </c>
      <c r="J6401" s="37">
        <v>45859</v>
      </c>
      <c r="K6401" s="27" t="s">
        <v>22</v>
      </c>
    </row>
    <row r="6402" spans="1:11" x14ac:dyDescent="0.2">
      <c r="A6402" s="24" t="s">
        <v>15112</v>
      </c>
      <c r="B6402" s="24" t="s">
        <v>15113</v>
      </c>
      <c r="C6402" s="24" t="s">
        <v>1041</v>
      </c>
      <c r="D6402" s="24" t="s">
        <v>17</v>
      </c>
      <c r="E6402" s="24" t="s">
        <v>48</v>
      </c>
      <c r="F6402" s="24" t="s">
        <v>49</v>
      </c>
      <c r="G6402" s="24" t="s">
        <v>44</v>
      </c>
      <c r="H6402" s="26">
        <v>195</v>
      </c>
      <c r="I6402" s="24" t="s">
        <v>29</v>
      </c>
      <c r="J6402" s="36">
        <v>45853</v>
      </c>
      <c r="K6402" s="24" t="s">
        <v>22</v>
      </c>
    </row>
    <row r="6403" spans="1:11" x14ac:dyDescent="0.2">
      <c r="A6403" s="27" t="s">
        <v>15114</v>
      </c>
      <c r="B6403" s="27" t="s">
        <v>15115</v>
      </c>
      <c r="C6403" s="27" t="s">
        <v>122</v>
      </c>
      <c r="D6403" s="27" t="s">
        <v>17</v>
      </c>
      <c r="E6403" s="27" t="s">
        <v>33</v>
      </c>
      <c r="F6403" s="27" t="s">
        <v>34</v>
      </c>
      <c r="G6403" s="27" t="s">
        <v>28</v>
      </c>
      <c r="H6403" s="29">
        <v>440</v>
      </c>
      <c r="I6403" s="27" t="s">
        <v>29</v>
      </c>
      <c r="J6403" s="37">
        <v>45859</v>
      </c>
      <c r="K6403" s="27" t="s">
        <v>22</v>
      </c>
    </row>
    <row r="6404" spans="1:11" x14ac:dyDescent="0.2">
      <c r="A6404" s="24" t="s">
        <v>15116</v>
      </c>
      <c r="B6404" s="24" t="s">
        <v>15117</v>
      </c>
      <c r="C6404" s="24" t="s">
        <v>388</v>
      </c>
      <c r="D6404" s="24" t="s">
        <v>17</v>
      </c>
      <c r="E6404" s="24" t="s">
        <v>81</v>
      </c>
      <c r="F6404" s="24" t="s">
        <v>82</v>
      </c>
      <c r="G6404" s="24" t="s">
        <v>20</v>
      </c>
      <c r="H6404" s="26">
        <v>228</v>
      </c>
      <c r="I6404" s="24" t="s">
        <v>21</v>
      </c>
      <c r="J6404" s="36">
        <v>45845</v>
      </c>
      <c r="K6404" s="24" t="s">
        <v>22</v>
      </c>
    </row>
    <row r="6405" spans="1:11" x14ac:dyDescent="0.2">
      <c r="A6405" s="27" t="s">
        <v>15118</v>
      </c>
      <c r="B6405" s="27" t="s">
        <v>15119</v>
      </c>
      <c r="C6405" s="27" t="s">
        <v>1199</v>
      </c>
      <c r="D6405" s="27" t="s">
        <v>17</v>
      </c>
      <c r="E6405" s="27" t="s">
        <v>48</v>
      </c>
      <c r="F6405" s="27" t="s">
        <v>49</v>
      </c>
      <c r="G6405" s="27" t="s">
        <v>28</v>
      </c>
      <c r="H6405" s="29">
        <v>200</v>
      </c>
      <c r="I6405" s="27" t="s">
        <v>29</v>
      </c>
      <c r="J6405" s="37">
        <v>45860</v>
      </c>
      <c r="K6405" s="27" t="s">
        <v>22</v>
      </c>
    </row>
    <row r="6406" spans="1:11" x14ac:dyDescent="0.2">
      <c r="A6406" s="24" t="s">
        <v>15120</v>
      </c>
      <c r="B6406" s="24" t="s">
        <v>15121</v>
      </c>
      <c r="C6406" s="24" t="s">
        <v>55</v>
      </c>
      <c r="D6406" s="24" t="s">
        <v>17</v>
      </c>
      <c r="E6406" s="24" t="s">
        <v>42</v>
      </c>
      <c r="F6406" s="24" t="s">
        <v>43</v>
      </c>
      <c r="G6406" s="24" t="s">
        <v>28</v>
      </c>
      <c r="H6406" s="26">
        <v>477</v>
      </c>
      <c r="I6406" s="24" t="s">
        <v>29</v>
      </c>
      <c r="J6406" s="36">
        <v>45854</v>
      </c>
      <c r="K6406" s="24" t="s">
        <v>22</v>
      </c>
    </row>
    <row r="6407" spans="1:11" x14ac:dyDescent="0.2">
      <c r="A6407" s="27" t="s">
        <v>15122</v>
      </c>
      <c r="B6407" s="27" t="s">
        <v>15123</v>
      </c>
      <c r="C6407" s="27" t="s">
        <v>6436</v>
      </c>
      <c r="D6407" s="27" t="s">
        <v>17</v>
      </c>
      <c r="E6407" s="27" t="s">
        <v>48</v>
      </c>
      <c r="F6407" s="27" t="s">
        <v>49</v>
      </c>
      <c r="G6407" s="27" t="s">
        <v>28</v>
      </c>
      <c r="H6407" s="29">
        <v>10</v>
      </c>
      <c r="I6407" s="27" t="s">
        <v>29</v>
      </c>
      <c r="J6407" s="37">
        <v>45854</v>
      </c>
      <c r="K6407" s="27" t="s">
        <v>22</v>
      </c>
    </row>
    <row r="6408" spans="1:11" x14ac:dyDescent="0.2">
      <c r="A6408" s="24" t="s">
        <v>15124</v>
      </c>
      <c r="B6408" s="24" t="s">
        <v>15125</v>
      </c>
      <c r="C6408" s="24" t="s">
        <v>1565</v>
      </c>
      <c r="D6408" s="24" t="s">
        <v>17</v>
      </c>
      <c r="E6408" s="24" t="s">
        <v>18</v>
      </c>
      <c r="F6408" s="24" t="s">
        <v>19</v>
      </c>
      <c r="G6408" s="24" t="s">
        <v>28</v>
      </c>
      <c r="H6408" s="26">
        <v>24</v>
      </c>
      <c r="I6408" s="24" t="s">
        <v>29</v>
      </c>
      <c r="J6408" s="36">
        <v>45845</v>
      </c>
      <c r="K6408" s="24" t="s">
        <v>22</v>
      </c>
    </row>
    <row r="6409" spans="1:11" x14ac:dyDescent="0.2">
      <c r="A6409" s="27" t="s">
        <v>15126</v>
      </c>
      <c r="B6409" s="27" t="s">
        <v>15127</v>
      </c>
      <c r="C6409" s="27" t="s">
        <v>526</v>
      </c>
      <c r="D6409" s="27" t="s">
        <v>17</v>
      </c>
      <c r="E6409" s="27" t="s">
        <v>18</v>
      </c>
      <c r="F6409" s="27" t="s">
        <v>19</v>
      </c>
      <c r="G6409" s="27" t="s">
        <v>28</v>
      </c>
      <c r="H6409" s="29">
        <v>120</v>
      </c>
      <c r="I6409" s="27" t="s">
        <v>29</v>
      </c>
      <c r="J6409" s="37">
        <v>45849</v>
      </c>
      <c r="K6409" s="27" t="s">
        <v>22</v>
      </c>
    </row>
    <row r="6410" spans="1:11" x14ac:dyDescent="0.2">
      <c r="A6410" s="24" t="s">
        <v>15128</v>
      </c>
      <c r="B6410" s="24" t="s">
        <v>15129</v>
      </c>
      <c r="C6410" s="24" t="s">
        <v>15130</v>
      </c>
      <c r="D6410" s="24" t="s">
        <v>17</v>
      </c>
      <c r="E6410" s="24" t="s">
        <v>18</v>
      </c>
      <c r="F6410" s="24" t="s">
        <v>19</v>
      </c>
      <c r="G6410" s="24" t="s">
        <v>28</v>
      </c>
      <c r="H6410" s="26">
        <v>14</v>
      </c>
      <c r="I6410" s="24" t="s">
        <v>29</v>
      </c>
      <c r="J6410" s="36">
        <v>45849</v>
      </c>
      <c r="K6410" s="24" t="s">
        <v>22</v>
      </c>
    </row>
    <row r="6411" spans="1:11" x14ac:dyDescent="0.2">
      <c r="A6411" s="27" t="s">
        <v>15131</v>
      </c>
      <c r="B6411" s="27" t="s">
        <v>15132</v>
      </c>
      <c r="C6411" s="27" t="s">
        <v>2507</v>
      </c>
      <c r="D6411" s="27" t="s">
        <v>17</v>
      </c>
      <c r="E6411" s="27" t="s">
        <v>18</v>
      </c>
      <c r="F6411" s="27" t="s">
        <v>19</v>
      </c>
      <c r="G6411" s="27" t="s">
        <v>28</v>
      </c>
      <c r="H6411" s="29">
        <v>96</v>
      </c>
      <c r="I6411" s="27" t="s">
        <v>29</v>
      </c>
      <c r="J6411" s="37">
        <v>45868</v>
      </c>
      <c r="K6411" s="27" t="s">
        <v>22</v>
      </c>
    </row>
    <row r="6412" spans="1:11" x14ac:dyDescent="0.2">
      <c r="A6412" s="24" t="s">
        <v>15133</v>
      </c>
      <c r="B6412" s="24" t="s">
        <v>15134</v>
      </c>
      <c r="C6412" s="24" t="s">
        <v>106</v>
      </c>
      <c r="D6412" s="24" t="s">
        <v>17</v>
      </c>
      <c r="E6412" s="24" t="s">
        <v>18</v>
      </c>
      <c r="F6412" s="24" t="s">
        <v>19</v>
      </c>
      <c r="G6412" s="24" t="s">
        <v>28</v>
      </c>
      <c r="H6412" s="26">
        <v>18</v>
      </c>
      <c r="I6412" s="24" t="s">
        <v>29</v>
      </c>
      <c r="J6412" s="36">
        <v>45867</v>
      </c>
      <c r="K6412" s="24" t="s">
        <v>22</v>
      </c>
    </row>
    <row r="6413" spans="1:11" x14ac:dyDescent="0.2">
      <c r="A6413" s="27" t="s">
        <v>15135</v>
      </c>
      <c r="B6413" s="27" t="s">
        <v>15136</v>
      </c>
      <c r="C6413" s="27" t="s">
        <v>15137</v>
      </c>
      <c r="D6413" s="27" t="s">
        <v>17</v>
      </c>
      <c r="E6413" s="27" t="s">
        <v>18</v>
      </c>
      <c r="F6413" s="27" t="s">
        <v>19</v>
      </c>
      <c r="G6413" s="27" t="s">
        <v>28</v>
      </c>
      <c r="H6413" s="29">
        <v>48</v>
      </c>
      <c r="I6413" s="27" t="s">
        <v>29</v>
      </c>
      <c r="J6413" s="37">
        <v>45848</v>
      </c>
      <c r="K6413" s="27" t="s">
        <v>22</v>
      </c>
    </row>
    <row r="6414" spans="1:11" x14ac:dyDescent="0.2">
      <c r="A6414" s="24" t="s">
        <v>15138</v>
      </c>
      <c r="B6414" s="24" t="s">
        <v>15139</v>
      </c>
      <c r="C6414" s="24" t="s">
        <v>9285</v>
      </c>
      <c r="D6414" s="24" t="s">
        <v>17</v>
      </c>
      <c r="E6414" s="24" t="s">
        <v>42</v>
      </c>
      <c r="F6414" s="24" t="s">
        <v>43</v>
      </c>
      <c r="G6414" s="24" t="s">
        <v>28</v>
      </c>
      <c r="H6414" s="26">
        <v>142</v>
      </c>
      <c r="I6414" s="24" t="s">
        <v>29</v>
      </c>
      <c r="J6414" s="36">
        <v>45839</v>
      </c>
      <c r="K6414" s="24" t="s">
        <v>22</v>
      </c>
    </row>
    <row r="6415" spans="1:11" x14ac:dyDescent="0.2">
      <c r="A6415" s="27" t="s">
        <v>15140</v>
      </c>
      <c r="B6415" s="27" t="s">
        <v>15141</v>
      </c>
      <c r="C6415" s="27" t="s">
        <v>1283</v>
      </c>
      <c r="D6415" s="27" t="s">
        <v>17</v>
      </c>
      <c r="E6415" s="27" t="s">
        <v>26</v>
      </c>
      <c r="F6415" s="27" t="s">
        <v>27</v>
      </c>
      <c r="G6415" s="27" t="s">
        <v>217</v>
      </c>
      <c r="H6415" s="29">
        <v>30</v>
      </c>
      <c r="I6415" s="27" t="s">
        <v>29</v>
      </c>
      <c r="J6415" s="37">
        <v>45866</v>
      </c>
      <c r="K6415" s="27" t="s">
        <v>22</v>
      </c>
    </row>
    <row r="6416" spans="1:11" x14ac:dyDescent="0.2">
      <c r="A6416" s="24" t="s">
        <v>15142</v>
      </c>
      <c r="B6416" s="24" t="s">
        <v>15143</v>
      </c>
      <c r="C6416" s="24" t="s">
        <v>85</v>
      </c>
      <c r="D6416" s="24" t="s">
        <v>17</v>
      </c>
      <c r="E6416" s="24" t="s">
        <v>81</v>
      </c>
      <c r="F6416" s="24" t="s">
        <v>82</v>
      </c>
      <c r="G6416" s="24" t="s">
        <v>44</v>
      </c>
      <c r="H6416" s="26">
        <v>102</v>
      </c>
      <c r="I6416" s="24" t="s">
        <v>21</v>
      </c>
      <c r="J6416" s="36">
        <v>45860</v>
      </c>
      <c r="K6416" s="24" t="s">
        <v>22</v>
      </c>
    </row>
    <row r="6417" spans="1:11" x14ac:dyDescent="0.2">
      <c r="A6417" s="27" t="s">
        <v>15144</v>
      </c>
      <c r="B6417" s="27" t="s">
        <v>15145</v>
      </c>
      <c r="C6417" s="27" t="s">
        <v>15146</v>
      </c>
      <c r="D6417" s="27" t="s">
        <v>17</v>
      </c>
      <c r="E6417" s="27" t="s">
        <v>26</v>
      </c>
      <c r="F6417" s="27" t="s">
        <v>27</v>
      </c>
      <c r="G6417" s="27" t="s">
        <v>28</v>
      </c>
      <c r="H6417" s="29">
        <v>9</v>
      </c>
      <c r="I6417" s="27" t="s">
        <v>29</v>
      </c>
      <c r="J6417" s="37">
        <v>45869</v>
      </c>
      <c r="K6417" s="27" t="s">
        <v>22</v>
      </c>
    </row>
    <row r="6418" spans="1:11" x14ac:dyDescent="0.2">
      <c r="A6418" s="24" t="s">
        <v>15147</v>
      </c>
      <c r="B6418" s="24" t="s">
        <v>15148</v>
      </c>
      <c r="C6418" s="24" t="s">
        <v>15149</v>
      </c>
      <c r="D6418" s="24" t="s">
        <v>17</v>
      </c>
      <c r="E6418" s="24" t="s">
        <v>33</v>
      </c>
      <c r="F6418" s="24" t="s">
        <v>34</v>
      </c>
      <c r="G6418" s="24" t="s">
        <v>28</v>
      </c>
      <c r="H6418" s="26">
        <v>8</v>
      </c>
      <c r="I6418" s="24" t="s">
        <v>29</v>
      </c>
      <c r="J6418" s="36">
        <v>45839</v>
      </c>
      <c r="K6418" s="24" t="s">
        <v>22</v>
      </c>
    </row>
    <row r="6419" spans="1:11" x14ac:dyDescent="0.2">
      <c r="A6419" s="27" t="s">
        <v>15150</v>
      </c>
      <c r="B6419" s="27" t="s">
        <v>15151</v>
      </c>
      <c r="C6419" s="27" t="s">
        <v>1147</v>
      </c>
      <c r="D6419" s="27" t="s">
        <v>17</v>
      </c>
      <c r="E6419" s="27" t="s">
        <v>42</v>
      </c>
      <c r="F6419" s="27" t="s">
        <v>43</v>
      </c>
      <c r="G6419" s="27" t="s">
        <v>28</v>
      </c>
      <c r="H6419" s="29">
        <v>300</v>
      </c>
      <c r="I6419" s="27" t="s">
        <v>29</v>
      </c>
      <c r="J6419" s="37">
        <v>45863</v>
      </c>
      <c r="K6419" s="27" t="s">
        <v>22</v>
      </c>
    </row>
    <row r="6420" spans="1:11" x14ac:dyDescent="0.2">
      <c r="A6420" s="24" t="s">
        <v>15152</v>
      </c>
      <c r="B6420" s="24" t="s">
        <v>15153</v>
      </c>
      <c r="C6420" s="24" t="s">
        <v>15154</v>
      </c>
      <c r="D6420" s="24" t="s">
        <v>17</v>
      </c>
      <c r="E6420" s="24" t="s">
        <v>48</v>
      </c>
      <c r="F6420" s="24" t="s">
        <v>49</v>
      </c>
      <c r="G6420" s="24" t="s">
        <v>217</v>
      </c>
      <c r="H6420" s="26">
        <v>40</v>
      </c>
      <c r="I6420" s="24" t="s">
        <v>29</v>
      </c>
      <c r="J6420" s="36">
        <v>45839</v>
      </c>
      <c r="K6420" s="24" t="s">
        <v>22</v>
      </c>
    </row>
    <row r="6421" spans="1:11" x14ac:dyDescent="0.2">
      <c r="A6421" s="27" t="s">
        <v>15155</v>
      </c>
      <c r="B6421" s="27" t="s">
        <v>15156</v>
      </c>
      <c r="C6421" s="27" t="s">
        <v>1883</v>
      </c>
      <c r="D6421" s="27" t="s">
        <v>17</v>
      </c>
      <c r="E6421" s="27" t="s">
        <v>42</v>
      </c>
      <c r="F6421" s="27" t="s">
        <v>43</v>
      </c>
      <c r="G6421" s="27" t="s">
        <v>28</v>
      </c>
      <c r="H6421" s="29">
        <v>800</v>
      </c>
      <c r="I6421" s="27" t="s">
        <v>29</v>
      </c>
      <c r="J6421" s="37">
        <v>45852</v>
      </c>
      <c r="K6421" s="27" t="s">
        <v>22</v>
      </c>
    </row>
    <row r="6422" spans="1:11" x14ac:dyDescent="0.2">
      <c r="A6422" s="24" t="s">
        <v>15157</v>
      </c>
      <c r="B6422" s="24" t="s">
        <v>15158</v>
      </c>
      <c r="C6422" s="24" t="s">
        <v>8740</v>
      </c>
      <c r="D6422" s="24" t="s">
        <v>17</v>
      </c>
      <c r="E6422" s="24" t="s">
        <v>18</v>
      </c>
      <c r="F6422" s="24" t="s">
        <v>19</v>
      </c>
      <c r="G6422" s="24" t="s">
        <v>28</v>
      </c>
      <c r="H6422" s="26">
        <v>45</v>
      </c>
      <c r="I6422" s="24" t="s">
        <v>29</v>
      </c>
      <c r="J6422" s="36">
        <v>45844</v>
      </c>
      <c r="K6422" s="24" t="s">
        <v>22</v>
      </c>
    </row>
    <row r="6423" spans="1:11" x14ac:dyDescent="0.2">
      <c r="A6423" s="27" t="s">
        <v>15159</v>
      </c>
      <c r="B6423" s="27" t="s">
        <v>15160</v>
      </c>
      <c r="C6423" s="27" t="s">
        <v>15161</v>
      </c>
      <c r="D6423" s="27" t="s">
        <v>17</v>
      </c>
      <c r="E6423" s="27" t="s">
        <v>18</v>
      </c>
      <c r="F6423" s="27" t="s">
        <v>19</v>
      </c>
      <c r="G6423" s="27" t="s">
        <v>28</v>
      </c>
      <c r="H6423" s="29">
        <v>32</v>
      </c>
      <c r="I6423" s="27" t="s">
        <v>29</v>
      </c>
      <c r="J6423" s="37">
        <v>45869</v>
      </c>
      <c r="K6423" s="27" t="s">
        <v>22</v>
      </c>
    </row>
    <row r="6424" spans="1:11" x14ac:dyDescent="0.2">
      <c r="A6424" s="24" t="s">
        <v>15162</v>
      </c>
      <c r="B6424" s="24" t="s">
        <v>15163</v>
      </c>
      <c r="C6424" s="24" t="s">
        <v>1083</v>
      </c>
      <c r="D6424" s="24" t="s">
        <v>17</v>
      </c>
      <c r="E6424" s="24" t="s">
        <v>81</v>
      </c>
      <c r="F6424" s="24" t="s">
        <v>82</v>
      </c>
      <c r="G6424" s="24" t="s">
        <v>20</v>
      </c>
      <c r="H6424" s="26">
        <v>104</v>
      </c>
      <c r="I6424" s="24" t="s">
        <v>21</v>
      </c>
      <c r="J6424" s="36">
        <v>45840</v>
      </c>
      <c r="K6424" s="24" t="s">
        <v>22</v>
      </c>
    </row>
    <row r="6425" spans="1:11" x14ac:dyDescent="0.2">
      <c r="A6425" s="27" t="s">
        <v>15164</v>
      </c>
      <c r="B6425" s="27" t="s">
        <v>15165</v>
      </c>
      <c r="C6425" s="27" t="s">
        <v>208</v>
      </c>
      <c r="D6425" s="27" t="s">
        <v>17</v>
      </c>
      <c r="E6425" s="27" t="s">
        <v>42</v>
      </c>
      <c r="F6425" s="27" t="s">
        <v>43</v>
      </c>
      <c r="G6425" s="27" t="s">
        <v>28</v>
      </c>
      <c r="H6425" s="29">
        <v>2440</v>
      </c>
      <c r="I6425" s="27" t="s">
        <v>29</v>
      </c>
      <c r="J6425" s="37">
        <v>45849</v>
      </c>
      <c r="K6425" s="27" t="s">
        <v>22</v>
      </c>
    </row>
    <row r="6426" spans="1:11" x14ac:dyDescent="0.2">
      <c r="A6426" s="24" t="s">
        <v>15166</v>
      </c>
      <c r="B6426" s="24" t="s">
        <v>15167</v>
      </c>
      <c r="C6426" s="24" t="s">
        <v>68</v>
      </c>
      <c r="D6426" s="24" t="s">
        <v>17</v>
      </c>
      <c r="E6426" s="24" t="s">
        <v>26</v>
      </c>
      <c r="F6426" s="24" t="s">
        <v>27</v>
      </c>
      <c r="G6426" s="24" t="s">
        <v>28</v>
      </c>
      <c r="H6426" s="26">
        <v>48</v>
      </c>
      <c r="I6426" s="24" t="s">
        <v>29</v>
      </c>
      <c r="J6426" s="36">
        <v>45848</v>
      </c>
      <c r="K6426" s="24" t="s">
        <v>22</v>
      </c>
    </row>
    <row r="6427" spans="1:11" x14ac:dyDescent="0.2">
      <c r="A6427" s="27" t="s">
        <v>15168</v>
      </c>
      <c r="B6427" s="27" t="s">
        <v>15169</v>
      </c>
      <c r="C6427" s="27" t="s">
        <v>11542</v>
      </c>
      <c r="D6427" s="27" t="s">
        <v>17</v>
      </c>
      <c r="E6427" s="27" t="s">
        <v>42</v>
      </c>
      <c r="F6427" s="27" t="s">
        <v>43</v>
      </c>
      <c r="G6427" s="27" t="s">
        <v>28</v>
      </c>
      <c r="H6427" s="29">
        <v>480</v>
      </c>
      <c r="I6427" s="27" t="s">
        <v>29</v>
      </c>
      <c r="J6427" s="37">
        <v>45860</v>
      </c>
      <c r="K6427" s="27" t="s">
        <v>22</v>
      </c>
    </row>
    <row r="6428" spans="1:11" x14ac:dyDescent="0.2">
      <c r="A6428" s="24" t="s">
        <v>15170</v>
      </c>
      <c r="B6428" s="24" t="s">
        <v>15171</v>
      </c>
      <c r="C6428" s="24" t="s">
        <v>14263</v>
      </c>
      <c r="D6428" s="24" t="s">
        <v>17</v>
      </c>
      <c r="E6428" s="24" t="s">
        <v>163</v>
      </c>
      <c r="F6428" s="24" t="s">
        <v>164</v>
      </c>
      <c r="G6428" s="24" t="s">
        <v>28</v>
      </c>
      <c r="H6428" s="26">
        <v>40</v>
      </c>
      <c r="I6428" s="24" t="s">
        <v>29</v>
      </c>
      <c r="J6428" s="36">
        <v>45863</v>
      </c>
      <c r="K6428" s="24" t="s">
        <v>22</v>
      </c>
    </row>
    <row r="6429" spans="1:11" x14ac:dyDescent="0.2">
      <c r="A6429" s="27" t="s">
        <v>15172</v>
      </c>
      <c r="B6429" s="27" t="s">
        <v>15173</v>
      </c>
      <c r="C6429" s="27" t="s">
        <v>194</v>
      </c>
      <c r="D6429" s="27" t="s">
        <v>17</v>
      </c>
      <c r="E6429" s="27" t="s">
        <v>48</v>
      </c>
      <c r="F6429" s="27" t="s">
        <v>49</v>
      </c>
      <c r="G6429" s="27" t="s">
        <v>28</v>
      </c>
      <c r="H6429" s="29">
        <v>260</v>
      </c>
      <c r="I6429" s="27" t="s">
        <v>29</v>
      </c>
      <c r="J6429" s="37">
        <v>45866</v>
      </c>
      <c r="K6429" s="27" t="s">
        <v>22</v>
      </c>
    </row>
    <row r="6430" spans="1:11" x14ac:dyDescent="0.2">
      <c r="A6430" s="24" t="s">
        <v>15174</v>
      </c>
      <c r="B6430" s="24" t="s">
        <v>15175</v>
      </c>
      <c r="C6430" s="24" t="s">
        <v>827</v>
      </c>
      <c r="D6430" s="24" t="s">
        <v>17</v>
      </c>
      <c r="E6430" s="24" t="s">
        <v>18</v>
      </c>
      <c r="F6430" s="24" t="s">
        <v>19</v>
      </c>
      <c r="G6430" s="24" t="s">
        <v>28</v>
      </c>
      <c r="H6430" s="26">
        <v>48</v>
      </c>
      <c r="I6430" s="24" t="s">
        <v>29</v>
      </c>
      <c r="J6430" s="36">
        <v>45840</v>
      </c>
      <c r="K6430" s="24" t="s">
        <v>22</v>
      </c>
    </row>
    <row r="6431" spans="1:11" x14ac:dyDescent="0.2">
      <c r="A6431" s="27" t="s">
        <v>15176</v>
      </c>
      <c r="B6431" s="27" t="s">
        <v>15177</v>
      </c>
      <c r="C6431" s="27" t="s">
        <v>134</v>
      </c>
      <c r="D6431" s="27" t="s">
        <v>17</v>
      </c>
      <c r="E6431" s="27" t="s">
        <v>42</v>
      </c>
      <c r="F6431" s="27" t="s">
        <v>43</v>
      </c>
      <c r="G6431" s="27" t="s">
        <v>28</v>
      </c>
      <c r="H6431" s="29">
        <v>352</v>
      </c>
      <c r="I6431" s="27" t="s">
        <v>29</v>
      </c>
      <c r="J6431" s="37">
        <v>45848</v>
      </c>
      <c r="K6431" s="27" t="s">
        <v>22</v>
      </c>
    </row>
    <row r="6432" spans="1:11" x14ac:dyDescent="0.2">
      <c r="A6432" s="24" t="s">
        <v>15178</v>
      </c>
      <c r="B6432" s="24" t="s">
        <v>15179</v>
      </c>
      <c r="C6432" s="24" t="s">
        <v>13316</v>
      </c>
      <c r="D6432" s="24" t="s">
        <v>17</v>
      </c>
      <c r="E6432" s="24" t="s">
        <v>42</v>
      </c>
      <c r="F6432" s="24" t="s">
        <v>43</v>
      </c>
      <c r="G6432" s="24" t="s">
        <v>28</v>
      </c>
      <c r="H6432" s="26">
        <v>360</v>
      </c>
      <c r="I6432" s="24" t="s">
        <v>29</v>
      </c>
      <c r="J6432" s="36">
        <v>45847</v>
      </c>
      <c r="K6432" s="24" t="s">
        <v>22</v>
      </c>
    </row>
    <row r="6433" spans="1:11" x14ac:dyDescent="0.2">
      <c r="A6433" s="27" t="s">
        <v>15180</v>
      </c>
      <c r="B6433" s="27" t="s">
        <v>15181</v>
      </c>
      <c r="C6433" s="27" t="s">
        <v>5824</v>
      </c>
      <c r="D6433" s="27" t="s">
        <v>17</v>
      </c>
      <c r="E6433" s="27" t="s">
        <v>81</v>
      </c>
      <c r="F6433" s="27" t="s">
        <v>82</v>
      </c>
      <c r="G6433" s="27" t="s">
        <v>28</v>
      </c>
      <c r="H6433" s="29">
        <v>120</v>
      </c>
      <c r="I6433" s="27" t="s">
        <v>29</v>
      </c>
      <c r="J6433" s="37">
        <v>45854</v>
      </c>
      <c r="K6433" s="27" t="s">
        <v>22</v>
      </c>
    </row>
    <row r="6434" spans="1:11" x14ac:dyDescent="0.2">
      <c r="A6434" s="24" t="s">
        <v>15182</v>
      </c>
      <c r="B6434" s="24" t="s">
        <v>15183</v>
      </c>
      <c r="C6434" s="24" t="s">
        <v>526</v>
      </c>
      <c r="D6434" s="24" t="s">
        <v>17</v>
      </c>
      <c r="E6434" s="24" t="s">
        <v>18</v>
      </c>
      <c r="F6434" s="24" t="s">
        <v>19</v>
      </c>
      <c r="G6434" s="24" t="s">
        <v>28</v>
      </c>
      <c r="H6434" s="26">
        <v>240</v>
      </c>
      <c r="I6434" s="24" t="s">
        <v>29</v>
      </c>
      <c r="J6434" s="36">
        <v>45866</v>
      </c>
      <c r="K6434" s="24" t="s">
        <v>22</v>
      </c>
    </row>
    <row r="6435" spans="1:11" x14ac:dyDescent="0.2">
      <c r="A6435" s="27" t="s">
        <v>15184</v>
      </c>
      <c r="B6435" s="27" t="s">
        <v>15185</v>
      </c>
      <c r="C6435" s="27" t="s">
        <v>13277</v>
      </c>
      <c r="D6435" s="27" t="s">
        <v>17</v>
      </c>
      <c r="E6435" s="27" t="s">
        <v>42</v>
      </c>
      <c r="F6435" s="27" t="s">
        <v>43</v>
      </c>
      <c r="G6435" s="27" t="s">
        <v>217</v>
      </c>
      <c r="H6435" s="29">
        <v>3000</v>
      </c>
      <c r="I6435" s="27" t="s">
        <v>29</v>
      </c>
      <c r="J6435" s="37">
        <v>45869</v>
      </c>
      <c r="K6435" s="27" t="s">
        <v>22</v>
      </c>
    </row>
    <row r="6436" spans="1:11" x14ac:dyDescent="0.2">
      <c r="A6436" s="24" t="s">
        <v>15186</v>
      </c>
      <c r="B6436" s="24" t="s">
        <v>15187</v>
      </c>
      <c r="C6436" s="24" t="s">
        <v>2309</v>
      </c>
      <c r="D6436" s="24" t="s">
        <v>17</v>
      </c>
      <c r="E6436" s="24" t="s">
        <v>48</v>
      </c>
      <c r="F6436" s="24" t="s">
        <v>49</v>
      </c>
      <c r="G6436" s="24" t="s">
        <v>217</v>
      </c>
      <c r="H6436" s="26">
        <v>162</v>
      </c>
      <c r="I6436" s="24" t="s">
        <v>29</v>
      </c>
      <c r="J6436" s="36">
        <v>45839</v>
      </c>
      <c r="K6436" s="24" t="s">
        <v>22</v>
      </c>
    </row>
    <row r="6437" spans="1:11" x14ac:dyDescent="0.2">
      <c r="A6437" s="27" t="s">
        <v>15188</v>
      </c>
      <c r="B6437" s="27" t="s">
        <v>15189</v>
      </c>
      <c r="C6437" s="27" t="s">
        <v>68</v>
      </c>
      <c r="D6437" s="27" t="s">
        <v>17</v>
      </c>
      <c r="E6437" s="27" t="s">
        <v>18</v>
      </c>
      <c r="F6437" s="27" t="s">
        <v>19</v>
      </c>
      <c r="G6437" s="27" t="s">
        <v>20</v>
      </c>
      <c r="H6437" s="29">
        <v>24</v>
      </c>
      <c r="I6437" s="27" t="s">
        <v>21</v>
      </c>
      <c r="J6437" s="37">
        <v>45853</v>
      </c>
      <c r="K6437" s="27" t="s">
        <v>22</v>
      </c>
    </row>
    <row r="6438" spans="1:11" x14ac:dyDescent="0.2">
      <c r="A6438" s="24" t="s">
        <v>15190</v>
      </c>
      <c r="B6438" s="24" t="s">
        <v>15191</v>
      </c>
      <c r="C6438" s="24" t="s">
        <v>15192</v>
      </c>
      <c r="D6438" s="24" t="s">
        <v>17</v>
      </c>
      <c r="E6438" s="24" t="s">
        <v>18</v>
      </c>
      <c r="F6438" s="24" t="s">
        <v>19</v>
      </c>
      <c r="G6438" s="24" t="s">
        <v>20</v>
      </c>
      <c r="H6438" s="26">
        <v>51</v>
      </c>
      <c r="I6438" s="24" t="s">
        <v>21</v>
      </c>
      <c r="J6438" s="36">
        <v>45852</v>
      </c>
      <c r="K6438" s="24" t="s">
        <v>22</v>
      </c>
    </row>
    <row r="6439" spans="1:11" x14ac:dyDescent="0.2">
      <c r="A6439" s="27" t="s">
        <v>15193</v>
      </c>
      <c r="B6439" s="27" t="s">
        <v>15194</v>
      </c>
      <c r="C6439" s="27" t="s">
        <v>792</v>
      </c>
      <c r="D6439" s="27" t="s">
        <v>17</v>
      </c>
      <c r="E6439" s="27" t="s">
        <v>18</v>
      </c>
      <c r="F6439" s="27" t="s">
        <v>19</v>
      </c>
      <c r="G6439" s="27" t="s">
        <v>28</v>
      </c>
      <c r="H6439" s="29">
        <v>76</v>
      </c>
      <c r="I6439" s="27" t="s">
        <v>29</v>
      </c>
      <c r="J6439" s="37">
        <v>45855</v>
      </c>
      <c r="K6439" s="27" t="s">
        <v>22</v>
      </c>
    </row>
    <row r="6440" spans="1:11" x14ac:dyDescent="0.2">
      <c r="A6440" s="24" t="s">
        <v>15195</v>
      </c>
      <c r="B6440" s="24" t="s">
        <v>15196</v>
      </c>
      <c r="C6440" s="24" t="s">
        <v>429</v>
      </c>
      <c r="D6440" s="24" t="s">
        <v>17</v>
      </c>
      <c r="E6440" s="24" t="s">
        <v>48</v>
      </c>
      <c r="F6440" s="24" t="s">
        <v>49</v>
      </c>
      <c r="G6440" s="24" t="s">
        <v>28</v>
      </c>
      <c r="H6440" s="26">
        <v>165</v>
      </c>
      <c r="I6440" s="24" t="s">
        <v>29</v>
      </c>
      <c r="J6440" s="36">
        <v>45839</v>
      </c>
      <c r="K6440" s="24" t="s">
        <v>22</v>
      </c>
    </row>
    <row r="6441" spans="1:11" x14ac:dyDescent="0.2">
      <c r="A6441" s="27" t="s">
        <v>15197</v>
      </c>
      <c r="B6441" s="27" t="s">
        <v>15198</v>
      </c>
      <c r="C6441" s="27" t="s">
        <v>15199</v>
      </c>
      <c r="D6441" s="27" t="s">
        <v>17</v>
      </c>
      <c r="E6441" s="27" t="s">
        <v>42</v>
      </c>
      <c r="F6441" s="27" t="s">
        <v>43</v>
      </c>
      <c r="G6441" s="27" t="s">
        <v>28</v>
      </c>
      <c r="H6441" s="29">
        <v>168</v>
      </c>
      <c r="I6441" s="27" t="s">
        <v>29</v>
      </c>
      <c r="J6441" s="37">
        <v>45856</v>
      </c>
      <c r="K6441" s="27" t="s">
        <v>22</v>
      </c>
    </row>
    <row r="6442" spans="1:11" x14ac:dyDescent="0.2">
      <c r="A6442" s="24" t="s">
        <v>15200</v>
      </c>
      <c r="B6442" s="24" t="s">
        <v>15201</v>
      </c>
      <c r="C6442" s="24" t="s">
        <v>3083</v>
      </c>
      <c r="D6442" s="24" t="s">
        <v>17</v>
      </c>
      <c r="E6442" s="24" t="s">
        <v>48</v>
      </c>
      <c r="F6442" s="24" t="s">
        <v>49</v>
      </c>
      <c r="G6442" s="24" t="s">
        <v>28</v>
      </c>
      <c r="H6442" s="26">
        <v>90</v>
      </c>
      <c r="I6442" s="24" t="s">
        <v>29</v>
      </c>
      <c r="J6442" s="36">
        <v>45847</v>
      </c>
      <c r="K6442" s="24" t="s">
        <v>22</v>
      </c>
    </row>
    <row r="6443" spans="1:11" x14ac:dyDescent="0.2">
      <c r="A6443" s="27" t="s">
        <v>15202</v>
      </c>
      <c r="B6443" s="27" t="s">
        <v>15203</v>
      </c>
      <c r="C6443" s="27" t="s">
        <v>2507</v>
      </c>
      <c r="D6443" s="27" t="s">
        <v>17</v>
      </c>
      <c r="E6443" s="27" t="s">
        <v>48</v>
      </c>
      <c r="F6443" s="27" t="s">
        <v>49</v>
      </c>
      <c r="G6443" s="27" t="s">
        <v>217</v>
      </c>
      <c r="H6443" s="29">
        <v>90</v>
      </c>
      <c r="I6443" s="27" t="s">
        <v>29</v>
      </c>
      <c r="J6443" s="37">
        <v>45839</v>
      </c>
      <c r="K6443" s="27" t="s">
        <v>22</v>
      </c>
    </row>
    <row r="6444" spans="1:11" x14ac:dyDescent="0.2">
      <c r="A6444" s="24" t="s">
        <v>15204</v>
      </c>
      <c r="B6444" s="24" t="s">
        <v>15205</v>
      </c>
      <c r="C6444" s="24" t="s">
        <v>15206</v>
      </c>
      <c r="D6444" s="24" t="s">
        <v>17</v>
      </c>
      <c r="E6444" s="24" t="s">
        <v>26</v>
      </c>
      <c r="F6444" s="24" t="s">
        <v>27</v>
      </c>
      <c r="G6444" s="24" t="s">
        <v>59</v>
      </c>
      <c r="H6444" s="26">
        <v>2</v>
      </c>
      <c r="I6444" s="24" t="s">
        <v>21</v>
      </c>
      <c r="J6444" s="36">
        <v>45839</v>
      </c>
      <c r="K6444" s="24" t="s">
        <v>22</v>
      </c>
    </row>
    <row r="6445" spans="1:11" x14ac:dyDescent="0.2">
      <c r="A6445" s="27" t="s">
        <v>15207</v>
      </c>
      <c r="B6445" s="27" t="s">
        <v>15208</v>
      </c>
      <c r="C6445" s="27" t="s">
        <v>55</v>
      </c>
      <c r="D6445" s="27" t="s">
        <v>17</v>
      </c>
      <c r="E6445" s="27" t="s">
        <v>26</v>
      </c>
      <c r="F6445" s="27" t="s">
        <v>27</v>
      </c>
      <c r="G6445" s="27" t="s">
        <v>28</v>
      </c>
      <c r="H6445" s="29">
        <v>298</v>
      </c>
      <c r="I6445" s="27" t="s">
        <v>29</v>
      </c>
      <c r="J6445" s="37">
        <v>45868</v>
      </c>
      <c r="K6445" s="27" t="s">
        <v>22</v>
      </c>
    </row>
    <row r="6446" spans="1:11" x14ac:dyDescent="0.2">
      <c r="A6446" s="24" t="s">
        <v>15209</v>
      </c>
      <c r="B6446" s="24" t="s">
        <v>15210</v>
      </c>
      <c r="C6446" s="24" t="s">
        <v>1110</v>
      </c>
      <c r="D6446" s="24" t="s">
        <v>17</v>
      </c>
      <c r="E6446" s="24" t="s">
        <v>81</v>
      </c>
      <c r="F6446" s="24" t="s">
        <v>82</v>
      </c>
      <c r="G6446" s="24" t="s">
        <v>28</v>
      </c>
      <c r="H6446" s="26">
        <v>350</v>
      </c>
      <c r="I6446" s="24" t="s">
        <v>29</v>
      </c>
      <c r="J6446" s="36">
        <v>45847</v>
      </c>
      <c r="K6446" s="24" t="s">
        <v>22</v>
      </c>
    </row>
    <row r="6447" spans="1:11" x14ac:dyDescent="0.2">
      <c r="A6447" s="27" t="s">
        <v>15211</v>
      </c>
      <c r="B6447" s="27" t="s">
        <v>15212</v>
      </c>
      <c r="C6447" s="27" t="s">
        <v>1425</v>
      </c>
      <c r="D6447" s="27" t="s">
        <v>17</v>
      </c>
      <c r="E6447" s="27" t="s">
        <v>18</v>
      </c>
      <c r="F6447" s="27" t="s">
        <v>19</v>
      </c>
      <c r="G6447" s="27" t="s">
        <v>28</v>
      </c>
      <c r="H6447" s="29">
        <v>252</v>
      </c>
      <c r="I6447" s="27" t="s">
        <v>29</v>
      </c>
      <c r="J6447" s="37">
        <v>45842</v>
      </c>
      <c r="K6447" s="27" t="s">
        <v>22</v>
      </c>
    </row>
    <row r="6448" spans="1:11" x14ac:dyDescent="0.2">
      <c r="A6448" s="24" t="s">
        <v>15213</v>
      </c>
      <c r="B6448" s="24" t="s">
        <v>15214</v>
      </c>
      <c r="C6448" s="24" t="s">
        <v>260</v>
      </c>
      <c r="D6448" s="24" t="s">
        <v>17</v>
      </c>
      <c r="E6448" s="24" t="s">
        <v>26</v>
      </c>
      <c r="F6448" s="24" t="s">
        <v>27</v>
      </c>
      <c r="G6448" s="24" t="s">
        <v>28</v>
      </c>
      <c r="H6448" s="26">
        <v>120</v>
      </c>
      <c r="I6448" s="24" t="s">
        <v>29</v>
      </c>
      <c r="J6448" s="36">
        <v>45841</v>
      </c>
      <c r="K6448" s="24" t="s">
        <v>22</v>
      </c>
    </row>
    <row r="6449" spans="1:11" x14ac:dyDescent="0.2">
      <c r="A6449" s="27" t="s">
        <v>15215</v>
      </c>
      <c r="B6449" s="27" t="s">
        <v>15216</v>
      </c>
      <c r="C6449" s="27" t="s">
        <v>106</v>
      </c>
      <c r="D6449" s="27" t="s">
        <v>17</v>
      </c>
      <c r="E6449" s="27" t="s">
        <v>18</v>
      </c>
      <c r="F6449" s="27" t="s">
        <v>19</v>
      </c>
      <c r="G6449" s="27" t="s">
        <v>20</v>
      </c>
      <c r="H6449" s="29">
        <v>16</v>
      </c>
      <c r="I6449" s="27" t="s">
        <v>21</v>
      </c>
      <c r="J6449" s="37">
        <v>45866</v>
      </c>
      <c r="K6449" s="27" t="s">
        <v>22</v>
      </c>
    </row>
    <row r="6450" spans="1:11" x14ac:dyDescent="0.2">
      <c r="A6450" s="24" t="s">
        <v>15217</v>
      </c>
      <c r="B6450" s="24" t="s">
        <v>15218</v>
      </c>
      <c r="C6450" s="24" t="s">
        <v>2355</v>
      </c>
      <c r="D6450" s="24" t="s">
        <v>17</v>
      </c>
      <c r="E6450" s="24" t="s">
        <v>33</v>
      </c>
      <c r="F6450" s="24" t="s">
        <v>34</v>
      </c>
      <c r="G6450" s="24" t="s">
        <v>28</v>
      </c>
      <c r="H6450" s="26">
        <v>22</v>
      </c>
      <c r="I6450" s="24" t="s">
        <v>29</v>
      </c>
      <c r="J6450" s="36">
        <v>45867</v>
      </c>
      <c r="K6450" s="24" t="s">
        <v>22</v>
      </c>
    </row>
    <row r="6451" spans="1:11" x14ac:dyDescent="0.2">
      <c r="A6451" s="27" t="s">
        <v>15219</v>
      </c>
      <c r="B6451" s="27" t="s">
        <v>15220</v>
      </c>
      <c r="C6451" s="27" t="s">
        <v>15221</v>
      </c>
      <c r="D6451" s="27" t="s">
        <v>17</v>
      </c>
      <c r="E6451" s="27" t="s">
        <v>42</v>
      </c>
      <c r="F6451" s="27" t="s">
        <v>43</v>
      </c>
      <c r="G6451" s="27" t="s">
        <v>28</v>
      </c>
      <c r="H6451" s="29">
        <v>526</v>
      </c>
      <c r="I6451" s="27" t="s">
        <v>29</v>
      </c>
      <c r="J6451" s="37">
        <v>45862</v>
      </c>
      <c r="K6451" s="27" t="s">
        <v>22</v>
      </c>
    </row>
    <row r="6452" spans="1:11" x14ac:dyDescent="0.2">
      <c r="A6452" s="24" t="s">
        <v>15222</v>
      </c>
      <c r="B6452" s="24" t="s">
        <v>15223</v>
      </c>
      <c r="C6452" s="24" t="s">
        <v>3048</v>
      </c>
      <c r="D6452" s="24" t="s">
        <v>17</v>
      </c>
      <c r="E6452" s="24" t="s">
        <v>18</v>
      </c>
      <c r="F6452" s="24" t="s">
        <v>19</v>
      </c>
      <c r="G6452" s="24" t="s">
        <v>28</v>
      </c>
      <c r="H6452" s="26">
        <v>52</v>
      </c>
      <c r="I6452" s="24" t="s">
        <v>29</v>
      </c>
      <c r="J6452" s="36">
        <v>45853</v>
      </c>
      <c r="K6452" s="24" t="s">
        <v>22</v>
      </c>
    </row>
    <row r="6453" spans="1:11" x14ac:dyDescent="0.2">
      <c r="A6453" s="27" t="s">
        <v>15224</v>
      </c>
      <c r="B6453" s="27" t="s">
        <v>15225</v>
      </c>
      <c r="C6453" s="27" t="s">
        <v>5710</v>
      </c>
      <c r="D6453" s="27" t="s">
        <v>17</v>
      </c>
      <c r="E6453" s="27" t="s">
        <v>42</v>
      </c>
      <c r="F6453" s="27" t="s">
        <v>43</v>
      </c>
      <c r="G6453" s="27" t="s">
        <v>28</v>
      </c>
      <c r="H6453" s="29">
        <v>450</v>
      </c>
      <c r="I6453" s="27" t="s">
        <v>29</v>
      </c>
      <c r="J6453" s="37">
        <v>45855</v>
      </c>
      <c r="K6453" s="27" t="s">
        <v>22</v>
      </c>
    </row>
    <row r="6454" spans="1:11" x14ac:dyDescent="0.2">
      <c r="A6454" s="24" t="s">
        <v>15226</v>
      </c>
      <c r="B6454" s="24" t="s">
        <v>15227</v>
      </c>
      <c r="C6454" s="24" t="s">
        <v>921</v>
      </c>
      <c r="D6454" s="24" t="s">
        <v>17</v>
      </c>
      <c r="E6454" s="24" t="s">
        <v>18</v>
      </c>
      <c r="F6454" s="24" t="s">
        <v>19</v>
      </c>
      <c r="G6454" s="24" t="s">
        <v>28</v>
      </c>
      <c r="H6454" s="26">
        <v>216</v>
      </c>
      <c r="I6454" s="24" t="s">
        <v>29</v>
      </c>
      <c r="J6454" s="36">
        <v>45853</v>
      </c>
      <c r="K6454" s="24" t="s">
        <v>22</v>
      </c>
    </row>
    <row r="6455" spans="1:11" x14ac:dyDescent="0.2">
      <c r="A6455" s="27" t="s">
        <v>15228</v>
      </c>
      <c r="B6455" s="27" t="s">
        <v>15229</v>
      </c>
      <c r="C6455" s="27" t="s">
        <v>15230</v>
      </c>
      <c r="D6455" s="27" t="s">
        <v>17</v>
      </c>
      <c r="E6455" s="27" t="s">
        <v>18</v>
      </c>
      <c r="F6455" s="27" t="s">
        <v>19</v>
      </c>
      <c r="G6455" s="27" t="s">
        <v>217</v>
      </c>
      <c r="H6455" s="29">
        <v>42</v>
      </c>
      <c r="I6455" s="27" t="s">
        <v>29</v>
      </c>
      <c r="J6455" s="37">
        <v>45839</v>
      </c>
      <c r="K6455" s="27" t="s">
        <v>22</v>
      </c>
    </row>
    <row r="6456" spans="1:11" x14ac:dyDescent="0.2">
      <c r="A6456" s="24" t="s">
        <v>15231</v>
      </c>
      <c r="B6456" s="24" t="s">
        <v>15232</v>
      </c>
      <c r="C6456" s="24" t="s">
        <v>251</v>
      </c>
      <c r="D6456" s="24" t="s">
        <v>17</v>
      </c>
      <c r="E6456" s="24" t="s">
        <v>42</v>
      </c>
      <c r="F6456" s="24" t="s">
        <v>43</v>
      </c>
      <c r="G6456" s="24" t="s">
        <v>28</v>
      </c>
      <c r="H6456" s="26">
        <v>400</v>
      </c>
      <c r="I6456" s="24" t="s">
        <v>29</v>
      </c>
      <c r="J6456" s="36">
        <v>45849</v>
      </c>
      <c r="K6456" s="24" t="s">
        <v>22</v>
      </c>
    </row>
    <row r="6457" spans="1:11" x14ac:dyDescent="0.2">
      <c r="A6457" s="27" t="s">
        <v>15233</v>
      </c>
      <c r="B6457" s="27" t="s">
        <v>15234</v>
      </c>
      <c r="C6457" s="27" t="s">
        <v>827</v>
      </c>
      <c r="D6457" s="27" t="s">
        <v>17</v>
      </c>
      <c r="E6457" s="27" t="s">
        <v>48</v>
      </c>
      <c r="F6457" s="27" t="s">
        <v>49</v>
      </c>
      <c r="G6457" s="27" t="s">
        <v>28</v>
      </c>
      <c r="H6457" s="29">
        <v>100</v>
      </c>
      <c r="I6457" s="27" t="s">
        <v>29</v>
      </c>
      <c r="J6457" s="37">
        <v>45856</v>
      </c>
      <c r="K6457" s="27" t="s">
        <v>22</v>
      </c>
    </row>
    <row r="6458" spans="1:11" x14ac:dyDescent="0.2">
      <c r="A6458" s="24" t="s">
        <v>15235</v>
      </c>
      <c r="B6458" s="24" t="s">
        <v>15236</v>
      </c>
      <c r="C6458" s="24" t="s">
        <v>134</v>
      </c>
      <c r="D6458" s="24" t="s">
        <v>17</v>
      </c>
      <c r="E6458" s="24" t="s">
        <v>42</v>
      </c>
      <c r="F6458" s="24" t="s">
        <v>43</v>
      </c>
      <c r="G6458" s="24" t="s">
        <v>28</v>
      </c>
      <c r="H6458" s="26">
        <v>586</v>
      </c>
      <c r="I6458" s="24" t="s">
        <v>29</v>
      </c>
      <c r="J6458" s="36">
        <v>45859</v>
      </c>
      <c r="K6458" s="24" t="s">
        <v>22</v>
      </c>
    </row>
    <row r="6459" spans="1:11" x14ac:dyDescent="0.2">
      <c r="A6459" s="27" t="s">
        <v>15237</v>
      </c>
      <c r="B6459" s="27" t="s">
        <v>15238</v>
      </c>
      <c r="C6459" s="27" t="s">
        <v>1435</v>
      </c>
      <c r="D6459" s="27" t="s">
        <v>17</v>
      </c>
      <c r="E6459" s="27" t="s">
        <v>48</v>
      </c>
      <c r="F6459" s="27" t="s">
        <v>49</v>
      </c>
      <c r="G6459" s="27" t="s">
        <v>217</v>
      </c>
      <c r="H6459" s="29">
        <v>115</v>
      </c>
      <c r="I6459" s="27" t="s">
        <v>29</v>
      </c>
      <c r="J6459" s="37">
        <v>45846</v>
      </c>
      <c r="K6459" s="27" t="s">
        <v>22</v>
      </c>
    </row>
    <row r="6460" spans="1:11" x14ac:dyDescent="0.2">
      <c r="A6460" s="24" t="s">
        <v>15239</v>
      </c>
      <c r="B6460" s="24" t="s">
        <v>15240</v>
      </c>
      <c r="C6460" s="24" t="s">
        <v>15241</v>
      </c>
      <c r="D6460" s="24" t="s">
        <v>17</v>
      </c>
      <c r="E6460" s="24" t="s">
        <v>18</v>
      </c>
      <c r="F6460" s="24" t="s">
        <v>19</v>
      </c>
      <c r="G6460" s="24" t="s">
        <v>217</v>
      </c>
      <c r="H6460" s="26">
        <v>150</v>
      </c>
      <c r="I6460" s="24" t="s">
        <v>29</v>
      </c>
      <c r="J6460" s="36">
        <v>45839</v>
      </c>
      <c r="K6460" s="24" t="s">
        <v>22</v>
      </c>
    </row>
    <row r="6461" spans="1:11" x14ac:dyDescent="0.2">
      <c r="A6461" s="27" t="s">
        <v>15242</v>
      </c>
      <c r="B6461" s="27" t="s">
        <v>15243</v>
      </c>
      <c r="C6461" s="27" t="s">
        <v>1307</v>
      </c>
      <c r="D6461" s="27" t="s">
        <v>17</v>
      </c>
      <c r="E6461" s="27" t="s">
        <v>48</v>
      </c>
      <c r="F6461" s="27" t="s">
        <v>49</v>
      </c>
      <c r="G6461" s="27" t="s">
        <v>28</v>
      </c>
      <c r="H6461" s="29">
        <v>300</v>
      </c>
      <c r="I6461" s="27" t="s">
        <v>29</v>
      </c>
      <c r="J6461" s="37">
        <v>45842</v>
      </c>
      <c r="K6461" s="27" t="s">
        <v>22</v>
      </c>
    </row>
    <row r="6462" spans="1:11" x14ac:dyDescent="0.2">
      <c r="A6462" s="24" t="s">
        <v>15244</v>
      </c>
      <c r="B6462" s="24" t="s">
        <v>15245</v>
      </c>
      <c r="C6462" s="24" t="s">
        <v>159</v>
      </c>
      <c r="D6462" s="24" t="s">
        <v>17</v>
      </c>
      <c r="E6462" s="24" t="s">
        <v>42</v>
      </c>
      <c r="F6462" s="24" t="s">
        <v>43</v>
      </c>
      <c r="G6462" s="24" t="s">
        <v>28</v>
      </c>
      <c r="H6462" s="26">
        <v>674</v>
      </c>
      <c r="I6462" s="24" t="s">
        <v>29</v>
      </c>
      <c r="J6462" s="36">
        <v>45862</v>
      </c>
      <c r="K6462" s="24" t="s">
        <v>22</v>
      </c>
    </row>
    <row r="6463" spans="1:11" x14ac:dyDescent="0.2">
      <c r="A6463" s="27" t="s">
        <v>15246</v>
      </c>
      <c r="B6463" s="27" t="s">
        <v>15247</v>
      </c>
      <c r="C6463" s="27" t="s">
        <v>15248</v>
      </c>
      <c r="D6463" s="27" t="s">
        <v>17</v>
      </c>
      <c r="E6463" s="27" t="s">
        <v>48</v>
      </c>
      <c r="F6463" s="27" t="s">
        <v>49</v>
      </c>
      <c r="G6463" s="27" t="s">
        <v>217</v>
      </c>
      <c r="H6463" s="29">
        <v>90</v>
      </c>
      <c r="I6463" s="27" t="s">
        <v>29</v>
      </c>
      <c r="J6463" s="37">
        <v>45839</v>
      </c>
      <c r="K6463" s="27" t="s">
        <v>22</v>
      </c>
    </row>
    <row r="6464" spans="1:11" x14ac:dyDescent="0.2">
      <c r="A6464" s="24" t="s">
        <v>15249</v>
      </c>
      <c r="B6464" s="24" t="s">
        <v>15250</v>
      </c>
      <c r="C6464" s="24" t="s">
        <v>15251</v>
      </c>
      <c r="D6464" s="24" t="s">
        <v>17</v>
      </c>
      <c r="E6464" s="24" t="s">
        <v>81</v>
      </c>
      <c r="F6464" s="24" t="s">
        <v>82</v>
      </c>
      <c r="G6464" s="24" t="s">
        <v>28</v>
      </c>
      <c r="H6464" s="26">
        <v>484</v>
      </c>
      <c r="I6464" s="24" t="s">
        <v>29</v>
      </c>
      <c r="J6464" s="36">
        <v>45866</v>
      </c>
      <c r="K6464" s="24" t="s">
        <v>22</v>
      </c>
    </row>
    <row r="6465" spans="1:11" x14ac:dyDescent="0.2">
      <c r="A6465" s="27" t="s">
        <v>15252</v>
      </c>
      <c r="B6465" s="27" t="s">
        <v>15253</v>
      </c>
      <c r="C6465" s="27" t="s">
        <v>9576</v>
      </c>
      <c r="D6465" s="27" t="s">
        <v>17</v>
      </c>
      <c r="E6465" s="27" t="s">
        <v>42</v>
      </c>
      <c r="F6465" s="27" t="s">
        <v>43</v>
      </c>
      <c r="G6465" s="27" t="s">
        <v>28</v>
      </c>
      <c r="H6465" s="29">
        <v>160</v>
      </c>
      <c r="I6465" s="27" t="s">
        <v>29</v>
      </c>
      <c r="J6465" s="37">
        <v>45847</v>
      </c>
      <c r="K6465" s="27" t="s">
        <v>22</v>
      </c>
    </row>
    <row r="6466" spans="1:11" x14ac:dyDescent="0.2">
      <c r="A6466" s="24" t="s">
        <v>15254</v>
      </c>
      <c r="B6466" s="24" t="s">
        <v>15255</v>
      </c>
      <c r="C6466" s="24" t="s">
        <v>15256</v>
      </c>
      <c r="D6466" s="24" t="s">
        <v>17</v>
      </c>
      <c r="E6466" s="24" t="s">
        <v>81</v>
      </c>
      <c r="F6466" s="24" t="s">
        <v>82</v>
      </c>
      <c r="G6466" s="24" t="s">
        <v>28</v>
      </c>
      <c r="H6466" s="26">
        <v>350</v>
      </c>
      <c r="I6466" s="24" t="s">
        <v>29</v>
      </c>
      <c r="J6466" s="36">
        <v>45849</v>
      </c>
      <c r="K6466" s="24" t="s">
        <v>22</v>
      </c>
    </row>
    <row r="6467" spans="1:11" x14ac:dyDescent="0.2">
      <c r="A6467" s="27" t="s">
        <v>15257</v>
      </c>
      <c r="B6467" s="27" t="s">
        <v>15258</v>
      </c>
      <c r="C6467" s="27" t="s">
        <v>15259</v>
      </c>
      <c r="D6467" s="27" t="s">
        <v>17</v>
      </c>
      <c r="E6467" s="27" t="s">
        <v>18</v>
      </c>
      <c r="F6467" s="27" t="s">
        <v>19</v>
      </c>
      <c r="G6467" s="27" t="s">
        <v>28</v>
      </c>
      <c r="H6467" s="29">
        <v>40</v>
      </c>
      <c r="I6467" s="27" t="s">
        <v>29</v>
      </c>
      <c r="J6467" s="37">
        <v>45860</v>
      </c>
      <c r="K6467" s="27" t="s">
        <v>22</v>
      </c>
    </row>
    <row r="6468" spans="1:11" x14ac:dyDescent="0.2">
      <c r="A6468" s="24" t="s">
        <v>15260</v>
      </c>
      <c r="B6468" s="24" t="s">
        <v>15261</v>
      </c>
      <c r="C6468" s="24" t="s">
        <v>1648</v>
      </c>
      <c r="D6468" s="24" t="s">
        <v>17</v>
      </c>
      <c r="E6468" s="24" t="s">
        <v>26</v>
      </c>
      <c r="F6468" s="24" t="s">
        <v>27</v>
      </c>
      <c r="G6468" s="24" t="s">
        <v>28</v>
      </c>
      <c r="H6468" s="26">
        <v>12</v>
      </c>
      <c r="I6468" s="24" t="s">
        <v>29</v>
      </c>
      <c r="J6468" s="36">
        <v>45869</v>
      </c>
      <c r="K6468" s="24" t="s">
        <v>22</v>
      </c>
    </row>
    <row r="6469" spans="1:11" x14ac:dyDescent="0.2">
      <c r="A6469" s="27" t="s">
        <v>15262</v>
      </c>
      <c r="B6469" s="27" t="s">
        <v>15263</v>
      </c>
      <c r="C6469" s="27" t="s">
        <v>85</v>
      </c>
      <c r="D6469" s="27" t="s">
        <v>17</v>
      </c>
      <c r="E6469" s="27" t="s">
        <v>48</v>
      </c>
      <c r="F6469" s="27" t="s">
        <v>49</v>
      </c>
      <c r="G6469" s="27" t="s">
        <v>28</v>
      </c>
      <c r="H6469" s="29">
        <v>377</v>
      </c>
      <c r="I6469" s="27" t="s">
        <v>29</v>
      </c>
      <c r="J6469" s="37">
        <v>45868</v>
      </c>
      <c r="K6469" s="27" t="s">
        <v>22</v>
      </c>
    </row>
    <row r="6470" spans="1:11" x14ac:dyDescent="0.2">
      <c r="A6470" s="24" t="s">
        <v>15264</v>
      </c>
      <c r="B6470" s="24" t="s">
        <v>15265</v>
      </c>
      <c r="C6470" s="24" t="s">
        <v>13032</v>
      </c>
      <c r="D6470" s="24" t="s">
        <v>17</v>
      </c>
      <c r="E6470" s="24" t="s">
        <v>81</v>
      </c>
      <c r="F6470" s="24" t="s">
        <v>82</v>
      </c>
      <c r="G6470" s="24" t="s">
        <v>28</v>
      </c>
      <c r="H6470" s="26">
        <v>36</v>
      </c>
      <c r="I6470" s="24" t="s">
        <v>29</v>
      </c>
      <c r="J6470" s="36">
        <v>45846</v>
      </c>
      <c r="K6470" s="24" t="s">
        <v>22</v>
      </c>
    </row>
    <row r="6471" spans="1:11" x14ac:dyDescent="0.2">
      <c r="A6471" s="27" t="s">
        <v>15266</v>
      </c>
      <c r="B6471" s="27" t="s">
        <v>15267</v>
      </c>
      <c r="C6471" s="27" t="s">
        <v>8796</v>
      </c>
      <c r="D6471" s="27" t="s">
        <v>17</v>
      </c>
      <c r="E6471" s="27" t="s">
        <v>42</v>
      </c>
      <c r="F6471" s="27" t="s">
        <v>43</v>
      </c>
      <c r="G6471" s="27" t="s">
        <v>28</v>
      </c>
      <c r="H6471" s="29">
        <v>132</v>
      </c>
      <c r="I6471" s="27" t="s">
        <v>29</v>
      </c>
      <c r="J6471" s="37">
        <v>45852</v>
      </c>
      <c r="K6471" s="27" t="s">
        <v>22</v>
      </c>
    </row>
    <row r="6472" spans="1:11" x14ac:dyDescent="0.2">
      <c r="A6472" s="24" t="s">
        <v>15268</v>
      </c>
      <c r="B6472" s="24" t="s">
        <v>15269</v>
      </c>
      <c r="C6472" s="24" t="s">
        <v>11282</v>
      </c>
      <c r="D6472" s="24" t="s">
        <v>17</v>
      </c>
      <c r="E6472" s="24" t="s">
        <v>18</v>
      </c>
      <c r="F6472" s="24" t="s">
        <v>19</v>
      </c>
      <c r="G6472" s="24" t="s">
        <v>217</v>
      </c>
      <c r="H6472" s="26">
        <v>24</v>
      </c>
      <c r="I6472" s="24" t="s">
        <v>29</v>
      </c>
      <c r="J6472" s="36">
        <v>45848</v>
      </c>
      <c r="K6472" s="24" t="s">
        <v>22</v>
      </c>
    </row>
    <row r="6473" spans="1:11" x14ac:dyDescent="0.2">
      <c r="A6473" s="27" t="s">
        <v>15270</v>
      </c>
      <c r="B6473" s="27" t="s">
        <v>15271</v>
      </c>
      <c r="C6473" s="27" t="s">
        <v>1161</v>
      </c>
      <c r="D6473" s="27" t="s">
        <v>17</v>
      </c>
      <c r="E6473" s="27" t="s">
        <v>26</v>
      </c>
      <c r="F6473" s="27" t="s">
        <v>27</v>
      </c>
      <c r="G6473" s="27" t="s">
        <v>28</v>
      </c>
      <c r="H6473" s="29">
        <v>203</v>
      </c>
      <c r="I6473" s="27" t="s">
        <v>29</v>
      </c>
      <c r="J6473" s="37">
        <v>45862</v>
      </c>
      <c r="K6473" s="27" t="s">
        <v>22</v>
      </c>
    </row>
    <row r="6474" spans="1:11" x14ac:dyDescent="0.2">
      <c r="A6474" s="24" t="s">
        <v>15272</v>
      </c>
      <c r="B6474" s="24" t="s">
        <v>15273</v>
      </c>
      <c r="C6474" s="24" t="s">
        <v>220</v>
      </c>
      <c r="D6474" s="24" t="s">
        <v>17</v>
      </c>
      <c r="E6474" s="24" t="s">
        <v>81</v>
      </c>
      <c r="F6474" s="24" t="s">
        <v>82</v>
      </c>
      <c r="G6474" s="24" t="s">
        <v>28</v>
      </c>
      <c r="H6474" s="26">
        <v>8</v>
      </c>
      <c r="I6474" s="24" t="s">
        <v>29</v>
      </c>
      <c r="J6474" s="36">
        <v>45853</v>
      </c>
      <c r="K6474" s="24" t="s">
        <v>22</v>
      </c>
    </row>
    <row r="6475" spans="1:11" x14ac:dyDescent="0.2">
      <c r="A6475" s="27" t="s">
        <v>15274</v>
      </c>
      <c r="B6475" s="27" t="s">
        <v>15275</v>
      </c>
      <c r="C6475" s="27" t="s">
        <v>526</v>
      </c>
      <c r="D6475" s="27" t="s">
        <v>17</v>
      </c>
      <c r="E6475" s="27" t="s">
        <v>18</v>
      </c>
      <c r="F6475" s="27" t="s">
        <v>19</v>
      </c>
      <c r="G6475" s="27" t="s">
        <v>20</v>
      </c>
      <c r="H6475" s="29">
        <v>36</v>
      </c>
      <c r="I6475" s="27" t="s">
        <v>21</v>
      </c>
      <c r="J6475" s="37">
        <v>45863</v>
      </c>
      <c r="K6475" s="27" t="s">
        <v>22</v>
      </c>
    </row>
    <row r="6476" spans="1:11" x14ac:dyDescent="0.2">
      <c r="A6476" s="24" t="s">
        <v>15276</v>
      </c>
      <c r="B6476" s="24" t="s">
        <v>15277</v>
      </c>
      <c r="C6476" s="24" t="s">
        <v>115</v>
      </c>
      <c r="D6476" s="24" t="s">
        <v>17</v>
      </c>
      <c r="E6476" s="24" t="s">
        <v>42</v>
      </c>
      <c r="F6476" s="24" t="s">
        <v>43</v>
      </c>
      <c r="G6476" s="24" t="s">
        <v>28</v>
      </c>
      <c r="H6476" s="26">
        <v>347</v>
      </c>
      <c r="I6476" s="24" t="s">
        <v>29</v>
      </c>
      <c r="J6476" s="36">
        <v>45853</v>
      </c>
      <c r="K6476" s="24" t="s">
        <v>22</v>
      </c>
    </row>
    <row r="6477" spans="1:11" x14ac:dyDescent="0.2">
      <c r="A6477" s="27" t="s">
        <v>15278</v>
      </c>
      <c r="B6477" s="27" t="s">
        <v>15279</v>
      </c>
      <c r="C6477" s="27" t="s">
        <v>7698</v>
      </c>
      <c r="D6477" s="27" t="s">
        <v>17</v>
      </c>
      <c r="E6477" s="27" t="s">
        <v>163</v>
      </c>
      <c r="F6477" s="27" t="s">
        <v>164</v>
      </c>
      <c r="G6477" s="27" t="s">
        <v>28</v>
      </c>
      <c r="H6477" s="29">
        <v>30</v>
      </c>
      <c r="I6477" s="27" t="s">
        <v>29</v>
      </c>
      <c r="J6477" s="37">
        <v>45839</v>
      </c>
      <c r="K6477" s="27" t="s">
        <v>22</v>
      </c>
    </row>
    <row r="6478" spans="1:11" x14ac:dyDescent="0.2">
      <c r="A6478" s="24" t="s">
        <v>15280</v>
      </c>
      <c r="B6478" s="24" t="s">
        <v>15281</v>
      </c>
      <c r="C6478" s="24" t="s">
        <v>146</v>
      </c>
      <c r="D6478" s="24" t="s">
        <v>17</v>
      </c>
      <c r="E6478" s="24" t="s">
        <v>81</v>
      </c>
      <c r="F6478" s="24" t="s">
        <v>82</v>
      </c>
      <c r="G6478" s="24" t="s">
        <v>217</v>
      </c>
      <c r="H6478" s="26">
        <v>100</v>
      </c>
      <c r="I6478" s="24" t="s">
        <v>29</v>
      </c>
      <c r="J6478" s="36">
        <v>45853</v>
      </c>
      <c r="K6478" s="24" t="s">
        <v>22</v>
      </c>
    </row>
    <row r="6479" spans="1:11" x14ac:dyDescent="0.2">
      <c r="A6479" s="27" t="s">
        <v>15282</v>
      </c>
      <c r="B6479" s="27" t="s">
        <v>15283</v>
      </c>
      <c r="C6479" s="27" t="s">
        <v>15284</v>
      </c>
      <c r="D6479" s="27" t="s">
        <v>17</v>
      </c>
      <c r="E6479" s="27" t="s">
        <v>48</v>
      </c>
      <c r="F6479" s="27" t="s">
        <v>49</v>
      </c>
      <c r="G6479" s="27" t="s">
        <v>28</v>
      </c>
      <c r="H6479" s="29">
        <v>75</v>
      </c>
      <c r="I6479" s="27" t="s">
        <v>29</v>
      </c>
      <c r="J6479" s="37">
        <v>45867</v>
      </c>
      <c r="K6479" s="27" t="s">
        <v>22</v>
      </c>
    </row>
    <row r="6480" spans="1:11" x14ac:dyDescent="0.2">
      <c r="A6480" s="24" t="s">
        <v>15285</v>
      </c>
      <c r="B6480" s="24" t="s">
        <v>15286</v>
      </c>
      <c r="C6480" s="24" t="s">
        <v>15287</v>
      </c>
      <c r="D6480" s="24" t="s">
        <v>17</v>
      </c>
      <c r="E6480" s="24" t="s">
        <v>18</v>
      </c>
      <c r="F6480" s="24" t="s">
        <v>19</v>
      </c>
      <c r="G6480" s="24" t="s">
        <v>28</v>
      </c>
      <c r="H6480" s="26">
        <v>40</v>
      </c>
      <c r="I6480" s="24" t="s">
        <v>29</v>
      </c>
      <c r="J6480" s="36">
        <v>45854</v>
      </c>
      <c r="K6480" s="24" t="s">
        <v>22</v>
      </c>
    </row>
    <row r="6481" spans="1:11" x14ac:dyDescent="0.2">
      <c r="A6481" s="27" t="s">
        <v>15288</v>
      </c>
      <c r="B6481" s="27" t="s">
        <v>15289</v>
      </c>
      <c r="C6481" s="27" t="s">
        <v>1059</v>
      </c>
      <c r="D6481" s="27" t="s">
        <v>17</v>
      </c>
      <c r="E6481" s="27" t="s">
        <v>18</v>
      </c>
      <c r="F6481" s="27" t="s">
        <v>19</v>
      </c>
      <c r="G6481" s="27" t="s">
        <v>20</v>
      </c>
      <c r="H6481" s="29">
        <v>70</v>
      </c>
      <c r="I6481" s="27" t="s">
        <v>21</v>
      </c>
      <c r="J6481" s="37">
        <v>45850</v>
      </c>
      <c r="K6481" s="27" t="s">
        <v>22</v>
      </c>
    </row>
    <row r="6482" spans="1:11" x14ac:dyDescent="0.2">
      <c r="A6482" s="24" t="s">
        <v>15290</v>
      </c>
      <c r="B6482" s="24" t="s">
        <v>15291</v>
      </c>
      <c r="C6482" s="24" t="s">
        <v>97</v>
      </c>
      <c r="D6482" s="24" t="s">
        <v>17</v>
      </c>
      <c r="E6482" s="24" t="s">
        <v>42</v>
      </c>
      <c r="F6482" s="24" t="s">
        <v>43</v>
      </c>
      <c r="G6482" s="24" t="s">
        <v>44</v>
      </c>
      <c r="H6482" s="26">
        <v>1116</v>
      </c>
      <c r="I6482" s="24" t="s">
        <v>29</v>
      </c>
      <c r="J6482" s="36">
        <v>45866</v>
      </c>
      <c r="K6482" s="24" t="s">
        <v>22</v>
      </c>
    </row>
    <row r="6483" spans="1:11" x14ac:dyDescent="0.2">
      <c r="A6483" s="27" t="s">
        <v>15292</v>
      </c>
      <c r="B6483" s="27" t="s">
        <v>15293</v>
      </c>
      <c r="C6483" s="27" t="s">
        <v>921</v>
      </c>
      <c r="D6483" s="27" t="s">
        <v>17</v>
      </c>
      <c r="E6483" s="27" t="s">
        <v>42</v>
      </c>
      <c r="F6483" s="27" t="s">
        <v>43</v>
      </c>
      <c r="G6483" s="27" t="s">
        <v>28</v>
      </c>
      <c r="H6483" s="29">
        <v>246</v>
      </c>
      <c r="I6483" s="27" t="s">
        <v>29</v>
      </c>
      <c r="J6483" s="37">
        <v>45845</v>
      </c>
      <c r="K6483" s="27" t="s">
        <v>22</v>
      </c>
    </row>
    <row r="6484" spans="1:11" x14ac:dyDescent="0.2">
      <c r="A6484" s="24" t="s">
        <v>15294</v>
      </c>
      <c r="B6484" s="24" t="s">
        <v>15295</v>
      </c>
      <c r="C6484" s="24" t="s">
        <v>9241</v>
      </c>
      <c r="D6484" s="24" t="s">
        <v>17</v>
      </c>
      <c r="E6484" s="24" t="s">
        <v>42</v>
      </c>
      <c r="F6484" s="24" t="s">
        <v>43</v>
      </c>
      <c r="G6484" s="24" t="s">
        <v>28</v>
      </c>
      <c r="H6484" s="26">
        <v>450</v>
      </c>
      <c r="I6484" s="24" t="s">
        <v>29</v>
      </c>
      <c r="J6484" s="36">
        <v>45846</v>
      </c>
      <c r="K6484" s="24" t="s">
        <v>22</v>
      </c>
    </row>
    <row r="6485" spans="1:11" x14ac:dyDescent="0.2">
      <c r="A6485" s="27" t="s">
        <v>15296</v>
      </c>
      <c r="B6485" s="27" t="s">
        <v>15297</v>
      </c>
      <c r="C6485" s="27" t="s">
        <v>15298</v>
      </c>
      <c r="D6485" s="27" t="s">
        <v>17</v>
      </c>
      <c r="E6485" s="27" t="s">
        <v>48</v>
      </c>
      <c r="F6485" s="27" t="s">
        <v>49</v>
      </c>
      <c r="G6485" s="27" t="s">
        <v>28</v>
      </c>
      <c r="H6485" s="29">
        <v>200</v>
      </c>
      <c r="I6485" s="27" t="s">
        <v>29</v>
      </c>
      <c r="J6485" s="37">
        <v>45842</v>
      </c>
      <c r="K6485" s="27" t="s">
        <v>22</v>
      </c>
    </row>
    <row r="6486" spans="1:11" x14ac:dyDescent="0.2">
      <c r="A6486" s="24" t="s">
        <v>15299</v>
      </c>
      <c r="B6486" s="24" t="s">
        <v>15300</v>
      </c>
      <c r="C6486" s="24" t="s">
        <v>1093</v>
      </c>
      <c r="D6486" s="24" t="s">
        <v>17</v>
      </c>
      <c r="E6486" s="24" t="s">
        <v>48</v>
      </c>
      <c r="F6486" s="24" t="s">
        <v>49</v>
      </c>
      <c r="G6486" s="24" t="s">
        <v>28</v>
      </c>
      <c r="H6486" s="26">
        <v>80</v>
      </c>
      <c r="I6486" s="24" t="s">
        <v>29</v>
      </c>
      <c r="J6486" s="36">
        <v>45839</v>
      </c>
      <c r="K6486" s="24" t="s">
        <v>22</v>
      </c>
    </row>
    <row r="6487" spans="1:11" x14ac:dyDescent="0.2">
      <c r="A6487" s="27" t="s">
        <v>15301</v>
      </c>
      <c r="B6487" s="27" t="s">
        <v>15302</v>
      </c>
      <c r="C6487" s="27" t="s">
        <v>1346</v>
      </c>
      <c r="D6487" s="27" t="s">
        <v>17</v>
      </c>
      <c r="E6487" s="27" t="s">
        <v>18</v>
      </c>
      <c r="F6487" s="27" t="s">
        <v>19</v>
      </c>
      <c r="G6487" s="27" t="s">
        <v>28</v>
      </c>
      <c r="H6487" s="29">
        <v>266</v>
      </c>
      <c r="I6487" s="27" t="s">
        <v>29</v>
      </c>
      <c r="J6487" s="37">
        <v>45860</v>
      </c>
      <c r="K6487" s="27" t="s">
        <v>22</v>
      </c>
    </row>
    <row r="6488" spans="1:11" x14ac:dyDescent="0.2">
      <c r="A6488" s="24" t="s">
        <v>15303</v>
      </c>
      <c r="B6488" s="24" t="s">
        <v>15304</v>
      </c>
      <c r="C6488" s="24" t="s">
        <v>1678</v>
      </c>
      <c r="D6488" s="24" t="s">
        <v>17</v>
      </c>
      <c r="E6488" s="24" t="s">
        <v>42</v>
      </c>
      <c r="F6488" s="24" t="s">
        <v>43</v>
      </c>
      <c r="G6488" s="24" t="s">
        <v>28</v>
      </c>
      <c r="H6488" s="26">
        <v>390</v>
      </c>
      <c r="I6488" s="24" t="s">
        <v>29</v>
      </c>
      <c r="J6488" s="36">
        <v>45856</v>
      </c>
      <c r="K6488" s="24" t="s">
        <v>22</v>
      </c>
    </row>
    <row r="6489" spans="1:11" x14ac:dyDescent="0.2">
      <c r="A6489" s="27" t="s">
        <v>15305</v>
      </c>
      <c r="B6489" s="27" t="s">
        <v>15306</v>
      </c>
      <c r="C6489" s="27" t="s">
        <v>331</v>
      </c>
      <c r="D6489" s="27" t="s">
        <v>17</v>
      </c>
      <c r="E6489" s="27" t="s">
        <v>18</v>
      </c>
      <c r="F6489" s="27" t="s">
        <v>19</v>
      </c>
      <c r="G6489" s="27" t="s">
        <v>20</v>
      </c>
      <c r="H6489" s="29">
        <v>63</v>
      </c>
      <c r="I6489" s="27" t="s">
        <v>21</v>
      </c>
      <c r="J6489" s="37">
        <v>45854</v>
      </c>
      <c r="K6489" s="27" t="s">
        <v>22</v>
      </c>
    </row>
    <row r="6490" spans="1:11" x14ac:dyDescent="0.2">
      <c r="A6490" s="24" t="s">
        <v>15307</v>
      </c>
      <c r="B6490" s="24" t="s">
        <v>15308</v>
      </c>
      <c r="C6490" s="24" t="s">
        <v>134</v>
      </c>
      <c r="D6490" s="24" t="s">
        <v>17</v>
      </c>
      <c r="E6490" s="24" t="s">
        <v>42</v>
      </c>
      <c r="F6490" s="24" t="s">
        <v>43</v>
      </c>
      <c r="G6490" s="24" t="s">
        <v>28</v>
      </c>
      <c r="H6490" s="26">
        <v>352</v>
      </c>
      <c r="I6490" s="24" t="s">
        <v>29</v>
      </c>
      <c r="J6490" s="36">
        <v>45854</v>
      </c>
      <c r="K6490" s="24" t="s">
        <v>22</v>
      </c>
    </row>
    <row r="6491" spans="1:11" x14ac:dyDescent="0.2">
      <c r="A6491" s="27" t="s">
        <v>15309</v>
      </c>
      <c r="B6491" s="27" t="s">
        <v>15310</v>
      </c>
      <c r="C6491" s="27" t="s">
        <v>10879</v>
      </c>
      <c r="D6491" s="27" t="s">
        <v>17</v>
      </c>
      <c r="E6491" s="27" t="s">
        <v>48</v>
      </c>
      <c r="F6491" s="27" t="s">
        <v>49</v>
      </c>
      <c r="G6491" s="27" t="s">
        <v>28</v>
      </c>
      <c r="H6491" s="29">
        <v>150</v>
      </c>
      <c r="I6491" s="27" t="s">
        <v>29</v>
      </c>
      <c r="J6491" s="37">
        <v>45847</v>
      </c>
      <c r="K6491" s="27" t="s">
        <v>22</v>
      </c>
    </row>
    <row r="6492" spans="1:11" x14ac:dyDescent="0.2">
      <c r="A6492" s="24" t="s">
        <v>15311</v>
      </c>
      <c r="B6492" s="24" t="s">
        <v>15312</v>
      </c>
      <c r="C6492" s="24" t="s">
        <v>15313</v>
      </c>
      <c r="D6492" s="24" t="s">
        <v>17</v>
      </c>
      <c r="E6492" s="24" t="s">
        <v>18</v>
      </c>
      <c r="F6492" s="24" t="s">
        <v>19</v>
      </c>
      <c r="G6492" s="24" t="s">
        <v>217</v>
      </c>
      <c r="H6492" s="26">
        <v>55</v>
      </c>
      <c r="I6492" s="24" t="s">
        <v>29</v>
      </c>
      <c r="J6492" s="36">
        <v>45839</v>
      </c>
      <c r="K6492" s="24" t="s">
        <v>22</v>
      </c>
    </row>
    <row r="6493" spans="1:11" x14ac:dyDescent="0.2">
      <c r="A6493" s="27" t="s">
        <v>15314</v>
      </c>
      <c r="B6493" s="27" t="s">
        <v>15315</v>
      </c>
      <c r="C6493" s="27" t="s">
        <v>213</v>
      </c>
      <c r="D6493" s="27" t="s">
        <v>17</v>
      </c>
      <c r="E6493" s="27" t="s">
        <v>42</v>
      </c>
      <c r="F6493" s="27" t="s">
        <v>43</v>
      </c>
      <c r="G6493" s="27" t="s">
        <v>28</v>
      </c>
      <c r="H6493" s="29">
        <v>225</v>
      </c>
      <c r="I6493" s="27" t="s">
        <v>29</v>
      </c>
      <c r="J6493" s="37">
        <v>45869</v>
      </c>
      <c r="K6493" s="27" t="s">
        <v>22</v>
      </c>
    </row>
    <row r="6494" spans="1:11" x14ac:dyDescent="0.2">
      <c r="A6494" s="24" t="s">
        <v>15316</v>
      </c>
      <c r="B6494" s="24" t="s">
        <v>15317</v>
      </c>
      <c r="C6494" s="24" t="s">
        <v>15318</v>
      </c>
      <c r="D6494" s="24" t="s">
        <v>17</v>
      </c>
      <c r="E6494" s="24" t="s">
        <v>18</v>
      </c>
      <c r="F6494" s="24" t="s">
        <v>19</v>
      </c>
      <c r="G6494" s="24" t="s">
        <v>28</v>
      </c>
      <c r="H6494" s="26">
        <v>15</v>
      </c>
      <c r="I6494" s="24" t="s">
        <v>29</v>
      </c>
      <c r="J6494" s="36">
        <v>45855</v>
      </c>
      <c r="K6494" s="24" t="s">
        <v>22</v>
      </c>
    </row>
    <row r="6495" spans="1:11" x14ac:dyDescent="0.2">
      <c r="A6495" s="27" t="s">
        <v>15319</v>
      </c>
      <c r="B6495" s="27" t="s">
        <v>15320</v>
      </c>
      <c r="C6495" s="27" t="s">
        <v>15321</v>
      </c>
      <c r="D6495" s="27" t="s">
        <v>17</v>
      </c>
      <c r="E6495" s="27" t="s">
        <v>42</v>
      </c>
      <c r="F6495" s="27" t="s">
        <v>43</v>
      </c>
      <c r="G6495" s="27" t="s">
        <v>217</v>
      </c>
      <c r="H6495" s="29">
        <v>120</v>
      </c>
      <c r="I6495" s="27" t="s">
        <v>29</v>
      </c>
      <c r="J6495" s="37">
        <v>45863</v>
      </c>
      <c r="K6495" s="27" t="s">
        <v>22</v>
      </c>
    </row>
    <row r="6496" spans="1:11" x14ac:dyDescent="0.2">
      <c r="A6496" s="24" t="s">
        <v>15322</v>
      </c>
      <c r="B6496" s="24" t="s">
        <v>15323</v>
      </c>
      <c r="C6496" s="24" t="s">
        <v>71</v>
      </c>
      <c r="D6496" s="24" t="s">
        <v>17</v>
      </c>
      <c r="E6496" s="24" t="s">
        <v>18</v>
      </c>
      <c r="F6496" s="24" t="s">
        <v>19</v>
      </c>
      <c r="G6496" s="24" t="s">
        <v>217</v>
      </c>
      <c r="H6496" s="26">
        <v>48</v>
      </c>
      <c r="I6496" s="24" t="s">
        <v>29</v>
      </c>
      <c r="J6496" s="36">
        <v>45839</v>
      </c>
      <c r="K6496" s="24" t="s">
        <v>22</v>
      </c>
    </row>
    <row r="6497" spans="1:11" x14ac:dyDescent="0.2">
      <c r="A6497" s="27" t="s">
        <v>15324</v>
      </c>
      <c r="B6497" s="27" t="s">
        <v>15325</v>
      </c>
      <c r="C6497" s="27" t="s">
        <v>140</v>
      </c>
      <c r="D6497" s="27" t="s">
        <v>17</v>
      </c>
      <c r="E6497" s="27" t="s">
        <v>42</v>
      </c>
      <c r="F6497" s="27" t="s">
        <v>43</v>
      </c>
      <c r="G6497" s="27" t="s">
        <v>28</v>
      </c>
      <c r="H6497" s="29">
        <v>405</v>
      </c>
      <c r="I6497" s="27" t="s">
        <v>29</v>
      </c>
      <c r="J6497" s="37">
        <v>45866</v>
      </c>
      <c r="K6497" s="27" t="s">
        <v>22</v>
      </c>
    </row>
    <row r="6498" spans="1:11" x14ac:dyDescent="0.2">
      <c r="A6498" s="24" t="s">
        <v>15326</v>
      </c>
      <c r="B6498" s="24" t="s">
        <v>15327</v>
      </c>
      <c r="C6498" s="24" t="s">
        <v>15328</v>
      </c>
      <c r="D6498" s="24" t="s">
        <v>17</v>
      </c>
      <c r="E6498" s="24" t="s">
        <v>26</v>
      </c>
      <c r="F6498" s="24" t="s">
        <v>27</v>
      </c>
      <c r="G6498" s="24" t="s">
        <v>257</v>
      </c>
      <c r="H6498" s="26">
        <v>12</v>
      </c>
      <c r="I6498" s="24" t="s">
        <v>29</v>
      </c>
      <c r="J6498" s="36">
        <v>45841</v>
      </c>
      <c r="K6498" s="24" t="s">
        <v>22</v>
      </c>
    </row>
    <row r="6499" spans="1:11" x14ac:dyDescent="0.2">
      <c r="A6499" s="27" t="s">
        <v>15329</v>
      </c>
      <c r="B6499" s="27" t="s">
        <v>15330</v>
      </c>
      <c r="C6499" s="27" t="s">
        <v>1766</v>
      </c>
      <c r="D6499" s="27" t="s">
        <v>17</v>
      </c>
      <c r="E6499" s="27" t="s">
        <v>18</v>
      </c>
      <c r="F6499" s="27" t="s">
        <v>19</v>
      </c>
      <c r="G6499" s="27" t="s">
        <v>28</v>
      </c>
      <c r="H6499" s="29">
        <v>98</v>
      </c>
      <c r="I6499" s="27" t="s">
        <v>29</v>
      </c>
      <c r="J6499" s="37">
        <v>45867</v>
      </c>
      <c r="K6499" s="27" t="s">
        <v>22</v>
      </c>
    </row>
    <row r="6500" spans="1:11" x14ac:dyDescent="0.2">
      <c r="A6500" s="24" t="s">
        <v>15331</v>
      </c>
      <c r="B6500" s="24" t="s">
        <v>15332</v>
      </c>
      <c r="C6500" s="24" t="s">
        <v>1839</v>
      </c>
      <c r="D6500" s="24" t="s">
        <v>17</v>
      </c>
      <c r="E6500" s="24" t="s">
        <v>18</v>
      </c>
      <c r="F6500" s="24" t="s">
        <v>19</v>
      </c>
      <c r="G6500" s="24" t="s">
        <v>20</v>
      </c>
      <c r="H6500" s="26">
        <v>37</v>
      </c>
      <c r="I6500" s="24" t="s">
        <v>21</v>
      </c>
      <c r="J6500" s="36">
        <v>45860</v>
      </c>
      <c r="K6500" s="24" t="s">
        <v>22</v>
      </c>
    </row>
    <row r="6501" spans="1:11" x14ac:dyDescent="0.2">
      <c r="A6501" s="27" t="s">
        <v>15333</v>
      </c>
      <c r="B6501" s="27" t="s">
        <v>15334</v>
      </c>
      <c r="C6501" s="27" t="s">
        <v>15335</v>
      </c>
      <c r="D6501" s="27" t="s">
        <v>17</v>
      </c>
      <c r="E6501" s="27" t="s">
        <v>26</v>
      </c>
      <c r="F6501" s="27" t="s">
        <v>27</v>
      </c>
      <c r="G6501" s="27" t="s">
        <v>28</v>
      </c>
      <c r="H6501" s="29">
        <v>200</v>
      </c>
      <c r="I6501" s="27" t="s">
        <v>29</v>
      </c>
      <c r="J6501" s="37">
        <v>45869</v>
      </c>
      <c r="K6501" s="27" t="s">
        <v>22</v>
      </c>
    </row>
    <row r="6502" spans="1:11" x14ac:dyDescent="0.2">
      <c r="A6502" s="24" t="s">
        <v>15336</v>
      </c>
      <c r="B6502" s="24" t="s">
        <v>15337</v>
      </c>
      <c r="C6502" s="24" t="s">
        <v>15338</v>
      </c>
      <c r="D6502" s="24" t="s">
        <v>17</v>
      </c>
      <c r="E6502" s="24" t="s">
        <v>18</v>
      </c>
      <c r="F6502" s="24" t="s">
        <v>19</v>
      </c>
      <c r="G6502" s="24" t="s">
        <v>28</v>
      </c>
      <c r="H6502" s="26">
        <v>12</v>
      </c>
      <c r="I6502" s="24" t="s">
        <v>29</v>
      </c>
      <c r="J6502" s="36">
        <v>45840</v>
      </c>
      <c r="K6502" s="24" t="s">
        <v>22</v>
      </c>
    </row>
    <row r="6503" spans="1:11" x14ac:dyDescent="0.2">
      <c r="A6503" s="27" t="s">
        <v>15339</v>
      </c>
      <c r="B6503" s="27" t="s">
        <v>15340</v>
      </c>
      <c r="C6503" s="27" t="s">
        <v>11254</v>
      </c>
      <c r="D6503" s="27" t="s">
        <v>17</v>
      </c>
      <c r="E6503" s="27" t="s">
        <v>18</v>
      </c>
      <c r="F6503" s="27" t="s">
        <v>19</v>
      </c>
      <c r="G6503" s="27" t="s">
        <v>28</v>
      </c>
      <c r="H6503" s="29">
        <v>32</v>
      </c>
      <c r="I6503" s="27" t="s">
        <v>29</v>
      </c>
      <c r="J6503" s="37">
        <v>45862</v>
      </c>
      <c r="K6503" s="27" t="s">
        <v>22</v>
      </c>
    </row>
    <row r="6504" spans="1:11" x14ac:dyDescent="0.2">
      <c r="A6504" s="24" t="s">
        <v>15341</v>
      </c>
      <c r="B6504" s="24" t="s">
        <v>15342</v>
      </c>
      <c r="C6504" s="24" t="s">
        <v>512</v>
      </c>
      <c r="D6504" s="24" t="s">
        <v>17</v>
      </c>
      <c r="E6504" s="24" t="s">
        <v>18</v>
      </c>
      <c r="F6504" s="24" t="s">
        <v>19</v>
      </c>
      <c r="G6504" s="24" t="s">
        <v>28</v>
      </c>
      <c r="H6504" s="26">
        <v>24</v>
      </c>
      <c r="I6504" s="24" t="s">
        <v>29</v>
      </c>
      <c r="J6504" s="36">
        <v>45839</v>
      </c>
      <c r="K6504" s="24" t="s">
        <v>22</v>
      </c>
    </row>
    <row r="6505" spans="1:11" x14ac:dyDescent="0.2">
      <c r="A6505" s="27" t="s">
        <v>15343</v>
      </c>
      <c r="B6505" s="27" t="s">
        <v>15344</v>
      </c>
      <c r="C6505" s="27" t="s">
        <v>14166</v>
      </c>
      <c r="D6505" s="27" t="s">
        <v>17</v>
      </c>
      <c r="E6505" s="27" t="s">
        <v>18</v>
      </c>
      <c r="F6505" s="27" t="s">
        <v>19</v>
      </c>
      <c r="G6505" s="27" t="s">
        <v>28</v>
      </c>
      <c r="H6505" s="29">
        <v>42</v>
      </c>
      <c r="I6505" s="27" t="s">
        <v>29</v>
      </c>
      <c r="J6505" s="37">
        <v>45855</v>
      </c>
      <c r="K6505" s="27" t="s">
        <v>22</v>
      </c>
    </row>
    <row r="6506" spans="1:11" x14ac:dyDescent="0.2">
      <c r="A6506" s="24" t="s">
        <v>15345</v>
      </c>
      <c r="B6506" s="24" t="s">
        <v>15346</v>
      </c>
      <c r="C6506" s="24" t="s">
        <v>55</v>
      </c>
      <c r="D6506" s="24" t="s">
        <v>17</v>
      </c>
      <c r="E6506" s="24" t="s">
        <v>26</v>
      </c>
      <c r="F6506" s="24" t="s">
        <v>27</v>
      </c>
      <c r="G6506" s="24" t="s">
        <v>28</v>
      </c>
      <c r="H6506" s="26">
        <v>140</v>
      </c>
      <c r="I6506" s="24" t="s">
        <v>29</v>
      </c>
      <c r="J6506" s="36">
        <v>45858</v>
      </c>
      <c r="K6506" s="24" t="s">
        <v>22</v>
      </c>
    </row>
    <row r="6507" spans="1:11" x14ac:dyDescent="0.2">
      <c r="A6507" s="27" t="s">
        <v>15347</v>
      </c>
      <c r="B6507" s="27" t="s">
        <v>15348</v>
      </c>
      <c r="C6507" s="27" t="s">
        <v>2129</v>
      </c>
      <c r="D6507" s="27" t="s">
        <v>17</v>
      </c>
      <c r="E6507" s="27" t="s">
        <v>18</v>
      </c>
      <c r="F6507" s="27" t="s">
        <v>19</v>
      </c>
      <c r="G6507" s="27" t="s">
        <v>28</v>
      </c>
      <c r="H6507" s="29">
        <v>20</v>
      </c>
      <c r="I6507" s="27" t="s">
        <v>29</v>
      </c>
      <c r="J6507" s="37">
        <v>45868</v>
      </c>
      <c r="K6507" s="27" t="s">
        <v>22</v>
      </c>
    </row>
    <row r="6508" spans="1:11" x14ac:dyDescent="0.2">
      <c r="A6508" s="24" t="s">
        <v>15349</v>
      </c>
      <c r="B6508" s="24" t="s">
        <v>15350</v>
      </c>
      <c r="C6508" s="24" t="s">
        <v>15351</v>
      </c>
      <c r="D6508" s="24" t="s">
        <v>17</v>
      </c>
      <c r="E6508" s="24" t="s">
        <v>42</v>
      </c>
      <c r="F6508" s="24" t="s">
        <v>43</v>
      </c>
      <c r="G6508" s="24" t="s">
        <v>28</v>
      </c>
      <c r="H6508" s="26">
        <v>500</v>
      </c>
      <c r="I6508" s="24" t="s">
        <v>29</v>
      </c>
      <c r="J6508" s="36">
        <v>45868</v>
      </c>
      <c r="K6508" s="24" t="s">
        <v>22</v>
      </c>
    </row>
    <row r="6509" spans="1:11" x14ac:dyDescent="0.2">
      <c r="A6509" s="27" t="s">
        <v>15352</v>
      </c>
      <c r="B6509" s="27" t="s">
        <v>15353</v>
      </c>
      <c r="C6509" s="27" t="s">
        <v>266</v>
      </c>
      <c r="D6509" s="27" t="s">
        <v>17</v>
      </c>
      <c r="E6509" s="27" t="s">
        <v>18</v>
      </c>
      <c r="F6509" s="27" t="s">
        <v>19</v>
      </c>
      <c r="G6509" s="27" t="s">
        <v>20</v>
      </c>
      <c r="H6509" s="29">
        <v>38</v>
      </c>
      <c r="I6509" s="27" t="s">
        <v>21</v>
      </c>
      <c r="J6509" s="37">
        <v>45842</v>
      </c>
      <c r="K6509" s="27" t="s">
        <v>22</v>
      </c>
    </row>
    <row r="6510" spans="1:11" x14ac:dyDescent="0.2">
      <c r="A6510" s="24" t="s">
        <v>15354</v>
      </c>
      <c r="B6510" s="24" t="s">
        <v>15355</v>
      </c>
      <c r="C6510" s="24" t="s">
        <v>1921</v>
      </c>
      <c r="D6510" s="24" t="s">
        <v>17</v>
      </c>
      <c r="E6510" s="24" t="s">
        <v>26</v>
      </c>
      <c r="F6510" s="24" t="s">
        <v>27</v>
      </c>
      <c r="G6510" s="24" t="s">
        <v>28</v>
      </c>
      <c r="H6510" s="26">
        <v>100</v>
      </c>
      <c r="I6510" s="24" t="s">
        <v>29</v>
      </c>
      <c r="J6510" s="36">
        <v>45854</v>
      </c>
      <c r="K6510" s="24" t="s">
        <v>22</v>
      </c>
    </row>
    <row r="6511" spans="1:11" x14ac:dyDescent="0.2">
      <c r="A6511" s="27" t="s">
        <v>15356</v>
      </c>
      <c r="B6511" s="27" t="s">
        <v>15357</v>
      </c>
      <c r="C6511" s="27" t="s">
        <v>220</v>
      </c>
      <c r="D6511" s="27" t="s">
        <v>17</v>
      </c>
      <c r="E6511" s="27" t="s">
        <v>42</v>
      </c>
      <c r="F6511" s="27" t="s">
        <v>43</v>
      </c>
      <c r="G6511" s="27" t="s">
        <v>28</v>
      </c>
      <c r="H6511" s="29">
        <v>20</v>
      </c>
      <c r="I6511" s="27" t="s">
        <v>29</v>
      </c>
      <c r="J6511" s="37">
        <v>45866</v>
      </c>
      <c r="K6511" s="27" t="s">
        <v>22</v>
      </c>
    </row>
    <row r="6512" spans="1:11" x14ac:dyDescent="0.2">
      <c r="A6512" s="24" t="s">
        <v>15358</v>
      </c>
      <c r="B6512" s="24" t="s">
        <v>15359</v>
      </c>
      <c r="C6512" s="24" t="s">
        <v>325</v>
      </c>
      <c r="D6512" s="24" t="s">
        <v>17</v>
      </c>
      <c r="E6512" s="24" t="s">
        <v>18</v>
      </c>
      <c r="F6512" s="24" t="s">
        <v>19</v>
      </c>
      <c r="G6512" s="24" t="s">
        <v>20</v>
      </c>
      <c r="H6512" s="26">
        <v>18</v>
      </c>
      <c r="I6512" s="24" t="s">
        <v>21</v>
      </c>
      <c r="J6512" s="36">
        <v>45862</v>
      </c>
      <c r="K6512" s="24" t="s">
        <v>22</v>
      </c>
    </row>
    <row r="6513" spans="1:11" x14ac:dyDescent="0.2">
      <c r="A6513" s="27" t="s">
        <v>15360</v>
      </c>
      <c r="B6513" s="27" t="s">
        <v>15361</v>
      </c>
      <c r="C6513" s="27" t="s">
        <v>185</v>
      </c>
      <c r="D6513" s="27" t="s">
        <v>17</v>
      </c>
      <c r="E6513" s="27" t="s">
        <v>18</v>
      </c>
      <c r="F6513" s="27" t="s">
        <v>19</v>
      </c>
      <c r="G6513" s="27" t="s">
        <v>28</v>
      </c>
      <c r="H6513" s="29">
        <v>230</v>
      </c>
      <c r="I6513" s="27" t="s">
        <v>29</v>
      </c>
      <c r="J6513" s="37">
        <v>45860</v>
      </c>
      <c r="K6513" s="27" t="s">
        <v>22</v>
      </c>
    </row>
    <row r="6514" spans="1:11" x14ac:dyDescent="0.2">
      <c r="A6514" s="24" t="s">
        <v>15362</v>
      </c>
      <c r="B6514" s="24" t="s">
        <v>15363</v>
      </c>
      <c r="C6514" s="24" t="s">
        <v>687</v>
      </c>
      <c r="D6514" s="24" t="s">
        <v>17</v>
      </c>
      <c r="E6514" s="24" t="s">
        <v>18</v>
      </c>
      <c r="F6514" s="24" t="s">
        <v>19</v>
      </c>
      <c r="G6514" s="24" t="s">
        <v>28</v>
      </c>
      <c r="H6514" s="26">
        <v>65</v>
      </c>
      <c r="I6514" s="24" t="s">
        <v>29</v>
      </c>
      <c r="J6514" s="36">
        <v>45849</v>
      </c>
      <c r="K6514" s="24" t="s">
        <v>22</v>
      </c>
    </row>
    <row r="6515" spans="1:11" x14ac:dyDescent="0.2">
      <c r="A6515" s="27" t="s">
        <v>15364</v>
      </c>
      <c r="B6515" s="27" t="s">
        <v>15365</v>
      </c>
      <c r="C6515" s="27" t="s">
        <v>251</v>
      </c>
      <c r="D6515" s="27" t="s">
        <v>17</v>
      </c>
      <c r="E6515" s="27" t="s">
        <v>42</v>
      </c>
      <c r="F6515" s="27" t="s">
        <v>43</v>
      </c>
      <c r="G6515" s="27" t="s">
        <v>28</v>
      </c>
      <c r="H6515" s="29">
        <v>360</v>
      </c>
      <c r="I6515" s="27" t="s">
        <v>29</v>
      </c>
      <c r="J6515" s="37">
        <v>45861</v>
      </c>
      <c r="K6515" s="27" t="s">
        <v>22</v>
      </c>
    </row>
    <row r="6516" spans="1:11" x14ac:dyDescent="0.2">
      <c r="A6516" s="24" t="s">
        <v>15366</v>
      </c>
      <c r="B6516" s="24" t="s">
        <v>15367</v>
      </c>
      <c r="C6516" s="24" t="s">
        <v>15368</v>
      </c>
      <c r="D6516" s="24" t="s">
        <v>17</v>
      </c>
      <c r="E6516" s="24" t="s">
        <v>48</v>
      </c>
      <c r="F6516" s="24" t="s">
        <v>49</v>
      </c>
      <c r="G6516" s="24" t="s">
        <v>217</v>
      </c>
      <c r="H6516" s="26">
        <v>80</v>
      </c>
      <c r="I6516" s="24" t="s">
        <v>29</v>
      </c>
      <c r="J6516" s="36">
        <v>45839</v>
      </c>
      <c r="K6516" s="24" t="s">
        <v>22</v>
      </c>
    </row>
    <row r="6517" spans="1:11" x14ac:dyDescent="0.2">
      <c r="A6517" s="27" t="s">
        <v>15369</v>
      </c>
      <c r="B6517" s="27" t="s">
        <v>15370</v>
      </c>
      <c r="C6517" s="27" t="s">
        <v>15371</v>
      </c>
      <c r="D6517" s="27" t="s">
        <v>17</v>
      </c>
      <c r="E6517" s="27" t="s">
        <v>48</v>
      </c>
      <c r="F6517" s="27" t="s">
        <v>49</v>
      </c>
      <c r="G6517" s="27" t="s">
        <v>28</v>
      </c>
      <c r="H6517" s="29">
        <v>120</v>
      </c>
      <c r="I6517" s="27" t="s">
        <v>29</v>
      </c>
      <c r="J6517" s="37">
        <v>45852</v>
      </c>
      <c r="K6517" s="27" t="s">
        <v>22</v>
      </c>
    </row>
    <row r="6518" spans="1:11" x14ac:dyDescent="0.2">
      <c r="A6518" s="24" t="s">
        <v>15372</v>
      </c>
      <c r="B6518" s="24" t="s">
        <v>15373</v>
      </c>
      <c r="C6518" s="24" t="s">
        <v>266</v>
      </c>
      <c r="D6518" s="24" t="s">
        <v>17</v>
      </c>
      <c r="E6518" s="24" t="s">
        <v>18</v>
      </c>
      <c r="F6518" s="24" t="s">
        <v>19</v>
      </c>
      <c r="G6518" s="24" t="s">
        <v>20</v>
      </c>
      <c r="H6518" s="26">
        <v>32</v>
      </c>
      <c r="I6518" s="24" t="s">
        <v>21</v>
      </c>
      <c r="J6518" s="36">
        <v>45854</v>
      </c>
      <c r="K6518" s="24" t="s">
        <v>22</v>
      </c>
    </row>
    <row r="6519" spans="1:11" x14ac:dyDescent="0.2">
      <c r="A6519" s="27" t="s">
        <v>15374</v>
      </c>
      <c r="B6519" s="27" t="s">
        <v>15375</v>
      </c>
      <c r="C6519" s="27" t="s">
        <v>2179</v>
      </c>
      <c r="D6519" s="27" t="s">
        <v>17</v>
      </c>
      <c r="E6519" s="27" t="s">
        <v>48</v>
      </c>
      <c r="F6519" s="27" t="s">
        <v>49</v>
      </c>
      <c r="G6519" s="27" t="s">
        <v>217</v>
      </c>
      <c r="H6519" s="29">
        <v>17</v>
      </c>
      <c r="I6519" s="27" t="s">
        <v>29</v>
      </c>
      <c r="J6519" s="37">
        <v>45839</v>
      </c>
      <c r="K6519" s="27" t="s">
        <v>22</v>
      </c>
    </row>
    <row r="6520" spans="1:11" x14ac:dyDescent="0.2">
      <c r="A6520" s="24" t="s">
        <v>15376</v>
      </c>
      <c r="B6520" s="24" t="s">
        <v>15377</v>
      </c>
      <c r="C6520" s="24" t="s">
        <v>1044</v>
      </c>
      <c r="D6520" s="24" t="s">
        <v>17</v>
      </c>
      <c r="E6520" s="24" t="s">
        <v>42</v>
      </c>
      <c r="F6520" s="24" t="s">
        <v>43</v>
      </c>
      <c r="G6520" s="24" t="s">
        <v>217</v>
      </c>
      <c r="H6520" s="26">
        <v>324</v>
      </c>
      <c r="I6520" s="24" t="s">
        <v>29</v>
      </c>
      <c r="J6520" s="36">
        <v>45853</v>
      </c>
      <c r="K6520" s="24" t="s">
        <v>22</v>
      </c>
    </row>
    <row r="6521" spans="1:11" x14ac:dyDescent="0.2">
      <c r="A6521" s="27" t="s">
        <v>15378</v>
      </c>
      <c r="B6521" s="27" t="s">
        <v>15379</v>
      </c>
      <c r="C6521" s="27" t="s">
        <v>309</v>
      </c>
      <c r="D6521" s="27" t="s">
        <v>17</v>
      </c>
      <c r="E6521" s="27" t="s">
        <v>48</v>
      </c>
      <c r="F6521" s="27" t="s">
        <v>49</v>
      </c>
      <c r="G6521" s="27" t="s">
        <v>28</v>
      </c>
      <c r="H6521" s="29">
        <v>492</v>
      </c>
      <c r="I6521" s="27" t="s">
        <v>29</v>
      </c>
      <c r="J6521" s="37">
        <v>45856</v>
      </c>
      <c r="K6521" s="27" t="s">
        <v>22</v>
      </c>
    </row>
    <row r="6522" spans="1:11" x14ac:dyDescent="0.2">
      <c r="A6522" s="24" t="s">
        <v>15380</v>
      </c>
      <c r="B6522" s="24" t="s">
        <v>15381</v>
      </c>
      <c r="C6522" s="24" t="s">
        <v>55</v>
      </c>
      <c r="D6522" s="24" t="s">
        <v>17</v>
      </c>
      <c r="E6522" s="24" t="s">
        <v>18</v>
      </c>
      <c r="F6522" s="24" t="s">
        <v>19</v>
      </c>
      <c r="G6522" s="24" t="s">
        <v>28</v>
      </c>
      <c r="H6522" s="26">
        <v>28</v>
      </c>
      <c r="I6522" s="24" t="s">
        <v>29</v>
      </c>
      <c r="J6522" s="36">
        <v>45847</v>
      </c>
      <c r="K6522" s="24" t="s">
        <v>22</v>
      </c>
    </row>
    <row r="6523" spans="1:11" x14ac:dyDescent="0.2">
      <c r="A6523" s="27" t="s">
        <v>15382</v>
      </c>
      <c r="B6523" s="27" t="s">
        <v>15383</v>
      </c>
      <c r="C6523" s="27" t="s">
        <v>9814</v>
      </c>
      <c r="D6523" s="27" t="s">
        <v>17</v>
      </c>
      <c r="E6523" s="27" t="s">
        <v>18</v>
      </c>
      <c r="F6523" s="27" t="s">
        <v>19</v>
      </c>
      <c r="G6523" s="27" t="s">
        <v>28</v>
      </c>
      <c r="H6523" s="29">
        <v>24</v>
      </c>
      <c r="I6523" s="27" t="s">
        <v>29</v>
      </c>
      <c r="J6523" s="37">
        <v>45840</v>
      </c>
      <c r="K6523" s="27" t="s">
        <v>22</v>
      </c>
    </row>
    <row r="6524" spans="1:11" x14ac:dyDescent="0.2">
      <c r="A6524" s="24" t="s">
        <v>15384</v>
      </c>
      <c r="B6524" s="24" t="s">
        <v>15385</v>
      </c>
      <c r="C6524" s="24" t="s">
        <v>2484</v>
      </c>
      <c r="D6524" s="24" t="s">
        <v>17</v>
      </c>
      <c r="E6524" s="24" t="s">
        <v>18</v>
      </c>
      <c r="F6524" s="24" t="s">
        <v>19</v>
      </c>
      <c r="G6524" s="24" t="s">
        <v>28</v>
      </c>
      <c r="H6524" s="26">
        <v>15</v>
      </c>
      <c r="I6524" s="24" t="s">
        <v>29</v>
      </c>
      <c r="J6524" s="36">
        <v>45847</v>
      </c>
      <c r="K6524" s="24" t="s">
        <v>22</v>
      </c>
    </row>
    <row r="6525" spans="1:11" x14ac:dyDescent="0.2">
      <c r="A6525" s="27" t="s">
        <v>15386</v>
      </c>
      <c r="B6525" s="27" t="s">
        <v>15387</v>
      </c>
      <c r="C6525" s="27" t="s">
        <v>15388</v>
      </c>
      <c r="D6525" s="27" t="s">
        <v>17</v>
      </c>
      <c r="E6525" s="27" t="s">
        <v>81</v>
      </c>
      <c r="F6525" s="27" t="s">
        <v>82</v>
      </c>
      <c r="G6525" s="27" t="s">
        <v>28</v>
      </c>
      <c r="H6525" s="29">
        <v>30</v>
      </c>
      <c r="I6525" s="27" t="s">
        <v>29</v>
      </c>
      <c r="J6525" s="37">
        <v>45854</v>
      </c>
      <c r="K6525" s="27" t="s">
        <v>22</v>
      </c>
    </row>
    <row r="6526" spans="1:11" x14ac:dyDescent="0.2">
      <c r="A6526" s="24" t="s">
        <v>15389</v>
      </c>
      <c r="B6526" s="24" t="s">
        <v>15390</v>
      </c>
      <c r="C6526" s="24" t="s">
        <v>85</v>
      </c>
      <c r="D6526" s="24" t="s">
        <v>17</v>
      </c>
      <c r="E6526" s="24" t="s">
        <v>42</v>
      </c>
      <c r="F6526" s="24" t="s">
        <v>43</v>
      </c>
      <c r="G6526" s="24" t="s">
        <v>28</v>
      </c>
      <c r="H6526" s="26">
        <v>120</v>
      </c>
      <c r="I6526" s="24" t="s">
        <v>29</v>
      </c>
      <c r="J6526" s="36">
        <v>45866</v>
      </c>
      <c r="K6526" s="24" t="s">
        <v>22</v>
      </c>
    </row>
    <row r="6527" spans="1:11" x14ac:dyDescent="0.2">
      <c r="A6527" s="27" t="s">
        <v>15391</v>
      </c>
      <c r="B6527" s="27" t="s">
        <v>15392</v>
      </c>
      <c r="C6527" s="27" t="s">
        <v>9135</v>
      </c>
      <c r="D6527" s="27" t="s">
        <v>17</v>
      </c>
      <c r="E6527" s="27" t="s">
        <v>81</v>
      </c>
      <c r="F6527" s="27" t="s">
        <v>82</v>
      </c>
      <c r="G6527" s="27" t="s">
        <v>217</v>
      </c>
      <c r="H6527" s="29">
        <v>60</v>
      </c>
      <c r="I6527" s="27" t="s">
        <v>29</v>
      </c>
      <c r="J6527" s="37">
        <v>45839</v>
      </c>
      <c r="K6527" s="27" t="s">
        <v>22</v>
      </c>
    </row>
    <row r="6528" spans="1:11" x14ac:dyDescent="0.2">
      <c r="A6528" s="24" t="s">
        <v>15393</v>
      </c>
      <c r="B6528" s="24" t="s">
        <v>15394</v>
      </c>
      <c r="C6528" s="24" t="s">
        <v>1766</v>
      </c>
      <c r="D6528" s="24" t="s">
        <v>17</v>
      </c>
      <c r="E6528" s="24" t="s">
        <v>18</v>
      </c>
      <c r="F6528" s="24" t="s">
        <v>19</v>
      </c>
      <c r="G6528" s="24" t="s">
        <v>20</v>
      </c>
      <c r="H6528" s="26">
        <v>12</v>
      </c>
      <c r="I6528" s="24" t="s">
        <v>21</v>
      </c>
      <c r="J6528" s="36">
        <v>45856</v>
      </c>
      <c r="K6528" s="24" t="s">
        <v>22</v>
      </c>
    </row>
    <row r="6529" spans="1:11" x14ac:dyDescent="0.2">
      <c r="A6529" s="27" t="s">
        <v>15395</v>
      </c>
      <c r="B6529" s="27" t="s">
        <v>15396</v>
      </c>
      <c r="C6529" s="27" t="s">
        <v>140</v>
      </c>
      <c r="D6529" s="27" t="s">
        <v>17</v>
      </c>
      <c r="E6529" s="27" t="s">
        <v>48</v>
      </c>
      <c r="F6529" s="27" t="s">
        <v>49</v>
      </c>
      <c r="G6529" s="27" t="s">
        <v>217</v>
      </c>
      <c r="H6529" s="29">
        <v>120</v>
      </c>
      <c r="I6529" s="27" t="s">
        <v>29</v>
      </c>
      <c r="J6529" s="37">
        <v>45839</v>
      </c>
      <c r="K6529" s="27" t="s">
        <v>22</v>
      </c>
    </row>
    <row r="6530" spans="1:11" x14ac:dyDescent="0.2">
      <c r="A6530" s="24" t="s">
        <v>15397</v>
      </c>
      <c r="B6530" s="24" t="s">
        <v>15398</v>
      </c>
      <c r="C6530" s="24" t="s">
        <v>15399</v>
      </c>
      <c r="D6530" s="24" t="s">
        <v>17</v>
      </c>
      <c r="E6530" s="24" t="s">
        <v>42</v>
      </c>
      <c r="F6530" s="24" t="s">
        <v>43</v>
      </c>
      <c r="G6530" s="24" t="s">
        <v>28</v>
      </c>
      <c r="H6530" s="26">
        <v>300</v>
      </c>
      <c r="I6530" s="24" t="s">
        <v>29</v>
      </c>
      <c r="J6530" s="36">
        <v>45845</v>
      </c>
      <c r="K6530" s="24" t="s">
        <v>22</v>
      </c>
    </row>
    <row r="6531" spans="1:11" x14ac:dyDescent="0.2">
      <c r="A6531" s="27" t="s">
        <v>15400</v>
      </c>
      <c r="B6531" s="27" t="s">
        <v>15401</v>
      </c>
      <c r="C6531" s="27" t="s">
        <v>2507</v>
      </c>
      <c r="D6531" s="27" t="s">
        <v>17</v>
      </c>
      <c r="E6531" s="27" t="s">
        <v>48</v>
      </c>
      <c r="F6531" s="27" t="s">
        <v>49</v>
      </c>
      <c r="G6531" s="27" t="s">
        <v>28</v>
      </c>
      <c r="H6531" s="29">
        <v>340</v>
      </c>
      <c r="I6531" s="27" t="s">
        <v>29</v>
      </c>
      <c r="J6531" s="37">
        <v>45868</v>
      </c>
      <c r="K6531" s="27" t="s">
        <v>22</v>
      </c>
    </row>
    <row r="6532" spans="1:11" x14ac:dyDescent="0.2">
      <c r="A6532" s="24" t="s">
        <v>15402</v>
      </c>
      <c r="B6532" s="24" t="s">
        <v>15403</v>
      </c>
      <c r="C6532" s="24" t="s">
        <v>1295</v>
      </c>
      <c r="D6532" s="24" t="s">
        <v>17</v>
      </c>
      <c r="E6532" s="24" t="s">
        <v>18</v>
      </c>
      <c r="F6532" s="24" t="s">
        <v>19</v>
      </c>
      <c r="G6532" s="24" t="s">
        <v>28</v>
      </c>
      <c r="H6532" s="26">
        <v>120</v>
      </c>
      <c r="I6532" s="24" t="s">
        <v>29</v>
      </c>
      <c r="J6532" s="36">
        <v>45868</v>
      </c>
      <c r="K6532" s="24" t="s">
        <v>22</v>
      </c>
    </row>
    <row r="6533" spans="1:11" x14ac:dyDescent="0.2">
      <c r="A6533" s="27" t="s">
        <v>15404</v>
      </c>
      <c r="B6533" s="27" t="s">
        <v>15405</v>
      </c>
      <c r="C6533" s="27" t="s">
        <v>2352</v>
      </c>
      <c r="D6533" s="27" t="s">
        <v>17</v>
      </c>
      <c r="E6533" s="27" t="s">
        <v>48</v>
      </c>
      <c r="F6533" s="27" t="s">
        <v>49</v>
      </c>
      <c r="G6533" s="27" t="s">
        <v>28</v>
      </c>
      <c r="H6533" s="29">
        <v>100</v>
      </c>
      <c r="I6533" s="27" t="s">
        <v>29</v>
      </c>
      <c r="J6533" s="37">
        <v>45868</v>
      </c>
      <c r="K6533" s="27" t="s">
        <v>22</v>
      </c>
    </row>
    <row r="6534" spans="1:11" x14ac:dyDescent="0.2">
      <c r="A6534" s="24" t="s">
        <v>15406</v>
      </c>
      <c r="B6534" s="24" t="s">
        <v>15407</v>
      </c>
      <c r="C6534" s="24" t="s">
        <v>106</v>
      </c>
      <c r="D6534" s="24" t="s">
        <v>17</v>
      </c>
      <c r="E6534" s="24" t="s">
        <v>48</v>
      </c>
      <c r="F6534" s="24" t="s">
        <v>49</v>
      </c>
      <c r="G6534" s="24" t="s">
        <v>28</v>
      </c>
      <c r="H6534" s="26">
        <v>416</v>
      </c>
      <c r="I6534" s="24" t="s">
        <v>29</v>
      </c>
      <c r="J6534" s="36">
        <v>45856</v>
      </c>
      <c r="K6534" s="24" t="s">
        <v>22</v>
      </c>
    </row>
    <row r="6535" spans="1:11" x14ac:dyDescent="0.2">
      <c r="A6535" s="27" t="s">
        <v>15408</v>
      </c>
      <c r="B6535" s="27" t="s">
        <v>15409</v>
      </c>
      <c r="C6535" s="27" t="s">
        <v>242</v>
      </c>
      <c r="D6535" s="27" t="s">
        <v>17</v>
      </c>
      <c r="E6535" s="27" t="s">
        <v>18</v>
      </c>
      <c r="F6535" s="27" t="s">
        <v>19</v>
      </c>
      <c r="G6535" s="27" t="s">
        <v>217</v>
      </c>
      <c r="H6535" s="29">
        <v>180</v>
      </c>
      <c r="I6535" s="27" t="s">
        <v>29</v>
      </c>
      <c r="J6535" s="37">
        <v>45839</v>
      </c>
      <c r="K6535" s="27" t="s">
        <v>22</v>
      </c>
    </row>
    <row r="6536" spans="1:11" x14ac:dyDescent="0.2">
      <c r="A6536" s="24" t="s">
        <v>15410</v>
      </c>
      <c r="B6536" s="24" t="s">
        <v>15411</v>
      </c>
      <c r="C6536" s="24" t="s">
        <v>15412</v>
      </c>
      <c r="D6536" s="24" t="s">
        <v>17</v>
      </c>
      <c r="E6536" s="24" t="s">
        <v>48</v>
      </c>
      <c r="F6536" s="24" t="s">
        <v>49</v>
      </c>
      <c r="G6536" s="24" t="s">
        <v>28</v>
      </c>
      <c r="H6536" s="26">
        <v>225</v>
      </c>
      <c r="I6536" s="24" t="s">
        <v>29</v>
      </c>
      <c r="J6536" s="36">
        <v>45853</v>
      </c>
      <c r="K6536" s="24" t="s">
        <v>22</v>
      </c>
    </row>
    <row r="6537" spans="1:11" x14ac:dyDescent="0.2">
      <c r="A6537" s="27" t="s">
        <v>15413</v>
      </c>
      <c r="B6537" s="27" t="s">
        <v>15414</v>
      </c>
      <c r="C6537" s="27" t="s">
        <v>340</v>
      </c>
      <c r="D6537" s="27" t="s">
        <v>17</v>
      </c>
      <c r="E6537" s="27" t="s">
        <v>18</v>
      </c>
      <c r="F6537" s="27" t="s">
        <v>19</v>
      </c>
      <c r="G6537" s="27" t="s">
        <v>20</v>
      </c>
      <c r="H6537" s="29">
        <v>55</v>
      </c>
      <c r="I6537" s="27" t="s">
        <v>21</v>
      </c>
      <c r="J6537" s="37">
        <v>45859</v>
      </c>
      <c r="K6537" s="27" t="s">
        <v>22</v>
      </c>
    </row>
    <row r="6538" spans="1:11" x14ac:dyDescent="0.2">
      <c r="A6538" s="24" t="s">
        <v>15415</v>
      </c>
      <c r="B6538" s="24" t="s">
        <v>15416</v>
      </c>
      <c r="C6538" s="24" t="s">
        <v>15417</v>
      </c>
      <c r="D6538" s="24" t="s">
        <v>17</v>
      </c>
      <c r="E6538" s="24" t="s">
        <v>42</v>
      </c>
      <c r="F6538" s="24" t="s">
        <v>43</v>
      </c>
      <c r="G6538" s="24" t="s">
        <v>28</v>
      </c>
      <c r="H6538" s="26">
        <v>400</v>
      </c>
      <c r="I6538" s="24" t="s">
        <v>29</v>
      </c>
      <c r="J6538" s="36">
        <v>45846</v>
      </c>
      <c r="K6538" s="24" t="s">
        <v>22</v>
      </c>
    </row>
    <row r="6539" spans="1:11" x14ac:dyDescent="0.2">
      <c r="A6539" s="27" t="s">
        <v>15418</v>
      </c>
      <c r="B6539" s="27" t="s">
        <v>15419</v>
      </c>
      <c r="C6539" s="27" t="s">
        <v>388</v>
      </c>
      <c r="D6539" s="27" t="s">
        <v>17</v>
      </c>
      <c r="E6539" s="27" t="s">
        <v>42</v>
      </c>
      <c r="F6539" s="27" t="s">
        <v>43</v>
      </c>
      <c r="G6539" s="27" t="s">
        <v>20</v>
      </c>
      <c r="H6539" s="29">
        <v>80</v>
      </c>
      <c r="I6539" s="27" t="s">
        <v>21</v>
      </c>
      <c r="J6539" s="37">
        <v>45852</v>
      </c>
      <c r="K6539" s="27" t="s">
        <v>22</v>
      </c>
    </row>
    <row r="6540" spans="1:11" x14ac:dyDescent="0.2">
      <c r="A6540" s="24" t="s">
        <v>15420</v>
      </c>
      <c r="B6540" s="24" t="s">
        <v>15421</v>
      </c>
      <c r="C6540" s="24" t="s">
        <v>11585</v>
      </c>
      <c r="D6540" s="24" t="s">
        <v>17</v>
      </c>
      <c r="E6540" s="24" t="s">
        <v>18</v>
      </c>
      <c r="F6540" s="24" t="s">
        <v>19</v>
      </c>
      <c r="G6540" s="24" t="s">
        <v>28</v>
      </c>
      <c r="H6540" s="26">
        <v>450</v>
      </c>
      <c r="I6540" s="24" t="s">
        <v>29</v>
      </c>
      <c r="J6540" s="36">
        <v>45860</v>
      </c>
      <c r="K6540" s="24" t="s">
        <v>22</v>
      </c>
    </row>
    <row r="6541" spans="1:11" x14ac:dyDescent="0.2">
      <c r="A6541" s="27" t="s">
        <v>15422</v>
      </c>
      <c r="B6541" s="27" t="s">
        <v>15423</v>
      </c>
      <c r="C6541" s="27" t="s">
        <v>786</v>
      </c>
      <c r="D6541" s="27" t="s">
        <v>17</v>
      </c>
      <c r="E6541" s="27" t="s">
        <v>18</v>
      </c>
      <c r="F6541" s="27" t="s">
        <v>19</v>
      </c>
      <c r="G6541" s="27" t="s">
        <v>217</v>
      </c>
      <c r="H6541" s="29">
        <v>80</v>
      </c>
      <c r="I6541" s="27" t="s">
        <v>29</v>
      </c>
      <c r="J6541" s="37">
        <v>45839</v>
      </c>
      <c r="K6541" s="27" t="s">
        <v>22</v>
      </c>
    </row>
    <row r="6542" spans="1:11" x14ac:dyDescent="0.2">
      <c r="A6542" s="24" t="s">
        <v>15424</v>
      </c>
      <c r="B6542" s="24" t="s">
        <v>15425</v>
      </c>
      <c r="C6542" s="24" t="s">
        <v>140</v>
      </c>
      <c r="D6542" s="24" t="s">
        <v>17</v>
      </c>
      <c r="E6542" s="24" t="s">
        <v>48</v>
      </c>
      <c r="F6542" s="24" t="s">
        <v>49</v>
      </c>
      <c r="G6542" s="24" t="s">
        <v>44</v>
      </c>
      <c r="H6542" s="26">
        <v>12</v>
      </c>
      <c r="I6542" s="24" t="s">
        <v>29</v>
      </c>
      <c r="J6542" s="36">
        <v>45866</v>
      </c>
      <c r="K6542" s="24" t="s">
        <v>22</v>
      </c>
    </row>
    <row r="6543" spans="1:11" x14ac:dyDescent="0.2">
      <c r="A6543" s="27" t="s">
        <v>15426</v>
      </c>
      <c r="B6543" s="27" t="s">
        <v>15427</v>
      </c>
      <c r="C6543" s="27" t="s">
        <v>15428</v>
      </c>
      <c r="D6543" s="27" t="s">
        <v>17</v>
      </c>
      <c r="E6543" s="27" t="s">
        <v>18</v>
      </c>
      <c r="F6543" s="27" t="s">
        <v>19</v>
      </c>
      <c r="G6543" s="27" t="s">
        <v>217</v>
      </c>
      <c r="H6543" s="29">
        <v>50</v>
      </c>
      <c r="I6543" s="27" t="s">
        <v>29</v>
      </c>
      <c r="J6543" s="37">
        <v>45869</v>
      </c>
      <c r="K6543" s="27" t="s">
        <v>22</v>
      </c>
    </row>
    <row r="6544" spans="1:11" x14ac:dyDescent="0.2">
      <c r="A6544" s="24" t="s">
        <v>15429</v>
      </c>
      <c r="B6544" s="24" t="s">
        <v>15430</v>
      </c>
      <c r="C6544" s="24" t="s">
        <v>1199</v>
      </c>
      <c r="D6544" s="24" t="s">
        <v>17</v>
      </c>
      <c r="E6544" s="24" t="s">
        <v>26</v>
      </c>
      <c r="F6544" s="24" t="s">
        <v>27</v>
      </c>
      <c r="G6544" s="24" t="s">
        <v>28</v>
      </c>
      <c r="H6544" s="26">
        <v>96</v>
      </c>
      <c r="I6544" s="24" t="s">
        <v>29</v>
      </c>
      <c r="J6544" s="36">
        <v>45849</v>
      </c>
      <c r="K6544" s="24" t="s">
        <v>22</v>
      </c>
    </row>
    <row r="6545" spans="1:11" x14ac:dyDescent="0.2">
      <c r="A6545" s="27" t="s">
        <v>15431</v>
      </c>
      <c r="B6545" s="27" t="s">
        <v>15432</v>
      </c>
      <c r="C6545" s="27" t="s">
        <v>822</v>
      </c>
      <c r="D6545" s="27" t="s">
        <v>17</v>
      </c>
      <c r="E6545" s="27" t="s">
        <v>18</v>
      </c>
      <c r="F6545" s="27" t="s">
        <v>19</v>
      </c>
      <c r="G6545" s="27" t="s">
        <v>217</v>
      </c>
      <c r="H6545" s="29">
        <v>81</v>
      </c>
      <c r="I6545" s="27" t="s">
        <v>29</v>
      </c>
      <c r="J6545" s="37">
        <v>45853</v>
      </c>
      <c r="K6545" s="27" t="s">
        <v>22</v>
      </c>
    </row>
    <row r="6546" spans="1:11" x14ac:dyDescent="0.2">
      <c r="A6546" s="24" t="s">
        <v>15433</v>
      </c>
      <c r="B6546" s="24" t="s">
        <v>15434</v>
      </c>
      <c r="C6546" s="24" t="s">
        <v>15435</v>
      </c>
      <c r="D6546" s="24" t="s">
        <v>17</v>
      </c>
      <c r="E6546" s="24" t="s">
        <v>18</v>
      </c>
      <c r="F6546" s="24" t="s">
        <v>19</v>
      </c>
      <c r="G6546" s="24" t="s">
        <v>20</v>
      </c>
      <c r="H6546" s="26">
        <v>20</v>
      </c>
      <c r="I6546" s="24" t="s">
        <v>21</v>
      </c>
      <c r="J6546" s="36">
        <v>45852</v>
      </c>
      <c r="K6546" s="24" t="s">
        <v>22</v>
      </c>
    </row>
    <row r="6547" spans="1:11" x14ac:dyDescent="0.2">
      <c r="A6547" s="27" t="s">
        <v>15436</v>
      </c>
      <c r="B6547" s="27" t="s">
        <v>15437</v>
      </c>
      <c r="C6547" s="27" t="s">
        <v>1438</v>
      </c>
      <c r="D6547" s="27" t="s">
        <v>17</v>
      </c>
      <c r="E6547" s="27" t="s">
        <v>18</v>
      </c>
      <c r="F6547" s="27" t="s">
        <v>19</v>
      </c>
      <c r="G6547" s="27" t="s">
        <v>20</v>
      </c>
      <c r="H6547" s="29">
        <v>36</v>
      </c>
      <c r="I6547" s="27" t="s">
        <v>21</v>
      </c>
      <c r="J6547" s="37">
        <v>45846</v>
      </c>
      <c r="K6547" s="27" t="s">
        <v>22</v>
      </c>
    </row>
    <row r="6548" spans="1:11" x14ac:dyDescent="0.2">
      <c r="A6548" s="24" t="s">
        <v>15438</v>
      </c>
      <c r="B6548" s="24" t="s">
        <v>15439</v>
      </c>
      <c r="C6548" s="24" t="s">
        <v>15440</v>
      </c>
      <c r="D6548" s="24" t="s">
        <v>17</v>
      </c>
      <c r="E6548" s="24" t="s">
        <v>42</v>
      </c>
      <c r="F6548" s="24" t="s">
        <v>43</v>
      </c>
      <c r="G6548" s="24" t="s">
        <v>28</v>
      </c>
      <c r="H6548" s="26">
        <v>400</v>
      </c>
      <c r="I6548" s="24" t="s">
        <v>29</v>
      </c>
      <c r="J6548" s="36">
        <v>45852</v>
      </c>
      <c r="K6548" s="24" t="s">
        <v>22</v>
      </c>
    </row>
    <row r="6549" spans="1:11" x14ac:dyDescent="0.2">
      <c r="A6549" s="27" t="s">
        <v>15441</v>
      </c>
      <c r="B6549" s="27" t="s">
        <v>15442</v>
      </c>
      <c r="C6549" s="27" t="s">
        <v>1110</v>
      </c>
      <c r="D6549" s="27" t="s">
        <v>17</v>
      </c>
      <c r="E6549" s="27" t="s">
        <v>48</v>
      </c>
      <c r="F6549" s="27" t="s">
        <v>49</v>
      </c>
      <c r="G6549" s="27" t="s">
        <v>44</v>
      </c>
      <c r="H6549" s="29">
        <v>340</v>
      </c>
      <c r="I6549" s="27" t="s">
        <v>29</v>
      </c>
      <c r="J6549" s="37">
        <v>45867</v>
      </c>
      <c r="K6549" s="27" t="s">
        <v>22</v>
      </c>
    </row>
    <row r="6550" spans="1:11" x14ac:dyDescent="0.2">
      <c r="A6550" s="24" t="s">
        <v>15443</v>
      </c>
      <c r="B6550" s="24" t="s">
        <v>15444</v>
      </c>
      <c r="C6550" s="24" t="s">
        <v>2257</v>
      </c>
      <c r="D6550" s="24" t="s">
        <v>17</v>
      </c>
      <c r="E6550" s="24" t="s">
        <v>26</v>
      </c>
      <c r="F6550" s="24" t="s">
        <v>27</v>
      </c>
      <c r="G6550" s="24" t="s">
        <v>28</v>
      </c>
      <c r="H6550" s="26">
        <v>200</v>
      </c>
      <c r="I6550" s="24" t="s">
        <v>29</v>
      </c>
      <c r="J6550" s="36">
        <v>45855</v>
      </c>
      <c r="K6550" s="24" t="s">
        <v>22</v>
      </c>
    </row>
    <row r="6551" spans="1:11" x14ac:dyDescent="0.2">
      <c r="A6551" s="27" t="s">
        <v>15445</v>
      </c>
      <c r="B6551" s="27" t="s">
        <v>15446</v>
      </c>
      <c r="C6551" s="27" t="s">
        <v>2222</v>
      </c>
      <c r="D6551" s="27" t="s">
        <v>17</v>
      </c>
      <c r="E6551" s="27" t="s">
        <v>18</v>
      </c>
      <c r="F6551" s="27" t="s">
        <v>19</v>
      </c>
      <c r="G6551" s="27" t="s">
        <v>227</v>
      </c>
      <c r="H6551" s="29">
        <v>52</v>
      </c>
      <c r="I6551" s="27" t="s">
        <v>29</v>
      </c>
      <c r="J6551" s="37">
        <v>45840</v>
      </c>
      <c r="K6551" s="27" t="s">
        <v>22</v>
      </c>
    </row>
    <row r="6552" spans="1:11" x14ac:dyDescent="0.2">
      <c r="A6552" s="24" t="s">
        <v>15447</v>
      </c>
      <c r="B6552" s="24" t="s">
        <v>15448</v>
      </c>
      <c r="C6552" s="24" t="s">
        <v>1938</v>
      </c>
      <c r="D6552" s="24" t="s">
        <v>17</v>
      </c>
      <c r="E6552" s="24" t="s">
        <v>48</v>
      </c>
      <c r="F6552" s="24" t="s">
        <v>49</v>
      </c>
      <c r="G6552" s="24" t="s">
        <v>28</v>
      </c>
      <c r="H6552" s="26">
        <v>360</v>
      </c>
      <c r="I6552" s="24" t="s">
        <v>29</v>
      </c>
      <c r="J6552" s="36">
        <v>45853</v>
      </c>
      <c r="K6552" s="24" t="s">
        <v>22</v>
      </c>
    </row>
    <row r="6553" spans="1:11" x14ac:dyDescent="0.2">
      <c r="A6553" s="27" t="s">
        <v>15449</v>
      </c>
      <c r="B6553" s="27" t="s">
        <v>15450</v>
      </c>
      <c r="C6553" s="27" t="s">
        <v>7515</v>
      </c>
      <c r="D6553" s="27" t="s">
        <v>17</v>
      </c>
      <c r="E6553" s="27" t="s">
        <v>48</v>
      </c>
      <c r="F6553" s="27" t="s">
        <v>49</v>
      </c>
      <c r="G6553" s="27" t="s">
        <v>217</v>
      </c>
      <c r="H6553" s="29">
        <v>72</v>
      </c>
      <c r="I6553" s="27" t="s">
        <v>29</v>
      </c>
      <c r="J6553" s="37">
        <v>45839</v>
      </c>
      <c r="K6553" s="27" t="s">
        <v>22</v>
      </c>
    </row>
    <row r="6554" spans="1:11" x14ac:dyDescent="0.2">
      <c r="A6554" s="24" t="s">
        <v>15451</v>
      </c>
      <c r="B6554" s="24" t="s">
        <v>15452</v>
      </c>
      <c r="C6554" s="24" t="s">
        <v>106</v>
      </c>
      <c r="D6554" s="24" t="s">
        <v>17</v>
      </c>
      <c r="E6554" s="24" t="s">
        <v>18</v>
      </c>
      <c r="F6554" s="24" t="s">
        <v>19</v>
      </c>
      <c r="G6554" s="24" t="s">
        <v>20</v>
      </c>
      <c r="H6554" s="26">
        <v>15</v>
      </c>
      <c r="I6554" s="24" t="s">
        <v>21</v>
      </c>
      <c r="J6554" s="36">
        <v>45840</v>
      </c>
      <c r="K6554" s="24" t="s">
        <v>22</v>
      </c>
    </row>
    <row r="6555" spans="1:11" x14ac:dyDescent="0.2">
      <c r="A6555" s="27" t="s">
        <v>15453</v>
      </c>
      <c r="B6555" s="27" t="s">
        <v>15454</v>
      </c>
      <c r="C6555" s="27" t="s">
        <v>85</v>
      </c>
      <c r="D6555" s="27" t="s">
        <v>17</v>
      </c>
      <c r="E6555" s="27" t="s">
        <v>26</v>
      </c>
      <c r="F6555" s="27" t="s">
        <v>27</v>
      </c>
      <c r="G6555" s="27" t="s">
        <v>28</v>
      </c>
      <c r="H6555" s="29">
        <v>130</v>
      </c>
      <c r="I6555" s="27" t="s">
        <v>29</v>
      </c>
      <c r="J6555" s="37">
        <v>45861</v>
      </c>
      <c r="K6555" s="27" t="s">
        <v>22</v>
      </c>
    </row>
    <row r="6556" spans="1:11" x14ac:dyDescent="0.2">
      <c r="A6556" s="24" t="s">
        <v>15455</v>
      </c>
      <c r="B6556" s="24" t="s">
        <v>15456</v>
      </c>
      <c r="C6556" s="24" t="s">
        <v>213</v>
      </c>
      <c r="D6556" s="24" t="s">
        <v>17</v>
      </c>
      <c r="E6556" s="24" t="s">
        <v>42</v>
      </c>
      <c r="F6556" s="24" t="s">
        <v>43</v>
      </c>
      <c r="G6556" s="24" t="s">
        <v>28</v>
      </c>
      <c r="H6556" s="26">
        <v>300</v>
      </c>
      <c r="I6556" s="24" t="s">
        <v>29</v>
      </c>
      <c r="J6556" s="36">
        <v>45852</v>
      </c>
      <c r="K6556" s="24" t="s">
        <v>22</v>
      </c>
    </row>
    <row r="6557" spans="1:11" x14ac:dyDescent="0.2">
      <c r="A6557" s="27" t="s">
        <v>15457</v>
      </c>
      <c r="B6557" s="27" t="s">
        <v>15458</v>
      </c>
      <c r="C6557" s="27" t="s">
        <v>15459</v>
      </c>
      <c r="D6557" s="27" t="s">
        <v>17</v>
      </c>
      <c r="E6557" s="27" t="s">
        <v>48</v>
      </c>
      <c r="F6557" s="27" t="s">
        <v>49</v>
      </c>
      <c r="G6557" s="27" t="s">
        <v>217</v>
      </c>
      <c r="H6557" s="29">
        <v>30</v>
      </c>
      <c r="I6557" s="27" t="s">
        <v>29</v>
      </c>
      <c r="J6557" s="37">
        <v>45839</v>
      </c>
      <c r="K6557" s="27" t="s">
        <v>22</v>
      </c>
    </row>
    <row r="6558" spans="1:11" x14ac:dyDescent="0.2">
      <c r="A6558" s="24" t="s">
        <v>15460</v>
      </c>
      <c r="B6558" s="24" t="s">
        <v>15461</v>
      </c>
      <c r="C6558" s="24" t="s">
        <v>97</v>
      </c>
      <c r="D6558" s="24" t="s">
        <v>17</v>
      </c>
      <c r="E6558" s="24" t="s">
        <v>18</v>
      </c>
      <c r="F6558" s="24" t="s">
        <v>19</v>
      </c>
      <c r="G6558" s="24" t="s">
        <v>28</v>
      </c>
      <c r="H6558" s="26">
        <v>40</v>
      </c>
      <c r="I6558" s="24" t="s">
        <v>29</v>
      </c>
      <c r="J6558" s="36">
        <v>45869</v>
      </c>
      <c r="K6558" s="24" t="s">
        <v>22</v>
      </c>
    </row>
    <row r="6559" spans="1:11" x14ac:dyDescent="0.2">
      <c r="A6559" s="27" t="s">
        <v>15462</v>
      </c>
      <c r="B6559" s="27" t="s">
        <v>15463</v>
      </c>
      <c r="C6559" s="27" t="s">
        <v>213</v>
      </c>
      <c r="D6559" s="27" t="s">
        <v>17</v>
      </c>
      <c r="E6559" s="27" t="s">
        <v>42</v>
      </c>
      <c r="F6559" s="27" t="s">
        <v>43</v>
      </c>
      <c r="G6559" s="27" t="s">
        <v>28</v>
      </c>
      <c r="H6559" s="29">
        <v>714</v>
      </c>
      <c r="I6559" s="27" t="s">
        <v>29</v>
      </c>
      <c r="J6559" s="37">
        <v>45861</v>
      </c>
      <c r="K6559" s="27" t="s">
        <v>22</v>
      </c>
    </row>
    <row r="6560" spans="1:11" x14ac:dyDescent="0.2">
      <c r="A6560" s="24" t="s">
        <v>15464</v>
      </c>
      <c r="B6560" s="24" t="s">
        <v>15465</v>
      </c>
      <c r="C6560" s="24" t="s">
        <v>109</v>
      </c>
      <c r="D6560" s="24" t="s">
        <v>17</v>
      </c>
      <c r="E6560" s="24" t="s">
        <v>48</v>
      </c>
      <c r="F6560" s="24" t="s">
        <v>49</v>
      </c>
      <c r="G6560" s="24" t="s">
        <v>44</v>
      </c>
      <c r="H6560" s="26">
        <v>1</v>
      </c>
      <c r="I6560" s="24" t="s">
        <v>21</v>
      </c>
      <c r="J6560" s="36">
        <v>45863</v>
      </c>
      <c r="K6560" s="24" t="s">
        <v>22</v>
      </c>
    </row>
    <row r="6561" spans="1:11" x14ac:dyDescent="0.2">
      <c r="A6561" s="27" t="s">
        <v>15466</v>
      </c>
      <c r="B6561" s="27" t="s">
        <v>15467</v>
      </c>
      <c r="C6561" s="27" t="s">
        <v>1212</v>
      </c>
      <c r="D6561" s="27" t="s">
        <v>17</v>
      </c>
      <c r="E6561" s="27" t="s">
        <v>18</v>
      </c>
      <c r="F6561" s="27" t="s">
        <v>19</v>
      </c>
      <c r="G6561" s="27" t="s">
        <v>28</v>
      </c>
      <c r="H6561" s="29">
        <v>52</v>
      </c>
      <c r="I6561" s="27" t="s">
        <v>29</v>
      </c>
      <c r="J6561" s="37">
        <v>45841</v>
      </c>
      <c r="K6561" s="27" t="s">
        <v>22</v>
      </c>
    </row>
    <row r="6562" spans="1:11" x14ac:dyDescent="0.2">
      <c r="A6562" s="24" t="s">
        <v>15468</v>
      </c>
      <c r="B6562" s="24" t="s">
        <v>15469</v>
      </c>
      <c r="C6562" s="24" t="s">
        <v>15470</v>
      </c>
      <c r="D6562" s="24" t="s">
        <v>17</v>
      </c>
      <c r="E6562" s="24" t="s">
        <v>48</v>
      </c>
      <c r="F6562" s="24" t="s">
        <v>49</v>
      </c>
      <c r="G6562" s="24" t="s">
        <v>217</v>
      </c>
      <c r="H6562" s="26">
        <v>12</v>
      </c>
      <c r="I6562" s="24" t="s">
        <v>29</v>
      </c>
      <c r="J6562" s="36">
        <v>45839</v>
      </c>
      <c r="K6562" s="24" t="s">
        <v>22</v>
      </c>
    </row>
    <row r="6563" spans="1:11" x14ac:dyDescent="0.2">
      <c r="A6563" s="27" t="s">
        <v>15471</v>
      </c>
      <c r="B6563" s="27" t="s">
        <v>15472</v>
      </c>
      <c r="C6563" s="27" t="s">
        <v>1307</v>
      </c>
      <c r="D6563" s="27" t="s">
        <v>17</v>
      </c>
      <c r="E6563" s="27" t="s">
        <v>42</v>
      </c>
      <c r="F6563" s="27" t="s">
        <v>43</v>
      </c>
      <c r="G6563" s="27" t="s">
        <v>28</v>
      </c>
      <c r="H6563" s="29">
        <v>240</v>
      </c>
      <c r="I6563" s="27" t="s">
        <v>29</v>
      </c>
      <c r="J6563" s="37">
        <v>45861</v>
      </c>
      <c r="K6563" s="27" t="s">
        <v>22</v>
      </c>
    </row>
    <row r="6564" spans="1:11" x14ac:dyDescent="0.2">
      <c r="A6564" s="24" t="s">
        <v>15473</v>
      </c>
      <c r="B6564" s="24" t="s">
        <v>15474</v>
      </c>
      <c r="C6564" s="24" t="s">
        <v>10395</v>
      </c>
      <c r="D6564" s="24" t="s">
        <v>17</v>
      </c>
      <c r="E6564" s="24" t="s">
        <v>26</v>
      </c>
      <c r="F6564" s="24" t="s">
        <v>27</v>
      </c>
      <c r="G6564" s="24" t="s">
        <v>28</v>
      </c>
      <c r="H6564" s="26">
        <v>60</v>
      </c>
      <c r="I6564" s="24" t="s">
        <v>29</v>
      </c>
      <c r="J6564" s="36">
        <v>45859</v>
      </c>
      <c r="K6564" s="24" t="s">
        <v>22</v>
      </c>
    </row>
    <row r="6565" spans="1:11" x14ac:dyDescent="0.2">
      <c r="A6565" s="27" t="s">
        <v>15475</v>
      </c>
      <c r="B6565" s="27" t="s">
        <v>15476</v>
      </c>
      <c r="C6565" s="27" t="s">
        <v>251</v>
      </c>
      <c r="D6565" s="27" t="s">
        <v>17</v>
      </c>
      <c r="E6565" s="27" t="s">
        <v>42</v>
      </c>
      <c r="F6565" s="27" t="s">
        <v>43</v>
      </c>
      <c r="G6565" s="27" t="s">
        <v>28</v>
      </c>
      <c r="H6565" s="29">
        <v>220</v>
      </c>
      <c r="I6565" s="27" t="s">
        <v>29</v>
      </c>
      <c r="J6565" s="37">
        <v>45866</v>
      </c>
      <c r="K6565" s="27" t="s">
        <v>22</v>
      </c>
    </row>
    <row r="6566" spans="1:11" x14ac:dyDescent="0.2">
      <c r="A6566" s="24" t="s">
        <v>15477</v>
      </c>
      <c r="B6566" s="24" t="s">
        <v>15478</v>
      </c>
      <c r="C6566" s="24" t="s">
        <v>874</v>
      </c>
      <c r="D6566" s="24" t="s">
        <v>17</v>
      </c>
      <c r="E6566" s="24" t="s">
        <v>42</v>
      </c>
      <c r="F6566" s="24" t="s">
        <v>43</v>
      </c>
      <c r="G6566" s="24" t="s">
        <v>28</v>
      </c>
      <c r="H6566" s="26">
        <v>514</v>
      </c>
      <c r="I6566" s="24" t="s">
        <v>29</v>
      </c>
      <c r="J6566" s="36">
        <v>45862</v>
      </c>
      <c r="K6566" s="24" t="s">
        <v>22</v>
      </c>
    </row>
    <row r="6567" spans="1:11" x14ac:dyDescent="0.2">
      <c r="A6567" s="27" t="s">
        <v>15479</v>
      </c>
      <c r="B6567" s="27" t="s">
        <v>15480</v>
      </c>
      <c r="C6567" s="27" t="s">
        <v>15481</v>
      </c>
      <c r="D6567" s="27" t="s">
        <v>17</v>
      </c>
      <c r="E6567" s="27" t="s">
        <v>81</v>
      </c>
      <c r="F6567" s="27" t="s">
        <v>82</v>
      </c>
      <c r="G6567" s="27" t="s">
        <v>20</v>
      </c>
      <c r="H6567" s="29">
        <v>10</v>
      </c>
      <c r="I6567" s="27" t="s">
        <v>21</v>
      </c>
      <c r="J6567" s="37">
        <v>45849</v>
      </c>
      <c r="K6567" s="27" t="s">
        <v>22</v>
      </c>
    </row>
    <row r="6568" spans="1:11" x14ac:dyDescent="0.2">
      <c r="A6568" s="24" t="s">
        <v>15482</v>
      </c>
      <c r="B6568" s="24" t="s">
        <v>15483</v>
      </c>
      <c r="C6568" s="24" t="s">
        <v>437</v>
      </c>
      <c r="D6568" s="24" t="s">
        <v>17</v>
      </c>
      <c r="E6568" s="24" t="s">
        <v>42</v>
      </c>
      <c r="F6568" s="24" t="s">
        <v>43</v>
      </c>
      <c r="G6568" s="24" t="s">
        <v>28</v>
      </c>
      <c r="H6568" s="26">
        <v>12800</v>
      </c>
      <c r="I6568" s="24" t="s">
        <v>29</v>
      </c>
      <c r="J6568" s="36">
        <v>45863</v>
      </c>
      <c r="K6568" s="24" t="s">
        <v>22</v>
      </c>
    </row>
    <row r="6569" spans="1:11" x14ac:dyDescent="0.2">
      <c r="A6569" s="27" t="s">
        <v>15484</v>
      </c>
      <c r="B6569" s="27" t="s">
        <v>15485</v>
      </c>
      <c r="C6569" s="27" t="s">
        <v>1257</v>
      </c>
      <c r="D6569" s="27" t="s">
        <v>17</v>
      </c>
      <c r="E6569" s="27" t="s">
        <v>81</v>
      </c>
      <c r="F6569" s="27" t="s">
        <v>82</v>
      </c>
      <c r="G6569" s="27" t="s">
        <v>28</v>
      </c>
      <c r="H6569" s="29">
        <v>20</v>
      </c>
      <c r="I6569" s="27" t="s">
        <v>29</v>
      </c>
      <c r="J6569" s="37">
        <v>45846</v>
      </c>
      <c r="K6569" s="27" t="s">
        <v>22</v>
      </c>
    </row>
    <row r="6570" spans="1:11" x14ac:dyDescent="0.2">
      <c r="A6570" s="24" t="s">
        <v>15486</v>
      </c>
      <c r="B6570" s="24" t="s">
        <v>15487</v>
      </c>
      <c r="C6570" s="24" t="s">
        <v>6066</v>
      </c>
      <c r="D6570" s="24" t="s">
        <v>17</v>
      </c>
      <c r="E6570" s="24" t="s">
        <v>48</v>
      </c>
      <c r="F6570" s="24" t="s">
        <v>49</v>
      </c>
      <c r="G6570" s="24" t="s">
        <v>28</v>
      </c>
      <c r="H6570" s="26">
        <v>60</v>
      </c>
      <c r="I6570" s="24" t="s">
        <v>29</v>
      </c>
      <c r="J6570" s="36">
        <v>45839</v>
      </c>
      <c r="K6570" s="24" t="s">
        <v>22</v>
      </c>
    </row>
    <row r="6571" spans="1:11" x14ac:dyDescent="0.2">
      <c r="A6571" s="27" t="s">
        <v>15488</v>
      </c>
      <c r="B6571" s="27" t="s">
        <v>15489</v>
      </c>
      <c r="C6571" s="27" t="s">
        <v>5939</v>
      </c>
      <c r="D6571" s="27" t="s">
        <v>17</v>
      </c>
      <c r="E6571" s="27" t="s">
        <v>42</v>
      </c>
      <c r="F6571" s="27" t="s">
        <v>43</v>
      </c>
      <c r="G6571" s="27" t="s">
        <v>28</v>
      </c>
      <c r="H6571" s="29">
        <v>150</v>
      </c>
      <c r="I6571" s="27" t="s">
        <v>29</v>
      </c>
      <c r="J6571" s="37">
        <v>45856</v>
      </c>
      <c r="K6571" s="27" t="s">
        <v>22</v>
      </c>
    </row>
    <row r="6572" spans="1:11" x14ac:dyDescent="0.2">
      <c r="A6572" s="24" t="s">
        <v>15490</v>
      </c>
      <c r="B6572" s="24" t="s">
        <v>15491</v>
      </c>
      <c r="C6572" s="24" t="s">
        <v>230</v>
      </c>
      <c r="D6572" s="24" t="s">
        <v>17</v>
      </c>
      <c r="E6572" s="24" t="s">
        <v>42</v>
      </c>
      <c r="F6572" s="24" t="s">
        <v>43</v>
      </c>
      <c r="G6572" s="24" t="s">
        <v>28</v>
      </c>
      <c r="H6572" s="26">
        <v>171</v>
      </c>
      <c r="I6572" s="24" t="s">
        <v>29</v>
      </c>
      <c r="J6572" s="36">
        <v>45856</v>
      </c>
      <c r="K6572" s="24" t="s">
        <v>22</v>
      </c>
    </row>
    <row r="6573" spans="1:11" x14ac:dyDescent="0.2">
      <c r="A6573" s="27" t="s">
        <v>15492</v>
      </c>
      <c r="B6573" s="27" t="s">
        <v>15493</v>
      </c>
      <c r="C6573" s="27" t="s">
        <v>115</v>
      </c>
      <c r="D6573" s="27" t="s">
        <v>17</v>
      </c>
      <c r="E6573" s="27" t="s">
        <v>42</v>
      </c>
      <c r="F6573" s="27" t="s">
        <v>43</v>
      </c>
      <c r="G6573" s="27" t="s">
        <v>44</v>
      </c>
      <c r="H6573" s="29">
        <v>606</v>
      </c>
      <c r="I6573" s="27" t="s">
        <v>21</v>
      </c>
      <c r="J6573" s="37">
        <v>45847</v>
      </c>
      <c r="K6573" s="27" t="s">
        <v>22</v>
      </c>
    </row>
    <row r="6574" spans="1:11" x14ac:dyDescent="0.2">
      <c r="A6574" s="24" t="s">
        <v>15494</v>
      </c>
      <c r="B6574" s="24" t="s">
        <v>15495</v>
      </c>
      <c r="C6574" s="24" t="s">
        <v>1199</v>
      </c>
      <c r="D6574" s="24" t="s">
        <v>17</v>
      </c>
      <c r="E6574" s="24" t="s">
        <v>48</v>
      </c>
      <c r="F6574" s="24" t="s">
        <v>49</v>
      </c>
      <c r="G6574" s="24" t="s">
        <v>28</v>
      </c>
      <c r="H6574" s="26">
        <v>120</v>
      </c>
      <c r="I6574" s="24" t="s">
        <v>29</v>
      </c>
      <c r="J6574" s="36">
        <v>45846</v>
      </c>
      <c r="K6574" s="24" t="s">
        <v>22</v>
      </c>
    </row>
    <row r="6575" spans="1:11" x14ac:dyDescent="0.2">
      <c r="A6575" s="27" t="s">
        <v>15496</v>
      </c>
      <c r="B6575" s="27" t="s">
        <v>15497</v>
      </c>
      <c r="C6575" s="27" t="s">
        <v>85</v>
      </c>
      <c r="D6575" s="27" t="s">
        <v>17</v>
      </c>
      <c r="E6575" s="27" t="s">
        <v>18</v>
      </c>
      <c r="F6575" s="27" t="s">
        <v>19</v>
      </c>
      <c r="G6575" s="27" t="s">
        <v>44</v>
      </c>
      <c r="H6575" s="29">
        <v>20</v>
      </c>
      <c r="I6575" s="27" t="s">
        <v>29</v>
      </c>
      <c r="J6575" s="37">
        <v>45853</v>
      </c>
      <c r="K6575" s="27" t="s">
        <v>22</v>
      </c>
    </row>
    <row r="6576" spans="1:11" x14ac:dyDescent="0.2">
      <c r="A6576" s="24" t="s">
        <v>15498</v>
      </c>
      <c r="B6576" s="24" t="s">
        <v>15499</v>
      </c>
      <c r="C6576" s="24" t="s">
        <v>526</v>
      </c>
      <c r="D6576" s="24" t="s">
        <v>17</v>
      </c>
      <c r="E6576" s="24" t="s">
        <v>26</v>
      </c>
      <c r="F6576" s="24" t="s">
        <v>27</v>
      </c>
      <c r="G6576" s="24" t="s">
        <v>28</v>
      </c>
      <c r="H6576" s="26">
        <v>58</v>
      </c>
      <c r="I6576" s="24" t="s">
        <v>29</v>
      </c>
      <c r="J6576" s="36">
        <v>45868</v>
      </c>
      <c r="K6576" s="24" t="s">
        <v>22</v>
      </c>
    </row>
    <row r="6577" spans="1:11" x14ac:dyDescent="0.2">
      <c r="A6577" s="27" t="s">
        <v>15500</v>
      </c>
      <c r="B6577" s="27" t="s">
        <v>15501</v>
      </c>
      <c r="C6577" s="27" t="s">
        <v>266</v>
      </c>
      <c r="D6577" s="27" t="s">
        <v>17</v>
      </c>
      <c r="E6577" s="27" t="s">
        <v>18</v>
      </c>
      <c r="F6577" s="27" t="s">
        <v>19</v>
      </c>
      <c r="G6577" s="27" t="s">
        <v>20</v>
      </c>
      <c r="H6577" s="29">
        <v>40</v>
      </c>
      <c r="I6577" s="27" t="s">
        <v>21</v>
      </c>
      <c r="J6577" s="37">
        <v>45845</v>
      </c>
      <c r="K6577" s="27" t="s">
        <v>22</v>
      </c>
    </row>
    <row r="6578" spans="1:11" x14ac:dyDescent="0.2">
      <c r="A6578" s="24" t="s">
        <v>15502</v>
      </c>
      <c r="B6578" s="24" t="s">
        <v>15503</v>
      </c>
      <c r="C6578" s="24" t="s">
        <v>15504</v>
      </c>
      <c r="D6578" s="24" t="s">
        <v>17</v>
      </c>
      <c r="E6578" s="24" t="s">
        <v>42</v>
      </c>
      <c r="F6578" s="24" t="s">
        <v>43</v>
      </c>
      <c r="G6578" s="24" t="s">
        <v>217</v>
      </c>
      <c r="H6578" s="26">
        <v>79</v>
      </c>
      <c r="I6578" s="24" t="s">
        <v>29</v>
      </c>
      <c r="J6578" s="36">
        <v>45839</v>
      </c>
      <c r="K6578" s="24" t="s">
        <v>22</v>
      </c>
    </row>
    <row r="6579" spans="1:11" x14ac:dyDescent="0.2">
      <c r="A6579" s="27" t="s">
        <v>15505</v>
      </c>
      <c r="B6579" s="27" t="s">
        <v>15506</v>
      </c>
      <c r="C6579" s="27" t="s">
        <v>3595</v>
      </c>
      <c r="D6579" s="27" t="s">
        <v>17</v>
      </c>
      <c r="E6579" s="27" t="s">
        <v>42</v>
      </c>
      <c r="F6579" s="27" t="s">
        <v>43</v>
      </c>
      <c r="G6579" s="27" t="s">
        <v>28</v>
      </c>
      <c r="H6579" s="29">
        <v>150</v>
      </c>
      <c r="I6579" s="27" t="s">
        <v>29</v>
      </c>
      <c r="J6579" s="37">
        <v>45868</v>
      </c>
      <c r="K6579" s="27" t="s">
        <v>22</v>
      </c>
    </row>
    <row r="6580" spans="1:11" x14ac:dyDescent="0.2">
      <c r="A6580" s="24" t="s">
        <v>15507</v>
      </c>
      <c r="B6580" s="24" t="s">
        <v>15508</v>
      </c>
      <c r="C6580" s="24" t="s">
        <v>1174</v>
      </c>
      <c r="D6580" s="24" t="s">
        <v>17</v>
      </c>
      <c r="E6580" s="24" t="s">
        <v>26</v>
      </c>
      <c r="F6580" s="24" t="s">
        <v>27</v>
      </c>
      <c r="G6580" s="24" t="s">
        <v>28</v>
      </c>
      <c r="H6580" s="26">
        <v>60</v>
      </c>
      <c r="I6580" s="24" t="s">
        <v>29</v>
      </c>
      <c r="J6580" s="36">
        <v>45845</v>
      </c>
      <c r="K6580" s="24" t="s">
        <v>22</v>
      </c>
    </row>
    <row r="6581" spans="1:11" x14ac:dyDescent="0.2">
      <c r="A6581" s="27" t="s">
        <v>15509</v>
      </c>
      <c r="B6581" s="27" t="s">
        <v>15510</v>
      </c>
      <c r="C6581" s="27" t="s">
        <v>1147</v>
      </c>
      <c r="D6581" s="27" t="s">
        <v>17</v>
      </c>
      <c r="E6581" s="27" t="s">
        <v>42</v>
      </c>
      <c r="F6581" s="27" t="s">
        <v>43</v>
      </c>
      <c r="G6581" s="27" t="s">
        <v>28</v>
      </c>
      <c r="H6581" s="29">
        <v>140</v>
      </c>
      <c r="I6581" s="27" t="s">
        <v>29</v>
      </c>
      <c r="J6581" s="37">
        <v>45863</v>
      </c>
      <c r="K6581" s="27" t="s">
        <v>22</v>
      </c>
    </row>
    <row r="6582" spans="1:11" x14ac:dyDescent="0.2">
      <c r="A6582" s="24" t="s">
        <v>15511</v>
      </c>
      <c r="B6582" s="24" t="s">
        <v>15512</v>
      </c>
      <c r="C6582" s="24" t="s">
        <v>242</v>
      </c>
      <c r="D6582" s="24" t="s">
        <v>17</v>
      </c>
      <c r="E6582" s="24" t="s">
        <v>18</v>
      </c>
      <c r="F6582" s="24" t="s">
        <v>19</v>
      </c>
      <c r="G6582" s="24" t="s">
        <v>217</v>
      </c>
      <c r="H6582" s="26">
        <v>108</v>
      </c>
      <c r="I6582" s="24" t="s">
        <v>29</v>
      </c>
      <c r="J6582" s="36">
        <v>45858</v>
      </c>
      <c r="K6582" s="24" t="s">
        <v>22</v>
      </c>
    </row>
    <row r="6583" spans="1:11" x14ac:dyDescent="0.2">
      <c r="A6583" s="27" t="s">
        <v>15513</v>
      </c>
      <c r="B6583" s="27" t="s">
        <v>15514</v>
      </c>
      <c r="C6583" s="27" t="s">
        <v>15515</v>
      </c>
      <c r="D6583" s="27" t="s">
        <v>17</v>
      </c>
      <c r="E6583" s="27" t="s">
        <v>18</v>
      </c>
      <c r="F6583" s="27" t="s">
        <v>19</v>
      </c>
      <c r="G6583" s="27" t="s">
        <v>20</v>
      </c>
      <c r="H6583" s="29">
        <v>24</v>
      </c>
      <c r="I6583" s="27" t="s">
        <v>21</v>
      </c>
      <c r="J6583" s="37">
        <v>45857</v>
      </c>
      <c r="K6583" s="27" t="s">
        <v>22</v>
      </c>
    </row>
    <row r="6584" spans="1:11" x14ac:dyDescent="0.2">
      <c r="A6584" s="24" t="s">
        <v>15516</v>
      </c>
      <c r="B6584" s="24" t="s">
        <v>15517</v>
      </c>
      <c r="C6584" s="24" t="s">
        <v>15518</v>
      </c>
      <c r="D6584" s="24" t="s">
        <v>17</v>
      </c>
      <c r="E6584" s="24" t="s">
        <v>163</v>
      </c>
      <c r="F6584" s="24" t="s">
        <v>164</v>
      </c>
      <c r="G6584" s="24" t="s">
        <v>217</v>
      </c>
      <c r="H6584" s="26">
        <v>15</v>
      </c>
      <c r="I6584" s="24" t="s">
        <v>29</v>
      </c>
      <c r="J6584" s="36">
        <v>45866</v>
      </c>
      <c r="K6584" s="24" t="s">
        <v>22</v>
      </c>
    </row>
    <row r="6585" spans="1:11" x14ac:dyDescent="0.2">
      <c r="A6585" s="27" t="s">
        <v>15519</v>
      </c>
      <c r="B6585" s="27" t="s">
        <v>15520</v>
      </c>
      <c r="C6585" s="27" t="s">
        <v>1059</v>
      </c>
      <c r="D6585" s="27" t="s">
        <v>17</v>
      </c>
      <c r="E6585" s="27" t="s">
        <v>18</v>
      </c>
      <c r="F6585" s="27" t="s">
        <v>19</v>
      </c>
      <c r="G6585" s="27" t="s">
        <v>20</v>
      </c>
      <c r="H6585" s="29">
        <v>60</v>
      </c>
      <c r="I6585" s="27" t="s">
        <v>21</v>
      </c>
      <c r="J6585" s="37">
        <v>45850</v>
      </c>
      <c r="K6585" s="27" t="s">
        <v>22</v>
      </c>
    </row>
    <row r="6586" spans="1:11" x14ac:dyDescent="0.2">
      <c r="A6586" s="24" t="s">
        <v>15521</v>
      </c>
      <c r="B6586" s="24" t="s">
        <v>15522</v>
      </c>
      <c r="C6586" s="24" t="s">
        <v>14320</v>
      </c>
      <c r="D6586" s="24" t="s">
        <v>17</v>
      </c>
      <c r="E6586" s="24" t="s">
        <v>18</v>
      </c>
      <c r="F6586" s="24" t="s">
        <v>19</v>
      </c>
      <c r="G6586" s="24" t="s">
        <v>28</v>
      </c>
      <c r="H6586" s="26">
        <v>30</v>
      </c>
      <c r="I6586" s="24" t="s">
        <v>29</v>
      </c>
      <c r="J6586" s="36">
        <v>45848</v>
      </c>
      <c r="K6586" s="24" t="s">
        <v>22</v>
      </c>
    </row>
    <row r="6587" spans="1:11" x14ac:dyDescent="0.2">
      <c r="A6587" s="27" t="s">
        <v>15523</v>
      </c>
      <c r="B6587" s="27" t="s">
        <v>15524</v>
      </c>
      <c r="C6587" s="27" t="s">
        <v>4448</v>
      </c>
      <c r="D6587" s="27" t="s">
        <v>17</v>
      </c>
      <c r="E6587" s="27" t="s">
        <v>42</v>
      </c>
      <c r="F6587" s="27" t="s">
        <v>43</v>
      </c>
      <c r="G6587" s="27" t="s">
        <v>20</v>
      </c>
      <c r="H6587" s="29">
        <v>24</v>
      </c>
      <c r="I6587" s="27" t="s">
        <v>21</v>
      </c>
      <c r="J6587" s="37">
        <v>45839</v>
      </c>
      <c r="K6587" s="27" t="s">
        <v>22</v>
      </c>
    </row>
    <row r="6588" spans="1:11" x14ac:dyDescent="0.2">
      <c r="A6588" s="24" t="s">
        <v>15525</v>
      </c>
      <c r="B6588" s="24" t="s">
        <v>15526</v>
      </c>
      <c r="C6588" s="24" t="s">
        <v>15527</v>
      </c>
      <c r="D6588" s="24" t="s">
        <v>17</v>
      </c>
      <c r="E6588" s="24" t="s">
        <v>18</v>
      </c>
      <c r="F6588" s="24" t="s">
        <v>19</v>
      </c>
      <c r="G6588" s="24" t="s">
        <v>20</v>
      </c>
      <c r="H6588" s="26">
        <v>40</v>
      </c>
      <c r="I6588" s="24" t="s">
        <v>21</v>
      </c>
      <c r="J6588" s="36">
        <v>45839</v>
      </c>
      <c r="K6588" s="24" t="s">
        <v>22</v>
      </c>
    </row>
    <row r="6589" spans="1:11" x14ac:dyDescent="0.2">
      <c r="A6589" s="27" t="s">
        <v>15528</v>
      </c>
      <c r="B6589" s="27" t="s">
        <v>15529</v>
      </c>
      <c r="C6589" s="27" t="s">
        <v>15530</v>
      </c>
      <c r="D6589" s="27" t="s">
        <v>17</v>
      </c>
      <c r="E6589" s="27" t="s">
        <v>18</v>
      </c>
      <c r="F6589" s="27" t="s">
        <v>19</v>
      </c>
      <c r="G6589" s="27" t="s">
        <v>44</v>
      </c>
      <c r="H6589" s="29">
        <v>134</v>
      </c>
      <c r="I6589" s="27" t="s">
        <v>29</v>
      </c>
      <c r="J6589" s="37">
        <v>45867</v>
      </c>
      <c r="K6589" s="27" t="s">
        <v>22</v>
      </c>
    </row>
    <row r="6590" spans="1:11" x14ac:dyDescent="0.2">
      <c r="A6590" s="24" t="s">
        <v>15531</v>
      </c>
      <c r="B6590" s="24" t="s">
        <v>15532</v>
      </c>
      <c r="C6590" s="24" t="s">
        <v>6145</v>
      </c>
      <c r="D6590" s="24" t="s">
        <v>17</v>
      </c>
      <c r="E6590" s="24" t="s">
        <v>26</v>
      </c>
      <c r="F6590" s="24" t="s">
        <v>27</v>
      </c>
      <c r="G6590" s="24" t="s">
        <v>217</v>
      </c>
      <c r="H6590" s="26">
        <v>20</v>
      </c>
      <c r="I6590" s="24" t="s">
        <v>29</v>
      </c>
      <c r="J6590" s="36">
        <v>45853</v>
      </c>
      <c r="K6590" s="24" t="s">
        <v>22</v>
      </c>
    </row>
    <row r="6591" spans="1:11" x14ac:dyDescent="0.2">
      <c r="A6591" s="27" t="s">
        <v>15533</v>
      </c>
      <c r="B6591" s="27" t="s">
        <v>15534</v>
      </c>
      <c r="C6591" s="27" t="s">
        <v>55</v>
      </c>
      <c r="D6591" s="27" t="s">
        <v>17</v>
      </c>
      <c r="E6591" s="27" t="s">
        <v>18</v>
      </c>
      <c r="F6591" s="27" t="s">
        <v>19</v>
      </c>
      <c r="G6591" s="27" t="s">
        <v>20</v>
      </c>
      <c r="H6591" s="29">
        <v>60</v>
      </c>
      <c r="I6591" s="27" t="s">
        <v>21</v>
      </c>
      <c r="J6591" s="37">
        <v>45841</v>
      </c>
      <c r="K6591" s="27" t="s">
        <v>22</v>
      </c>
    </row>
    <row r="6592" spans="1:11" x14ac:dyDescent="0.2">
      <c r="A6592" s="24" t="s">
        <v>15535</v>
      </c>
      <c r="B6592" s="24" t="s">
        <v>15536</v>
      </c>
      <c r="C6592" s="24" t="s">
        <v>15537</v>
      </c>
      <c r="D6592" s="24" t="s">
        <v>17</v>
      </c>
      <c r="E6592" s="24" t="s">
        <v>48</v>
      </c>
      <c r="F6592" s="24" t="s">
        <v>49</v>
      </c>
      <c r="G6592" s="24" t="s">
        <v>28</v>
      </c>
      <c r="H6592" s="26">
        <v>150</v>
      </c>
      <c r="I6592" s="24" t="s">
        <v>29</v>
      </c>
      <c r="J6592" s="36">
        <v>45896</v>
      </c>
      <c r="K6592" s="24" t="s">
        <v>22</v>
      </c>
    </row>
    <row r="6593" spans="1:11" x14ac:dyDescent="0.2">
      <c r="A6593" s="27" t="s">
        <v>15538</v>
      </c>
      <c r="B6593" s="27" t="s">
        <v>15539</v>
      </c>
      <c r="C6593" s="27" t="s">
        <v>15540</v>
      </c>
      <c r="D6593" s="27" t="s">
        <v>17</v>
      </c>
      <c r="E6593" s="27" t="s">
        <v>18</v>
      </c>
      <c r="F6593" s="27" t="s">
        <v>19</v>
      </c>
      <c r="G6593" s="27" t="s">
        <v>28</v>
      </c>
      <c r="H6593" s="29">
        <v>78</v>
      </c>
      <c r="I6593" s="27" t="s">
        <v>29</v>
      </c>
      <c r="J6593" s="37">
        <v>45894</v>
      </c>
      <c r="K6593" s="27" t="s">
        <v>22</v>
      </c>
    </row>
    <row r="6594" spans="1:11" x14ac:dyDescent="0.2">
      <c r="A6594" s="24" t="s">
        <v>15541</v>
      </c>
      <c r="B6594" s="24" t="s">
        <v>15542</v>
      </c>
      <c r="C6594" s="24" t="s">
        <v>10398</v>
      </c>
      <c r="D6594" s="24" t="s">
        <v>17</v>
      </c>
      <c r="E6594" s="24" t="s">
        <v>18</v>
      </c>
      <c r="F6594" s="24" t="s">
        <v>19</v>
      </c>
      <c r="G6594" s="24" t="s">
        <v>28</v>
      </c>
      <c r="H6594" s="26">
        <v>18</v>
      </c>
      <c r="I6594" s="24" t="s">
        <v>29</v>
      </c>
      <c r="J6594" s="36">
        <v>45882</v>
      </c>
      <c r="K6594" s="24" t="s">
        <v>22</v>
      </c>
    </row>
    <row r="6595" spans="1:11" x14ac:dyDescent="0.2">
      <c r="A6595" s="27" t="s">
        <v>15543</v>
      </c>
      <c r="B6595" s="27" t="s">
        <v>15544</v>
      </c>
      <c r="C6595" s="27" t="s">
        <v>230</v>
      </c>
      <c r="D6595" s="27" t="s">
        <v>17</v>
      </c>
      <c r="E6595" s="27" t="s">
        <v>18</v>
      </c>
      <c r="F6595" s="27" t="s">
        <v>19</v>
      </c>
      <c r="G6595" s="27" t="s">
        <v>20</v>
      </c>
      <c r="H6595" s="29">
        <v>49</v>
      </c>
      <c r="I6595" s="27" t="s">
        <v>21</v>
      </c>
      <c r="J6595" s="37">
        <v>45887</v>
      </c>
      <c r="K6595" s="27" t="s">
        <v>22</v>
      </c>
    </row>
    <row r="6596" spans="1:11" x14ac:dyDescent="0.2">
      <c r="A6596" s="24" t="s">
        <v>15545</v>
      </c>
      <c r="B6596" s="24" t="s">
        <v>15546</v>
      </c>
      <c r="C6596" s="24" t="s">
        <v>68</v>
      </c>
      <c r="D6596" s="24" t="s">
        <v>17</v>
      </c>
      <c r="E6596" s="24" t="s">
        <v>48</v>
      </c>
      <c r="F6596" s="24" t="s">
        <v>49</v>
      </c>
      <c r="G6596" s="24" t="s">
        <v>217</v>
      </c>
      <c r="H6596" s="26">
        <v>20</v>
      </c>
      <c r="I6596" s="24" t="s">
        <v>29</v>
      </c>
      <c r="J6596" s="36">
        <v>45870</v>
      </c>
      <c r="K6596" s="24" t="s">
        <v>22</v>
      </c>
    </row>
    <row r="6597" spans="1:11" x14ac:dyDescent="0.2">
      <c r="A6597" s="27" t="s">
        <v>15547</v>
      </c>
      <c r="B6597" s="27" t="s">
        <v>15548</v>
      </c>
      <c r="C6597" s="27" t="s">
        <v>5322</v>
      </c>
      <c r="D6597" s="27" t="s">
        <v>17</v>
      </c>
      <c r="E6597" s="27" t="s">
        <v>18</v>
      </c>
      <c r="F6597" s="27" t="s">
        <v>19</v>
      </c>
      <c r="G6597" s="27" t="s">
        <v>217</v>
      </c>
      <c r="H6597" s="29">
        <v>200</v>
      </c>
      <c r="I6597" s="27" t="s">
        <v>29</v>
      </c>
      <c r="J6597" s="37">
        <v>45870</v>
      </c>
      <c r="K6597" s="27" t="s">
        <v>22</v>
      </c>
    </row>
    <row r="6598" spans="1:11" x14ac:dyDescent="0.2">
      <c r="A6598" s="24" t="s">
        <v>15549</v>
      </c>
      <c r="B6598" s="24" t="s">
        <v>15550</v>
      </c>
      <c r="C6598" s="24" t="s">
        <v>641</v>
      </c>
      <c r="D6598" s="24" t="s">
        <v>17</v>
      </c>
      <c r="E6598" s="24" t="s">
        <v>48</v>
      </c>
      <c r="F6598" s="24" t="s">
        <v>49</v>
      </c>
      <c r="G6598" s="24" t="s">
        <v>28</v>
      </c>
      <c r="H6598" s="26">
        <v>380</v>
      </c>
      <c r="I6598" s="24" t="s">
        <v>29</v>
      </c>
      <c r="J6598" s="36">
        <v>45895</v>
      </c>
      <c r="K6598" s="24" t="s">
        <v>22</v>
      </c>
    </row>
    <row r="6599" spans="1:11" x14ac:dyDescent="0.2">
      <c r="A6599" s="27" t="s">
        <v>15551</v>
      </c>
      <c r="B6599" s="27" t="s">
        <v>15552</v>
      </c>
      <c r="C6599" s="27" t="s">
        <v>1199</v>
      </c>
      <c r="D6599" s="27" t="s">
        <v>17</v>
      </c>
      <c r="E6599" s="27" t="s">
        <v>42</v>
      </c>
      <c r="F6599" s="27" t="s">
        <v>43</v>
      </c>
      <c r="G6599" s="27" t="s">
        <v>28</v>
      </c>
      <c r="H6599" s="29">
        <v>400</v>
      </c>
      <c r="I6599" s="27" t="s">
        <v>29</v>
      </c>
      <c r="J6599" s="37">
        <v>45889</v>
      </c>
      <c r="K6599" s="27" t="s">
        <v>22</v>
      </c>
    </row>
    <row r="6600" spans="1:11" x14ac:dyDescent="0.2">
      <c r="A6600" s="24" t="s">
        <v>15553</v>
      </c>
      <c r="B6600" s="24" t="s">
        <v>15554</v>
      </c>
      <c r="C6600" s="24" t="s">
        <v>15555</v>
      </c>
      <c r="D6600" s="24" t="s">
        <v>17</v>
      </c>
      <c r="E6600" s="24" t="s">
        <v>48</v>
      </c>
      <c r="F6600" s="24" t="s">
        <v>49</v>
      </c>
      <c r="G6600" s="24" t="s">
        <v>28</v>
      </c>
      <c r="H6600" s="26">
        <v>24</v>
      </c>
      <c r="I6600" s="24" t="s">
        <v>29</v>
      </c>
      <c r="J6600" s="36">
        <v>45870</v>
      </c>
      <c r="K6600" s="24" t="s">
        <v>22</v>
      </c>
    </row>
    <row r="6601" spans="1:11" x14ac:dyDescent="0.2">
      <c r="A6601" s="27" t="s">
        <v>15556</v>
      </c>
      <c r="B6601" s="27" t="s">
        <v>15557</v>
      </c>
      <c r="C6601" s="27" t="s">
        <v>15558</v>
      </c>
      <c r="D6601" s="27" t="s">
        <v>17</v>
      </c>
      <c r="E6601" s="27" t="s">
        <v>18</v>
      </c>
      <c r="F6601" s="27" t="s">
        <v>19</v>
      </c>
      <c r="G6601" s="27" t="s">
        <v>28</v>
      </c>
      <c r="H6601" s="29">
        <v>15</v>
      </c>
      <c r="I6601" s="27" t="s">
        <v>29</v>
      </c>
      <c r="J6601" s="37">
        <v>45883</v>
      </c>
      <c r="K6601" s="27" t="s">
        <v>22</v>
      </c>
    </row>
    <row r="6602" spans="1:11" x14ac:dyDescent="0.2">
      <c r="A6602" s="24" t="s">
        <v>15559</v>
      </c>
      <c r="B6602" s="24" t="s">
        <v>15560</v>
      </c>
      <c r="C6602" s="24" t="s">
        <v>5561</v>
      </c>
      <c r="D6602" s="24" t="s">
        <v>17</v>
      </c>
      <c r="E6602" s="24" t="s">
        <v>42</v>
      </c>
      <c r="F6602" s="24" t="s">
        <v>43</v>
      </c>
      <c r="G6602" s="24" t="s">
        <v>28</v>
      </c>
      <c r="H6602" s="26">
        <v>204</v>
      </c>
      <c r="I6602" s="24" t="s">
        <v>29</v>
      </c>
      <c r="J6602" s="36">
        <v>45887</v>
      </c>
      <c r="K6602" s="24" t="s">
        <v>22</v>
      </c>
    </row>
    <row r="6603" spans="1:11" x14ac:dyDescent="0.2">
      <c r="A6603" s="27" t="s">
        <v>15561</v>
      </c>
      <c r="B6603" s="27" t="s">
        <v>15562</v>
      </c>
      <c r="C6603" s="27" t="s">
        <v>15563</v>
      </c>
      <c r="D6603" s="27" t="s">
        <v>17</v>
      </c>
      <c r="E6603" s="27" t="s">
        <v>26</v>
      </c>
      <c r="F6603" s="27" t="s">
        <v>27</v>
      </c>
      <c r="G6603" s="27" t="s">
        <v>217</v>
      </c>
      <c r="H6603" s="29">
        <v>220</v>
      </c>
      <c r="I6603" s="27" t="s">
        <v>29</v>
      </c>
      <c r="J6603" s="37">
        <v>45870</v>
      </c>
      <c r="K6603" s="27" t="s">
        <v>22</v>
      </c>
    </row>
    <row r="6604" spans="1:11" x14ac:dyDescent="0.2">
      <c r="A6604" s="24" t="s">
        <v>15564</v>
      </c>
      <c r="B6604" s="24" t="s">
        <v>15565</v>
      </c>
      <c r="C6604" s="24" t="s">
        <v>15566</v>
      </c>
      <c r="D6604" s="24" t="s">
        <v>17</v>
      </c>
      <c r="E6604" s="24" t="s">
        <v>26</v>
      </c>
      <c r="F6604" s="24" t="s">
        <v>27</v>
      </c>
      <c r="G6604" s="24" t="s">
        <v>217</v>
      </c>
      <c r="H6604" s="26">
        <v>108</v>
      </c>
      <c r="I6604" s="24" t="s">
        <v>29</v>
      </c>
      <c r="J6604" s="36">
        <v>45877</v>
      </c>
      <c r="K6604" s="24" t="s">
        <v>22</v>
      </c>
    </row>
    <row r="6605" spans="1:11" x14ac:dyDescent="0.2">
      <c r="A6605" s="27" t="s">
        <v>15567</v>
      </c>
      <c r="B6605" s="27" t="s">
        <v>15568</v>
      </c>
      <c r="C6605" s="27" t="s">
        <v>8477</v>
      </c>
      <c r="D6605" s="27" t="s">
        <v>17</v>
      </c>
      <c r="E6605" s="27" t="s">
        <v>163</v>
      </c>
      <c r="F6605" s="27" t="s">
        <v>164</v>
      </c>
      <c r="G6605" s="27" t="s">
        <v>28</v>
      </c>
      <c r="H6605" s="29">
        <v>6</v>
      </c>
      <c r="I6605" s="27" t="s">
        <v>29</v>
      </c>
      <c r="J6605" s="37">
        <v>45889</v>
      </c>
      <c r="K6605" s="27" t="s">
        <v>22</v>
      </c>
    </row>
    <row r="6606" spans="1:11" x14ac:dyDescent="0.2">
      <c r="A6606" s="24" t="s">
        <v>15569</v>
      </c>
      <c r="B6606" s="24" t="s">
        <v>15570</v>
      </c>
      <c r="C6606" s="24" t="s">
        <v>106</v>
      </c>
      <c r="D6606" s="24" t="s">
        <v>17</v>
      </c>
      <c r="E6606" s="24" t="s">
        <v>18</v>
      </c>
      <c r="F6606" s="24" t="s">
        <v>19</v>
      </c>
      <c r="G6606" s="24" t="s">
        <v>28</v>
      </c>
      <c r="H6606" s="26">
        <v>96</v>
      </c>
      <c r="I6606" s="24" t="s">
        <v>29</v>
      </c>
      <c r="J6606" s="36">
        <v>45881</v>
      </c>
      <c r="K6606" s="24" t="s">
        <v>22</v>
      </c>
    </row>
    <row r="6607" spans="1:11" x14ac:dyDescent="0.2">
      <c r="A6607" s="27" t="s">
        <v>15571</v>
      </c>
      <c r="B6607" s="27" t="s">
        <v>15572</v>
      </c>
      <c r="C6607" s="27" t="s">
        <v>13957</v>
      </c>
      <c r="D6607" s="27" t="s">
        <v>17</v>
      </c>
      <c r="E6607" s="27" t="s">
        <v>48</v>
      </c>
      <c r="F6607" s="27" t="s">
        <v>49</v>
      </c>
      <c r="G6607" s="27" t="s">
        <v>28</v>
      </c>
      <c r="H6607" s="29">
        <v>300</v>
      </c>
      <c r="I6607" s="27" t="s">
        <v>29</v>
      </c>
      <c r="J6607" s="37">
        <v>45884</v>
      </c>
      <c r="K6607" s="27" t="s">
        <v>22</v>
      </c>
    </row>
    <row r="6608" spans="1:11" x14ac:dyDescent="0.2">
      <c r="A6608" s="24" t="s">
        <v>15573</v>
      </c>
      <c r="B6608" s="24" t="s">
        <v>15574</v>
      </c>
      <c r="C6608" s="24" t="s">
        <v>5880</v>
      </c>
      <c r="D6608" s="24" t="s">
        <v>17</v>
      </c>
      <c r="E6608" s="24" t="s">
        <v>42</v>
      </c>
      <c r="F6608" s="24" t="s">
        <v>43</v>
      </c>
      <c r="G6608" s="24" t="s">
        <v>28</v>
      </c>
      <c r="H6608" s="26">
        <v>70</v>
      </c>
      <c r="I6608" s="24" t="s">
        <v>29</v>
      </c>
      <c r="J6608" s="36">
        <v>45875</v>
      </c>
      <c r="K6608" s="24" t="s">
        <v>22</v>
      </c>
    </row>
    <row r="6609" spans="1:11" x14ac:dyDescent="0.2">
      <c r="A6609" s="27" t="s">
        <v>15575</v>
      </c>
      <c r="B6609" s="27" t="s">
        <v>15576</v>
      </c>
      <c r="C6609" s="27" t="s">
        <v>687</v>
      </c>
      <c r="D6609" s="27" t="s">
        <v>17</v>
      </c>
      <c r="E6609" s="27" t="s">
        <v>18</v>
      </c>
      <c r="F6609" s="27" t="s">
        <v>19</v>
      </c>
      <c r="G6609" s="27" t="s">
        <v>28</v>
      </c>
      <c r="H6609" s="29">
        <v>91</v>
      </c>
      <c r="I6609" s="27" t="s">
        <v>29</v>
      </c>
      <c r="J6609" s="37">
        <v>45875</v>
      </c>
      <c r="K6609" s="27" t="s">
        <v>22</v>
      </c>
    </row>
    <row r="6610" spans="1:11" x14ac:dyDescent="0.2">
      <c r="A6610" s="24" t="s">
        <v>15577</v>
      </c>
      <c r="B6610" s="24" t="s">
        <v>15578</v>
      </c>
      <c r="C6610" s="24" t="s">
        <v>518</v>
      </c>
      <c r="D6610" s="24" t="s">
        <v>17</v>
      </c>
      <c r="E6610" s="24" t="s">
        <v>26</v>
      </c>
      <c r="F6610" s="24" t="s">
        <v>27</v>
      </c>
      <c r="G6610" s="24" t="s">
        <v>217</v>
      </c>
      <c r="H6610" s="26">
        <v>32</v>
      </c>
      <c r="I6610" s="24" t="s">
        <v>29</v>
      </c>
      <c r="J6610" s="36">
        <v>45900</v>
      </c>
      <c r="K6610" s="24" t="s">
        <v>22</v>
      </c>
    </row>
    <row r="6611" spans="1:11" x14ac:dyDescent="0.2">
      <c r="A6611" s="27" t="s">
        <v>15579</v>
      </c>
      <c r="B6611" s="27" t="s">
        <v>15580</v>
      </c>
      <c r="C6611" s="27" t="s">
        <v>11585</v>
      </c>
      <c r="D6611" s="27" t="s">
        <v>17</v>
      </c>
      <c r="E6611" s="27" t="s">
        <v>48</v>
      </c>
      <c r="F6611" s="27" t="s">
        <v>49</v>
      </c>
      <c r="G6611" s="27" t="s">
        <v>44</v>
      </c>
      <c r="H6611" s="29">
        <v>100</v>
      </c>
      <c r="I6611" s="27" t="s">
        <v>29</v>
      </c>
      <c r="J6611" s="37">
        <v>45874</v>
      </c>
      <c r="K6611" s="27" t="s">
        <v>22</v>
      </c>
    </row>
    <row r="6612" spans="1:11" x14ac:dyDescent="0.2">
      <c r="A6612" s="24" t="s">
        <v>15581</v>
      </c>
      <c r="B6612" s="24" t="s">
        <v>15582</v>
      </c>
      <c r="C6612" s="24" t="s">
        <v>15583</v>
      </c>
      <c r="D6612" s="24" t="s">
        <v>17</v>
      </c>
      <c r="E6612" s="24" t="s">
        <v>26</v>
      </c>
      <c r="F6612" s="24" t="s">
        <v>27</v>
      </c>
      <c r="G6612" s="24" t="s">
        <v>28</v>
      </c>
      <c r="H6612" s="26">
        <v>100</v>
      </c>
      <c r="I6612" s="24" t="s">
        <v>29</v>
      </c>
      <c r="J6612" s="36">
        <v>45870</v>
      </c>
      <c r="K6612" s="24" t="s">
        <v>22</v>
      </c>
    </row>
    <row r="6613" spans="1:11" x14ac:dyDescent="0.2">
      <c r="A6613" s="27" t="s">
        <v>15584</v>
      </c>
      <c r="B6613" s="27" t="s">
        <v>15585</v>
      </c>
      <c r="C6613" s="27" t="s">
        <v>71</v>
      </c>
      <c r="D6613" s="27" t="s">
        <v>17</v>
      </c>
      <c r="E6613" s="27" t="s">
        <v>42</v>
      </c>
      <c r="F6613" s="27" t="s">
        <v>43</v>
      </c>
      <c r="G6613" s="27" t="s">
        <v>28</v>
      </c>
      <c r="H6613" s="29">
        <v>352</v>
      </c>
      <c r="I6613" s="27" t="s">
        <v>29</v>
      </c>
      <c r="J6613" s="37">
        <v>45870</v>
      </c>
      <c r="K6613" s="27" t="s">
        <v>22</v>
      </c>
    </row>
    <row r="6614" spans="1:11" x14ac:dyDescent="0.2">
      <c r="A6614" s="24" t="s">
        <v>15586</v>
      </c>
      <c r="B6614" s="24" t="s">
        <v>15587</v>
      </c>
      <c r="C6614" s="24" t="s">
        <v>213</v>
      </c>
      <c r="D6614" s="24" t="s">
        <v>17</v>
      </c>
      <c r="E6614" s="24" t="s">
        <v>42</v>
      </c>
      <c r="F6614" s="24" t="s">
        <v>43</v>
      </c>
      <c r="G6614" s="24" t="s">
        <v>28</v>
      </c>
      <c r="H6614" s="26">
        <v>6000</v>
      </c>
      <c r="I6614" s="24" t="s">
        <v>29</v>
      </c>
      <c r="J6614" s="36">
        <v>45894</v>
      </c>
      <c r="K6614" s="24" t="s">
        <v>22</v>
      </c>
    </row>
    <row r="6615" spans="1:11" x14ac:dyDescent="0.2">
      <c r="A6615" s="27" t="s">
        <v>15588</v>
      </c>
      <c r="B6615" s="27" t="s">
        <v>15589</v>
      </c>
      <c r="C6615" s="27" t="s">
        <v>106</v>
      </c>
      <c r="D6615" s="27" t="s">
        <v>17</v>
      </c>
      <c r="E6615" s="27" t="s">
        <v>18</v>
      </c>
      <c r="F6615" s="27" t="s">
        <v>19</v>
      </c>
      <c r="G6615" s="27" t="s">
        <v>20</v>
      </c>
      <c r="H6615" s="29">
        <v>16</v>
      </c>
      <c r="I6615" s="27" t="s">
        <v>21</v>
      </c>
      <c r="J6615" s="37">
        <v>45880</v>
      </c>
      <c r="K6615" s="27" t="s">
        <v>22</v>
      </c>
    </row>
    <row r="6616" spans="1:11" x14ac:dyDescent="0.2">
      <c r="A6616" s="24" t="s">
        <v>15590</v>
      </c>
      <c r="B6616" s="24" t="s">
        <v>15591</v>
      </c>
      <c r="C6616" s="24" t="s">
        <v>3387</v>
      </c>
      <c r="D6616" s="24" t="s">
        <v>17</v>
      </c>
      <c r="E6616" s="24" t="s">
        <v>42</v>
      </c>
      <c r="F6616" s="24" t="s">
        <v>43</v>
      </c>
      <c r="G6616" s="24" t="s">
        <v>28</v>
      </c>
      <c r="H6616" s="26">
        <v>355</v>
      </c>
      <c r="I6616" s="24" t="s">
        <v>29</v>
      </c>
      <c r="J6616" s="36">
        <v>45874</v>
      </c>
      <c r="K6616" s="24" t="s">
        <v>22</v>
      </c>
    </row>
    <row r="6617" spans="1:11" x14ac:dyDescent="0.2">
      <c r="A6617" s="27" t="s">
        <v>15592</v>
      </c>
      <c r="B6617" s="27" t="s">
        <v>15593</v>
      </c>
      <c r="C6617" s="27" t="s">
        <v>429</v>
      </c>
      <c r="D6617" s="27" t="s">
        <v>17</v>
      </c>
      <c r="E6617" s="27" t="s">
        <v>42</v>
      </c>
      <c r="F6617" s="27" t="s">
        <v>43</v>
      </c>
      <c r="G6617" s="27" t="s">
        <v>28</v>
      </c>
      <c r="H6617" s="29">
        <v>201</v>
      </c>
      <c r="I6617" s="27" t="s">
        <v>29</v>
      </c>
      <c r="J6617" s="37">
        <v>45873</v>
      </c>
      <c r="K6617" s="27" t="s">
        <v>22</v>
      </c>
    </row>
    <row r="6618" spans="1:11" x14ac:dyDescent="0.2">
      <c r="A6618" s="24" t="s">
        <v>15594</v>
      </c>
      <c r="B6618" s="24" t="s">
        <v>15595</v>
      </c>
      <c r="C6618" s="24" t="s">
        <v>1080</v>
      </c>
      <c r="D6618" s="24" t="s">
        <v>17</v>
      </c>
      <c r="E6618" s="24" t="s">
        <v>26</v>
      </c>
      <c r="F6618" s="24" t="s">
        <v>27</v>
      </c>
      <c r="G6618" s="24" t="s">
        <v>28</v>
      </c>
      <c r="H6618" s="26">
        <v>26</v>
      </c>
      <c r="I6618" s="24" t="s">
        <v>29</v>
      </c>
      <c r="J6618" s="36">
        <v>45870</v>
      </c>
      <c r="K6618" s="24" t="s">
        <v>22</v>
      </c>
    </row>
    <row r="6619" spans="1:11" x14ac:dyDescent="0.2">
      <c r="A6619" s="27" t="s">
        <v>15596</v>
      </c>
      <c r="B6619" s="27" t="s">
        <v>15597</v>
      </c>
      <c r="C6619" s="27" t="s">
        <v>1158</v>
      </c>
      <c r="D6619" s="27" t="s">
        <v>17</v>
      </c>
      <c r="E6619" s="27" t="s">
        <v>42</v>
      </c>
      <c r="F6619" s="27" t="s">
        <v>43</v>
      </c>
      <c r="G6619" s="27" t="s">
        <v>28</v>
      </c>
      <c r="H6619" s="29">
        <v>218</v>
      </c>
      <c r="I6619" s="27" t="s">
        <v>29</v>
      </c>
      <c r="J6619" s="37">
        <v>45891</v>
      </c>
      <c r="K6619" s="27" t="s">
        <v>22</v>
      </c>
    </row>
    <row r="6620" spans="1:11" x14ac:dyDescent="0.2">
      <c r="A6620" s="24" t="s">
        <v>15598</v>
      </c>
      <c r="B6620" s="24" t="s">
        <v>15599</v>
      </c>
      <c r="C6620" s="24" t="s">
        <v>2083</v>
      </c>
      <c r="D6620" s="24" t="s">
        <v>17</v>
      </c>
      <c r="E6620" s="24" t="s">
        <v>48</v>
      </c>
      <c r="F6620" s="24" t="s">
        <v>49</v>
      </c>
      <c r="G6620" s="24" t="s">
        <v>44</v>
      </c>
      <c r="H6620" s="26">
        <v>36</v>
      </c>
      <c r="I6620" s="24" t="s">
        <v>29</v>
      </c>
      <c r="J6620" s="36">
        <v>45882</v>
      </c>
      <c r="K6620" s="24" t="s">
        <v>22</v>
      </c>
    </row>
    <row r="6621" spans="1:11" x14ac:dyDescent="0.2">
      <c r="A6621" s="27" t="s">
        <v>15600</v>
      </c>
      <c r="B6621" s="27" t="s">
        <v>15601</v>
      </c>
      <c r="C6621" s="27" t="s">
        <v>15602</v>
      </c>
      <c r="D6621" s="27" t="s">
        <v>17</v>
      </c>
      <c r="E6621" s="27" t="s">
        <v>42</v>
      </c>
      <c r="F6621" s="27" t="s">
        <v>43</v>
      </c>
      <c r="G6621" s="27" t="s">
        <v>28</v>
      </c>
      <c r="H6621" s="29">
        <v>400</v>
      </c>
      <c r="I6621" s="27" t="s">
        <v>29</v>
      </c>
      <c r="J6621" s="37">
        <v>45877</v>
      </c>
      <c r="K6621" s="27" t="s">
        <v>22</v>
      </c>
    </row>
    <row r="6622" spans="1:11" x14ac:dyDescent="0.2">
      <c r="A6622" s="24" t="s">
        <v>15603</v>
      </c>
      <c r="B6622" s="24" t="s">
        <v>15604</v>
      </c>
      <c r="C6622" s="24" t="s">
        <v>1227</v>
      </c>
      <c r="D6622" s="24" t="s">
        <v>17</v>
      </c>
      <c r="E6622" s="24" t="s">
        <v>42</v>
      </c>
      <c r="F6622" s="24" t="s">
        <v>43</v>
      </c>
      <c r="G6622" s="24" t="s">
        <v>217</v>
      </c>
      <c r="H6622" s="26">
        <v>496</v>
      </c>
      <c r="I6622" s="24" t="s">
        <v>29</v>
      </c>
      <c r="J6622" s="36">
        <v>45870</v>
      </c>
      <c r="K6622" s="24" t="s">
        <v>22</v>
      </c>
    </row>
    <row r="6623" spans="1:11" x14ac:dyDescent="0.2">
      <c r="A6623" s="27" t="s">
        <v>15605</v>
      </c>
      <c r="B6623" s="27" t="s">
        <v>15606</v>
      </c>
      <c r="C6623" s="27" t="s">
        <v>15607</v>
      </c>
      <c r="D6623" s="27" t="s">
        <v>17</v>
      </c>
      <c r="E6623" s="27" t="s">
        <v>48</v>
      </c>
      <c r="F6623" s="27" t="s">
        <v>49</v>
      </c>
      <c r="G6623" s="27" t="s">
        <v>59</v>
      </c>
      <c r="H6623" s="29">
        <v>1</v>
      </c>
      <c r="I6623" s="27" t="s">
        <v>21</v>
      </c>
      <c r="J6623" s="37">
        <v>45881</v>
      </c>
      <c r="K6623" s="27" t="s">
        <v>22</v>
      </c>
    </row>
    <row r="6624" spans="1:11" x14ac:dyDescent="0.2">
      <c r="A6624" s="24" t="s">
        <v>15608</v>
      </c>
      <c r="B6624" s="24" t="s">
        <v>15609</v>
      </c>
      <c r="C6624" s="24" t="s">
        <v>1839</v>
      </c>
      <c r="D6624" s="24" t="s">
        <v>17</v>
      </c>
      <c r="E6624" s="24" t="s">
        <v>18</v>
      </c>
      <c r="F6624" s="24" t="s">
        <v>19</v>
      </c>
      <c r="G6624" s="24" t="s">
        <v>28</v>
      </c>
      <c r="H6624" s="26">
        <v>108</v>
      </c>
      <c r="I6624" s="24" t="s">
        <v>29</v>
      </c>
      <c r="J6624" s="36">
        <v>45889</v>
      </c>
      <c r="K6624" s="24" t="s">
        <v>22</v>
      </c>
    </row>
    <row r="6625" spans="1:11" x14ac:dyDescent="0.2">
      <c r="A6625" s="27" t="s">
        <v>15610</v>
      </c>
      <c r="B6625" s="27" t="s">
        <v>15611</v>
      </c>
      <c r="C6625" s="27" t="s">
        <v>1938</v>
      </c>
      <c r="D6625" s="27" t="s">
        <v>17</v>
      </c>
      <c r="E6625" s="27" t="s">
        <v>48</v>
      </c>
      <c r="F6625" s="27" t="s">
        <v>49</v>
      </c>
      <c r="G6625" s="27" t="s">
        <v>28</v>
      </c>
      <c r="H6625" s="29">
        <v>90</v>
      </c>
      <c r="I6625" s="27" t="s">
        <v>29</v>
      </c>
      <c r="J6625" s="37">
        <v>45870</v>
      </c>
      <c r="K6625" s="27" t="s">
        <v>22</v>
      </c>
    </row>
    <row r="6626" spans="1:11" x14ac:dyDescent="0.2">
      <c r="A6626" s="24" t="s">
        <v>15612</v>
      </c>
      <c r="B6626" s="24" t="s">
        <v>15613</v>
      </c>
      <c r="C6626" s="24" t="s">
        <v>68</v>
      </c>
      <c r="D6626" s="24" t="s">
        <v>17</v>
      </c>
      <c r="E6626" s="24" t="s">
        <v>26</v>
      </c>
      <c r="F6626" s="24" t="s">
        <v>27</v>
      </c>
      <c r="G6626" s="24" t="s">
        <v>217</v>
      </c>
      <c r="H6626" s="26">
        <v>150</v>
      </c>
      <c r="I6626" s="24" t="s">
        <v>29</v>
      </c>
      <c r="J6626" s="36">
        <v>45870</v>
      </c>
      <c r="K6626" s="24" t="s">
        <v>22</v>
      </c>
    </row>
    <row r="6627" spans="1:11" x14ac:dyDescent="0.2">
      <c r="A6627" s="27" t="s">
        <v>15614</v>
      </c>
      <c r="B6627" s="27" t="s">
        <v>15615</v>
      </c>
      <c r="C6627" s="27" t="s">
        <v>12358</v>
      </c>
      <c r="D6627" s="27" t="s">
        <v>17</v>
      </c>
      <c r="E6627" s="27" t="s">
        <v>33</v>
      </c>
      <c r="F6627" s="27" t="s">
        <v>34</v>
      </c>
      <c r="G6627" s="27" t="s">
        <v>44</v>
      </c>
      <c r="H6627" s="29">
        <v>600</v>
      </c>
      <c r="I6627" s="27" t="s">
        <v>29</v>
      </c>
      <c r="J6627" s="37">
        <v>45881</v>
      </c>
      <c r="K6627" s="27" t="s">
        <v>22</v>
      </c>
    </row>
    <row r="6628" spans="1:11" x14ac:dyDescent="0.2">
      <c r="A6628" s="24" t="s">
        <v>15616</v>
      </c>
      <c r="B6628" s="24" t="s">
        <v>15617</v>
      </c>
      <c r="C6628" s="24" t="s">
        <v>6961</v>
      </c>
      <c r="D6628" s="24" t="s">
        <v>17</v>
      </c>
      <c r="E6628" s="24" t="s">
        <v>18</v>
      </c>
      <c r="F6628" s="24" t="s">
        <v>19</v>
      </c>
      <c r="G6628" s="24" t="s">
        <v>217</v>
      </c>
      <c r="H6628" s="26">
        <v>24</v>
      </c>
      <c r="I6628" s="24" t="s">
        <v>29</v>
      </c>
      <c r="J6628" s="36">
        <v>45878</v>
      </c>
      <c r="K6628" s="24" t="s">
        <v>22</v>
      </c>
    </row>
    <row r="6629" spans="1:11" x14ac:dyDescent="0.2">
      <c r="A6629" s="27" t="s">
        <v>15618</v>
      </c>
      <c r="B6629" s="27" t="s">
        <v>15619</v>
      </c>
      <c r="C6629" s="27" t="s">
        <v>9491</v>
      </c>
      <c r="D6629" s="27" t="s">
        <v>17</v>
      </c>
      <c r="E6629" s="27" t="s">
        <v>48</v>
      </c>
      <c r="F6629" s="27" t="s">
        <v>49</v>
      </c>
      <c r="G6629" s="27" t="s">
        <v>44</v>
      </c>
      <c r="H6629" s="29">
        <v>90</v>
      </c>
      <c r="I6629" s="27" t="s">
        <v>29</v>
      </c>
      <c r="J6629" s="37">
        <v>45876</v>
      </c>
      <c r="K6629" s="27" t="s">
        <v>22</v>
      </c>
    </row>
    <row r="6630" spans="1:11" x14ac:dyDescent="0.2">
      <c r="A6630" s="24" t="s">
        <v>15620</v>
      </c>
      <c r="B6630" s="24" t="s">
        <v>15621</v>
      </c>
      <c r="C6630" s="24" t="s">
        <v>41</v>
      </c>
      <c r="D6630" s="24" t="s">
        <v>17</v>
      </c>
      <c r="E6630" s="24" t="s">
        <v>26</v>
      </c>
      <c r="F6630" s="24" t="s">
        <v>27</v>
      </c>
      <c r="G6630" s="24" t="s">
        <v>28</v>
      </c>
      <c r="H6630" s="26">
        <v>91</v>
      </c>
      <c r="I6630" s="24" t="s">
        <v>29</v>
      </c>
      <c r="J6630" s="36">
        <v>45887</v>
      </c>
      <c r="K6630" s="24" t="s">
        <v>22</v>
      </c>
    </row>
    <row r="6631" spans="1:11" x14ac:dyDescent="0.2">
      <c r="A6631" s="27" t="s">
        <v>15622</v>
      </c>
      <c r="B6631" s="27" t="s">
        <v>15623</v>
      </c>
      <c r="C6631" s="27" t="s">
        <v>208</v>
      </c>
      <c r="D6631" s="27" t="s">
        <v>17</v>
      </c>
      <c r="E6631" s="27" t="s">
        <v>42</v>
      </c>
      <c r="F6631" s="27" t="s">
        <v>43</v>
      </c>
      <c r="G6631" s="27" t="s">
        <v>28</v>
      </c>
      <c r="H6631" s="29">
        <v>723</v>
      </c>
      <c r="I6631" s="27" t="s">
        <v>29</v>
      </c>
      <c r="J6631" s="37">
        <v>45875</v>
      </c>
      <c r="K6631" s="27" t="s">
        <v>22</v>
      </c>
    </row>
    <row r="6632" spans="1:11" x14ac:dyDescent="0.2">
      <c r="A6632" s="24" t="s">
        <v>15624</v>
      </c>
      <c r="B6632" s="24" t="s">
        <v>15625</v>
      </c>
      <c r="C6632" s="24" t="s">
        <v>208</v>
      </c>
      <c r="D6632" s="24" t="s">
        <v>17</v>
      </c>
      <c r="E6632" s="24" t="s">
        <v>18</v>
      </c>
      <c r="F6632" s="24" t="s">
        <v>19</v>
      </c>
      <c r="G6632" s="24" t="s">
        <v>44</v>
      </c>
      <c r="H6632" s="26">
        <v>212</v>
      </c>
      <c r="I6632" s="24" t="s">
        <v>21</v>
      </c>
      <c r="J6632" s="36">
        <v>45894</v>
      </c>
      <c r="K6632" s="24" t="s">
        <v>22</v>
      </c>
    </row>
    <row r="6633" spans="1:11" x14ac:dyDescent="0.2">
      <c r="A6633" s="27" t="s">
        <v>15626</v>
      </c>
      <c r="B6633" s="27" t="s">
        <v>15627</v>
      </c>
      <c r="C6633" s="27" t="s">
        <v>15628</v>
      </c>
      <c r="D6633" s="27" t="s">
        <v>17</v>
      </c>
      <c r="E6633" s="27" t="s">
        <v>42</v>
      </c>
      <c r="F6633" s="27" t="s">
        <v>43</v>
      </c>
      <c r="G6633" s="27" t="s">
        <v>28</v>
      </c>
      <c r="H6633" s="29">
        <v>40</v>
      </c>
      <c r="I6633" s="27" t="s">
        <v>29</v>
      </c>
      <c r="J6633" s="37">
        <v>45882</v>
      </c>
      <c r="K6633" s="27" t="s">
        <v>22</v>
      </c>
    </row>
    <row r="6634" spans="1:11" x14ac:dyDescent="0.2">
      <c r="A6634" s="24" t="s">
        <v>15629</v>
      </c>
      <c r="B6634" s="24" t="s">
        <v>15630</v>
      </c>
      <c r="C6634" s="24" t="s">
        <v>2287</v>
      </c>
      <c r="D6634" s="24" t="s">
        <v>17</v>
      </c>
      <c r="E6634" s="24" t="s">
        <v>42</v>
      </c>
      <c r="F6634" s="24" t="s">
        <v>43</v>
      </c>
      <c r="G6634" s="24" t="s">
        <v>28</v>
      </c>
      <c r="H6634" s="26">
        <v>550</v>
      </c>
      <c r="I6634" s="24" t="s">
        <v>29</v>
      </c>
      <c r="J6634" s="36">
        <v>45887</v>
      </c>
      <c r="K6634" s="24" t="s">
        <v>22</v>
      </c>
    </row>
    <row r="6635" spans="1:11" x14ac:dyDescent="0.2">
      <c r="A6635" s="27" t="s">
        <v>15631</v>
      </c>
      <c r="B6635" s="27" t="s">
        <v>15632</v>
      </c>
      <c r="C6635" s="27" t="s">
        <v>208</v>
      </c>
      <c r="D6635" s="27" t="s">
        <v>17</v>
      </c>
      <c r="E6635" s="27" t="s">
        <v>42</v>
      </c>
      <c r="F6635" s="27" t="s">
        <v>43</v>
      </c>
      <c r="G6635" s="27" t="s">
        <v>28</v>
      </c>
      <c r="H6635" s="29">
        <v>90</v>
      </c>
      <c r="I6635" s="27" t="s">
        <v>29</v>
      </c>
      <c r="J6635" s="37">
        <v>45887</v>
      </c>
      <c r="K6635" s="27" t="s">
        <v>22</v>
      </c>
    </row>
    <row r="6636" spans="1:11" x14ac:dyDescent="0.2">
      <c r="A6636" s="24" t="s">
        <v>15633</v>
      </c>
      <c r="B6636" s="24" t="s">
        <v>15634</v>
      </c>
      <c r="C6636" s="24" t="s">
        <v>97</v>
      </c>
      <c r="D6636" s="24" t="s">
        <v>17</v>
      </c>
      <c r="E6636" s="24" t="s">
        <v>42</v>
      </c>
      <c r="F6636" s="24" t="s">
        <v>43</v>
      </c>
      <c r="G6636" s="24" t="s">
        <v>28</v>
      </c>
      <c r="H6636" s="26">
        <v>700</v>
      </c>
      <c r="I6636" s="24" t="s">
        <v>29</v>
      </c>
      <c r="J6636" s="36">
        <v>45870</v>
      </c>
      <c r="K6636" s="24" t="s">
        <v>22</v>
      </c>
    </row>
    <row r="6637" spans="1:11" x14ac:dyDescent="0.2">
      <c r="A6637" s="27" t="s">
        <v>15635</v>
      </c>
      <c r="B6637" s="27" t="s">
        <v>15636</v>
      </c>
      <c r="C6637" s="27" t="s">
        <v>9241</v>
      </c>
      <c r="D6637" s="27" t="s">
        <v>17</v>
      </c>
      <c r="E6637" s="27" t="s">
        <v>42</v>
      </c>
      <c r="F6637" s="27" t="s">
        <v>43</v>
      </c>
      <c r="G6637" s="27" t="s">
        <v>28</v>
      </c>
      <c r="H6637" s="29">
        <v>400</v>
      </c>
      <c r="I6637" s="27" t="s">
        <v>29</v>
      </c>
      <c r="J6637" s="37">
        <v>45877</v>
      </c>
      <c r="K6637" s="27" t="s">
        <v>22</v>
      </c>
    </row>
    <row r="6638" spans="1:11" x14ac:dyDescent="0.2">
      <c r="A6638" s="24" t="s">
        <v>15637</v>
      </c>
      <c r="B6638" s="24" t="s">
        <v>15638</v>
      </c>
      <c r="C6638" s="24" t="s">
        <v>15639</v>
      </c>
      <c r="D6638" s="24" t="s">
        <v>17</v>
      </c>
      <c r="E6638" s="24" t="s">
        <v>48</v>
      </c>
      <c r="F6638" s="24" t="s">
        <v>49</v>
      </c>
      <c r="G6638" s="24" t="s">
        <v>217</v>
      </c>
      <c r="H6638" s="26">
        <v>120</v>
      </c>
      <c r="I6638" s="24" t="s">
        <v>29</v>
      </c>
      <c r="J6638" s="36">
        <v>45900</v>
      </c>
      <c r="K6638" s="24" t="s">
        <v>22</v>
      </c>
    </row>
    <row r="6639" spans="1:11" x14ac:dyDescent="0.2">
      <c r="A6639" s="27" t="s">
        <v>15640</v>
      </c>
      <c r="B6639" s="27" t="s">
        <v>15641</v>
      </c>
      <c r="C6639" s="27" t="s">
        <v>15642</v>
      </c>
      <c r="D6639" s="27" t="s">
        <v>17</v>
      </c>
      <c r="E6639" s="27" t="s">
        <v>18</v>
      </c>
      <c r="F6639" s="27" t="s">
        <v>19</v>
      </c>
      <c r="G6639" s="27" t="s">
        <v>28</v>
      </c>
      <c r="H6639" s="29">
        <v>150</v>
      </c>
      <c r="I6639" s="27" t="s">
        <v>29</v>
      </c>
      <c r="J6639" s="37">
        <v>45891</v>
      </c>
      <c r="K6639" s="27" t="s">
        <v>22</v>
      </c>
    </row>
    <row r="6640" spans="1:11" x14ac:dyDescent="0.2">
      <c r="A6640" s="24" t="s">
        <v>15643</v>
      </c>
      <c r="B6640" s="24" t="s">
        <v>15644</v>
      </c>
      <c r="C6640" s="24" t="s">
        <v>15645</v>
      </c>
      <c r="D6640" s="24" t="s">
        <v>17</v>
      </c>
      <c r="E6640" s="24" t="s">
        <v>18</v>
      </c>
      <c r="F6640" s="24" t="s">
        <v>19</v>
      </c>
      <c r="G6640" s="24" t="s">
        <v>28</v>
      </c>
      <c r="H6640" s="26">
        <v>177</v>
      </c>
      <c r="I6640" s="24" t="s">
        <v>29</v>
      </c>
      <c r="J6640" s="36">
        <v>45881</v>
      </c>
      <c r="K6640" s="24" t="s">
        <v>22</v>
      </c>
    </row>
    <row r="6641" spans="1:11" x14ac:dyDescent="0.2">
      <c r="A6641" s="27" t="s">
        <v>15646</v>
      </c>
      <c r="B6641" s="27" t="s">
        <v>15647</v>
      </c>
      <c r="C6641" s="27" t="s">
        <v>4524</v>
      </c>
      <c r="D6641" s="27" t="s">
        <v>17</v>
      </c>
      <c r="E6641" s="27" t="s">
        <v>26</v>
      </c>
      <c r="F6641" s="27" t="s">
        <v>27</v>
      </c>
      <c r="G6641" s="27" t="s">
        <v>28</v>
      </c>
      <c r="H6641" s="29">
        <v>189</v>
      </c>
      <c r="I6641" s="27" t="s">
        <v>29</v>
      </c>
      <c r="J6641" s="37">
        <v>45894</v>
      </c>
      <c r="K6641" s="27" t="s">
        <v>22</v>
      </c>
    </row>
    <row r="6642" spans="1:11" x14ac:dyDescent="0.2">
      <c r="A6642" s="24" t="s">
        <v>15648</v>
      </c>
      <c r="B6642" s="24" t="s">
        <v>15649</v>
      </c>
      <c r="C6642" s="24" t="s">
        <v>15650</v>
      </c>
      <c r="D6642" s="24" t="s">
        <v>17</v>
      </c>
      <c r="E6642" s="24" t="s">
        <v>26</v>
      </c>
      <c r="F6642" s="24" t="s">
        <v>27</v>
      </c>
      <c r="G6642" s="24" t="s">
        <v>28</v>
      </c>
      <c r="H6642" s="26">
        <v>65</v>
      </c>
      <c r="I6642" s="24" t="s">
        <v>29</v>
      </c>
      <c r="J6642" s="36">
        <v>45875</v>
      </c>
      <c r="K6642" s="24" t="s">
        <v>22</v>
      </c>
    </row>
    <row r="6643" spans="1:11" x14ac:dyDescent="0.2">
      <c r="A6643" s="27" t="s">
        <v>15651</v>
      </c>
      <c r="B6643" s="27" t="s">
        <v>15652</v>
      </c>
      <c r="C6643" s="27" t="s">
        <v>7601</v>
      </c>
      <c r="D6643" s="27" t="s">
        <v>17</v>
      </c>
      <c r="E6643" s="27" t="s">
        <v>42</v>
      </c>
      <c r="F6643" s="27" t="s">
        <v>43</v>
      </c>
      <c r="G6643" s="27" t="s">
        <v>28</v>
      </c>
      <c r="H6643" s="29">
        <v>172</v>
      </c>
      <c r="I6643" s="27" t="s">
        <v>29</v>
      </c>
      <c r="J6643" s="37">
        <v>45896</v>
      </c>
      <c r="K6643" s="27" t="s">
        <v>22</v>
      </c>
    </row>
    <row r="6644" spans="1:11" x14ac:dyDescent="0.2">
      <c r="A6644" s="24" t="s">
        <v>15653</v>
      </c>
      <c r="B6644" s="24" t="s">
        <v>15654</v>
      </c>
      <c r="C6644" s="24" t="s">
        <v>4186</v>
      </c>
      <c r="D6644" s="24" t="s">
        <v>17</v>
      </c>
      <c r="E6644" s="24" t="s">
        <v>26</v>
      </c>
      <c r="F6644" s="24" t="s">
        <v>27</v>
      </c>
      <c r="G6644" s="24" t="s">
        <v>28</v>
      </c>
      <c r="H6644" s="26">
        <v>147</v>
      </c>
      <c r="I6644" s="24" t="s">
        <v>29</v>
      </c>
      <c r="J6644" s="36">
        <v>45873</v>
      </c>
      <c r="K6644" s="24" t="s">
        <v>22</v>
      </c>
    </row>
    <row r="6645" spans="1:11" x14ac:dyDescent="0.2">
      <c r="A6645" s="27" t="s">
        <v>15655</v>
      </c>
      <c r="B6645" s="27" t="s">
        <v>15656</v>
      </c>
      <c r="C6645" s="27" t="s">
        <v>106</v>
      </c>
      <c r="D6645" s="27" t="s">
        <v>17</v>
      </c>
      <c r="E6645" s="27" t="s">
        <v>18</v>
      </c>
      <c r="F6645" s="27" t="s">
        <v>19</v>
      </c>
      <c r="G6645" s="27" t="s">
        <v>20</v>
      </c>
      <c r="H6645" s="29">
        <v>16</v>
      </c>
      <c r="I6645" s="27" t="s">
        <v>21</v>
      </c>
      <c r="J6645" s="37">
        <v>45895</v>
      </c>
      <c r="K6645" s="27" t="s">
        <v>22</v>
      </c>
    </row>
    <row r="6646" spans="1:11" x14ac:dyDescent="0.2">
      <c r="A6646" s="24" t="s">
        <v>15657</v>
      </c>
      <c r="B6646" s="24" t="s">
        <v>15658</v>
      </c>
      <c r="C6646" s="24" t="s">
        <v>2461</v>
      </c>
      <c r="D6646" s="24" t="s">
        <v>17</v>
      </c>
      <c r="E6646" s="24" t="s">
        <v>48</v>
      </c>
      <c r="F6646" s="24" t="s">
        <v>49</v>
      </c>
      <c r="G6646" s="24" t="s">
        <v>116</v>
      </c>
      <c r="H6646" s="26">
        <v>0</v>
      </c>
      <c r="I6646" s="24" t="s">
        <v>21</v>
      </c>
      <c r="J6646" s="36">
        <v>45870</v>
      </c>
      <c r="K6646" s="24" t="s">
        <v>22</v>
      </c>
    </row>
    <row r="6647" spans="1:11" x14ac:dyDescent="0.2">
      <c r="A6647" s="27" t="s">
        <v>15659</v>
      </c>
      <c r="B6647" s="27" t="s">
        <v>15660</v>
      </c>
      <c r="C6647" s="27" t="s">
        <v>140</v>
      </c>
      <c r="D6647" s="27" t="s">
        <v>17</v>
      </c>
      <c r="E6647" s="27" t="s">
        <v>18</v>
      </c>
      <c r="F6647" s="27" t="s">
        <v>19</v>
      </c>
      <c r="G6647" s="27" t="s">
        <v>20</v>
      </c>
      <c r="H6647" s="29">
        <v>15</v>
      </c>
      <c r="I6647" s="27" t="s">
        <v>21</v>
      </c>
      <c r="J6647" s="37">
        <v>45877</v>
      </c>
      <c r="K6647" s="27" t="s">
        <v>22</v>
      </c>
    </row>
    <row r="6648" spans="1:11" x14ac:dyDescent="0.2">
      <c r="A6648" s="24" t="s">
        <v>15661</v>
      </c>
      <c r="B6648" s="24" t="s">
        <v>15662</v>
      </c>
      <c r="C6648" s="24" t="s">
        <v>15663</v>
      </c>
      <c r="D6648" s="24" t="s">
        <v>17</v>
      </c>
      <c r="E6648" s="24" t="s">
        <v>81</v>
      </c>
      <c r="F6648" s="24" t="s">
        <v>82</v>
      </c>
      <c r="G6648" s="24" t="s">
        <v>28</v>
      </c>
      <c r="H6648" s="26">
        <v>248</v>
      </c>
      <c r="I6648" s="24" t="s">
        <v>29</v>
      </c>
      <c r="J6648" s="36">
        <v>45883</v>
      </c>
      <c r="K6648" s="24" t="s">
        <v>22</v>
      </c>
    </row>
    <row r="6649" spans="1:11" x14ac:dyDescent="0.2">
      <c r="A6649" s="27" t="s">
        <v>15664</v>
      </c>
      <c r="B6649" s="27" t="s">
        <v>15665</v>
      </c>
      <c r="C6649" s="27" t="s">
        <v>15666</v>
      </c>
      <c r="D6649" s="27" t="s">
        <v>17</v>
      </c>
      <c r="E6649" s="27" t="s">
        <v>48</v>
      </c>
      <c r="F6649" s="27" t="s">
        <v>49</v>
      </c>
      <c r="G6649" s="27" t="s">
        <v>217</v>
      </c>
      <c r="H6649" s="29">
        <v>120</v>
      </c>
      <c r="I6649" s="27" t="s">
        <v>29</v>
      </c>
      <c r="J6649" s="37">
        <v>45884</v>
      </c>
      <c r="K6649" s="27" t="s">
        <v>22</v>
      </c>
    </row>
    <row r="6650" spans="1:11" x14ac:dyDescent="0.2">
      <c r="A6650" s="24" t="s">
        <v>15667</v>
      </c>
      <c r="B6650" s="24" t="s">
        <v>15668</v>
      </c>
      <c r="C6650" s="24" t="s">
        <v>1630</v>
      </c>
      <c r="D6650" s="24" t="s">
        <v>17</v>
      </c>
      <c r="E6650" s="24" t="s">
        <v>18</v>
      </c>
      <c r="F6650" s="24" t="s">
        <v>19</v>
      </c>
      <c r="G6650" s="24" t="s">
        <v>28</v>
      </c>
      <c r="H6650" s="26">
        <v>18</v>
      </c>
      <c r="I6650" s="24" t="s">
        <v>29</v>
      </c>
      <c r="J6650" s="36">
        <v>45873</v>
      </c>
      <c r="K6650" s="24" t="s">
        <v>22</v>
      </c>
    </row>
    <row r="6651" spans="1:11" x14ac:dyDescent="0.2">
      <c r="A6651" s="27" t="s">
        <v>15669</v>
      </c>
      <c r="B6651" s="27" t="s">
        <v>15670</v>
      </c>
      <c r="C6651" s="27" t="s">
        <v>3531</v>
      </c>
      <c r="D6651" s="27" t="s">
        <v>17</v>
      </c>
      <c r="E6651" s="27" t="s">
        <v>18</v>
      </c>
      <c r="F6651" s="27" t="s">
        <v>19</v>
      </c>
      <c r="G6651" s="27" t="s">
        <v>28</v>
      </c>
      <c r="H6651" s="29">
        <v>60</v>
      </c>
      <c r="I6651" s="27" t="s">
        <v>29</v>
      </c>
      <c r="J6651" s="37">
        <v>45896</v>
      </c>
      <c r="K6651" s="27" t="s">
        <v>22</v>
      </c>
    </row>
    <row r="6652" spans="1:11" x14ac:dyDescent="0.2">
      <c r="A6652" s="24" t="s">
        <v>15671</v>
      </c>
      <c r="B6652" s="24" t="s">
        <v>15672</v>
      </c>
      <c r="C6652" s="24" t="s">
        <v>85</v>
      </c>
      <c r="D6652" s="24" t="s">
        <v>17</v>
      </c>
      <c r="E6652" s="24" t="s">
        <v>18</v>
      </c>
      <c r="F6652" s="24" t="s">
        <v>19</v>
      </c>
      <c r="G6652" s="24" t="s">
        <v>28</v>
      </c>
      <c r="H6652" s="26">
        <v>135</v>
      </c>
      <c r="I6652" s="24" t="s">
        <v>29</v>
      </c>
      <c r="J6652" s="36">
        <v>45876</v>
      </c>
      <c r="K6652" s="24" t="s">
        <v>22</v>
      </c>
    </row>
    <row r="6653" spans="1:11" x14ac:dyDescent="0.2">
      <c r="A6653" s="27" t="s">
        <v>15673</v>
      </c>
      <c r="B6653" s="27" t="s">
        <v>15674</v>
      </c>
      <c r="C6653" s="27" t="s">
        <v>15666</v>
      </c>
      <c r="D6653" s="27" t="s">
        <v>17</v>
      </c>
      <c r="E6653" s="27" t="s">
        <v>48</v>
      </c>
      <c r="F6653" s="27" t="s">
        <v>49</v>
      </c>
      <c r="G6653" s="27" t="s">
        <v>217</v>
      </c>
      <c r="H6653" s="29">
        <v>28</v>
      </c>
      <c r="I6653" s="27" t="s">
        <v>29</v>
      </c>
      <c r="J6653" s="37">
        <v>45870</v>
      </c>
      <c r="K6653" s="27" t="s">
        <v>22</v>
      </c>
    </row>
    <row r="6654" spans="1:11" x14ac:dyDescent="0.2">
      <c r="A6654" s="24" t="s">
        <v>15675</v>
      </c>
      <c r="B6654" s="24" t="s">
        <v>15676</v>
      </c>
      <c r="C6654" s="24" t="s">
        <v>12305</v>
      </c>
      <c r="D6654" s="24" t="s">
        <v>17</v>
      </c>
      <c r="E6654" s="24" t="s">
        <v>163</v>
      </c>
      <c r="F6654" s="24" t="s">
        <v>164</v>
      </c>
      <c r="G6654" s="24" t="s">
        <v>20</v>
      </c>
      <c r="H6654" s="26">
        <v>40</v>
      </c>
      <c r="I6654" s="24" t="s">
        <v>21</v>
      </c>
      <c r="J6654" s="36">
        <v>45898</v>
      </c>
      <c r="K6654" s="24" t="s">
        <v>22</v>
      </c>
    </row>
    <row r="6655" spans="1:11" x14ac:dyDescent="0.2">
      <c r="A6655" s="27" t="s">
        <v>15677</v>
      </c>
      <c r="B6655" s="27" t="s">
        <v>15678</v>
      </c>
      <c r="C6655" s="27" t="s">
        <v>653</v>
      </c>
      <c r="D6655" s="27" t="s">
        <v>17</v>
      </c>
      <c r="E6655" s="27" t="s">
        <v>18</v>
      </c>
      <c r="F6655" s="27" t="s">
        <v>19</v>
      </c>
      <c r="G6655" s="27" t="s">
        <v>217</v>
      </c>
      <c r="H6655" s="29">
        <v>6</v>
      </c>
      <c r="I6655" s="27" t="s">
        <v>29</v>
      </c>
      <c r="J6655" s="37">
        <v>45898</v>
      </c>
      <c r="K6655" s="27" t="s">
        <v>22</v>
      </c>
    </row>
    <row r="6656" spans="1:11" x14ac:dyDescent="0.2">
      <c r="A6656" s="24" t="s">
        <v>15679</v>
      </c>
      <c r="B6656" s="24" t="s">
        <v>15680</v>
      </c>
      <c r="C6656" s="24" t="s">
        <v>15681</v>
      </c>
      <c r="D6656" s="24" t="s">
        <v>17</v>
      </c>
      <c r="E6656" s="24" t="s">
        <v>18</v>
      </c>
      <c r="F6656" s="24" t="s">
        <v>19</v>
      </c>
      <c r="G6656" s="24" t="s">
        <v>227</v>
      </c>
      <c r="H6656" s="26">
        <v>68</v>
      </c>
      <c r="I6656" s="24" t="s">
        <v>29</v>
      </c>
      <c r="J6656" s="36">
        <v>45887</v>
      </c>
      <c r="K6656" s="24" t="s">
        <v>22</v>
      </c>
    </row>
    <row r="6657" spans="1:11" x14ac:dyDescent="0.2">
      <c r="A6657" s="27" t="s">
        <v>15682</v>
      </c>
      <c r="B6657" s="27" t="s">
        <v>15683</v>
      </c>
      <c r="C6657" s="27" t="s">
        <v>6794</v>
      </c>
      <c r="D6657" s="27" t="s">
        <v>17</v>
      </c>
      <c r="E6657" s="27" t="s">
        <v>18</v>
      </c>
      <c r="F6657" s="27" t="s">
        <v>19</v>
      </c>
      <c r="G6657" s="27" t="s">
        <v>217</v>
      </c>
      <c r="H6657" s="29">
        <v>15</v>
      </c>
      <c r="I6657" s="27" t="s">
        <v>29</v>
      </c>
      <c r="J6657" s="37">
        <v>45889</v>
      </c>
      <c r="K6657" s="27" t="s">
        <v>22</v>
      </c>
    </row>
    <row r="6658" spans="1:11" x14ac:dyDescent="0.2">
      <c r="A6658" s="24" t="s">
        <v>15684</v>
      </c>
      <c r="B6658" s="24" t="s">
        <v>15685</v>
      </c>
      <c r="C6658" s="24" t="s">
        <v>15686</v>
      </c>
      <c r="D6658" s="24" t="s">
        <v>17</v>
      </c>
      <c r="E6658" s="24" t="s">
        <v>26</v>
      </c>
      <c r="F6658" s="24" t="s">
        <v>27</v>
      </c>
      <c r="G6658" s="24" t="s">
        <v>217</v>
      </c>
      <c r="H6658" s="26">
        <v>5</v>
      </c>
      <c r="I6658" s="24" t="s">
        <v>29</v>
      </c>
      <c r="J6658" s="36">
        <v>45870</v>
      </c>
      <c r="K6658" s="24" t="s">
        <v>22</v>
      </c>
    </row>
    <row r="6659" spans="1:11" x14ac:dyDescent="0.2">
      <c r="A6659" s="27" t="s">
        <v>15687</v>
      </c>
      <c r="B6659" s="27" t="s">
        <v>15688</v>
      </c>
      <c r="C6659" s="27" t="s">
        <v>5967</v>
      </c>
      <c r="D6659" s="27" t="s">
        <v>17</v>
      </c>
      <c r="E6659" s="27" t="s">
        <v>18</v>
      </c>
      <c r="F6659" s="27" t="s">
        <v>19</v>
      </c>
      <c r="G6659" s="27" t="s">
        <v>217</v>
      </c>
      <c r="H6659" s="29">
        <v>70</v>
      </c>
      <c r="I6659" s="27" t="s">
        <v>29</v>
      </c>
      <c r="J6659" s="37">
        <v>45870</v>
      </c>
      <c r="K6659" s="27" t="s">
        <v>22</v>
      </c>
    </row>
    <row r="6660" spans="1:11" x14ac:dyDescent="0.2">
      <c r="A6660" s="24" t="s">
        <v>15689</v>
      </c>
      <c r="B6660" s="24" t="s">
        <v>15690</v>
      </c>
      <c r="C6660" s="24" t="s">
        <v>3304</v>
      </c>
      <c r="D6660" s="24" t="s">
        <v>17</v>
      </c>
      <c r="E6660" s="24" t="s">
        <v>18</v>
      </c>
      <c r="F6660" s="24" t="s">
        <v>19</v>
      </c>
      <c r="G6660" s="24" t="s">
        <v>20</v>
      </c>
      <c r="H6660" s="26">
        <v>42</v>
      </c>
      <c r="I6660" s="24" t="s">
        <v>21</v>
      </c>
      <c r="J6660" s="36">
        <v>45888</v>
      </c>
      <c r="K6660" s="24" t="s">
        <v>22</v>
      </c>
    </row>
    <row r="6661" spans="1:11" x14ac:dyDescent="0.2">
      <c r="A6661" s="27" t="s">
        <v>15691</v>
      </c>
      <c r="B6661" s="27" t="s">
        <v>15692</v>
      </c>
      <c r="C6661" s="27" t="s">
        <v>4925</v>
      </c>
      <c r="D6661" s="27" t="s">
        <v>17</v>
      </c>
      <c r="E6661" s="27" t="s">
        <v>18</v>
      </c>
      <c r="F6661" s="27" t="s">
        <v>19</v>
      </c>
      <c r="G6661" s="27" t="s">
        <v>44</v>
      </c>
      <c r="H6661" s="29">
        <v>8</v>
      </c>
      <c r="I6661" s="27" t="s">
        <v>29</v>
      </c>
      <c r="J6661" s="37">
        <v>45891</v>
      </c>
      <c r="K6661" s="27" t="s">
        <v>22</v>
      </c>
    </row>
    <row r="6662" spans="1:11" x14ac:dyDescent="0.2">
      <c r="A6662" s="24" t="s">
        <v>15693</v>
      </c>
      <c r="B6662" s="24" t="s">
        <v>15694</v>
      </c>
      <c r="C6662" s="24" t="s">
        <v>5913</v>
      </c>
      <c r="D6662" s="24" t="s">
        <v>17</v>
      </c>
      <c r="E6662" s="24" t="s">
        <v>48</v>
      </c>
      <c r="F6662" s="24" t="s">
        <v>49</v>
      </c>
      <c r="G6662" s="24" t="s">
        <v>227</v>
      </c>
      <c r="H6662" s="26">
        <v>10</v>
      </c>
      <c r="I6662" s="24" t="s">
        <v>29</v>
      </c>
      <c r="J6662" s="36">
        <v>45889</v>
      </c>
      <c r="K6662" s="24" t="s">
        <v>22</v>
      </c>
    </row>
    <row r="6663" spans="1:11" x14ac:dyDescent="0.2">
      <c r="A6663" s="27" t="s">
        <v>15695</v>
      </c>
      <c r="B6663" s="27" t="s">
        <v>15696</v>
      </c>
      <c r="C6663" s="27" t="s">
        <v>3387</v>
      </c>
      <c r="D6663" s="27" t="s">
        <v>17</v>
      </c>
      <c r="E6663" s="27" t="s">
        <v>18</v>
      </c>
      <c r="F6663" s="27" t="s">
        <v>19</v>
      </c>
      <c r="G6663" s="27" t="s">
        <v>20</v>
      </c>
      <c r="H6663" s="29">
        <v>1043</v>
      </c>
      <c r="I6663" s="27" t="s">
        <v>21</v>
      </c>
      <c r="J6663" s="37">
        <v>45873</v>
      </c>
      <c r="K6663" s="27" t="s">
        <v>22</v>
      </c>
    </row>
    <row r="6664" spans="1:11" x14ac:dyDescent="0.2">
      <c r="A6664" s="24" t="s">
        <v>15697</v>
      </c>
      <c r="B6664" s="24" t="s">
        <v>15698</v>
      </c>
      <c r="C6664" s="24" t="s">
        <v>7559</v>
      </c>
      <c r="D6664" s="24" t="s">
        <v>17</v>
      </c>
      <c r="E6664" s="24" t="s">
        <v>26</v>
      </c>
      <c r="F6664" s="24" t="s">
        <v>27</v>
      </c>
      <c r="G6664" s="24" t="s">
        <v>28</v>
      </c>
      <c r="H6664" s="26">
        <v>80</v>
      </c>
      <c r="I6664" s="24" t="s">
        <v>29</v>
      </c>
      <c r="J6664" s="36">
        <v>45897</v>
      </c>
      <c r="K6664" s="24" t="s">
        <v>22</v>
      </c>
    </row>
    <row r="6665" spans="1:11" x14ac:dyDescent="0.2">
      <c r="A6665" s="27" t="s">
        <v>15699</v>
      </c>
      <c r="B6665" s="27" t="s">
        <v>15700</v>
      </c>
      <c r="C6665" s="27" t="s">
        <v>15701</v>
      </c>
      <c r="D6665" s="27" t="s">
        <v>17</v>
      </c>
      <c r="E6665" s="27" t="s">
        <v>48</v>
      </c>
      <c r="F6665" s="27" t="s">
        <v>49</v>
      </c>
      <c r="G6665" s="27" t="s">
        <v>217</v>
      </c>
      <c r="H6665" s="29">
        <v>160</v>
      </c>
      <c r="I6665" s="27" t="s">
        <v>29</v>
      </c>
      <c r="J6665" s="37">
        <v>45899</v>
      </c>
      <c r="K6665" s="27" t="s">
        <v>22</v>
      </c>
    </row>
    <row r="6666" spans="1:11" x14ac:dyDescent="0.2">
      <c r="A6666" s="24" t="s">
        <v>15702</v>
      </c>
      <c r="B6666" s="24" t="s">
        <v>15703</v>
      </c>
      <c r="C6666" s="24" t="s">
        <v>1050</v>
      </c>
      <c r="D6666" s="24" t="s">
        <v>17</v>
      </c>
      <c r="E6666" s="24" t="s">
        <v>48</v>
      </c>
      <c r="F6666" s="24" t="s">
        <v>49</v>
      </c>
      <c r="G6666" s="24" t="s">
        <v>217</v>
      </c>
      <c r="H6666" s="26">
        <v>60</v>
      </c>
      <c r="I6666" s="24" t="s">
        <v>29</v>
      </c>
      <c r="J6666" s="36">
        <v>45884</v>
      </c>
      <c r="K6666" s="24" t="s">
        <v>22</v>
      </c>
    </row>
    <row r="6667" spans="1:11" x14ac:dyDescent="0.2">
      <c r="A6667" s="27" t="s">
        <v>15704</v>
      </c>
      <c r="B6667" s="27" t="s">
        <v>15705</v>
      </c>
      <c r="C6667" s="27" t="s">
        <v>15706</v>
      </c>
      <c r="D6667" s="27" t="s">
        <v>17</v>
      </c>
      <c r="E6667" s="27" t="s">
        <v>18</v>
      </c>
      <c r="F6667" s="27" t="s">
        <v>19</v>
      </c>
      <c r="G6667" s="27" t="s">
        <v>217</v>
      </c>
      <c r="H6667" s="29">
        <v>84</v>
      </c>
      <c r="I6667" s="27" t="s">
        <v>29</v>
      </c>
      <c r="J6667" s="37">
        <v>45899</v>
      </c>
      <c r="K6667" s="27" t="s">
        <v>22</v>
      </c>
    </row>
    <row r="6668" spans="1:11" x14ac:dyDescent="0.2">
      <c r="A6668" s="24" t="s">
        <v>15707</v>
      </c>
      <c r="B6668" s="24" t="s">
        <v>15708</v>
      </c>
      <c r="C6668" s="24" t="s">
        <v>15709</v>
      </c>
      <c r="D6668" s="24" t="s">
        <v>17</v>
      </c>
      <c r="E6668" s="24" t="s">
        <v>42</v>
      </c>
      <c r="F6668" s="24" t="s">
        <v>43</v>
      </c>
      <c r="G6668" s="24" t="s">
        <v>28</v>
      </c>
      <c r="H6668" s="26">
        <v>500</v>
      </c>
      <c r="I6668" s="24" t="s">
        <v>29</v>
      </c>
      <c r="J6668" s="36">
        <v>45870</v>
      </c>
      <c r="K6668" s="24" t="s">
        <v>22</v>
      </c>
    </row>
    <row r="6669" spans="1:11" x14ac:dyDescent="0.2">
      <c r="A6669" s="27" t="s">
        <v>15710</v>
      </c>
      <c r="B6669" s="27" t="s">
        <v>15711</v>
      </c>
      <c r="C6669" s="27" t="s">
        <v>15712</v>
      </c>
      <c r="D6669" s="27" t="s">
        <v>17</v>
      </c>
      <c r="E6669" s="27" t="s">
        <v>48</v>
      </c>
      <c r="F6669" s="27" t="s">
        <v>49</v>
      </c>
      <c r="G6669" s="27" t="s">
        <v>28</v>
      </c>
      <c r="H6669" s="29">
        <v>240</v>
      </c>
      <c r="I6669" s="27" t="s">
        <v>29</v>
      </c>
      <c r="J6669" s="37">
        <v>45880</v>
      </c>
      <c r="K6669" s="27" t="s">
        <v>22</v>
      </c>
    </row>
    <row r="6670" spans="1:11" x14ac:dyDescent="0.2">
      <c r="A6670" s="24" t="s">
        <v>15713</v>
      </c>
      <c r="B6670" s="24" t="s">
        <v>15714</v>
      </c>
      <c r="C6670" s="24" t="s">
        <v>2586</v>
      </c>
      <c r="D6670" s="24" t="s">
        <v>17</v>
      </c>
      <c r="E6670" s="24" t="s">
        <v>42</v>
      </c>
      <c r="F6670" s="24" t="s">
        <v>43</v>
      </c>
      <c r="G6670" s="24" t="s">
        <v>20</v>
      </c>
      <c r="H6670" s="26">
        <v>40</v>
      </c>
      <c r="I6670" s="24" t="s">
        <v>21</v>
      </c>
      <c r="J6670" s="36">
        <v>45889</v>
      </c>
      <c r="K6670" s="24" t="s">
        <v>22</v>
      </c>
    </row>
    <row r="6671" spans="1:11" x14ac:dyDescent="0.2">
      <c r="A6671" s="27" t="s">
        <v>15715</v>
      </c>
      <c r="B6671" s="27" t="s">
        <v>15716</v>
      </c>
      <c r="C6671" s="27" t="s">
        <v>15717</v>
      </c>
      <c r="D6671" s="27" t="s">
        <v>17</v>
      </c>
      <c r="E6671" s="27" t="s">
        <v>48</v>
      </c>
      <c r="F6671" s="27" t="s">
        <v>49</v>
      </c>
      <c r="G6671" s="27" t="s">
        <v>217</v>
      </c>
      <c r="H6671" s="29">
        <v>24</v>
      </c>
      <c r="I6671" s="27" t="s">
        <v>29</v>
      </c>
      <c r="J6671" s="37">
        <v>45870</v>
      </c>
      <c r="K6671" s="27" t="s">
        <v>22</v>
      </c>
    </row>
    <row r="6672" spans="1:11" x14ac:dyDescent="0.2">
      <c r="A6672" s="24" t="s">
        <v>15718</v>
      </c>
      <c r="B6672" s="24" t="s">
        <v>15719</v>
      </c>
      <c r="C6672" s="24" t="s">
        <v>7515</v>
      </c>
      <c r="D6672" s="24" t="s">
        <v>17</v>
      </c>
      <c r="E6672" s="24" t="s">
        <v>48</v>
      </c>
      <c r="F6672" s="24" t="s">
        <v>49</v>
      </c>
      <c r="G6672" s="24" t="s">
        <v>217</v>
      </c>
      <c r="H6672" s="26">
        <v>120</v>
      </c>
      <c r="I6672" s="24" t="s">
        <v>29</v>
      </c>
      <c r="J6672" s="36">
        <v>45870</v>
      </c>
      <c r="K6672" s="24" t="s">
        <v>22</v>
      </c>
    </row>
    <row r="6673" spans="1:11" x14ac:dyDescent="0.2">
      <c r="A6673" s="27" t="s">
        <v>15720</v>
      </c>
      <c r="B6673" s="27" t="s">
        <v>15721</v>
      </c>
      <c r="C6673" s="27" t="s">
        <v>9616</v>
      </c>
      <c r="D6673" s="27" t="s">
        <v>17</v>
      </c>
      <c r="E6673" s="27" t="s">
        <v>48</v>
      </c>
      <c r="F6673" s="27" t="s">
        <v>49</v>
      </c>
      <c r="G6673" s="27" t="s">
        <v>28</v>
      </c>
      <c r="H6673" s="29">
        <v>90</v>
      </c>
      <c r="I6673" s="27" t="s">
        <v>29</v>
      </c>
      <c r="J6673" s="37">
        <v>45881</v>
      </c>
      <c r="K6673" s="27" t="s">
        <v>22</v>
      </c>
    </row>
    <row r="6674" spans="1:11" x14ac:dyDescent="0.2">
      <c r="A6674" s="24" t="s">
        <v>15722</v>
      </c>
      <c r="B6674" s="24" t="s">
        <v>15723</v>
      </c>
      <c r="C6674" s="24" t="s">
        <v>13923</v>
      </c>
      <c r="D6674" s="24" t="s">
        <v>17</v>
      </c>
      <c r="E6674" s="24" t="s">
        <v>26</v>
      </c>
      <c r="F6674" s="24" t="s">
        <v>27</v>
      </c>
      <c r="G6674" s="24" t="s">
        <v>28</v>
      </c>
      <c r="H6674" s="26">
        <v>380</v>
      </c>
      <c r="I6674" s="24" t="s">
        <v>29</v>
      </c>
      <c r="J6674" s="36">
        <v>45889</v>
      </c>
      <c r="K6674" s="24" t="s">
        <v>22</v>
      </c>
    </row>
    <row r="6675" spans="1:11" x14ac:dyDescent="0.2">
      <c r="A6675" s="27" t="s">
        <v>15724</v>
      </c>
      <c r="B6675" s="27" t="s">
        <v>15725</v>
      </c>
      <c r="C6675" s="27" t="s">
        <v>13501</v>
      </c>
      <c r="D6675" s="27" t="s">
        <v>17</v>
      </c>
      <c r="E6675" s="27" t="s">
        <v>18</v>
      </c>
      <c r="F6675" s="27" t="s">
        <v>19</v>
      </c>
      <c r="G6675" s="27" t="s">
        <v>28</v>
      </c>
      <c r="H6675" s="29">
        <v>70</v>
      </c>
      <c r="I6675" s="27" t="s">
        <v>29</v>
      </c>
      <c r="J6675" s="37">
        <v>45894</v>
      </c>
      <c r="K6675" s="27" t="s">
        <v>22</v>
      </c>
    </row>
    <row r="6676" spans="1:11" x14ac:dyDescent="0.2">
      <c r="A6676" s="24" t="s">
        <v>15726</v>
      </c>
      <c r="B6676" s="24" t="s">
        <v>15727</v>
      </c>
      <c r="C6676" s="24" t="s">
        <v>1110</v>
      </c>
      <c r="D6676" s="24" t="s">
        <v>17</v>
      </c>
      <c r="E6676" s="24" t="s">
        <v>48</v>
      </c>
      <c r="F6676" s="24" t="s">
        <v>49</v>
      </c>
      <c r="G6676" s="24" t="s">
        <v>28</v>
      </c>
      <c r="H6676" s="26">
        <v>240</v>
      </c>
      <c r="I6676" s="24" t="s">
        <v>29</v>
      </c>
      <c r="J6676" s="36">
        <v>45888</v>
      </c>
      <c r="K6676" s="24" t="s">
        <v>22</v>
      </c>
    </row>
    <row r="6677" spans="1:11" x14ac:dyDescent="0.2">
      <c r="A6677" s="27" t="s">
        <v>15728</v>
      </c>
      <c r="B6677" s="27" t="s">
        <v>15729</v>
      </c>
      <c r="C6677" s="27" t="s">
        <v>15251</v>
      </c>
      <c r="D6677" s="27" t="s">
        <v>17</v>
      </c>
      <c r="E6677" s="27" t="s">
        <v>81</v>
      </c>
      <c r="F6677" s="27" t="s">
        <v>82</v>
      </c>
      <c r="G6677" s="27" t="s">
        <v>28</v>
      </c>
      <c r="H6677" s="29">
        <v>358</v>
      </c>
      <c r="I6677" s="27" t="s">
        <v>29</v>
      </c>
      <c r="J6677" s="37">
        <v>45898</v>
      </c>
      <c r="K6677" s="27" t="s">
        <v>22</v>
      </c>
    </row>
    <row r="6678" spans="1:11" x14ac:dyDescent="0.2">
      <c r="A6678" s="24" t="s">
        <v>15730</v>
      </c>
      <c r="B6678" s="24" t="s">
        <v>15731</v>
      </c>
      <c r="C6678" s="24" t="s">
        <v>68</v>
      </c>
      <c r="D6678" s="24" t="s">
        <v>17</v>
      </c>
      <c r="E6678" s="24" t="s">
        <v>18</v>
      </c>
      <c r="F6678" s="24" t="s">
        <v>19</v>
      </c>
      <c r="G6678" s="24" t="s">
        <v>20</v>
      </c>
      <c r="H6678" s="26">
        <v>49</v>
      </c>
      <c r="I6678" s="24" t="s">
        <v>21</v>
      </c>
      <c r="J6678" s="36">
        <v>45895</v>
      </c>
      <c r="K6678" s="24" t="s">
        <v>22</v>
      </c>
    </row>
    <row r="6679" spans="1:11" x14ac:dyDescent="0.2">
      <c r="A6679" s="27" t="s">
        <v>15732</v>
      </c>
      <c r="B6679" s="27" t="s">
        <v>15733</v>
      </c>
      <c r="C6679" s="27" t="s">
        <v>1895</v>
      </c>
      <c r="D6679" s="27" t="s">
        <v>17</v>
      </c>
      <c r="E6679" s="27" t="s">
        <v>163</v>
      </c>
      <c r="F6679" s="27" t="s">
        <v>164</v>
      </c>
      <c r="G6679" s="27" t="s">
        <v>28</v>
      </c>
      <c r="H6679" s="29">
        <v>140</v>
      </c>
      <c r="I6679" s="27" t="s">
        <v>29</v>
      </c>
      <c r="J6679" s="37">
        <v>45886</v>
      </c>
      <c r="K6679" s="27" t="s">
        <v>22</v>
      </c>
    </row>
    <row r="6680" spans="1:11" x14ac:dyDescent="0.2">
      <c r="A6680" s="24" t="s">
        <v>15734</v>
      </c>
      <c r="B6680" s="24" t="s">
        <v>15735</v>
      </c>
      <c r="C6680" s="24" t="s">
        <v>1663</v>
      </c>
      <c r="D6680" s="24" t="s">
        <v>17</v>
      </c>
      <c r="E6680" s="24" t="s">
        <v>48</v>
      </c>
      <c r="F6680" s="24" t="s">
        <v>49</v>
      </c>
      <c r="G6680" s="24" t="s">
        <v>28</v>
      </c>
      <c r="H6680" s="26">
        <v>24</v>
      </c>
      <c r="I6680" s="24" t="s">
        <v>29</v>
      </c>
      <c r="J6680" s="36">
        <v>45874</v>
      </c>
      <c r="K6680" s="24" t="s">
        <v>22</v>
      </c>
    </row>
    <row r="6681" spans="1:11" x14ac:dyDescent="0.2">
      <c r="A6681" s="27" t="s">
        <v>15736</v>
      </c>
      <c r="B6681" s="27" t="s">
        <v>15737</v>
      </c>
      <c r="C6681" s="27" t="s">
        <v>2290</v>
      </c>
      <c r="D6681" s="27" t="s">
        <v>17</v>
      </c>
      <c r="E6681" s="27" t="s">
        <v>42</v>
      </c>
      <c r="F6681" s="27" t="s">
        <v>43</v>
      </c>
      <c r="G6681" s="27" t="s">
        <v>28</v>
      </c>
      <c r="H6681" s="29">
        <v>180</v>
      </c>
      <c r="I6681" s="27" t="s">
        <v>29</v>
      </c>
      <c r="J6681" s="37">
        <v>45890</v>
      </c>
      <c r="K6681" s="27" t="s">
        <v>22</v>
      </c>
    </row>
    <row r="6682" spans="1:11" x14ac:dyDescent="0.2">
      <c r="A6682" s="24" t="s">
        <v>15738</v>
      </c>
      <c r="B6682" s="24" t="s">
        <v>15739</v>
      </c>
      <c r="C6682" s="24" t="s">
        <v>15740</v>
      </c>
      <c r="D6682" s="24" t="s">
        <v>17</v>
      </c>
      <c r="E6682" s="24" t="s">
        <v>18</v>
      </c>
      <c r="F6682" s="24" t="s">
        <v>19</v>
      </c>
      <c r="G6682" s="24" t="s">
        <v>28</v>
      </c>
      <c r="H6682" s="26">
        <v>76</v>
      </c>
      <c r="I6682" s="24" t="s">
        <v>29</v>
      </c>
      <c r="J6682" s="36">
        <v>45888</v>
      </c>
      <c r="K6682" s="24" t="s">
        <v>22</v>
      </c>
    </row>
    <row r="6683" spans="1:11" x14ac:dyDescent="0.2">
      <c r="A6683" s="27" t="s">
        <v>15741</v>
      </c>
      <c r="B6683" s="27" t="s">
        <v>15742</v>
      </c>
      <c r="C6683" s="27" t="s">
        <v>687</v>
      </c>
      <c r="D6683" s="27" t="s">
        <v>17</v>
      </c>
      <c r="E6683" s="27" t="s">
        <v>18</v>
      </c>
      <c r="F6683" s="27" t="s">
        <v>19</v>
      </c>
      <c r="G6683" s="27" t="s">
        <v>20</v>
      </c>
      <c r="H6683" s="29">
        <v>100</v>
      </c>
      <c r="I6683" s="27" t="s">
        <v>21</v>
      </c>
      <c r="J6683" s="37">
        <v>45870</v>
      </c>
      <c r="K6683" s="27" t="s">
        <v>22</v>
      </c>
    </row>
    <row r="6684" spans="1:11" x14ac:dyDescent="0.2">
      <c r="A6684" s="24" t="s">
        <v>15743</v>
      </c>
      <c r="B6684" s="24" t="s">
        <v>15744</v>
      </c>
      <c r="C6684" s="24" t="s">
        <v>526</v>
      </c>
      <c r="D6684" s="24" t="s">
        <v>17</v>
      </c>
      <c r="E6684" s="24" t="s">
        <v>42</v>
      </c>
      <c r="F6684" s="24" t="s">
        <v>43</v>
      </c>
      <c r="G6684" s="24" t="s">
        <v>28</v>
      </c>
      <c r="H6684" s="26">
        <v>3400</v>
      </c>
      <c r="I6684" s="24" t="s">
        <v>29</v>
      </c>
      <c r="J6684" s="36">
        <v>45894</v>
      </c>
      <c r="K6684" s="24" t="s">
        <v>22</v>
      </c>
    </row>
    <row r="6685" spans="1:11" x14ac:dyDescent="0.2">
      <c r="A6685" s="27" t="s">
        <v>15745</v>
      </c>
      <c r="B6685" s="27" t="s">
        <v>15746</v>
      </c>
      <c r="C6685" s="27" t="s">
        <v>2331</v>
      </c>
      <c r="D6685" s="27" t="s">
        <v>17</v>
      </c>
      <c r="E6685" s="27" t="s">
        <v>26</v>
      </c>
      <c r="F6685" s="27" t="s">
        <v>27</v>
      </c>
      <c r="G6685" s="27" t="s">
        <v>28</v>
      </c>
      <c r="H6685" s="29">
        <v>980</v>
      </c>
      <c r="I6685" s="27" t="s">
        <v>29</v>
      </c>
      <c r="J6685" s="37">
        <v>45881</v>
      </c>
      <c r="K6685" s="27" t="s">
        <v>22</v>
      </c>
    </row>
    <row r="6686" spans="1:11" x14ac:dyDescent="0.2">
      <c r="A6686" s="24" t="s">
        <v>15747</v>
      </c>
      <c r="B6686" s="24" t="s">
        <v>15748</v>
      </c>
      <c r="C6686" s="24" t="s">
        <v>1509</v>
      </c>
      <c r="D6686" s="24" t="s">
        <v>17</v>
      </c>
      <c r="E6686" s="24" t="s">
        <v>42</v>
      </c>
      <c r="F6686" s="24" t="s">
        <v>43</v>
      </c>
      <c r="G6686" s="24" t="s">
        <v>28</v>
      </c>
      <c r="H6686" s="26">
        <v>352</v>
      </c>
      <c r="I6686" s="24" t="s">
        <v>29</v>
      </c>
      <c r="J6686" s="36">
        <v>45898</v>
      </c>
      <c r="K6686" s="24" t="s">
        <v>22</v>
      </c>
    </row>
    <row r="6687" spans="1:11" x14ac:dyDescent="0.2">
      <c r="A6687" s="27" t="s">
        <v>15749</v>
      </c>
      <c r="B6687" s="27" t="s">
        <v>15750</v>
      </c>
      <c r="C6687" s="27" t="s">
        <v>85</v>
      </c>
      <c r="D6687" s="27" t="s">
        <v>17</v>
      </c>
      <c r="E6687" s="27" t="s">
        <v>48</v>
      </c>
      <c r="F6687" s="27" t="s">
        <v>49</v>
      </c>
      <c r="G6687" s="27" t="s">
        <v>28</v>
      </c>
      <c r="H6687" s="29">
        <v>140</v>
      </c>
      <c r="I6687" s="27" t="s">
        <v>29</v>
      </c>
      <c r="J6687" s="37">
        <v>45876</v>
      </c>
      <c r="K6687" s="27" t="s">
        <v>22</v>
      </c>
    </row>
    <row r="6688" spans="1:11" x14ac:dyDescent="0.2">
      <c r="A6688" s="24" t="s">
        <v>15751</v>
      </c>
      <c r="B6688" s="24" t="s">
        <v>15752</v>
      </c>
      <c r="C6688" s="24" t="s">
        <v>363</v>
      </c>
      <c r="D6688" s="24" t="s">
        <v>17</v>
      </c>
      <c r="E6688" s="24" t="s">
        <v>18</v>
      </c>
      <c r="F6688" s="24" t="s">
        <v>19</v>
      </c>
      <c r="G6688" s="24" t="s">
        <v>28</v>
      </c>
      <c r="H6688" s="26">
        <v>40</v>
      </c>
      <c r="I6688" s="24" t="s">
        <v>29</v>
      </c>
      <c r="J6688" s="36">
        <v>45889</v>
      </c>
      <c r="K6688" s="24" t="s">
        <v>22</v>
      </c>
    </row>
    <row r="6689" spans="1:11" x14ac:dyDescent="0.2">
      <c r="A6689" s="27" t="s">
        <v>15753</v>
      </c>
      <c r="B6689" s="27" t="s">
        <v>15754</v>
      </c>
      <c r="C6689" s="27" t="s">
        <v>3281</v>
      </c>
      <c r="D6689" s="27" t="s">
        <v>17</v>
      </c>
      <c r="E6689" s="27" t="s">
        <v>33</v>
      </c>
      <c r="F6689" s="27" t="s">
        <v>34</v>
      </c>
      <c r="G6689" s="27" t="s">
        <v>217</v>
      </c>
      <c r="H6689" s="29">
        <v>720</v>
      </c>
      <c r="I6689" s="27" t="s">
        <v>29</v>
      </c>
      <c r="J6689" s="37">
        <v>45870</v>
      </c>
      <c r="K6689" s="27" t="s">
        <v>22</v>
      </c>
    </row>
    <row r="6690" spans="1:11" x14ac:dyDescent="0.2">
      <c r="A6690" s="24" t="s">
        <v>15755</v>
      </c>
      <c r="B6690" s="24" t="s">
        <v>15756</v>
      </c>
      <c r="C6690" s="24" t="s">
        <v>15757</v>
      </c>
      <c r="D6690" s="24" t="s">
        <v>17</v>
      </c>
      <c r="E6690" s="24" t="s">
        <v>18</v>
      </c>
      <c r="F6690" s="24" t="s">
        <v>19</v>
      </c>
      <c r="G6690" s="24" t="s">
        <v>28</v>
      </c>
      <c r="H6690" s="26">
        <v>33</v>
      </c>
      <c r="I6690" s="24" t="s">
        <v>29</v>
      </c>
      <c r="J6690" s="36">
        <v>45870</v>
      </c>
      <c r="K6690" s="24" t="s">
        <v>22</v>
      </c>
    </row>
    <row r="6691" spans="1:11" x14ac:dyDescent="0.2">
      <c r="A6691" s="27" t="s">
        <v>15758</v>
      </c>
      <c r="B6691" s="27" t="s">
        <v>15759</v>
      </c>
      <c r="C6691" s="27" t="s">
        <v>526</v>
      </c>
      <c r="D6691" s="27" t="s">
        <v>17</v>
      </c>
      <c r="E6691" s="27" t="s">
        <v>18</v>
      </c>
      <c r="F6691" s="27" t="s">
        <v>19</v>
      </c>
      <c r="G6691" s="27" t="s">
        <v>28</v>
      </c>
      <c r="H6691" s="29">
        <v>32</v>
      </c>
      <c r="I6691" s="27" t="s">
        <v>29</v>
      </c>
      <c r="J6691" s="37">
        <v>45887</v>
      </c>
      <c r="K6691" s="27" t="s">
        <v>22</v>
      </c>
    </row>
    <row r="6692" spans="1:11" x14ac:dyDescent="0.2">
      <c r="A6692" s="24" t="s">
        <v>15760</v>
      </c>
      <c r="B6692" s="24" t="s">
        <v>15761</v>
      </c>
      <c r="C6692" s="24" t="s">
        <v>140</v>
      </c>
      <c r="D6692" s="24" t="s">
        <v>17</v>
      </c>
      <c r="E6692" s="24" t="s">
        <v>18</v>
      </c>
      <c r="F6692" s="24" t="s">
        <v>19</v>
      </c>
      <c r="G6692" s="24" t="s">
        <v>28</v>
      </c>
      <c r="H6692" s="26">
        <v>159</v>
      </c>
      <c r="I6692" s="24" t="s">
        <v>29</v>
      </c>
      <c r="J6692" s="36">
        <v>45884</v>
      </c>
      <c r="K6692" s="24" t="s">
        <v>22</v>
      </c>
    </row>
    <row r="6693" spans="1:11" x14ac:dyDescent="0.2">
      <c r="A6693" s="27" t="s">
        <v>15762</v>
      </c>
      <c r="B6693" s="27" t="s">
        <v>15763</v>
      </c>
      <c r="C6693" s="27" t="s">
        <v>14221</v>
      </c>
      <c r="D6693" s="27" t="s">
        <v>17</v>
      </c>
      <c r="E6693" s="27" t="s">
        <v>26</v>
      </c>
      <c r="F6693" s="27" t="s">
        <v>27</v>
      </c>
      <c r="G6693" s="27" t="s">
        <v>28</v>
      </c>
      <c r="H6693" s="29">
        <v>24</v>
      </c>
      <c r="I6693" s="27" t="s">
        <v>29</v>
      </c>
      <c r="J6693" s="37">
        <v>45899</v>
      </c>
      <c r="K6693" s="27" t="s">
        <v>22</v>
      </c>
    </row>
    <row r="6694" spans="1:11" x14ac:dyDescent="0.2">
      <c r="A6694" s="24" t="s">
        <v>15764</v>
      </c>
      <c r="B6694" s="24" t="s">
        <v>15765</v>
      </c>
      <c r="C6694" s="24" t="s">
        <v>554</v>
      </c>
      <c r="D6694" s="24" t="s">
        <v>17</v>
      </c>
      <c r="E6694" s="24" t="s">
        <v>26</v>
      </c>
      <c r="F6694" s="24" t="s">
        <v>27</v>
      </c>
      <c r="G6694" s="24" t="s">
        <v>28</v>
      </c>
      <c r="H6694" s="26">
        <v>32</v>
      </c>
      <c r="I6694" s="24" t="s">
        <v>29</v>
      </c>
      <c r="J6694" s="36">
        <v>45894</v>
      </c>
      <c r="K6694" s="24" t="s">
        <v>22</v>
      </c>
    </row>
    <row r="6695" spans="1:11" x14ac:dyDescent="0.2">
      <c r="A6695" s="27" t="s">
        <v>15766</v>
      </c>
      <c r="B6695" s="27" t="s">
        <v>15767</v>
      </c>
      <c r="C6695" s="27" t="s">
        <v>12185</v>
      </c>
      <c r="D6695" s="27" t="s">
        <v>17</v>
      </c>
      <c r="E6695" s="27" t="s">
        <v>48</v>
      </c>
      <c r="F6695" s="27" t="s">
        <v>49</v>
      </c>
      <c r="G6695" s="27" t="s">
        <v>28</v>
      </c>
      <c r="H6695" s="29">
        <v>100</v>
      </c>
      <c r="I6695" s="27" t="s">
        <v>29</v>
      </c>
      <c r="J6695" s="37">
        <v>45873</v>
      </c>
      <c r="K6695" s="27" t="s">
        <v>22</v>
      </c>
    </row>
    <row r="6696" spans="1:11" x14ac:dyDescent="0.2">
      <c r="A6696" s="24" t="s">
        <v>15768</v>
      </c>
      <c r="B6696" s="24" t="s">
        <v>15769</v>
      </c>
      <c r="C6696" s="24" t="s">
        <v>140</v>
      </c>
      <c r="D6696" s="24" t="s">
        <v>17</v>
      </c>
      <c r="E6696" s="24" t="s">
        <v>48</v>
      </c>
      <c r="F6696" s="24" t="s">
        <v>49</v>
      </c>
      <c r="G6696" s="24" t="s">
        <v>217</v>
      </c>
      <c r="H6696" s="26">
        <v>180</v>
      </c>
      <c r="I6696" s="24" t="s">
        <v>29</v>
      </c>
      <c r="J6696" s="36">
        <v>45882</v>
      </c>
      <c r="K6696" s="24" t="s">
        <v>22</v>
      </c>
    </row>
    <row r="6697" spans="1:11" x14ac:dyDescent="0.2">
      <c r="A6697" s="27" t="s">
        <v>15770</v>
      </c>
      <c r="B6697" s="27" t="s">
        <v>15771</v>
      </c>
      <c r="C6697" s="27" t="s">
        <v>14806</v>
      </c>
      <c r="D6697" s="27" t="s">
        <v>17</v>
      </c>
      <c r="E6697" s="27" t="s">
        <v>18</v>
      </c>
      <c r="F6697" s="27" t="s">
        <v>19</v>
      </c>
      <c r="G6697" s="27" t="s">
        <v>28</v>
      </c>
      <c r="H6697" s="29">
        <v>48</v>
      </c>
      <c r="I6697" s="27" t="s">
        <v>29</v>
      </c>
      <c r="J6697" s="37">
        <v>45894</v>
      </c>
      <c r="K6697" s="27" t="s">
        <v>22</v>
      </c>
    </row>
    <row r="6698" spans="1:11" x14ac:dyDescent="0.2">
      <c r="A6698" s="24" t="s">
        <v>15772</v>
      </c>
      <c r="B6698" s="24" t="s">
        <v>15773</v>
      </c>
      <c r="C6698" s="24" t="s">
        <v>55</v>
      </c>
      <c r="D6698" s="24" t="s">
        <v>17</v>
      </c>
      <c r="E6698" s="24" t="s">
        <v>33</v>
      </c>
      <c r="F6698" s="24" t="s">
        <v>34</v>
      </c>
      <c r="G6698" s="24" t="s">
        <v>28</v>
      </c>
      <c r="H6698" s="26">
        <v>153</v>
      </c>
      <c r="I6698" s="24" t="s">
        <v>29</v>
      </c>
      <c r="J6698" s="36">
        <v>45890</v>
      </c>
      <c r="K6698" s="24" t="s">
        <v>22</v>
      </c>
    </row>
    <row r="6699" spans="1:11" x14ac:dyDescent="0.2">
      <c r="A6699" s="27" t="s">
        <v>15774</v>
      </c>
      <c r="B6699" s="27" t="s">
        <v>15775</v>
      </c>
      <c r="C6699" s="27" t="s">
        <v>6644</v>
      </c>
      <c r="D6699" s="27" t="s">
        <v>17</v>
      </c>
      <c r="E6699" s="27" t="s">
        <v>48</v>
      </c>
      <c r="F6699" s="27" t="s">
        <v>49</v>
      </c>
      <c r="G6699" s="27" t="s">
        <v>227</v>
      </c>
      <c r="H6699" s="29">
        <v>44</v>
      </c>
      <c r="I6699" s="27" t="s">
        <v>29</v>
      </c>
      <c r="J6699" s="37">
        <v>45887</v>
      </c>
      <c r="K6699" s="27" t="s">
        <v>22</v>
      </c>
    </row>
    <row r="6700" spans="1:11" x14ac:dyDescent="0.2">
      <c r="A6700" s="24" t="s">
        <v>15776</v>
      </c>
      <c r="B6700" s="24" t="s">
        <v>15777</v>
      </c>
      <c r="C6700" s="24" t="s">
        <v>213</v>
      </c>
      <c r="D6700" s="24" t="s">
        <v>17</v>
      </c>
      <c r="E6700" s="24" t="s">
        <v>18</v>
      </c>
      <c r="F6700" s="24" t="s">
        <v>19</v>
      </c>
      <c r="G6700" s="24" t="s">
        <v>59</v>
      </c>
      <c r="H6700" s="26">
        <v>7</v>
      </c>
      <c r="I6700" s="24" t="s">
        <v>21</v>
      </c>
      <c r="J6700" s="36">
        <v>45874</v>
      </c>
      <c r="K6700" s="24" t="s">
        <v>22</v>
      </c>
    </row>
    <row r="6701" spans="1:11" x14ac:dyDescent="0.2">
      <c r="A6701" s="27" t="s">
        <v>15778</v>
      </c>
      <c r="B6701" s="27" t="s">
        <v>15779</v>
      </c>
      <c r="C6701" s="27" t="s">
        <v>11601</v>
      </c>
      <c r="D6701" s="27" t="s">
        <v>17</v>
      </c>
      <c r="E6701" s="27" t="s">
        <v>48</v>
      </c>
      <c r="F6701" s="27" t="s">
        <v>49</v>
      </c>
      <c r="G6701" s="27" t="s">
        <v>59</v>
      </c>
      <c r="H6701" s="29">
        <v>134</v>
      </c>
      <c r="I6701" s="27" t="s">
        <v>21</v>
      </c>
      <c r="J6701" s="37">
        <v>45881</v>
      </c>
      <c r="K6701" s="27" t="s">
        <v>22</v>
      </c>
    </row>
    <row r="6702" spans="1:11" x14ac:dyDescent="0.2">
      <c r="A6702" s="24" t="s">
        <v>15780</v>
      </c>
      <c r="B6702" s="24" t="s">
        <v>15781</v>
      </c>
      <c r="C6702" s="24" t="s">
        <v>4510</v>
      </c>
      <c r="D6702" s="24" t="s">
        <v>17</v>
      </c>
      <c r="E6702" s="24" t="s">
        <v>48</v>
      </c>
      <c r="F6702" s="24" t="s">
        <v>49</v>
      </c>
      <c r="G6702" s="24" t="s">
        <v>28</v>
      </c>
      <c r="H6702" s="26">
        <v>285</v>
      </c>
      <c r="I6702" s="24" t="s">
        <v>29</v>
      </c>
      <c r="J6702" s="36">
        <v>45890</v>
      </c>
      <c r="K6702" s="24" t="s">
        <v>22</v>
      </c>
    </row>
    <row r="6703" spans="1:11" x14ac:dyDescent="0.2">
      <c r="A6703" s="27" t="s">
        <v>15782</v>
      </c>
      <c r="B6703" s="27" t="s">
        <v>15783</v>
      </c>
      <c r="C6703" s="27" t="s">
        <v>146</v>
      </c>
      <c r="D6703" s="27" t="s">
        <v>17</v>
      </c>
      <c r="E6703" s="27" t="s">
        <v>48</v>
      </c>
      <c r="F6703" s="27" t="s">
        <v>49</v>
      </c>
      <c r="G6703" s="27" t="s">
        <v>28</v>
      </c>
      <c r="H6703" s="29">
        <v>220</v>
      </c>
      <c r="I6703" s="27" t="s">
        <v>29</v>
      </c>
      <c r="J6703" s="37">
        <v>45883</v>
      </c>
      <c r="K6703" s="27" t="s">
        <v>22</v>
      </c>
    </row>
    <row r="6704" spans="1:11" x14ac:dyDescent="0.2">
      <c r="A6704" s="24" t="s">
        <v>15784</v>
      </c>
      <c r="B6704" s="24" t="s">
        <v>15785</v>
      </c>
      <c r="C6704" s="24" t="s">
        <v>4966</v>
      </c>
      <c r="D6704" s="24" t="s">
        <v>17</v>
      </c>
      <c r="E6704" s="24" t="s">
        <v>48</v>
      </c>
      <c r="F6704" s="24" t="s">
        <v>49</v>
      </c>
      <c r="G6704" s="24" t="s">
        <v>28</v>
      </c>
      <c r="H6704" s="26">
        <v>18</v>
      </c>
      <c r="I6704" s="24" t="s">
        <v>29</v>
      </c>
      <c r="J6704" s="36">
        <v>45877</v>
      </c>
      <c r="K6704" s="24" t="s">
        <v>22</v>
      </c>
    </row>
    <row r="6705" spans="1:11" x14ac:dyDescent="0.2">
      <c r="A6705" s="27" t="s">
        <v>15786</v>
      </c>
      <c r="B6705" s="27" t="s">
        <v>15787</v>
      </c>
      <c r="C6705" s="27" t="s">
        <v>213</v>
      </c>
      <c r="D6705" s="27" t="s">
        <v>17</v>
      </c>
      <c r="E6705" s="27" t="s">
        <v>18</v>
      </c>
      <c r="F6705" s="27" t="s">
        <v>19</v>
      </c>
      <c r="G6705" s="27" t="s">
        <v>28</v>
      </c>
      <c r="H6705" s="29">
        <v>310</v>
      </c>
      <c r="I6705" s="27" t="s">
        <v>29</v>
      </c>
      <c r="J6705" s="37">
        <v>45889</v>
      </c>
      <c r="K6705" s="27" t="s">
        <v>22</v>
      </c>
    </row>
    <row r="6706" spans="1:11" x14ac:dyDescent="0.2">
      <c r="A6706" s="24" t="s">
        <v>15788</v>
      </c>
      <c r="B6706" s="24" t="s">
        <v>15789</v>
      </c>
      <c r="C6706" s="24" t="s">
        <v>122</v>
      </c>
      <c r="D6706" s="24" t="s">
        <v>17</v>
      </c>
      <c r="E6706" s="24" t="s">
        <v>18</v>
      </c>
      <c r="F6706" s="24" t="s">
        <v>19</v>
      </c>
      <c r="G6706" s="24" t="s">
        <v>28</v>
      </c>
      <c r="H6706" s="26">
        <v>150</v>
      </c>
      <c r="I6706" s="24" t="s">
        <v>29</v>
      </c>
      <c r="J6706" s="36">
        <v>45887</v>
      </c>
      <c r="K6706" s="24" t="s">
        <v>22</v>
      </c>
    </row>
    <row r="6707" spans="1:11" x14ac:dyDescent="0.2">
      <c r="A6707" s="27" t="s">
        <v>15790</v>
      </c>
      <c r="B6707" s="27" t="s">
        <v>15791</v>
      </c>
      <c r="C6707" s="27" t="s">
        <v>15792</v>
      </c>
      <c r="D6707" s="27" t="s">
        <v>17</v>
      </c>
      <c r="E6707" s="27" t="s">
        <v>18</v>
      </c>
      <c r="F6707" s="27" t="s">
        <v>19</v>
      </c>
      <c r="G6707" s="27" t="s">
        <v>28</v>
      </c>
      <c r="H6707" s="29">
        <v>120</v>
      </c>
      <c r="I6707" s="27" t="s">
        <v>29</v>
      </c>
      <c r="J6707" s="37">
        <v>45898</v>
      </c>
      <c r="K6707" s="27" t="s">
        <v>22</v>
      </c>
    </row>
    <row r="6708" spans="1:11" x14ac:dyDescent="0.2">
      <c r="A6708" s="24" t="s">
        <v>15793</v>
      </c>
      <c r="B6708" s="24" t="s">
        <v>15794</v>
      </c>
      <c r="C6708" s="24" t="s">
        <v>85</v>
      </c>
      <c r="D6708" s="24" t="s">
        <v>17</v>
      </c>
      <c r="E6708" s="24" t="s">
        <v>48</v>
      </c>
      <c r="F6708" s="24" t="s">
        <v>49</v>
      </c>
      <c r="G6708" s="24" t="s">
        <v>28</v>
      </c>
      <c r="H6708" s="26">
        <v>268</v>
      </c>
      <c r="I6708" s="24" t="s">
        <v>29</v>
      </c>
      <c r="J6708" s="36">
        <v>45873</v>
      </c>
      <c r="K6708" s="24" t="s">
        <v>22</v>
      </c>
    </row>
    <row r="6709" spans="1:11" x14ac:dyDescent="0.2">
      <c r="A6709" s="27" t="s">
        <v>15795</v>
      </c>
      <c r="B6709" s="27" t="s">
        <v>15796</v>
      </c>
      <c r="C6709" s="27" t="s">
        <v>500</v>
      </c>
      <c r="D6709" s="27" t="s">
        <v>17</v>
      </c>
      <c r="E6709" s="27" t="s">
        <v>18</v>
      </c>
      <c r="F6709" s="27" t="s">
        <v>19</v>
      </c>
      <c r="G6709" s="27" t="s">
        <v>20</v>
      </c>
      <c r="H6709" s="29">
        <v>36</v>
      </c>
      <c r="I6709" s="27" t="s">
        <v>21</v>
      </c>
      <c r="J6709" s="37">
        <v>45891</v>
      </c>
      <c r="K6709" s="27" t="s">
        <v>22</v>
      </c>
    </row>
    <row r="6710" spans="1:11" x14ac:dyDescent="0.2">
      <c r="A6710" s="24" t="s">
        <v>15797</v>
      </c>
      <c r="B6710" s="24" t="s">
        <v>15798</v>
      </c>
      <c r="C6710" s="24" t="s">
        <v>4269</v>
      </c>
      <c r="D6710" s="24" t="s">
        <v>17</v>
      </c>
      <c r="E6710" s="24" t="s">
        <v>42</v>
      </c>
      <c r="F6710" s="24" t="s">
        <v>43</v>
      </c>
      <c r="G6710" s="24" t="s">
        <v>20</v>
      </c>
      <c r="H6710" s="26">
        <v>286</v>
      </c>
      <c r="I6710" s="24" t="s">
        <v>21</v>
      </c>
      <c r="J6710" s="36">
        <v>45888</v>
      </c>
      <c r="K6710" s="24" t="s">
        <v>22</v>
      </c>
    </row>
    <row r="6711" spans="1:11" x14ac:dyDescent="0.2">
      <c r="A6711" s="27" t="s">
        <v>15799</v>
      </c>
      <c r="B6711" s="27" t="s">
        <v>15800</v>
      </c>
      <c r="C6711" s="27" t="s">
        <v>14320</v>
      </c>
      <c r="D6711" s="27" t="s">
        <v>17</v>
      </c>
      <c r="E6711" s="27" t="s">
        <v>163</v>
      </c>
      <c r="F6711" s="27" t="s">
        <v>164</v>
      </c>
      <c r="G6711" s="27" t="s">
        <v>44</v>
      </c>
      <c r="H6711" s="29">
        <v>38</v>
      </c>
      <c r="I6711" s="27" t="s">
        <v>29</v>
      </c>
      <c r="J6711" s="37">
        <v>45880</v>
      </c>
      <c r="K6711" s="27" t="s">
        <v>22</v>
      </c>
    </row>
    <row r="6712" spans="1:11" x14ac:dyDescent="0.2">
      <c r="A6712" s="24" t="s">
        <v>15801</v>
      </c>
      <c r="B6712" s="24" t="s">
        <v>15802</v>
      </c>
      <c r="C6712" s="24" t="s">
        <v>2448</v>
      </c>
      <c r="D6712" s="24" t="s">
        <v>17</v>
      </c>
      <c r="E6712" s="24" t="s">
        <v>48</v>
      </c>
      <c r="F6712" s="24" t="s">
        <v>49</v>
      </c>
      <c r="G6712" s="24" t="s">
        <v>28</v>
      </c>
      <c r="H6712" s="26">
        <v>45</v>
      </c>
      <c r="I6712" s="24" t="s">
        <v>29</v>
      </c>
      <c r="J6712" s="36">
        <v>45897</v>
      </c>
      <c r="K6712" s="24" t="s">
        <v>22</v>
      </c>
    </row>
    <row r="6713" spans="1:11" x14ac:dyDescent="0.2">
      <c r="A6713" s="27" t="s">
        <v>15803</v>
      </c>
      <c r="B6713" s="27" t="s">
        <v>15804</v>
      </c>
      <c r="C6713" s="27" t="s">
        <v>15805</v>
      </c>
      <c r="D6713" s="27" t="s">
        <v>17</v>
      </c>
      <c r="E6713" s="27" t="s">
        <v>18</v>
      </c>
      <c r="F6713" s="27" t="s">
        <v>19</v>
      </c>
      <c r="G6713" s="27" t="s">
        <v>217</v>
      </c>
      <c r="H6713" s="29">
        <v>96</v>
      </c>
      <c r="I6713" s="27" t="s">
        <v>29</v>
      </c>
      <c r="J6713" s="37">
        <v>45883</v>
      </c>
      <c r="K6713" s="27" t="s">
        <v>22</v>
      </c>
    </row>
    <row r="6714" spans="1:11" x14ac:dyDescent="0.2">
      <c r="A6714" s="24" t="s">
        <v>15806</v>
      </c>
      <c r="B6714" s="24" t="s">
        <v>15807</v>
      </c>
      <c r="C6714" s="24" t="s">
        <v>146</v>
      </c>
      <c r="D6714" s="24" t="s">
        <v>17</v>
      </c>
      <c r="E6714" s="24" t="s">
        <v>18</v>
      </c>
      <c r="F6714" s="24" t="s">
        <v>19</v>
      </c>
      <c r="G6714" s="24" t="s">
        <v>44</v>
      </c>
      <c r="H6714" s="26">
        <v>127</v>
      </c>
      <c r="I6714" s="24" t="s">
        <v>21</v>
      </c>
      <c r="J6714" s="36">
        <v>45881</v>
      </c>
      <c r="K6714" s="24" t="s">
        <v>22</v>
      </c>
    </row>
    <row r="6715" spans="1:11" x14ac:dyDescent="0.2">
      <c r="A6715" s="27" t="s">
        <v>15808</v>
      </c>
      <c r="B6715" s="27" t="s">
        <v>15809</v>
      </c>
      <c r="C6715" s="27" t="s">
        <v>7864</v>
      </c>
      <c r="D6715" s="27" t="s">
        <v>17</v>
      </c>
      <c r="E6715" s="27" t="s">
        <v>18</v>
      </c>
      <c r="F6715" s="27" t="s">
        <v>19</v>
      </c>
      <c r="G6715" s="27" t="s">
        <v>28</v>
      </c>
      <c r="H6715" s="29">
        <v>80</v>
      </c>
      <c r="I6715" s="27" t="s">
        <v>29</v>
      </c>
      <c r="J6715" s="37">
        <v>45880</v>
      </c>
      <c r="K6715" s="27" t="s">
        <v>22</v>
      </c>
    </row>
    <row r="6716" spans="1:11" x14ac:dyDescent="0.2">
      <c r="A6716" s="24" t="s">
        <v>15810</v>
      </c>
      <c r="B6716" s="24" t="s">
        <v>15811</v>
      </c>
      <c r="C6716" s="24" t="s">
        <v>134</v>
      </c>
      <c r="D6716" s="24" t="s">
        <v>17</v>
      </c>
      <c r="E6716" s="24" t="s">
        <v>18</v>
      </c>
      <c r="F6716" s="24" t="s">
        <v>19</v>
      </c>
      <c r="G6716" s="24" t="s">
        <v>28</v>
      </c>
      <c r="H6716" s="26">
        <v>234</v>
      </c>
      <c r="I6716" s="24" t="s">
        <v>29</v>
      </c>
      <c r="J6716" s="36">
        <v>45870</v>
      </c>
      <c r="K6716" s="24" t="s">
        <v>22</v>
      </c>
    </row>
    <row r="6717" spans="1:11" x14ac:dyDescent="0.2">
      <c r="A6717" s="27" t="s">
        <v>15812</v>
      </c>
      <c r="B6717" s="27" t="s">
        <v>15813</v>
      </c>
      <c r="C6717" s="27" t="s">
        <v>526</v>
      </c>
      <c r="D6717" s="27" t="s">
        <v>17</v>
      </c>
      <c r="E6717" s="27" t="s">
        <v>48</v>
      </c>
      <c r="F6717" s="27" t="s">
        <v>49</v>
      </c>
      <c r="G6717" s="27" t="s">
        <v>28</v>
      </c>
      <c r="H6717" s="29">
        <v>13</v>
      </c>
      <c r="I6717" s="27" t="s">
        <v>29</v>
      </c>
      <c r="J6717" s="37">
        <v>45876</v>
      </c>
      <c r="K6717" s="27" t="s">
        <v>22</v>
      </c>
    </row>
    <row r="6718" spans="1:11" x14ac:dyDescent="0.2">
      <c r="A6718" s="24" t="s">
        <v>15814</v>
      </c>
      <c r="B6718" s="24" t="s">
        <v>15815</v>
      </c>
      <c r="C6718" s="24" t="s">
        <v>15816</v>
      </c>
      <c r="D6718" s="24" t="s">
        <v>17</v>
      </c>
      <c r="E6718" s="24" t="s">
        <v>42</v>
      </c>
      <c r="F6718" s="24" t="s">
        <v>43</v>
      </c>
      <c r="G6718" s="24" t="s">
        <v>28</v>
      </c>
      <c r="H6718" s="26">
        <v>1784</v>
      </c>
      <c r="I6718" s="24" t="s">
        <v>29</v>
      </c>
      <c r="J6718" s="36">
        <v>45878</v>
      </c>
      <c r="K6718" s="24" t="s">
        <v>22</v>
      </c>
    </row>
    <row r="6719" spans="1:11" x14ac:dyDescent="0.2">
      <c r="A6719" s="27" t="s">
        <v>15817</v>
      </c>
      <c r="B6719" s="27" t="s">
        <v>15818</v>
      </c>
      <c r="C6719" s="27" t="s">
        <v>10398</v>
      </c>
      <c r="D6719" s="27" t="s">
        <v>17</v>
      </c>
      <c r="E6719" s="27" t="s">
        <v>18</v>
      </c>
      <c r="F6719" s="27" t="s">
        <v>19</v>
      </c>
      <c r="G6719" s="27" t="s">
        <v>28</v>
      </c>
      <c r="H6719" s="29">
        <v>18</v>
      </c>
      <c r="I6719" s="27" t="s">
        <v>29</v>
      </c>
      <c r="J6719" s="37">
        <v>45873</v>
      </c>
      <c r="K6719" s="27" t="s">
        <v>22</v>
      </c>
    </row>
    <row r="6720" spans="1:11" x14ac:dyDescent="0.2">
      <c r="A6720" s="24" t="s">
        <v>15819</v>
      </c>
      <c r="B6720" s="24" t="s">
        <v>15820</v>
      </c>
      <c r="C6720" s="24" t="s">
        <v>1199</v>
      </c>
      <c r="D6720" s="24" t="s">
        <v>17</v>
      </c>
      <c r="E6720" s="24" t="s">
        <v>42</v>
      </c>
      <c r="F6720" s="24" t="s">
        <v>43</v>
      </c>
      <c r="G6720" s="24" t="s">
        <v>28</v>
      </c>
      <c r="H6720" s="26">
        <v>600</v>
      </c>
      <c r="I6720" s="24" t="s">
        <v>29</v>
      </c>
      <c r="J6720" s="36">
        <v>45887</v>
      </c>
      <c r="K6720" s="24" t="s">
        <v>22</v>
      </c>
    </row>
    <row r="6721" spans="1:11" x14ac:dyDescent="0.2">
      <c r="A6721" s="27" t="s">
        <v>15821</v>
      </c>
      <c r="B6721" s="27" t="s">
        <v>15822</v>
      </c>
      <c r="C6721" s="27" t="s">
        <v>1050</v>
      </c>
      <c r="D6721" s="27" t="s">
        <v>17</v>
      </c>
      <c r="E6721" s="27" t="s">
        <v>33</v>
      </c>
      <c r="F6721" s="27" t="s">
        <v>34</v>
      </c>
      <c r="G6721" s="27" t="s">
        <v>28</v>
      </c>
      <c r="H6721" s="29">
        <v>243</v>
      </c>
      <c r="I6721" s="27" t="s">
        <v>29</v>
      </c>
      <c r="J6721" s="37">
        <v>45898</v>
      </c>
      <c r="K6721" s="27" t="s">
        <v>22</v>
      </c>
    </row>
    <row r="6722" spans="1:11" x14ac:dyDescent="0.2">
      <c r="A6722" s="24" t="s">
        <v>15823</v>
      </c>
      <c r="B6722" s="24" t="s">
        <v>15824</v>
      </c>
      <c r="C6722" s="24" t="s">
        <v>9608</v>
      </c>
      <c r="D6722" s="24" t="s">
        <v>17</v>
      </c>
      <c r="E6722" s="24" t="s">
        <v>26</v>
      </c>
      <c r="F6722" s="24" t="s">
        <v>27</v>
      </c>
      <c r="G6722" s="24" t="s">
        <v>28</v>
      </c>
      <c r="H6722" s="26">
        <v>180</v>
      </c>
      <c r="I6722" s="24" t="s">
        <v>29</v>
      </c>
      <c r="J6722" s="36">
        <v>45895</v>
      </c>
      <c r="K6722" s="24" t="s">
        <v>22</v>
      </c>
    </row>
    <row r="6723" spans="1:11" x14ac:dyDescent="0.2">
      <c r="A6723" s="27" t="s">
        <v>15825</v>
      </c>
      <c r="B6723" s="27" t="s">
        <v>15826</v>
      </c>
      <c r="C6723" s="27" t="s">
        <v>15827</v>
      </c>
      <c r="D6723" s="27" t="s">
        <v>17</v>
      </c>
      <c r="E6723" s="27" t="s">
        <v>33</v>
      </c>
      <c r="F6723" s="27" t="s">
        <v>34</v>
      </c>
      <c r="G6723" s="27" t="s">
        <v>28</v>
      </c>
      <c r="H6723" s="29">
        <v>135</v>
      </c>
      <c r="I6723" s="27" t="s">
        <v>29</v>
      </c>
      <c r="J6723" s="37">
        <v>45875</v>
      </c>
      <c r="K6723" s="27" t="s">
        <v>22</v>
      </c>
    </row>
    <row r="6724" spans="1:11" x14ac:dyDescent="0.2">
      <c r="A6724" s="24" t="s">
        <v>15828</v>
      </c>
      <c r="B6724" s="24" t="s">
        <v>15829</v>
      </c>
      <c r="C6724" s="24" t="s">
        <v>15830</v>
      </c>
      <c r="D6724" s="24" t="s">
        <v>17</v>
      </c>
      <c r="E6724" s="24" t="s">
        <v>42</v>
      </c>
      <c r="F6724" s="24" t="s">
        <v>43</v>
      </c>
      <c r="G6724" s="24" t="s">
        <v>217</v>
      </c>
      <c r="H6724" s="26">
        <v>144</v>
      </c>
      <c r="I6724" s="24" t="s">
        <v>29</v>
      </c>
      <c r="J6724" s="36">
        <v>45870</v>
      </c>
      <c r="K6724" s="24" t="s">
        <v>22</v>
      </c>
    </row>
    <row r="6725" spans="1:11" x14ac:dyDescent="0.2">
      <c r="A6725" s="27" t="s">
        <v>15831</v>
      </c>
      <c r="B6725" s="27" t="s">
        <v>15832</v>
      </c>
      <c r="C6725" s="27" t="s">
        <v>388</v>
      </c>
      <c r="D6725" s="27" t="s">
        <v>17</v>
      </c>
      <c r="E6725" s="27" t="s">
        <v>42</v>
      </c>
      <c r="F6725" s="27" t="s">
        <v>43</v>
      </c>
      <c r="G6725" s="27" t="s">
        <v>20</v>
      </c>
      <c r="H6725" s="29">
        <v>80</v>
      </c>
      <c r="I6725" s="27" t="s">
        <v>21</v>
      </c>
      <c r="J6725" s="37">
        <v>45887</v>
      </c>
      <c r="K6725" s="27" t="s">
        <v>22</v>
      </c>
    </row>
    <row r="6726" spans="1:11" x14ac:dyDescent="0.2">
      <c r="A6726" s="24" t="s">
        <v>15833</v>
      </c>
      <c r="B6726" s="24" t="s">
        <v>15834</v>
      </c>
      <c r="C6726" s="24" t="s">
        <v>1199</v>
      </c>
      <c r="D6726" s="24" t="s">
        <v>17</v>
      </c>
      <c r="E6726" s="24" t="s">
        <v>18</v>
      </c>
      <c r="F6726" s="24" t="s">
        <v>19</v>
      </c>
      <c r="G6726" s="24" t="s">
        <v>28</v>
      </c>
      <c r="H6726" s="26">
        <v>200</v>
      </c>
      <c r="I6726" s="24" t="s">
        <v>29</v>
      </c>
      <c r="J6726" s="36">
        <v>45897</v>
      </c>
      <c r="K6726" s="24" t="s">
        <v>22</v>
      </c>
    </row>
    <row r="6727" spans="1:11" x14ac:dyDescent="0.2">
      <c r="A6727" s="27" t="s">
        <v>15835</v>
      </c>
      <c r="B6727" s="27" t="s">
        <v>15836</v>
      </c>
      <c r="C6727" s="27" t="s">
        <v>15837</v>
      </c>
      <c r="D6727" s="27" t="s">
        <v>17</v>
      </c>
      <c r="E6727" s="27" t="s">
        <v>48</v>
      </c>
      <c r="F6727" s="27" t="s">
        <v>49</v>
      </c>
      <c r="G6727" s="27" t="s">
        <v>217</v>
      </c>
      <c r="H6727" s="29">
        <v>30</v>
      </c>
      <c r="I6727" s="27" t="s">
        <v>29</v>
      </c>
      <c r="J6727" s="37">
        <v>45870</v>
      </c>
      <c r="K6727" s="27" t="s">
        <v>22</v>
      </c>
    </row>
    <row r="6728" spans="1:11" x14ac:dyDescent="0.2">
      <c r="A6728" s="24" t="s">
        <v>15838</v>
      </c>
      <c r="B6728" s="24" t="s">
        <v>15839</v>
      </c>
      <c r="C6728" s="24" t="s">
        <v>1523</v>
      </c>
      <c r="D6728" s="24" t="s">
        <v>17</v>
      </c>
      <c r="E6728" s="24" t="s">
        <v>48</v>
      </c>
      <c r="F6728" s="24" t="s">
        <v>49</v>
      </c>
      <c r="G6728" s="24" t="s">
        <v>28</v>
      </c>
      <c r="H6728" s="26">
        <v>200</v>
      </c>
      <c r="I6728" s="24" t="s">
        <v>29</v>
      </c>
      <c r="J6728" s="36">
        <v>45888</v>
      </c>
      <c r="K6728" s="24" t="s">
        <v>22</v>
      </c>
    </row>
    <row r="6729" spans="1:11" x14ac:dyDescent="0.2">
      <c r="A6729" s="27" t="s">
        <v>15840</v>
      </c>
      <c r="B6729" s="27" t="s">
        <v>15841</v>
      </c>
      <c r="C6729" s="27" t="s">
        <v>423</v>
      </c>
      <c r="D6729" s="27" t="s">
        <v>17</v>
      </c>
      <c r="E6729" s="27" t="s">
        <v>81</v>
      </c>
      <c r="F6729" s="27" t="s">
        <v>82</v>
      </c>
      <c r="G6729" s="27" t="s">
        <v>217</v>
      </c>
      <c r="H6729" s="29">
        <v>140</v>
      </c>
      <c r="I6729" s="27" t="s">
        <v>29</v>
      </c>
      <c r="J6729" s="37">
        <v>45883</v>
      </c>
      <c r="K6729" s="27" t="s">
        <v>22</v>
      </c>
    </row>
    <row r="6730" spans="1:11" x14ac:dyDescent="0.2">
      <c r="A6730" s="24" t="s">
        <v>15842</v>
      </c>
      <c r="B6730" s="24" t="s">
        <v>15843</v>
      </c>
      <c r="C6730" s="24" t="s">
        <v>3944</v>
      </c>
      <c r="D6730" s="24" t="s">
        <v>17</v>
      </c>
      <c r="E6730" s="24" t="s">
        <v>42</v>
      </c>
      <c r="F6730" s="24" t="s">
        <v>43</v>
      </c>
      <c r="G6730" s="24" t="s">
        <v>227</v>
      </c>
      <c r="H6730" s="26">
        <v>150</v>
      </c>
      <c r="I6730" s="24" t="s">
        <v>29</v>
      </c>
      <c r="J6730" s="36">
        <v>45889</v>
      </c>
      <c r="K6730" s="24" t="s">
        <v>22</v>
      </c>
    </row>
    <row r="6731" spans="1:11" x14ac:dyDescent="0.2">
      <c r="A6731" s="27" t="s">
        <v>15844</v>
      </c>
      <c r="B6731" s="27" t="s">
        <v>15845</v>
      </c>
      <c r="C6731" s="27" t="s">
        <v>475</v>
      </c>
      <c r="D6731" s="27" t="s">
        <v>17</v>
      </c>
      <c r="E6731" s="27" t="s">
        <v>26</v>
      </c>
      <c r="F6731" s="27" t="s">
        <v>27</v>
      </c>
      <c r="G6731" s="27" t="s">
        <v>217</v>
      </c>
      <c r="H6731" s="29">
        <v>48</v>
      </c>
      <c r="I6731" s="27" t="s">
        <v>29</v>
      </c>
      <c r="J6731" s="37">
        <v>45870</v>
      </c>
      <c r="K6731" s="27" t="s">
        <v>22</v>
      </c>
    </row>
    <row r="6732" spans="1:11" x14ac:dyDescent="0.2">
      <c r="A6732" s="24" t="s">
        <v>15846</v>
      </c>
      <c r="B6732" s="24" t="s">
        <v>15847</v>
      </c>
      <c r="C6732" s="24" t="s">
        <v>3183</v>
      </c>
      <c r="D6732" s="24" t="s">
        <v>17</v>
      </c>
      <c r="E6732" s="24" t="s">
        <v>48</v>
      </c>
      <c r="F6732" s="24" t="s">
        <v>49</v>
      </c>
      <c r="G6732" s="24" t="s">
        <v>28</v>
      </c>
      <c r="H6732" s="26">
        <v>144</v>
      </c>
      <c r="I6732" s="24" t="s">
        <v>29</v>
      </c>
      <c r="J6732" s="36">
        <v>45883</v>
      </c>
      <c r="K6732" s="24" t="s">
        <v>22</v>
      </c>
    </row>
    <row r="6733" spans="1:11" x14ac:dyDescent="0.2">
      <c r="A6733" s="27" t="s">
        <v>15848</v>
      </c>
      <c r="B6733" s="27" t="s">
        <v>15849</v>
      </c>
      <c r="C6733" s="27" t="s">
        <v>15850</v>
      </c>
      <c r="D6733" s="27" t="s">
        <v>17</v>
      </c>
      <c r="E6733" s="27" t="s">
        <v>48</v>
      </c>
      <c r="F6733" s="27" t="s">
        <v>49</v>
      </c>
      <c r="G6733" s="27" t="s">
        <v>217</v>
      </c>
      <c r="H6733" s="29">
        <v>60</v>
      </c>
      <c r="I6733" s="27" t="s">
        <v>29</v>
      </c>
      <c r="J6733" s="37">
        <v>45870</v>
      </c>
      <c r="K6733" s="27" t="s">
        <v>22</v>
      </c>
    </row>
    <row r="6734" spans="1:11" x14ac:dyDescent="0.2">
      <c r="A6734" s="24" t="s">
        <v>15851</v>
      </c>
      <c r="B6734" s="24" t="s">
        <v>15852</v>
      </c>
      <c r="C6734" s="24" t="s">
        <v>7487</v>
      </c>
      <c r="D6734" s="24" t="s">
        <v>17</v>
      </c>
      <c r="E6734" s="24" t="s">
        <v>48</v>
      </c>
      <c r="F6734" s="24" t="s">
        <v>49</v>
      </c>
      <c r="G6734" s="24" t="s">
        <v>28</v>
      </c>
      <c r="H6734" s="26">
        <v>20</v>
      </c>
      <c r="I6734" s="24" t="s">
        <v>29</v>
      </c>
      <c r="J6734" s="36">
        <v>45870</v>
      </c>
      <c r="K6734" s="24" t="s">
        <v>22</v>
      </c>
    </row>
    <row r="6735" spans="1:11" x14ac:dyDescent="0.2">
      <c r="A6735" s="27" t="s">
        <v>15853</v>
      </c>
      <c r="B6735" s="27" t="s">
        <v>15854</v>
      </c>
      <c r="C6735" s="27" t="s">
        <v>55</v>
      </c>
      <c r="D6735" s="27" t="s">
        <v>17</v>
      </c>
      <c r="E6735" s="27" t="s">
        <v>18</v>
      </c>
      <c r="F6735" s="27" t="s">
        <v>19</v>
      </c>
      <c r="G6735" s="27" t="s">
        <v>20</v>
      </c>
      <c r="H6735" s="29">
        <v>42</v>
      </c>
      <c r="I6735" s="27" t="s">
        <v>21</v>
      </c>
      <c r="J6735" s="37">
        <v>45881</v>
      </c>
      <c r="K6735" s="27" t="s">
        <v>22</v>
      </c>
    </row>
    <row r="6736" spans="1:11" x14ac:dyDescent="0.2">
      <c r="A6736" s="24" t="s">
        <v>15855</v>
      </c>
      <c r="B6736" s="24" t="s">
        <v>15856</v>
      </c>
      <c r="C6736" s="24" t="s">
        <v>2507</v>
      </c>
      <c r="D6736" s="24" t="s">
        <v>17</v>
      </c>
      <c r="E6736" s="24" t="s">
        <v>18</v>
      </c>
      <c r="F6736" s="24" t="s">
        <v>19</v>
      </c>
      <c r="G6736" s="24" t="s">
        <v>28</v>
      </c>
      <c r="H6736" s="26">
        <v>26</v>
      </c>
      <c r="I6736" s="24" t="s">
        <v>29</v>
      </c>
      <c r="J6736" s="36">
        <v>45873</v>
      </c>
      <c r="K6736" s="24" t="s">
        <v>22</v>
      </c>
    </row>
    <row r="6737" spans="1:11" x14ac:dyDescent="0.2">
      <c r="A6737" s="27" t="s">
        <v>15857</v>
      </c>
      <c r="B6737" s="27" t="s">
        <v>15858</v>
      </c>
      <c r="C6737" s="27" t="s">
        <v>2779</v>
      </c>
      <c r="D6737" s="27" t="s">
        <v>17</v>
      </c>
      <c r="E6737" s="27" t="s">
        <v>42</v>
      </c>
      <c r="F6737" s="27" t="s">
        <v>43</v>
      </c>
      <c r="G6737" s="27" t="s">
        <v>28</v>
      </c>
      <c r="H6737" s="29">
        <v>351</v>
      </c>
      <c r="I6737" s="27" t="s">
        <v>29</v>
      </c>
      <c r="J6737" s="37">
        <v>45896</v>
      </c>
      <c r="K6737" s="27" t="s">
        <v>22</v>
      </c>
    </row>
    <row r="6738" spans="1:11" x14ac:dyDescent="0.2">
      <c r="A6738" s="24" t="s">
        <v>15859</v>
      </c>
      <c r="B6738" s="24" t="s">
        <v>15860</v>
      </c>
      <c r="C6738" s="24" t="s">
        <v>429</v>
      </c>
      <c r="D6738" s="24" t="s">
        <v>17</v>
      </c>
      <c r="E6738" s="24" t="s">
        <v>48</v>
      </c>
      <c r="F6738" s="24" t="s">
        <v>49</v>
      </c>
      <c r="G6738" s="24" t="s">
        <v>28</v>
      </c>
      <c r="H6738" s="26">
        <v>170</v>
      </c>
      <c r="I6738" s="24" t="s">
        <v>29</v>
      </c>
      <c r="J6738" s="36">
        <v>45895</v>
      </c>
      <c r="K6738" s="24" t="s">
        <v>22</v>
      </c>
    </row>
    <row r="6739" spans="1:11" x14ac:dyDescent="0.2">
      <c r="A6739" s="27" t="s">
        <v>15861</v>
      </c>
      <c r="B6739" s="27" t="s">
        <v>15862</v>
      </c>
      <c r="C6739" s="27" t="s">
        <v>15863</v>
      </c>
      <c r="D6739" s="27" t="s">
        <v>17</v>
      </c>
      <c r="E6739" s="27" t="s">
        <v>48</v>
      </c>
      <c r="F6739" s="27" t="s">
        <v>49</v>
      </c>
      <c r="G6739" s="27" t="s">
        <v>28</v>
      </c>
      <c r="H6739" s="29">
        <v>68</v>
      </c>
      <c r="I6739" s="27" t="s">
        <v>29</v>
      </c>
      <c r="J6739" s="37">
        <v>45881</v>
      </c>
      <c r="K6739" s="27" t="s">
        <v>22</v>
      </c>
    </row>
    <row r="6740" spans="1:11" x14ac:dyDescent="0.2">
      <c r="A6740" s="24" t="s">
        <v>15864</v>
      </c>
      <c r="B6740" s="24" t="s">
        <v>15865</v>
      </c>
      <c r="C6740" s="24" t="s">
        <v>1209</v>
      </c>
      <c r="D6740" s="24" t="s">
        <v>17</v>
      </c>
      <c r="E6740" s="24" t="s">
        <v>42</v>
      </c>
      <c r="F6740" s="24" t="s">
        <v>43</v>
      </c>
      <c r="G6740" s="24" t="s">
        <v>217</v>
      </c>
      <c r="H6740" s="26">
        <v>110</v>
      </c>
      <c r="I6740" s="24" t="s">
        <v>29</v>
      </c>
      <c r="J6740" s="36">
        <v>45870</v>
      </c>
      <c r="K6740" s="24" t="s">
        <v>22</v>
      </c>
    </row>
    <row r="6741" spans="1:11" x14ac:dyDescent="0.2">
      <c r="A6741" s="27" t="s">
        <v>15866</v>
      </c>
      <c r="B6741" s="27" t="s">
        <v>15867</v>
      </c>
      <c r="C6741" s="27" t="s">
        <v>5322</v>
      </c>
      <c r="D6741" s="27" t="s">
        <v>17</v>
      </c>
      <c r="E6741" s="27" t="s">
        <v>48</v>
      </c>
      <c r="F6741" s="27" t="s">
        <v>49</v>
      </c>
      <c r="G6741" s="27" t="s">
        <v>44</v>
      </c>
      <c r="H6741" s="29">
        <v>500</v>
      </c>
      <c r="I6741" s="27" t="s">
        <v>29</v>
      </c>
      <c r="J6741" s="37">
        <v>45882</v>
      </c>
      <c r="K6741" s="27" t="s">
        <v>22</v>
      </c>
    </row>
    <row r="6742" spans="1:11" x14ac:dyDescent="0.2">
      <c r="A6742" s="24" t="s">
        <v>15868</v>
      </c>
      <c r="B6742" s="24" t="s">
        <v>15869</v>
      </c>
      <c r="C6742" s="24" t="s">
        <v>1407</v>
      </c>
      <c r="D6742" s="24" t="s">
        <v>17</v>
      </c>
      <c r="E6742" s="24" t="s">
        <v>48</v>
      </c>
      <c r="F6742" s="24" t="s">
        <v>49</v>
      </c>
      <c r="G6742" s="24" t="s">
        <v>217</v>
      </c>
      <c r="H6742" s="26">
        <v>30</v>
      </c>
      <c r="I6742" s="24" t="s">
        <v>29</v>
      </c>
      <c r="J6742" s="36">
        <v>45879</v>
      </c>
      <c r="K6742" s="24" t="s">
        <v>22</v>
      </c>
    </row>
    <row r="6743" spans="1:11" x14ac:dyDescent="0.2">
      <c r="A6743" s="27" t="s">
        <v>15870</v>
      </c>
      <c r="B6743" s="27" t="s">
        <v>15871</v>
      </c>
      <c r="C6743" s="27" t="s">
        <v>1883</v>
      </c>
      <c r="D6743" s="27" t="s">
        <v>17</v>
      </c>
      <c r="E6743" s="27" t="s">
        <v>18</v>
      </c>
      <c r="F6743" s="27" t="s">
        <v>19</v>
      </c>
      <c r="G6743" s="27" t="s">
        <v>28</v>
      </c>
      <c r="H6743" s="29">
        <v>129</v>
      </c>
      <c r="I6743" s="27" t="s">
        <v>29</v>
      </c>
      <c r="J6743" s="37">
        <v>45875</v>
      </c>
      <c r="K6743" s="27" t="s">
        <v>22</v>
      </c>
    </row>
    <row r="6744" spans="1:11" x14ac:dyDescent="0.2">
      <c r="A6744" s="24" t="s">
        <v>15872</v>
      </c>
      <c r="B6744" s="24" t="s">
        <v>15873</v>
      </c>
      <c r="C6744" s="24" t="s">
        <v>15874</v>
      </c>
      <c r="D6744" s="24" t="s">
        <v>17</v>
      </c>
      <c r="E6744" s="24" t="s">
        <v>48</v>
      </c>
      <c r="F6744" s="24" t="s">
        <v>49</v>
      </c>
      <c r="G6744" s="24" t="s">
        <v>28</v>
      </c>
      <c r="H6744" s="26">
        <v>90</v>
      </c>
      <c r="I6744" s="24" t="s">
        <v>29</v>
      </c>
      <c r="J6744" s="36">
        <v>45874</v>
      </c>
      <c r="K6744" s="24" t="s">
        <v>22</v>
      </c>
    </row>
    <row r="6745" spans="1:11" x14ac:dyDescent="0.2">
      <c r="A6745" s="27" t="s">
        <v>15875</v>
      </c>
      <c r="B6745" s="27" t="s">
        <v>15876</v>
      </c>
      <c r="C6745" s="27" t="s">
        <v>15877</v>
      </c>
      <c r="D6745" s="27" t="s">
        <v>17</v>
      </c>
      <c r="E6745" s="27" t="s">
        <v>18</v>
      </c>
      <c r="F6745" s="27" t="s">
        <v>19</v>
      </c>
      <c r="G6745" s="27" t="s">
        <v>217</v>
      </c>
      <c r="H6745" s="29">
        <v>10</v>
      </c>
      <c r="I6745" s="27" t="s">
        <v>29</v>
      </c>
      <c r="J6745" s="37">
        <v>45884</v>
      </c>
      <c r="K6745" s="27" t="s">
        <v>22</v>
      </c>
    </row>
    <row r="6746" spans="1:11" x14ac:dyDescent="0.2">
      <c r="A6746" s="24" t="s">
        <v>15878</v>
      </c>
      <c r="B6746" s="24" t="s">
        <v>15879</v>
      </c>
      <c r="C6746" s="24" t="s">
        <v>298</v>
      </c>
      <c r="D6746" s="24" t="s">
        <v>17</v>
      </c>
      <c r="E6746" s="24" t="s">
        <v>18</v>
      </c>
      <c r="F6746" s="24" t="s">
        <v>19</v>
      </c>
      <c r="G6746" s="24" t="s">
        <v>59</v>
      </c>
      <c r="H6746" s="26">
        <v>4</v>
      </c>
      <c r="I6746" s="24" t="s">
        <v>21</v>
      </c>
      <c r="J6746" s="36">
        <v>45880</v>
      </c>
      <c r="K6746" s="24" t="s">
        <v>22</v>
      </c>
    </row>
    <row r="6747" spans="1:11" x14ac:dyDescent="0.2">
      <c r="A6747" s="27" t="s">
        <v>15880</v>
      </c>
      <c r="B6747" s="27" t="s">
        <v>15881</v>
      </c>
      <c r="C6747" s="27" t="s">
        <v>1093</v>
      </c>
      <c r="D6747" s="27" t="s">
        <v>17</v>
      </c>
      <c r="E6747" s="27" t="s">
        <v>81</v>
      </c>
      <c r="F6747" s="27" t="s">
        <v>82</v>
      </c>
      <c r="G6747" s="27" t="s">
        <v>44</v>
      </c>
      <c r="H6747" s="29">
        <v>120</v>
      </c>
      <c r="I6747" s="27" t="s">
        <v>29</v>
      </c>
      <c r="J6747" s="37">
        <v>45875</v>
      </c>
      <c r="K6747" s="27" t="s">
        <v>22</v>
      </c>
    </row>
    <row r="6748" spans="1:11" x14ac:dyDescent="0.2">
      <c r="A6748" s="24" t="s">
        <v>15882</v>
      </c>
      <c r="B6748" s="24" t="s">
        <v>15883</v>
      </c>
      <c r="C6748" s="24" t="s">
        <v>2669</v>
      </c>
      <c r="D6748" s="24" t="s">
        <v>17</v>
      </c>
      <c r="E6748" s="24" t="s">
        <v>42</v>
      </c>
      <c r="F6748" s="24" t="s">
        <v>43</v>
      </c>
      <c r="G6748" s="24" t="s">
        <v>28</v>
      </c>
      <c r="H6748" s="26">
        <v>280</v>
      </c>
      <c r="I6748" s="24" t="s">
        <v>29</v>
      </c>
      <c r="J6748" s="36">
        <v>45897</v>
      </c>
      <c r="K6748" s="24" t="s">
        <v>22</v>
      </c>
    </row>
    <row r="6749" spans="1:11" x14ac:dyDescent="0.2">
      <c r="A6749" s="27" t="s">
        <v>15884</v>
      </c>
      <c r="B6749" s="27" t="s">
        <v>15885</v>
      </c>
      <c r="C6749" s="27" t="s">
        <v>15886</v>
      </c>
      <c r="D6749" s="27" t="s">
        <v>17</v>
      </c>
      <c r="E6749" s="27" t="s">
        <v>18</v>
      </c>
      <c r="F6749" s="27" t="s">
        <v>19</v>
      </c>
      <c r="G6749" s="27" t="s">
        <v>28</v>
      </c>
      <c r="H6749" s="29">
        <v>36</v>
      </c>
      <c r="I6749" s="27" t="s">
        <v>29</v>
      </c>
      <c r="J6749" s="37">
        <v>45888</v>
      </c>
      <c r="K6749" s="27" t="s">
        <v>22</v>
      </c>
    </row>
    <row r="6750" spans="1:11" x14ac:dyDescent="0.2">
      <c r="A6750" s="24" t="s">
        <v>15887</v>
      </c>
      <c r="B6750" s="24" t="s">
        <v>15888</v>
      </c>
      <c r="C6750" s="24" t="s">
        <v>5636</v>
      </c>
      <c r="D6750" s="24" t="s">
        <v>17</v>
      </c>
      <c r="E6750" s="24" t="s">
        <v>18</v>
      </c>
      <c r="F6750" s="24" t="s">
        <v>19</v>
      </c>
      <c r="G6750" s="24" t="s">
        <v>28</v>
      </c>
      <c r="H6750" s="26">
        <v>6</v>
      </c>
      <c r="I6750" s="24" t="s">
        <v>29</v>
      </c>
      <c r="J6750" s="36">
        <v>45874</v>
      </c>
      <c r="K6750" s="24" t="s">
        <v>22</v>
      </c>
    </row>
    <row r="6751" spans="1:11" x14ac:dyDescent="0.2">
      <c r="A6751" s="27" t="s">
        <v>15889</v>
      </c>
      <c r="B6751" s="27" t="s">
        <v>15890</v>
      </c>
      <c r="C6751" s="27" t="s">
        <v>15891</v>
      </c>
      <c r="D6751" s="27" t="s">
        <v>17</v>
      </c>
      <c r="E6751" s="27" t="s">
        <v>48</v>
      </c>
      <c r="F6751" s="27" t="s">
        <v>49</v>
      </c>
      <c r="G6751" s="27" t="s">
        <v>217</v>
      </c>
      <c r="H6751" s="29">
        <v>164</v>
      </c>
      <c r="I6751" s="27" t="s">
        <v>29</v>
      </c>
      <c r="J6751" s="37">
        <v>45870</v>
      </c>
      <c r="K6751" s="27" t="s">
        <v>22</v>
      </c>
    </row>
    <row r="6752" spans="1:11" x14ac:dyDescent="0.2">
      <c r="A6752" s="24" t="s">
        <v>15892</v>
      </c>
      <c r="B6752" s="24" t="s">
        <v>15893</v>
      </c>
      <c r="C6752" s="24" t="s">
        <v>687</v>
      </c>
      <c r="D6752" s="24" t="s">
        <v>17</v>
      </c>
      <c r="E6752" s="24" t="s">
        <v>81</v>
      </c>
      <c r="F6752" s="24" t="s">
        <v>82</v>
      </c>
      <c r="G6752" s="24" t="s">
        <v>28</v>
      </c>
      <c r="H6752" s="26">
        <v>64</v>
      </c>
      <c r="I6752" s="24" t="s">
        <v>29</v>
      </c>
      <c r="J6752" s="36">
        <v>45895</v>
      </c>
      <c r="K6752" s="24" t="s">
        <v>22</v>
      </c>
    </row>
    <row r="6753" spans="1:11" x14ac:dyDescent="0.2">
      <c r="A6753" s="27" t="s">
        <v>15894</v>
      </c>
      <c r="B6753" s="27" t="s">
        <v>15895</v>
      </c>
      <c r="C6753" s="27" t="s">
        <v>859</v>
      </c>
      <c r="D6753" s="27" t="s">
        <v>17</v>
      </c>
      <c r="E6753" s="27" t="s">
        <v>48</v>
      </c>
      <c r="F6753" s="27" t="s">
        <v>49</v>
      </c>
      <c r="G6753" s="27" t="s">
        <v>227</v>
      </c>
      <c r="H6753" s="29">
        <v>60</v>
      </c>
      <c r="I6753" s="27" t="s">
        <v>29</v>
      </c>
      <c r="J6753" s="37">
        <v>45883</v>
      </c>
      <c r="K6753" s="27" t="s">
        <v>22</v>
      </c>
    </row>
    <row r="6754" spans="1:11" x14ac:dyDescent="0.2">
      <c r="A6754" s="24" t="s">
        <v>15896</v>
      </c>
      <c r="B6754" s="24" t="s">
        <v>15897</v>
      </c>
      <c r="C6754" s="24" t="s">
        <v>8379</v>
      </c>
      <c r="D6754" s="24" t="s">
        <v>17</v>
      </c>
      <c r="E6754" s="24" t="s">
        <v>42</v>
      </c>
      <c r="F6754" s="24" t="s">
        <v>43</v>
      </c>
      <c r="G6754" s="24" t="s">
        <v>28</v>
      </c>
      <c r="H6754" s="26">
        <v>219</v>
      </c>
      <c r="I6754" s="24" t="s">
        <v>29</v>
      </c>
      <c r="J6754" s="36">
        <v>45895</v>
      </c>
      <c r="K6754" s="24" t="s">
        <v>22</v>
      </c>
    </row>
    <row r="6755" spans="1:11" x14ac:dyDescent="0.2">
      <c r="A6755" s="27" t="s">
        <v>15898</v>
      </c>
      <c r="B6755" s="27" t="s">
        <v>15899</v>
      </c>
      <c r="C6755" s="27" t="s">
        <v>13326</v>
      </c>
      <c r="D6755" s="27" t="s">
        <v>17</v>
      </c>
      <c r="E6755" s="27" t="s">
        <v>48</v>
      </c>
      <c r="F6755" s="27" t="s">
        <v>49</v>
      </c>
      <c r="G6755" s="27" t="s">
        <v>28</v>
      </c>
      <c r="H6755" s="29">
        <v>36</v>
      </c>
      <c r="I6755" s="27" t="s">
        <v>29</v>
      </c>
      <c r="J6755" s="37">
        <v>45898</v>
      </c>
      <c r="K6755" s="27" t="s">
        <v>22</v>
      </c>
    </row>
    <row r="6756" spans="1:11" x14ac:dyDescent="0.2">
      <c r="A6756" s="24" t="s">
        <v>15900</v>
      </c>
      <c r="B6756" s="24" t="s">
        <v>15901</v>
      </c>
      <c r="C6756" s="24" t="s">
        <v>230</v>
      </c>
      <c r="D6756" s="24" t="s">
        <v>17</v>
      </c>
      <c r="E6756" s="24" t="s">
        <v>42</v>
      </c>
      <c r="F6756" s="24" t="s">
        <v>43</v>
      </c>
      <c r="G6756" s="24" t="s">
        <v>28</v>
      </c>
      <c r="H6756" s="26">
        <v>486</v>
      </c>
      <c r="I6756" s="24" t="s">
        <v>29</v>
      </c>
      <c r="J6756" s="36">
        <v>45881</v>
      </c>
      <c r="K6756" s="24" t="s">
        <v>22</v>
      </c>
    </row>
    <row r="6757" spans="1:11" x14ac:dyDescent="0.2">
      <c r="A6757" s="27" t="s">
        <v>15902</v>
      </c>
      <c r="B6757" s="27" t="s">
        <v>15903</v>
      </c>
      <c r="C6757" s="27" t="s">
        <v>15904</v>
      </c>
      <c r="D6757" s="27" t="s">
        <v>17</v>
      </c>
      <c r="E6757" s="27" t="s">
        <v>18</v>
      </c>
      <c r="F6757" s="27" t="s">
        <v>19</v>
      </c>
      <c r="G6757" s="27" t="s">
        <v>44</v>
      </c>
      <c r="H6757" s="29">
        <v>32</v>
      </c>
      <c r="I6757" s="27" t="s">
        <v>21</v>
      </c>
      <c r="J6757" s="37">
        <v>45886</v>
      </c>
      <c r="K6757" s="27" t="s">
        <v>22</v>
      </c>
    </row>
    <row r="6758" spans="1:11" x14ac:dyDescent="0.2">
      <c r="A6758" s="24" t="s">
        <v>15905</v>
      </c>
      <c r="B6758" s="24" t="s">
        <v>15906</v>
      </c>
      <c r="C6758" s="24" t="s">
        <v>827</v>
      </c>
      <c r="D6758" s="24" t="s">
        <v>17</v>
      </c>
      <c r="E6758" s="24" t="s">
        <v>42</v>
      </c>
      <c r="F6758" s="24" t="s">
        <v>43</v>
      </c>
      <c r="G6758" s="24" t="s">
        <v>28</v>
      </c>
      <c r="H6758" s="26">
        <v>760</v>
      </c>
      <c r="I6758" s="24" t="s">
        <v>29</v>
      </c>
      <c r="J6758" s="36">
        <v>45883</v>
      </c>
      <c r="K6758" s="24" t="s">
        <v>22</v>
      </c>
    </row>
    <row r="6759" spans="1:11" x14ac:dyDescent="0.2">
      <c r="A6759" s="27" t="s">
        <v>15907</v>
      </c>
      <c r="B6759" s="27" t="s">
        <v>15908</v>
      </c>
      <c r="C6759" s="27" t="s">
        <v>752</v>
      </c>
      <c r="D6759" s="27" t="s">
        <v>17</v>
      </c>
      <c r="E6759" s="27" t="s">
        <v>18</v>
      </c>
      <c r="F6759" s="27" t="s">
        <v>19</v>
      </c>
      <c r="G6759" s="27" t="s">
        <v>20</v>
      </c>
      <c r="H6759" s="29">
        <v>8</v>
      </c>
      <c r="I6759" s="27" t="s">
        <v>21</v>
      </c>
      <c r="J6759" s="37">
        <v>45882</v>
      </c>
      <c r="K6759" s="27" t="s">
        <v>22</v>
      </c>
    </row>
    <row r="6760" spans="1:11" x14ac:dyDescent="0.2">
      <c r="A6760" s="24" t="s">
        <v>15909</v>
      </c>
      <c r="B6760" s="24" t="s">
        <v>15910</v>
      </c>
      <c r="C6760" s="24" t="s">
        <v>1209</v>
      </c>
      <c r="D6760" s="24" t="s">
        <v>17</v>
      </c>
      <c r="E6760" s="24" t="s">
        <v>18</v>
      </c>
      <c r="F6760" s="24" t="s">
        <v>19</v>
      </c>
      <c r="G6760" s="24" t="s">
        <v>28</v>
      </c>
      <c r="H6760" s="26">
        <v>32</v>
      </c>
      <c r="I6760" s="24" t="s">
        <v>29</v>
      </c>
      <c r="J6760" s="36">
        <v>45896</v>
      </c>
      <c r="K6760" s="24" t="s">
        <v>22</v>
      </c>
    </row>
    <row r="6761" spans="1:11" x14ac:dyDescent="0.2">
      <c r="A6761" s="27" t="s">
        <v>15911</v>
      </c>
      <c r="B6761" s="27" t="s">
        <v>15912</v>
      </c>
      <c r="C6761" s="27" t="s">
        <v>15913</v>
      </c>
      <c r="D6761" s="27" t="s">
        <v>17</v>
      </c>
      <c r="E6761" s="27" t="s">
        <v>18</v>
      </c>
      <c r="F6761" s="27" t="s">
        <v>19</v>
      </c>
      <c r="G6761" s="27" t="s">
        <v>20</v>
      </c>
      <c r="H6761" s="29">
        <v>52</v>
      </c>
      <c r="I6761" s="27" t="s">
        <v>21</v>
      </c>
      <c r="J6761" s="37">
        <v>45895</v>
      </c>
      <c r="K6761" s="27" t="s">
        <v>22</v>
      </c>
    </row>
    <row r="6762" spans="1:11" x14ac:dyDescent="0.2">
      <c r="A6762" s="24" t="s">
        <v>15914</v>
      </c>
      <c r="B6762" s="24" t="s">
        <v>15915</v>
      </c>
      <c r="C6762" s="24" t="s">
        <v>3089</v>
      </c>
      <c r="D6762" s="24" t="s">
        <v>17</v>
      </c>
      <c r="E6762" s="24" t="s">
        <v>18</v>
      </c>
      <c r="F6762" s="24" t="s">
        <v>19</v>
      </c>
      <c r="G6762" s="24" t="s">
        <v>44</v>
      </c>
      <c r="H6762" s="26">
        <v>24</v>
      </c>
      <c r="I6762" s="24" t="s">
        <v>29</v>
      </c>
      <c r="J6762" s="36">
        <v>45888</v>
      </c>
      <c r="K6762" s="24" t="s">
        <v>22</v>
      </c>
    </row>
    <row r="6763" spans="1:11" x14ac:dyDescent="0.2">
      <c r="A6763" s="27" t="s">
        <v>15916</v>
      </c>
      <c r="B6763" s="27" t="s">
        <v>15917</v>
      </c>
      <c r="C6763" s="27" t="s">
        <v>15918</v>
      </c>
      <c r="D6763" s="27" t="s">
        <v>17</v>
      </c>
      <c r="E6763" s="27" t="s">
        <v>18</v>
      </c>
      <c r="F6763" s="27" t="s">
        <v>19</v>
      </c>
      <c r="G6763" s="27" t="s">
        <v>217</v>
      </c>
      <c r="H6763" s="29">
        <v>37</v>
      </c>
      <c r="I6763" s="27" t="s">
        <v>29</v>
      </c>
      <c r="J6763" s="37">
        <v>45870</v>
      </c>
      <c r="K6763" s="27" t="s">
        <v>22</v>
      </c>
    </row>
    <row r="6764" spans="1:11" x14ac:dyDescent="0.2">
      <c r="A6764" s="24" t="s">
        <v>15919</v>
      </c>
      <c r="B6764" s="24" t="s">
        <v>15920</v>
      </c>
      <c r="C6764" s="24" t="s">
        <v>8856</v>
      </c>
      <c r="D6764" s="24" t="s">
        <v>17</v>
      </c>
      <c r="E6764" s="24" t="s">
        <v>18</v>
      </c>
      <c r="F6764" s="24" t="s">
        <v>19</v>
      </c>
      <c r="G6764" s="24" t="s">
        <v>28</v>
      </c>
      <c r="H6764" s="26">
        <v>110</v>
      </c>
      <c r="I6764" s="24" t="s">
        <v>29</v>
      </c>
      <c r="J6764" s="36">
        <v>45895</v>
      </c>
      <c r="K6764" s="24" t="s">
        <v>22</v>
      </c>
    </row>
    <row r="6765" spans="1:11" x14ac:dyDescent="0.2">
      <c r="A6765" s="27" t="s">
        <v>15921</v>
      </c>
      <c r="B6765" s="27" t="s">
        <v>15922</v>
      </c>
      <c r="C6765" s="27" t="s">
        <v>12058</v>
      </c>
      <c r="D6765" s="27" t="s">
        <v>17</v>
      </c>
      <c r="E6765" s="27" t="s">
        <v>18</v>
      </c>
      <c r="F6765" s="27" t="s">
        <v>19</v>
      </c>
      <c r="G6765" s="27" t="s">
        <v>217</v>
      </c>
      <c r="H6765" s="29">
        <v>50</v>
      </c>
      <c r="I6765" s="27" t="s">
        <v>29</v>
      </c>
      <c r="J6765" s="37">
        <v>45870</v>
      </c>
      <c r="K6765" s="27" t="s">
        <v>22</v>
      </c>
    </row>
    <row r="6766" spans="1:11" x14ac:dyDescent="0.2">
      <c r="A6766" s="24" t="s">
        <v>15923</v>
      </c>
      <c r="B6766" s="24" t="s">
        <v>15924</v>
      </c>
      <c r="C6766" s="24" t="s">
        <v>7607</v>
      </c>
      <c r="D6766" s="24" t="s">
        <v>17</v>
      </c>
      <c r="E6766" s="24" t="s">
        <v>48</v>
      </c>
      <c r="F6766" s="24" t="s">
        <v>49</v>
      </c>
      <c r="G6766" s="24" t="s">
        <v>44</v>
      </c>
      <c r="H6766" s="26">
        <v>71</v>
      </c>
      <c r="I6766" s="24" t="s">
        <v>21</v>
      </c>
      <c r="J6766" s="36">
        <v>45884</v>
      </c>
      <c r="K6766" s="24" t="s">
        <v>22</v>
      </c>
    </row>
    <row r="6767" spans="1:11" x14ac:dyDescent="0.2">
      <c r="A6767" s="27" t="s">
        <v>15925</v>
      </c>
      <c r="B6767" s="27" t="s">
        <v>15926</v>
      </c>
      <c r="C6767" s="27" t="s">
        <v>85</v>
      </c>
      <c r="D6767" s="27" t="s">
        <v>17</v>
      </c>
      <c r="E6767" s="27" t="s">
        <v>26</v>
      </c>
      <c r="F6767" s="27" t="s">
        <v>27</v>
      </c>
      <c r="G6767" s="27" t="s">
        <v>28</v>
      </c>
      <c r="H6767" s="29">
        <v>66</v>
      </c>
      <c r="I6767" s="27" t="s">
        <v>29</v>
      </c>
      <c r="J6767" s="37">
        <v>45882</v>
      </c>
      <c r="K6767" s="27" t="s">
        <v>22</v>
      </c>
    </row>
    <row r="6768" spans="1:11" x14ac:dyDescent="0.2">
      <c r="A6768" s="24" t="s">
        <v>15927</v>
      </c>
      <c r="B6768" s="24" t="s">
        <v>15928</v>
      </c>
      <c r="C6768" s="24" t="s">
        <v>1307</v>
      </c>
      <c r="D6768" s="24" t="s">
        <v>17</v>
      </c>
      <c r="E6768" s="24" t="s">
        <v>42</v>
      </c>
      <c r="F6768" s="24" t="s">
        <v>43</v>
      </c>
      <c r="G6768" s="24" t="s">
        <v>28</v>
      </c>
      <c r="H6768" s="26">
        <v>216</v>
      </c>
      <c r="I6768" s="24" t="s">
        <v>29</v>
      </c>
      <c r="J6768" s="36">
        <v>45880</v>
      </c>
      <c r="K6768" s="24" t="s">
        <v>22</v>
      </c>
    </row>
    <row r="6769" spans="1:11" x14ac:dyDescent="0.2">
      <c r="A6769" s="27" t="s">
        <v>15929</v>
      </c>
      <c r="B6769" s="27" t="s">
        <v>15930</v>
      </c>
      <c r="C6769" s="27" t="s">
        <v>11081</v>
      </c>
      <c r="D6769" s="27" t="s">
        <v>17</v>
      </c>
      <c r="E6769" s="27" t="s">
        <v>48</v>
      </c>
      <c r="F6769" s="27" t="s">
        <v>49</v>
      </c>
      <c r="G6769" s="27" t="s">
        <v>28</v>
      </c>
      <c r="H6769" s="29">
        <v>30</v>
      </c>
      <c r="I6769" s="27" t="s">
        <v>29</v>
      </c>
      <c r="J6769" s="37">
        <v>45887</v>
      </c>
      <c r="K6769" s="27" t="s">
        <v>22</v>
      </c>
    </row>
    <row r="6770" spans="1:11" x14ac:dyDescent="0.2">
      <c r="A6770" s="24" t="s">
        <v>15931</v>
      </c>
      <c r="B6770" s="24" t="s">
        <v>15932</v>
      </c>
      <c r="C6770" s="24" t="s">
        <v>5041</v>
      </c>
      <c r="D6770" s="24" t="s">
        <v>17</v>
      </c>
      <c r="E6770" s="24" t="s">
        <v>18</v>
      </c>
      <c r="F6770" s="24" t="s">
        <v>19</v>
      </c>
      <c r="G6770" s="24" t="s">
        <v>28</v>
      </c>
      <c r="H6770" s="26">
        <v>40</v>
      </c>
      <c r="I6770" s="24" t="s">
        <v>29</v>
      </c>
      <c r="J6770" s="36">
        <v>45887</v>
      </c>
      <c r="K6770" s="24" t="s">
        <v>22</v>
      </c>
    </row>
    <row r="6771" spans="1:11" x14ac:dyDescent="0.2">
      <c r="A6771" s="27" t="s">
        <v>15933</v>
      </c>
      <c r="B6771" s="27" t="s">
        <v>15934</v>
      </c>
      <c r="C6771" s="27" t="s">
        <v>1766</v>
      </c>
      <c r="D6771" s="27" t="s">
        <v>17</v>
      </c>
      <c r="E6771" s="27" t="s">
        <v>18</v>
      </c>
      <c r="F6771" s="27" t="s">
        <v>19</v>
      </c>
      <c r="G6771" s="27" t="s">
        <v>20</v>
      </c>
      <c r="H6771" s="29">
        <v>32</v>
      </c>
      <c r="I6771" s="27" t="s">
        <v>21</v>
      </c>
      <c r="J6771" s="37">
        <v>45899</v>
      </c>
      <c r="K6771" s="27" t="s">
        <v>22</v>
      </c>
    </row>
    <row r="6772" spans="1:11" x14ac:dyDescent="0.2">
      <c r="A6772" s="24" t="s">
        <v>15935</v>
      </c>
      <c r="B6772" s="24" t="s">
        <v>15936</v>
      </c>
      <c r="C6772" s="24" t="s">
        <v>2287</v>
      </c>
      <c r="D6772" s="24" t="s">
        <v>17</v>
      </c>
      <c r="E6772" s="24" t="s">
        <v>42</v>
      </c>
      <c r="F6772" s="24" t="s">
        <v>43</v>
      </c>
      <c r="G6772" s="24" t="s">
        <v>28</v>
      </c>
      <c r="H6772" s="26">
        <v>284</v>
      </c>
      <c r="I6772" s="24" t="s">
        <v>29</v>
      </c>
      <c r="J6772" s="36">
        <v>45880</v>
      </c>
      <c r="K6772" s="24" t="s">
        <v>22</v>
      </c>
    </row>
    <row r="6773" spans="1:11" x14ac:dyDescent="0.2">
      <c r="A6773" s="27" t="s">
        <v>15937</v>
      </c>
      <c r="B6773" s="27" t="s">
        <v>15938</v>
      </c>
      <c r="C6773" s="27" t="s">
        <v>115</v>
      </c>
      <c r="D6773" s="27" t="s">
        <v>17</v>
      </c>
      <c r="E6773" s="27" t="s">
        <v>42</v>
      </c>
      <c r="F6773" s="27" t="s">
        <v>43</v>
      </c>
      <c r="G6773" s="27" t="s">
        <v>28</v>
      </c>
      <c r="H6773" s="29">
        <v>150</v>
      </c>
      <c r="I6773" s="27" t="s">
        <v>29</v>
      </c>
      <c r="J6773" s="37">
        <v>45883</v>
      </c>
      <c r="K6773" s="27" t="s">
        <v>22</v>
      </c>
    </row>
    <row r="6774" spans="1:11" x14ac:dyDescent="0.2">
      <c r="A6774" s="24" t="s">
        <v>15939</v>
      </c>
      <c r="B6774" s="24" t="s">
        <v>15940</v>
      </c>
      <c r="C6774" s="24" t="s">
        <v>984</v>
      </c>
      <c r="D6774" s="24" t="s">
        <v>17</v>
      </c>
      <c r="E6774" s="24" t="s">
        <v>42</v>
      </c>
      <c r="F6774" s="24" t="s">
        <v>43</v>
      </c>
      <c r="G6774" s="24" t="s">
        <v>44</v>
      </c>
      <c r="H6774" s="26">
        <v>507</v>
      </c>
      <c r="I6774" s="24" t="s">
        <v>21</v>
      </c>
      <c r="J6774" s="36">
        <v>45874</v>
      </c>
      <c r="K6774" s="24" t="s">
        <v>22</v>
      </c>
    </row>
    <row r="6775" spans="1:11" x14ac:dyDescent="0.2">
      <c r="A6775" s="27" t="s">
        <v>15941</v>
      </c>
      <c r="B6775" s="27" t="s">
        <v>15942</v>
      </c>
      <c r="C6775" s="27" t="s">
        <v>11020</v>
      </c>
      <c r="D6775" s="27" t="s">
        <v>17</v>
      </c>
      <c r="E6775" s="27" t="s">
        <v>18</v>
      </c>
      <c r="F6775" s="27" t="s">
        <v>19</v>
      </c>
      <c r="G6775" s="27" t="s">
        <v>28</v>
      </c>
      <c r="H6775" s="29">
        <v>24</v>
      </c>
      <c r="I6775" s="27" t="s">
        <v>29</v>
      </c>
      <c r="J6775" s="37">
        <v>45896</v>
      </c>
      <c r="K6775" s="27" t="s">
        <v>22</v>
      </c>
    </row>
    <row r="6776" spans="1:11" x14ac:dyDescent="0.2">
      <c r="A6776" s="24" t="s">
        <v>15943</v>
      </c>
      <c r="B6776" s="24" t="s">
        <v>15944</v>
      </c>
      <c r="C6776" s="24" t="s">
        <v>12657</v>
      </c>
      <c r="D6776" s="24" t="s">
        <v>17</v>
      </c>
      <c r="E6776" s="24" t="s">
        <v>48</v>
      </c>
      <c r="F6776" s="24" t="s">
        <v>49</v>
      </c>
      <c r="G6776" s="24" t="s">
        <v>28</v>
      </c>
      <c r="H6776" s="26">
        <v>60</v>
      </c>
      <c r="I6776" s="24" t="s">
        <v>29</v>
      </c>
      <c r="J6776" s="36">
        <v>45881</v>
      </c>
      <c r="K6776" s="24" t="s">
        <v>22</v>
      </c>
    </row>
    <row r="6777" spans="1:11" x14ac:dyDescent="0.2">
      <c r="A6777" s="27" t="s">
        <v>15945</v>
      </c>
      <c r="B6777" s="27" t="s">
        <v>15946</v>
      </c>
      <c r="C6777" s="27" t="s">
        <v>15947</v>
      </c>
      <c r="D6777" s="27" t="s">
        <v>17</v>
      </c>
      <c r="E6777" s="27" t="s">
        <v>18</v>
      </c>
      <c r="F6777" s="27" t="s">
        <v>19</v>
      </c>
      <c r="G6777" s="27" t="s">
        <v>217</v>
      </c>
      <c r="H6777" s="29">
        <v>58</v>
      </c>
      <c r="I6777" s="27" t="s">
        <v>29</v>
      </c>
      <c r="J6777" s="37">
        <v>45870</v>
      </c>
      <c r="K6777" s="27" t="s">
        <v>22</v>
      </c>
    </row>
    <row r="6778" spans="1:11" x14ac:dyDescent="0.2">
      <c r="A6778" s="24" t="s">
        <v>15948</v>
      </c>
      <c r="B6778" s="24" t="s">
        <v>15949</v>
      </c>
      <c r="C6778" s="24" t="s">
        <v>13218</v>
      </c>
      <c r="D6778" s="24" t="s">
        <v>17</v>
      </c>
      <c r="E6778" s="24" t="s">
        <v>42</v>
      </c>
      <c r="F6778" s="24" t="s">
        <v>43</v>
      </c>
      <c r="G6778" s="24" t="s">
        <v>217</v>
      </c>
      <c r="H6778" s="26">
        <v>728</v>
      </c>
      <c r="I6778" s="24" t="s">
        <v>29</v>
      </c>
      <c r="J6778" s="36">
        <v>45870</v>
      </c>
      <c r="K6778" s="24" t="s">
        <v>22</v>
      </c>
    </row>
    <row r="6779" spans="1:11" x14ac:dyDescent="0.2">
      <c r="A6779" s="27" t="s">
        <v>15950</v>
      </c>
      <c r="B6779" s="27" t="s">
        <v>15951</v>
      </c>
      <c r="C6779" s="27" t="s">
        <v>5791</v>
      </c>
      <c r="D6779" s="27" t="s">
        <v>17</v>
      </c>
      <c r="E6779" s="27" t="s">
        <v>18</v>
      </c>
      <c r="F6779" s="27" t="s">
        <v>19</v>
      </c>
      <c r="G6779" s="27" t="s">
        <v>28</v>
      </c>
      <c r="H6779" s="29">
        <v>66</v>
      </c>
      <c r="I6779" s="27" t="s">
        <v>29</v>
      </c>
      <c r="J6779" s="37">
        <v>45891</v>
      </c>
      <c r="K6779" s="27" t="s">
        <v>22</v>
      </c>
    </row>
    <row r="6780" spans="1:11" x14ac:dyDescent="0.2">
      <c r="A6780" s="24" t="s">
        <v>15952</v>
      </c>
      <c r="B6780" s="24" t="s">
        <v>15953</v>
      </c>
      <c r="C6780" s="24" t="s">
        <v>242</v>
      </c>
      <c r="D6780" s="24" t="s">
        <v>17</v>
      </c>
      <c r="E6780" s="24" t="s">
        <v>42</v>
      </c>
      <c r="F6780" s="24" t="s">
        <v>43</v>
      </c>
      <c r="G6780" s="24" t="s">
        <v>28</v>
      </c>
      <c r="H6780" s="26">
        <v>180</v>
      </c>
      <c r="I6780" s="24" t="s">
        <v>29</v>
      </c>
      <c r="J6780" s="36">
        <v>45874</v>
      </c>
      <c r="K6780" s="24" t="s">
        <v>22</v>
      </c>
    </row>
    <row r="6781" spans="1:11" x14ac:dyDescent="0.2">
      <c r="A6781" s="27" t="s">
        <v>15954</v>
      </c>
      <c r="B6781" s="27" t="s">
        <v>15955</v>
      </c>
      <c r="C6781" s="27" t="s">
        <v>106</v>
      </c>
      <c r="D6781" s="27" t="s">
        <v>17</v>
      </c>
      <c r="E6781" s="27" t="s">
        <v>18</v>
      </c>
      <c r="F6781" s="27" t="s">
        <v>19</v>
      </c>
      <c r="G6781" s="27" t="s">
        <v>59</v>
      </c>
      <c r="H6781" s="29">
        <v>7</v>
      </c>
      <c r="I6781" s="27" t="s">
        <v>21</v>
      </c>
      <c r="J6781" s="37">
        <v>45873</v>
      </c>
      <c r="K6781" s="27" t="s">
        <v>22</v>
      </c>
    </row>
    <row r="6782" spans="1:11" x14ac:dyDescent="0.2">
      <c r="A6782" s="24" t="s">
        <v>15956</v>
      </c>
      <c r="B6782" s="24" t="s">
        <v>15957</v>
      </c>
      <c r="C6782" s="24" t="s">
        <v>15958</v>
      </c>
      <c r="D6782" s="24" t="s">
        <v>17</v>
      </c>
      <c r="E6782" s="24" t="s">
        <v>48</v>
      </c>
      <c r="F6782" s="24" t="s">
        <v>49</v>
      </c>
      <c r="G6782" s="24" t="s">
        <v>227</v>
      </c>
      <c r="H6782" s="26">
        <v>30</v>
      </c>
      <c r="I6782" s="24" t="s">
        <v>29</v>
      </c>
      <c r="J6782" s="36">
        <v>45886</v>
      </c>
      <c r="K6782" s="24" t="s">
        <v>22</v>
      </c>
    </row>
    <row r="6783" spans="1:11" x14ac:dyDescent="0.2">
      <c r="A6783" s="27" t="s">
        <v>15959</v>
      </c>
      <c r="B6783" s="27" t="s">
        <v>15960</v>
      </c>
      <c r="C6783" s="27" t="s">
        <v>6457</v>
      </c>
      <c r="D6783" s="27" t="s">
        <v>17</v>
      </c>
      <c r="E6783" s="27" t="s">
        <v>26</v>
      </c>
      <c r="F6783" s="27" t="s">
        <v>27</v>
      </c>
      <c r="G6783" s="27" t="s">
        <v>44</v>
      </c>
      <c r="H6783" s="29">
        <v>266</v>
      </c>
      <c r="I6783" s="27" t="s">
        <v>29</v>
      </c>
      <c r="J6783" s="37">
        <v>45880</v>
      </c>
      <c r="K6783" s="27" t="s">
        <v>22</v>
      </c>
    </row>
    <row r="6784" spans="1:11" x14ac:dyDescent="0.2">
      <c r="A6784" s="24" t="s">
        <v>15961</v>
      </c>
      <c r="B6784" s="24" t="s">
        <v>15962</v>
      </c>
      <c r="C6784" s="24" t="s">
        <v>705</v>
      </c>
      <c r="D6784" s="24" t="s">
        <v>17</v>
      </c>
      <c r="E6784" s="24" t="s">
        <v>18</v>
      </c>
      <c r="F6784" s="24" t="s">
        <v>19</v>
      </c>
      <c r="G6784" s="24" t="s">
        <v>217</v>
      </c>
      <c r="H6784" s="26">
        <v>410</v>
      </c>
      <c r="I6784" s="24" t="s">
        <v>29</v>
      </c>
      <c r="J6784" s="36">
        <v>45870</v>
      </c>
      <c r="K6784" s="24" t="s">
        <v>22</v>
      </c>
    </row>
    <row r="6785" spans="1:11" x14ac:dyDescent="0.2">
      <c r="A6785" s="27" t="s">
        <v>15963</v>
      </c>
      <c r="B6785" s="27" t="s">
        <v>15964</v>
      </c>
      <c r="C6785" s="27" t="s">
        <v>15965</v>
      </c>
      <c r="D6785" s="27" t="s">
        <v>17</v>
      </c>
      <c r="E6785" s="27" t="s">
        <v>26</v>
      </c>
      <c r="F6785" s="27" t="s">
        <v>27</v>
      </c>
      <c r="G6785" s="27" t="s">
        <v>28</v>
      </c>
      <c r="H6785" s="29">
        <v>150</v>
      </c>
      <c r="I6785" s="27" t="s">
        <v>29</v>
      </c>
      <c r="J6785" s="37">
        <v>45896</v>
      </c>
      <c r="K6785" s="27" t="s">
        <v>22</v>
      </c>
    </row>
    <row r="6786" spans="1:11" x14ac:dyDescent="0.2">
      <c r="A6786" s="24" t="s">
        <v>15966</v>
      </c>
      <c r="B6786" s="24" t="s">
        <v>15967</v>
      </c>
      <c r="C6786" s="24" t="s">
        <v>670</v>
      </c>
      <c r="D6786" s="24" t="s">
        <v>17</v>
      </c>
      <c r="E6786" s="24" t="s">
        <v>18</v>
      </c>
      <c r="F6786" s="24" t="s">
        <v>19</v>
      </c>
      <c r="G6786" s="24" t="s">
        <v>28</v>
      </c>
      <c r="H6786" s="26">
        <v>60</v>
      </c>
      <c r="I6786" s="24" t="s">
        <v>29</v>
      </c>
      <c r="J6786" s="36">
        <v>45874</v>
      </c>
      <c r="K6786" s="24" t="s">
        <v>22</v>
      </c>
    </row>
    <row r="6787" spans="1:11" x14ac:dyDescent="0.2">
      <c r="A6787" s="27" t="s">
        <v>15968</v>
      </c>
      <c r="B6787" s="27" t="s">
        <v>15969</v>
      </c>
      <c r="C6787" s="27" t="s">
        <v>526</v>
      </c>
      <c r="D6787" s="27" t="s">
        <v>17</v>
      </c>
      <c r="E6787" s="27" t="s">
        <v>18</v>
      </c>
      <c r="F6787" s="27" t="s">
        <v>19</v>
      </c>
      <c r="G6787" s="27" t="s">
        <v>20</v>
      </c>
      <c r="H6787" s="29">
        <v>24</v>
      </c>
      <c r="I6787" s="27" t="s">
        <v>21</v>
      </c>
      <c r="J6787" s="37">
        <v>45880</v>
      </c>
      <c r="K6787" s="27" t="s">
        <v>22</v>
      </c>
    </row>
    <row r="6788" spans="1:11" x14ac:dyDescent="0.2">
      <c r="A6788" s="24" t="s">
        <v>15970</v>
      </c>
      <c r="B6788" s="24" t="s">
        <v>15971</v>
      </c>
      <c r="C6788" s="24" t="s">
        <v>85</v>
      </c>
      <c r="D6788" s="24" t="s">
        <v>17</v>
      </c>
      <c r="E6788" s="24" t="s">
        <v>18</v>
      </c>
      <c r="F6788" s="24" t="s">
        <v>19</v>
      </c>
      <c r="G6788" s="24" t="s">
        <v>28</v>
      </c>
      <c r="H6788" s="26">
        <v>36</v>
      </c>
      <c r="I6788" s="24" t="s">
        <v>29</v>
      </c>
      <c r="J6788" s="36">
        <v>45895</v>
      </c>
      <c r="K6788" s="24" t="s">
        <v>22</v>
      </c>
    </row>
    <row r="6789" spans="1:11" x14ac:dyDescent="0.2">
      <c r="A6789" s="27" t="s">
        <v>15972</v>
      </c>
      <c r="B6789" s="27" t="s">
        <v>15973</v>
      </c>
      <c r="C6789" s="27" t="s">
        <v>15974</v>
      </c>
      <c r="D6789" s="27" t="s">
        <v>17</v>
      </c>
      <c r="E6789" s="27" t="s">
        <v>42</v>
      </c>
      <c r="F6789" s="27" t="s">
        <v>43</v>
      </c>
      <c r="G6789" s="27" t="s">
        <v>28</v>
      </c>
      <c r="H6789" s="29">
        <v>150</v>
      </c>
      <c r="I6789" s="27" t="s">
        <v>29</v>
      </c>
      <c r="J6789" s="37">
        <v>45875</v>
      </c>
      <c r="K6789" s="27" t="s">
        <v>22</v>
      </c>
    </row>
    <row r="6790" spans="1:11" x14ac:dyDescent="0.2">
      <c r="A6790" s="24" t="s">
        <v>15975</v>
      </c>
      <c r="B6790" s="24" t="s">
        <v>15976</v>
      </c>
      <c r="C6790" s="24" t="s">
        <v>146</v>
      </c>
      <c r="D6790" s="24" t="s">
        <v>17</v>
      </c>
      <c r="E6790" s="24" t="s">
        <v>48</v>
      </c>
      <c r="F6790" s="24" t="s">
        <v>49</v>
      </c>
      <c r="G6790" s="24" t="s">
        <v>28</v>
      </c>
      <c r="H6790" s="26">
        <v>238</v>
      </c>
      <c r="I6790" s="24" t="s">
        <v>29</v>
      </c>
      <c r="J6790" s="36">
        <v>45875</v>
      </c>
      <c r="K6790" s="24" t="s">
        <v>22</v>
      </c>
    </row>
    <row r="6791" spans="1:11" x14ac:dyDescent="0.2">
      <c r="A6791" s="27" t="s">
        <v>15977</v>
      </c>
      <c r="B6791" s="27" t="s">
        <v>15978</v>
      </c>
      <c r="C6791" s="27" t="s">
        <v>15979</v>
      </c>
      <c r="D6791" s="27" t="s">
        <v>17</v>
      </c>
      <c r="E6791" s="27" t="s">
        <v>48</v>
      </c>
      <c r="F6791" s="27" t="s">
        <v>49</v>
      </c>
      <c r="G6791" s="27" t="s">
        <v>28</v>
      </c>
      <c r="H6791" s="29">
        <v>64</v>
      </c>
      <c r="I6791" s="27" t="s">
        <v>29</v>
      </c>
      <c r="J6791" s="37">
        <v>45898</v>
      </c>
      <c r="K6791" s="27" t="s">
        <v>22</v>
      </c>
    </row>
    <row r="6792" spans="1:11" x14ac:dyDescent="0.2">
      <c r="A6792" s="24" t="s">
        <v>15980</v>
      </c>
      <c r="B6792" s="24" t="s">
        <v>15981</v>
      </c>
      <c r="C6792" s="24" t="s">
        <v>1470</v>
      </c>
      <c r="D6792" s="24" t="s">
        <v>17</v>
      </c>
      <c r="E6792" s="24" t="s">
        <v>48</v>
      </c>
      <c r="F6792" s="24" t="s">
        <v>49</v>
      </c>
      <c r="G6792" s="24" t="s">
        <v>217</v>
      </c>
      <c r="H6792" s="26">
        <v>55</v>
      </c>
      <c r="I6792" s="24" t="s">
        <v>29</v>
      </c>
      <c r="J6792" s="36">
        <v>45870</v>
      </c>
      <c r="K6792" s="24" t="s">
        <v>22</v>
      </c>
    </row>
    <row r="6793" spans="1:11" x14ac:dyDescent="0.2">
      <c r="A6793" s="27" t="s">
        <v>15982</v>
      </c>
      <c r="B6793" s="27" t="s">
        <v>15983</v>
      </c>
      <c r="C6793" s="27" t="s">
        <v>15984</v>
      </c>
      <c r="D6793" s="27" t="s">
        <v>17</v>
      </c>
      <c r="E6793" s="27" t="s">
        <v>18</v>
      </c>
      <c r="F6793" s="27" t="s">
        <v>19</v>
      </c>
      <c r="G6793" s="27" t="s">
        <v>28</v>
      </c>
      <c r="H6793" s="29">
        <v>32</v>
      </c>
      <c r="I6793" s="27" t="s">
        <v>29</v>
      </c>
      <c r="J6793" s="37">
        <v>45870</v>
      </c>
      <c r="K6793" s="27" t="s">
        <v>22</v>
      </c>
    </row>
    <row r="6794" spans="1:11" x14ac:dyDescent="0.2">
      <c r="A6794" s="24" t="s">
        <v>15985</v>
      </c>
      <c r="B6794" s="24" t="s">
        <v>15986</v>
      </c>
      <c r="C6794" s="24" t="s">
        <v>921</v>
      </c>
      <c r="D6794" s="24" t="s">
        <v>17</v>
      </c>
      <c r="E6794" s="24" t="s">
        <v>18</v>
      </c>
      <c r="F6794" s="24" t="s">
        <v>19</v>
      </c>
      <c r="G6794" s="24" t="s">
        <v>28</v>
      </c>
      <c r="H6794" s="26">
        <v>114</v>
      </c>
      <c r="I6794" s="24" t="s">
        <v>29</v>
      </c>
      <c r="J6794" s="36">
        <v>45870</v>
      </c>
      <c r="K6794" s="24" t="s">
        <v>22</v>
      </c>
    </row>
    <row r="6795" spans="1:11" x14ac:dyDescent="0.2">
      <c r="A6795" s="27" t="s">
        <v>15987</v>
      </c>
      <c r="B6795" s="27" t="s">
        <v>15988</v>
      </c>
      <c r="C6795" s="27" t="s">
        <v>4256</v>
      </c>
      <c r="D6795" s="27" t="s">
        <v>17</v>
      </c>
      <c r="E6795" s="27" t="s">
        <v>48</v>
      </c>
      <c r="F6795" s="27" t="s">
        <v>49</v>
      </c>
      <c r="G6795" s="27" t="s">
        <v>217</v>
      </c>
      <c r="H6795" s="29">
        <v>40</v>
      </c>
      <c r="I6795" s="27" t="s">
        <v>29</v>
      </c>
      <c r="J6795" s="37">
        <v>45870</v>
      </c>
      <c r="K6795" s="27" t="s">
        <v>22</v>
      </c>
    </row>
    <row r="6796" spans="1:11" x14ac:dyDescent="0.2">
      <c r="A6796" s="24" t="s">
        <v>15989</v>
      </c>
      <c r="B6796" s="24" t="s">
        <v>15990</v>
      </c>
      <c r="C6796" s="24" t="s">
        <v>55</v>
      </c>
      <c r="D6796" s="24" t="s">
        <v>17</v>
      </c>
      <c r="E6796" s="24" t="s">
        <v>48</v>
      </c>
      <c r="F6796" s="24" t="s">
        <v>49</v>
      </c>
      <c r="G6796" s="24" t="s">
        <v>28</v>
      </c>
      <c r="H6796" s="26">
        <v>250</v>
      </c>
      <c r="I6796" s="24" t="s">
        <v>29</v>
      </c>
      <c r="J6796" s="36">
        <v>45880</v>
      </c>
      <c r="K6796" s="24" t="s">
        <v>22</v>
      </c>
    </row>
    <row r="6797" spans="1:11" x14ac:dyDescent="0.2">
      <c r="A6797" s="27" t="s">
        <v>15991</v>
      </c>
      <c r="B6797" s="27" t="s">
        <v>15992</v>
      </c>
      <c r="C6797" s="27" t="s">
        <v>1931</v>
      </c>
      <c r="D6797" s="27" t="s">
        <v>17</v>
      </c>
      <c r="E6797" s="27" t="s">
        <v>48</v>
      </c>
      <c r="F6797" s="27" t="s">
        <v>49</v>
      </c>
      <c r="G6797" s="27" t="s">
        <v>28</v>
      </c>
      <c r="H6797" s="29">
        <v>90</v>
      </c>
      <c r="I6797" s="27" t="s">
        <v>29</v>
      </c>
      <c r="J6797" s="37">
        <v>45890</v>
      </c>
      <c r="K6797" s="27" t="s">
        <v>22</v>
      </c>
    </row>
    <row r="6798" spans="1:11" x14ac:dyDescent="0.2">
      <c r="A6798" s="24" t="s">
        <v>15993</v>
      </c>
      <c r="B6798" s="24" t="s">
        <v>15994</v>
      </c>
      <c r="C6798" s="24" t="s">
        <v>5398</v>
      </c>
      <c r="D6798" s="24" t="s">
        <v>17</v>
      </c>
      <c r="E6798" s="24" t="s">
        <v>18</v>
      </c>
      <c r="F6798" s="24" t="s">
        <v>19</v>
      </c>
      <c r="G6798" s="24" t="s">
        <v>20</v>
      </c>
      <c r="H6798" s="26">
        <v>18</v>
      </c>
      <c r="I6798" s="24" t="s">
        <v>21</v>
      </c>
      <c r="J6798" s="36">
        <v>45874</v>
      </c>
      <c r="K6798" s="24" t="s">
        <v>22</v>
      </c>
    </row>
    <row r="6799" spans="1:11" x14ac:dyDescent="0.2">
      <c r="A6799" s="27" t="s">
        <v>15995</v>
      </c>
      <c r="B6799" s="27" t="s">
        <v>15996</v>
      </c>
      <c r="C6799" s="27" t="s">
        <v>437</v>
      </c>
      <c r="D6799" s="27" t="s">
        <v>17</v>
      </c>
      <c r="E6799" s="27" t="s">
        <v>18</v>
      </c>
      <c r="F6799" s="27" t="s">
        <v>19</v>
      </c>
      <c r="G6799" s="27" t="s">
        <v>28</v>
      </c>
      <c r="H6799" s="29">
        <v>70</v>
      </c>
      <c r="I6799" s="27" t="s">
        <v>29</v>
      </c>
      <c r="J6799" s="37">
        <v>45874</v>
      </c>
      <c r="K6799" s="27" t="s">
        <v>22</v>
      </c>
    </row>
    <row r="6800" spans="1:11" x14ac:dyDescent="0.2">
      <c r="A6800" s="24" t="s">
        <v>15997</v>
      </c>
      <c r="B6800" s="24" t="s">
        <v>15998</v>
      </c>
      <c r="C6800" s="24" t="s">
        <v>85</v>
      </c>
      <c r="D6800" s="24" t="s">
        <v>17</v>
      </c>
      <c r="E6800" s="24" t="s">
        <v>18</v>
      </c>
      <c r="F6800" s="24" t="s">
        <v>19</v>
      </c>
      <c r="G6800" s="24" t="s">
        <v>28</v>
      </c>
      <c r="H6800" s="26">
        <v>40</v>
      </c>
      <c r="I6800" s="24" t="s">
        <v>29</v>
      </c>
      <c r="J6800" s="36">
        <v>45888</v>
      </c>
      <c r="K6800" s="24" t="s">
        <v>22</v>
      </c>
    </row>
    <row r="6801" spans="1:11" x14ac:dyDescent="0.2">
      <c r="A6801" s="27" t="s">
        <v>15999</v>
      </c>
      <c r="B6801" s="27" t="s">
        <v>16000</v>
      </c>
      <c r="C6801" s="27" t="s">
        <v>618</v>
      </c>
      <c r="D6801" s="27" t="s">
        <v>17</v>
      </c>
      <c r="E6801" s="27" t="s">
        <v>18</v>
      </c>
      <c r="F6801" s="27" t="s">
        <v>19</v>
      </c>
      <c r="G6801" s="27" t="s">
        <v>28</v>
      </c>
      <c r="H6801" s="29">
        <v>63</v>
      </c>
      <c r="I6801" s="27" t="s">
        <v>29</v>
      </c>
      <c r="J6801" s="37">
        <v>45888</v>
      </c>
      <c r="K6801" s="27" t="s">
        <v>22</v>
      </c>
    </row>
    <row r="6802" spans="1:11" x14ac:dyDescent="0.2">
      <c r="A6802" s="24" t="s">
        <v>16001</v>
      </c>
      <c r="B6802" s="24" t="s">
        <v>16002</v>
      </c>
      <c r="C6802" s="24" t="s">
        <v>3536</v>
      </c>
      <c r="D6802" s="24" t="s">
        <v>17</v>
      </c>
      <c r="E6802" s="24" t="s">
        <v>48</v>
      </c>
      <c r="F6802" s="24" t="s">
        <v>49</v>
      </c>
      <c r="G6802" s="24" t="s">
        <v>28</v>
      </c>
      <c r="H6802" s="26">
        <v>1200</v>
      </c>
      <c r="I6802" s="24" t="s">
        <v>29</v>
      </c>
      <c r="J6802" s="36">
        <v>45891</v>
      </c>
      <c r="K6802" s="24" t="s">
        <v>22</v>
      </c>
    </row>
    <row r="6803" spans="1:11" x14ac:dyDescent="0.2">
      <c r="A6803" s="27" t="s">
        <v>16003</v>
      </c>
      <c r="B6803" s="27" t="s">
        <v>16004</v>
      </c>
      <c r="C6803" s="27" t="s">
        <v>13757</v>
      </c>
      <c r="D6803" s="27" t="s">
        <v>17</v>
      </c>
      <c r="E6803" s="27" t="s">
        <v>81</v>
      </c>
      <c r="F6803" s="27" t="s">
        <v>82</v>
      </c>
      <c r="G6803" s="27" t="s">
        <v>28</v>
      </c>
      <c r="H6803" s="29">
        <v>100</v>
      </c>
      <c r="I6803" s="27" t="s">
        <v>29</v>
      </c>
      <c r="J6803" s="37">
        <v>45881</v>
      </c>
      <c r="K6803" s="27" t="s">
        <v>22</v>
      </c>
    </row>
    <row r="6804" spans="1:11" x14ac:dyDescent="0.2">
      <c r="A6804" s="24" t="s">
        <v>16005</v>
      </c>
      <c r="B6804" s="24" t="s">
        <v>16006</v>
      </c>
      <c r="C6804" s="24" t="s">
        <v>2129</v>
      </c>
      <c r="D6804" s="24" t="s">
        <v>17</v>
      </c>
      <c r="E6804" s="24" t="s">
        <v>18</v>
      </c>
      <c r="F6804" s="24" t="s">
        <v>19</v>
      </c>
      <c r="G6804" s="24" t="s">
        <v>28</v>
      </c>
      <c r="H6804" s="26">
        <v>15</v>
      </c>
      <c r="I6804" s="24" t="s">
        <v>29</v>
      </c>
      <c r="J6804" s="36">
        <v>45890</v>
      </c>
      <c r="K6804" s="24" t="s">
        <v>22</v>
      </c>
    </row>
    <row r="6805" spans="1:11" x14ac:dyDescent="0.2">
      <c r="A6805" s="27" t="s">
        <v>16007</v>
      </c>
      <c r="B6805" s="27" t="s">
        <v>16008</v>
      </c>
      <c r="C6805" s="27" t="s">
        <v>670</v>
      </c>
      <c r="D6805" s="27" t="s">
        <v>17</v>
      </c>
      <c r="E6805" s="27" t="s">
        <v>26</v>
      </c>
      <c r="F6805" s="27" t="s">
        <v>27</v>
      </c>
      <c r="G6805" s="27" t="s">
        <v>28</v>
      </c>
      <c r="H6805" s="29">
        <v>12</v>
      </c>
      <c r="I6805" s="27" t="s">
        <v>29</v>
      </c>
      <c r="J6805" s="37">
        <v>45891</v>
      </c>
      <c r="K6805" s="27" t="s">
        <v>22</v>
      </c>
    </row>
    <row r="6806" spans="1:11" x14ac:dyDescent="0.2">
      <c r="A6806" s="24" t="s">
        <v>16009</v>
      </c>
      <c r="B6806" s="24" t="s">
        <v>16010</v>
      </c>
      <c r="C6806" s="24" t="s">
        <v>16011</v>
      </c>
      <c r="D6806" s="24" t="s">
        <v>17</v>
      </c>
      <c r="E6806" s="24" t="s">
        <v>26</v>
      </c>
      <c r="F6806" s="24" t="s">
        <v>27</v>
      </c>
      <c r="G6806" s="24" t="s">
        <v>227</v>
      </c>
      <c r="H6806" s="26">
        <v>21</v>
      </c>
      <c r="I6806" s="24" t="s">
        <v>29</v>
      </c>
      <c r="J6806" s="36">
        <v>45887</v>
      </c>
      <c r="K6806" s="24" t="s">
        <v>22</v>
      </c>
    </row>
    <row r="6807" spans="1:11" x14ac:dyDescent="0.2">
      <c r="A6807" s="27" t="s">
        <v>16012</v>
      </c>
      <c r="B6807" s="27" t="s">
        <v>16013</v>
      </c>
      <c r="C6807" s="27" t="s">
        <v>16014</v>
      </c>
      <c r="D6807" s="27" t="s">
        <v>17</v>
      </c>
      <c r="E6807" s="27" t="s">
        <v>18</v>
      </c>
      <c r="F6807" s="27" t="s">
        <v>19</v>
      </c>
      <c r="G6807" s="27" t="s">
        <v>20</v>
      </c>
      <c r="H6807" s="29">
        <v>30</v>
      </c>
      <c r="I6807" s="27" t="s">
        <v>21</v>
      </c>
      <c r="J6807" s="37">
        <v>45875</v>
      </c>
      <c r="K6807" s="27" t="s">
        <v>22</v>
      </c>
    </row>
    <row r="6808" spans="1:11" x14ac:dyDescent="0.2">
      <c r="A6808" s="24" t="s">
        <v>16015</v>
      </c>
      <c r="B6808" s="24" t="s">
        <v>16016</v>
      </c>
      <c r="C6808" s="24" t="s">
        <v>743</v>
      </c>
      <c r="D6808" s="24" t="s">
        <v>17</v>
      </c>
      <c r="E6808" s="24" t="s">
        <v>18</v>
      </c>
      <c r="F6808" s="24" t="s">
        <v>19</v>
      </c>
      <c r="G6808" s="24" t="s">
        <v>217</v>
      </c>
      <c r="H6808" s="26">
        <v>12</v>
      </c>
      <c r="I6808" s="24" t="s">
        <v>29</v>
      </c>
      <c r="J6808" s="36">
        <v>45899</v>
      </c>
      <c r="K6808" s="24" t="s">
        <v>22</v>
      </c>
    </row>
    <row r="6809" spans="1:11" x14ac:dyDescent="0.2">
      <c r="A6809" s="27" t="s">
        <v>16017</v>
      </c>
      <c r="B6809" s="27" t="s">
        <v>16018</v>
      </c>
      <c r="C6809" s="27" t="s">
        <v>9576</v>
      </c>
      <c r="D6809" s="27" t="s">
        <v>17</v>
      </c>
      <c r="E6809" s="27" t="s">
        <v>42</v>
      </c>
      <c r="F6809" s="27" t="s">
        <v>43</v>
      </c>
      <c r="G6809" s="27" t="s">
        <v>28</v>
      </c>
      <c r="H6809" s="29">
        <v>50</v>
      </c>
      <c r="I6809" s="27" t="s">
        <v>29</v>
      </c>
      <c r="J6809" s="37">
        <v>45882</v>
      </c>
      <c r="K6809" s="27" t="s">
        <v>22</v>
      </c>
    </row>
    <row r="6810" spans="1:11" x14ac:dyDescent="0.2">
      <c r="A6810" s="24" t="s">
        <v>16019</v>
      </c>
      <c r="B6810" s="24" t="s">
        <v>16020</v>
      </c>
      <c r="C6810" s="24" t="s">
        <v>429</v>
      </c>
      <c r="D6810" s="24" t="s">
        <v>17</v>
      </c>
      <c r="E6810" s="24" t="s">
        <v>48</v>
      </c>
      <c r="F6810" s="24" t="s">
        <v>49</v>
      </c>
      <c r="G6810" s="24" t="s">
        <v>217</v>
      </c>
      <c r="H6810" s="26">
        <v>60</v>
      </c>
      <c r="I6810" s="24" t="s">
        <v>29</v>
      </c>
      <c r="J6810" s="36">
        <v>45900</v>
      </c>
      <c r="K6810" s="24" t="s">
        <v>22</v>
      </c>
    </row>
    <row r="6811" spans="1:11" x14ac:dyDescent="0.2">
      <c r="A6811" s="27" t="s">
        <v>16021</v>
      </c>
      <c r="B6811" s="27" t="s">
        <v>16022</v>
      </c>
      <c r="C6811" s="27" t="s">
        <v>146</v>
      </c>
      <c r="D6811" s="27" t="s">
        <v>17</v>
      </c>
      <c r="E6811" s="27" t="s">
        <v>48</v>
      </c>
      <c r="F6811" s="27" t="s">
        <v>49</v>
      </c>
      <c r="G6811" s="27" t="s">
        <v>44</v>
      </c>
      <c r="H6811" s="29">
        <v>776</v>
      </c>
      <c r="I6811" s="27" t="s">
        <v>21</v>
      </c>
      <c r="J6811" s="37">
        <v>45894</v>
      </c>
      <c r="K6811" s="27" t="s">
        <v>22</v>
      </c>
    </row>
    <row r="6812" spans="1:11" x14ac:dyDescent="0.2">
      <c r="A6812" s="24" t="s">
        <v>16023</v>
      </c>
      <c r="B6812" s="24" t="s">
        <v>16024</v>
      </c>
      <c r="C6812" s="24" t="s">
        <v>401</v>
      </c>
      <c r="D6812" s="24" t="s">
        <v>17</v>
      </c>
      <c r="E6812" s="24" t="s">
        <v>18</v>
      </c>
      <c r="F6812" s="24" t="s">
        <v>19</v>
      </c>
      <c r="G6812" s="24" t="s">
        <v>20</v>
      </c>
      <c r="H6812" s="26">
        <v>18</v>
      </c>
      <c r="I6812" s="24" t="s">
        <v>21</v>
      </c>
      <c r="J6812" s="36">
        <v>45880</v>
      </c>
      <c r="K6812" s="24" t="s">
        <v>22</v>
      </c>
    </row>
    <row r="6813" spans="1:11" x14ac:dyDescent="0.2">
      <c r="A6813" s="27" t="s">
        <v>16025</v>
      </c>
      <c r="B6813" s="27" t="s">
        <v>16026</v>
      </c>
      <c r="C6813" s="27" t="s">
        <v>810</v>
      </c>
      <c r="D6813" s="27" t="s">
        <v>17</v>
      </c>
      <c r="E6813" s="27" t="s">
        <v>42</v>
      </c>
      <c r="F6813" s="27" t="s">
        <v>43</v>
      </c>
      <c r="G6813" s="27" t="s">
        <v>217</v>
      </c>
      <c r="H6813" s="29">
        <v>600</v>
      </c>
      <c r="I6813" s="27" t="s">
        <v>29</v>
      </c>
      <c r="J6813" s="37">
        <v>45900</v>
      </c>
      <c r="K6813" s="27" t="s">
        <v>22</v>
      </c>
    </row>
    <row r="6814" spans="1:11" x14ac:dyDescent="0.2">
      <c r="A6814" s="24" t="s">
        <v>16027</v>
      </c>
      <c r="B6814" s="24" t="s">
        <v>16028</v>
      </c>
      <c r="C6814" s="24" t="s">
        <v>2448</v>
      </c>
      <c r="D6814" s="24" t="s">
        <v>17</v>
      </c>
      <c r="E6814" s="24" t="s">
        <v>18</v>
      </c>
      <c r="F6814" s="24" t="s">
        <v>19</v>
      </c>
      <c r="G6814" s="24" t="s">
        <v>28</v>
      </c>
      <c r="H6814" s="26">
        <v>44</v>
      </c>
      <c r="I6814" s="24" t="s">
        <v>29</v>
      </c>
      <c r="J6814" s="36">
        <v>45881</v>
      </c>
      <c r="K6814" s="24" t="s">
        <v>22</v>
      </c>
    </row>
    <row r="6815" spans="1:11" x14ac:dyDescent="0.2">
      <c r="A6815" s="27" t="s">
        <v>16029</v>
      </c>
      <c r="B6815" s="27" t="s">
        <v>16030</v>
      </c>
      <c r="C6815" s="27" t="s">
        <v>1444</v>
      </c>
      <c r="D6815" s="27" t="s">
        <v>17</v>
      </c>
      <c r="E6815" s="27" t="s">
        <v>18</v>
      </c>
      <c r="F6815" s="27" t="s">
        <v>19</v>
      </c>
      <c r="G6815" s="27" t="s">
        <v>28</v>
      </c>
      <c r="H6815" s="29">
        <v>90</v>
      </c>
      <c r="I6815" s="27" t="s">
        <v>29</v>
      </c>
      <c r="J6815" s="37">
        <v>45884</v>
      </c>
      <c r="K6815" s="27" t="s">
        <v>22</v>
      </c>
    </row>
    <row r="6816" spans="1:11" x14ac:dyDescent="0.2">
      <c r="A6816" s="24" t="s">
        <v>16031</v>
      </c>
      <c r="B6816" s="24" t="s">
        <v>16032</v>
      </c>
      <c r="C6816" s="24" t="s">
        <v>16033</v>
      </c>
      <c r="D6816" s="24" t="s">
        <v>17</v>
      </c>
      <c r="E6816" s="24" t="s">
        <v>26</v>
      </c>
      <c r="F6816" s="24" t="s">
        <v>27</v>
      </c>
      <c r="G6816" s="24" t="s">
        <v>20</v>
      </c>
      <c r="H6816" s="26">
        <v>35</v>
      </c>
      <c r="I6816" s="24" t="s">
        <v>21</v>
      </c>
      <c r="J6816" s="36">
        <v>45888</v>
      </c>
      <c r="K6816" s="24" t="s">
        <v>22</v>
      </c>
    </row>
    <row r="6817" spans="1:11" x14ac:dyDescent="0.2">
      <c r="A6817" s="27" t="s">
        <v>16034</v>
      </c>
      <c r="B6817" s="27" t="s">
        <v>16035</v>
      </c>
      <c r="C6817" s="27" t="s">
        <v>1608</v>
      </c>
      <c r="D6817" s="27" t="s">
        <v>17</v>
      </c>
      <c r="E6817" s="27" t="s">
        <v>48</v>
      </c>
      <c r="F6817" s="27" t="s">
        <v>49</v>
      </c>
      <c r="G6817" s="27" t="s">
        <v>217</v>
      </c>
      <c r="H6817" s="29">
        <v>200</v>
      </c>
      <c r="I6817" s="27" t="s">
        <v>29</v>
      </c>
      <c r="J6817" s="37">
        <v>45870</v>
      </c>
      <c r="K6817" s="27" t="s">
        <v>22</v>
      </c>
    </row>
    <row r="6818" spans="1:11" x14ac:dyDescent="0.2">
      <c r="A6818" s="24" t="s">
        <v>16036</v>
      </c>
      <c r="B6818" s="24" t="s">
        <v>16037</v>
      </c>
      <c r="C6818" s="24" t="s">
        <v>41</v>
      </c>
      <c r="D6818" s="24" t="s">
        <v>17</v>
      </c>
      <c r="E6818" s="24" t="s">
        <v>42</v>
      </c>
      <c r="F6818" s="24" t="s">
        <v>43</v>
      </c>
      <c r="G6818" s="24" t="s">
        <v>28</v>
      </c>
      <c r="H6818" s="26">
        <v>6</v>
      </c>
      <c r="I6818" s="24" t="s">
        <v>29</v>
      </c>
      <c r="J6818" s="36">
        <v>45880</v>
      </c>
      <c r="K6818" s="24" t="s">
        <v>22</v>
      </c>
    </row>
    <row r="6819" spans="1:11" x14ac:dyDescent="0.2">
      <c r="A6819" s="27" t="s">
        <v>16038</v>
      </c>
      <c r="B6819" s="27" t="s">
        <v>16039</v>
      </c>
      <c r="C6819" s="27" t="s">
        <v>251</v>
      </c>
      <c r="D6819" s="27" t="s">
        <v>17</v>
      </c>
      <c r="E6819" s="27" t="s">
        <v>48</v>
      </c>
      <c r="F6819" s="27" t="s">
        <v>49</v>
      </c>
      <c r="G6819" s="27" t="s">
        <v>28</v>
      </c>
      <c r="H6819" s="29">
        <v>407</v>
      </c>
      <c r="I6819" s="27" t="s">
        <v>29</v>
      </c>
      <c r="J6819" s="37">
        <v>45876</v>
      </c>
      <c r="K6819" s="27" t="s">
        <v>22</v>
      </c>
    </row>
    <row r="6820" spans="1:11" x14ac:dyDescent="0.2">
      <c r="A6820" s="24" t="s">
        <v>16040</v>
      </c>
      <c r="B6820" s="24" t="s">
        <v>16041</v>
      </c>
      <c r="C6820" s="24" t="s">
        <v>11875</v>
      </c>
      <c r="D6820" s="24" t="s">
        <v>17</v>
      </c>
      <c r="E6820" s="24" t="s">
        <v>81</v>
      </c>
      <c r="F6820" s="24" t="s">
        <v>82</v>
      </c>
      <c r="G6820" s="24" t="s">
        <v>217</v>
      </c>
      <c r="H6820" s="26">
        <v>285</v>
      </c>
      <c r="I6820" s="24" t="s">
        <v>29</v>
      </c>
      <c r="J6820" s="36">
        <v>45884</v>
      </c>
      <c r="K6820" s="24" t="s">
        <v>22</v>
      </c>
    </row>
    <row r="6821" spans="1:11" x14ac:dyDescent="0.2">
      <c r="A6821" s="27" t="s">
        <v>16042</v>
      </c>
      <c r="B6821" s="27" t="s">
        <v>16043</v>
      </c>
      <c r="C6821" s="27" t="s">
        <v>7110</v>
      </c>
      <c r="D6821" s="27" t="s">
        <v>17</v>
      </c>
      <c r="E6821" s="27" t="s">
        <v>26</v>
      </c>
      <c r="F6821" s="27" t="s">
        <v>27</v>
      </c>
      <c r="G6821" s="27" t="s">
        <v>28</v>
      </c>
      <c r="H6821" s="29">
        <v>28</v>
      </c>
      <c r="I6821" s="27" t="s">
        <v>29</v>
      </c>
      <c r="J6821" s="37">
        <v>45870</v>
      </c>
      <c r="K6821" s="27" t="s">
        <v>22</v>
      </c>
    </row>
    <row r="6822" spans="1:11" x14ac:dyDescent="0.2">
      <c r="A6822" s="24" t="s">
        <v>16044</v>
      </c>
      <c r="B6822" s="24" t="s">
        <v>16045</v>
      </c>
      <c r="C6822" s="24" t="s">
        <v>16046</v>
      </c>
      <c r="D6822" s="24" t="s">
        <v>17</v>
      </c>
      <c r="E6822" s="24" t="s">
        <v>42</v>
      </c>
      <c r="F6822" s="24" t="s">
        <v>43</v>
      </c>
      <c r="G6822" s="24" t="s">
        <v>28</v>
      </c>
      <c r="H6822" s="26">
        <v>990</v>
      </c>
      <c r="I6822" s="24" t="s">
        <v>29</v>
      </c>
      <c r="J6822" s="36">
        <v>45890</v>
      </c>
      <c r="K6822" s="24" t="s">
        <v>22</v>
      </c>
    </row>
    <row r="6823" spans="1:11" x14ac:dyDescent="0.2">
      <c r="A6823" s="27" t="s">
        <v>16047</v>
      </c>
      <c r="B6823" s="27" t="s">
        <v>16048</v>
      </c>
      <c r="C6823" s="27" t="s">
        <v>1199</v>
      </c>
      <c r="D6823" s="27" t="s">
        <v>17</v>
      </c>
      <c r="E6823" s="27" t="s">
        <v>48</v>
      </c>
      <c r="F6823" s="27" t="s">
        <v>49</v>
      </c>
      <c r="G6823" s="27" t="s">
        <v>28</v>
      </c>
      <c r="H6823" s="29">
        <v>200</v>
      </c>
      <c r="I6823" s="27" t="s">
        <v>29</v>
      </c>
      <c r="J6823" s="37">
        <v>45897</v>
      </c>
      <c r="K6823" s="27" t="s">
        <v>22</v>
      </c>
    </row>
    <row r="6824" spans="1:11" x14ac:dyDescent="0.2">
      <c r="A6824" s="24" t="s">
        <v>16049</v>
      </c>
      <c r="B6824" s="24" t="s">
        <v>16050</v>
      </c>
      <c r="C6824" s="24" t="s">
        <v>3141</v>
      </c>
      <c r="D6824" s="24" t="s">
        <v>17</v>
      </c>
      <c r="E6824" s="24" t="s">
        <v>163</v>
      </c>
      <c r="F6824" s="24" t="s">
        <v>164</v>
      </c>
      <c r="G6824" s="24" t="s">
        <v>28</v>
      </c>
      <c r="H6824" s="26">
        <v>10</v>
      </c>
      <c r="I6824" s="24" t="s">
        <v>29</v>
      </c>
      <c r="J6824" s="36">
        <v>45891</v>
      </c>
      <c r="K6824" s="24" t="s">
        <v>22</v>
      </c>
    </row>
    <row r="6825" spans="1:11" x14ac:dyDescent="0.2">
      <c r="A6825" s="27" t="s">
        <v>16051</v>
      </c>
      <c r="B6825" s="27" t="s">
        <v>16052</v>
      </c>
      <c r="C6825" s="27" t="s">
        <v>16053</v>
      </c>
      <c r="D6825" s="27" t="s">
        <v>17</v>
      </c>
      <c r="E6825" s="27" t="s">
        <v>26</v>
      </c>
      <c r="F6825" s="27" t="s">
        <v>27</v>
      </c>
      <c r="G6825" s="27" t="s">
        <v>217</v>
      </c>
      <c r="H6825" s="29">
        <v>68</v>
      </c>
      <c r="I6825" s="27" t="s">
        <v>29</v>
      </c>
      <c r="J6825" s="37">
        <v>45870</v>
      </c>
      <c r="K6825" s="27" t="s">
        <v>22</v>
      </c>
    </row>
    <row r="6826" spans="1:11" x14ac:dyDescent="0.2">
      <c r="A6826" s="24" t="s">
        <v>16054</v>
      </c>
      <c r="B6826" s="24" t="s">
        <v>16055</v>
      </c>
      <c r="C6826" s="24" t="s">
        <v>16056</v>
      </c>
      <c r="D6826" s="24" t="s">
        <v>17</v>
      </c>
      <c r="E6826" s="24" t="s">
        <v>18</v>
      </c>
      <c r="F6826" s="24" t="s">
        <v>19</v>
      </c>
      <c r="G6826" s="24" t="s">
        <v>28</v>
      </c>
      <c r="H6826" s="26">
        <v>32</v>
      </c>
      <c r="I6826" s="24" t="s">
        <v>29</v>
      </c>
      <c r="J6826" s="36">
        <v>45895</v>
      </c>
      <c r="K6826" s="24" t="s">
        <v>22</v>
      </c>
    </row>
    <row r="6827" spans="1:11" x14ac:dyDescent="0.2">
      <c r="A6827" s="27" t="s">
        <v>16057</v>
      </c>
      <c r="B6827" s="27" t="s">
        <v>16058</v>
      </c>
      <c r="C6827" s="27" t="s">
        <v>4991</v>
      </c>
      <c r="D6827" s="27" t="s">
        <v>17</v>
      </c>
      <c r="E6827" s="27" t="s">
        <v>48</v>
      </c>
      <c r="F6827" s="27" t="s">
        <v>49</v>
      </c>
      <c r="G6827" s="27" t="s">
        <v>217</v>
      </c>
      <c r="H6827" s="29">
        <v>60</v>
      </c>
      <c r="I6827" s="27" t="s">
        <v>29</v>
      </c>
      <c r="J6827" s="37">
        <v>45896</v>
      </c>
      <c r="K6827" s="27" t="s">
        <v>22</v>
      </c>
    </row>
    <row r="6828" spans="1:11" x14ac:dyDescent="0.2">
      <c r="A6828" s="24" t="s">
        <v>16059</v>
      </c>
      <c r="B6828" s="24" t="s">
        <v>16060</v>
      </c>
      <c r="C6828" s="24" t="s">
        <v>16061</v>
      </c>
      <c r="D6828" s="24" t="s">
        <v>17</v>
      </c>
      <c r="E6828" s="24" t="s">
        <v>48</v>
      </c>
      <c r="F6828" s="24" t="s">
        <v>49</v>
      </c>
      <c r="G6828" s="24" t="s">
        <v>217</v>
      </c>
      <c r="H6828" s="26">
        <v>105</v>
      </c>
      <c r="I6828" s="24" t="s">
        <v>29</v>
      </c>
      <c r="J6828" s="36">
        <v>45887</v>
      </c>
      <c r="K6828" s="24" t="s">
        <v>22</v>
      </c>
    </row>
    <row r="6829" spans="1:11" x14ac:dyDescent="0.2">
      <c r="A6829" s="27" t="s">
        <v>16062</v>
      </c>
      <c r="B6829" s="27" t="s">
        <v>16063</v>
      </c>
      <c r="C6829" s="27" t="s">
        <v>4227</v>
      </c>
      <c r="D6829" s="27" t="s">
        <v>17</v>
      </c>
      <c r="E6829" s="27" t="s">
        <v>18</v>
      </c>
      <c r="F6829" s="27" t="s">
        <v>19</v>
      </c>
      <c r="G6829" s="27" t="s">
        <v>20</v>
      </c>
      <c r="H6829" s="29">
        <v>8</v>
      </c>
      <c r="I6829" s="27" t="s">
        <v>21</v>
      </c>
      <c r="J6829" s="37">
        <v>45888</v>
      </c>
      <c r="K6829" s="27" t="s">
        <v>22</v>
      </c>
    </row>
    <row r="6830" spans="1:11" x14ac:dyDescent="0.2">
      <c r="A6830" s="24" t="s">
        <v>16064</v>
      </c>
      <c r="B6830" s="24" t="s">
        <v>16065</v>
      </c>
      <c r="C6830" s="24" t="s">
        <v>9491</v>
      </c>
      <c r="D6830" s="24" t="s">
        <v>17</v>
      </c>
      <c r="E6830" s="24" t="s">
        <v>18</v>
      </c>
      <c r="F6830" s="24" t="s">
        <v>19</v>
      </c>
      <c r="G6830" s="24" t="s">
        <v>28</v>
      </c>
      <c r="H6830" s="26">
        <v>24</v>
      </c>
      <c r="I6830" s="24" t="s">
        <v>29</v>
      </c>
      <c r="J6830" s="36">
        <v>45881</v>
      </c>
      <c r="K6830" s="24" t="s">
        <v>22</v>
      </c>
    </row>
    <row r="6831" spans="1:11" x14ac:dyDescent="0.2">
      <c r="A6831" s="27" t="s">
        <v>16066</v>
      </c>
      <c r="B6831" s="27" t="s">
        <v>16067</v>
      </c>
      <c r="C6831" s="27" t="s">
        <v>11081</v>
      </c>
      <c r="D6831" s="27" t="s">
        <v>17</v>
      </c>
      <c r="E6831" s="27" t="s">
        <v>48</v>
      </c>
      <c r="F6831" s="27" t="s">
        <v>49</v>
      </c>
      <c r="G6831" s="27" t="s">
        <v>28</v>
      </c>
      <c r="H6831" s="29">
        <v>72</v>
      </c>
      <c r="I6831" s="27" t="s">
        <v>29</v>
      </c>
      <c r="J6831" s="37">
        <v>45877</v>
      </c>
      <c r="K6831" s="27" t="s">
        <v>22</v>
      </c>
    </row>
    <row r="6832" spans="1:11" x14ac:dyDescent="0.2">
      <c r="A6832" s="24" t="s">
        <v>16068</v>
      </c>
      <c r="B6832" s="24" t="s">
        <v>16069</v>
      </c>
      <c r="C6832" s="24" t="s">
        <v>16070</v>
      </c>
      <c r="D6832" s="24" t="s">
        <v>17</v>
      </c>
      <c r="E6832" s="24" t="s">
        <v>18</v>
      </c>
      <c r="F6832" s="24" t="s">
        <v>19</v>
      </c>
      <c r="G6832" s="24" t="s">
        <v>28</v>
      </c>
      <c r="H6832" s="26">
        <v>72</v>
      </c>
      <c r="I6832" s="24" t="s">
        <v>29</v>
      </c>
      <c r="J6832" s="36">
        <v>45873</v>
      </c>
      <c r="K6832" s="24" t="s">
        <v>22</v>
      </c>
    </row>
    <row r="6833" spans="1:11" x14ac:dyDescent="0.2">
      <c r="A6833" s="27" t="s">
        <v>16071</v>
      </c>
      <c r="B6833" s="27" t="s">
        <v>16072</v>
      </c>
      <c r="C6833" s="27" t="s">
        <v>2811</v>
      </c>
      <c r="D6833" s="27" t="s">
        <v>17</v>
      </c>
      <c r="E6833" s="27" t="s">
        <v>42</v>
      </c>
      <c r="F6833" s="27" t="s">
        <v>43</v>
      </c>
      <c r="G6833" s="27" t="s">
        <v>217</v>
      </c>
      <c r="H6833" s="29">
        <v>6680</v>
      </c>
      <c r="I6833" s="27" t="s">
        <v>29</v>
      </c>
      <c r="J6833" s="37">
        <v>45870</v>
      </c>
      <c r="K6833" s="27" t="s">
        <v>22</v>
      </c>
    </row>
    <row r="6834" spans="1:11" x14ac:dyDescent="0.2">
      <c r="A6834" s="24" t="s">
        <v>16073</v>
      </c>
      <c r="B6834" s="24" t="s">
        <v>16074</v>
      </c>
      <c r="C6834" s="24" t="s">
        <v>11937</v>
      </c>
      <c r="D6834" s="24" t="s">
        <v>17</v>
      </c>
      <c r="E6834" s="24" t="s">
        <v>81</v>
      </c>
      <c r="F6834" s="24" t="s">
        <v>82</v>
      </c>
      <c r="G6834" s="24" t="s">
        <v>44</v>
      </c>
      <c r="H6834" s="26">
        <v>120</v>
      </c>
      <c r="I6834" s="24" t="s">
        <v>29</v>
      </c>
      <c r="J6834" s="36">
        <v>45899</v>
      </c>
      <c r="K6834" s="24" t="s">
        <v>22</v>
      </c>
    </row>
    <row r="6835" spans="1:11" x14ac:dyDescent="0.2">
      <c r="A6835" s="27" t="s">
        <v>16075</v>
      </c>
      <c r="B6835" s="27" t="s">
        <v>16076</v>
      </c>
      <c r="C6835" s="27" t="s">
        <v>1737</v>
      </c>
      <c r="D6835" s="27" t="s">
        <v>17</v>
      </c>
      <c r="E6835" s="27" t="s">
        <v>48</v>
      </c>
      <c r="F6835" s="27" t="s">
        <v>49</v>
      </c>
      <c r="G6835" s="27" t="s">
        <v>217</v>
      </c>
      <c r="H6835" s="29">
        <v>60</v>
      </c>
      <c r="I6835" s="27" t="s">
        <v>29</v>
      </c>
      <c r="J6835" s="37">
        <v>45870</v>
      </c>
      <c r="K6835" s="27" t="s">
        <v>22</v>
      </c>
    </row>
    <row r="6836" spans="1:11" x14ac:dyDescent="0.2">
      <c r="A6836" s="24" t="s">
        <v>16077</v>
      </c>
      <c r="B6836" s="24" t="s">
        <v>16078</v>
      </c>
      <c r="C6836" s="24" t="s">
        <v>12058</v>
      </c>
      <c r="D6836" s="24" t="s">
        <v>17</v>
      </c>
      <c r="E6836" s="24" t="s">
        <v>18</v>
      </c>
      <c r="F6836" s="24" t="s">
        <v>19</v>
      </c>
      <c r="G6836" s="24" t="s">
        <v>217</v>
      </c>
      <c r="H6836" s="26">
        <v>32</v>
      </c>
      <c r="I6836" s="24" t="s">
        <v>29</v>
      </c>
      <c r="J6836" s="36">
        <v>45870</v>
      </c>
      <c r="K6836" s="24" t="s">
        <v>22</v>
      </c>
    </row>
    <row r="6837" spans="1:11" x14ac:dyDescent="0.2">
      <c r="A6837" s="27" t="s">
        <v>16079</v>
      </c>
      <c r="B6837" s="27" t="s">
        <v>16080</v>
      </c>
      <c r="C6837" s="27" t="s">
        <v>97</v>
      </c>
      <c r="D6837" s="27" t="s">
        <v>17</v>
      </c>
      <c r="E6837" s="27" t="s">
        <v>48</v>
      </c>
      <c r="F6837" s="27" t="s">
        <v>49</v>
      </c>
      <c r="G6837" s="27" t="s">
        <v>28</v>
      </c>
      <c r="H6837" s="29">
        <v>114</v>
      </c>
      <c r="I6837" s="27" t="s">
        <v>29</v>
      </c>
      <c r="J6837" s="37">
        <v>45874</v>
      </c>
      <c r="K6837" s="27" t="s">
        <v>22</v>
      </c>
    </row>
    <row r="6838" spans="1:11" x14ac:dyDescent="0.2">
      <c r="A6838" s="24" t="s">
        <v>16081</v>
      </c>
      <c r="B6838" s="24" t="s">
        <v>16082</v>
      </c>
      <c r="C6838" s="24" t="s">
        <v>801</v>
      </c>
      <c r="D6838" s="24" t="s">
        <v>17</v>
      </c>
      <c r="E6838" s="24" t="s">
        <v>18</v>
      </c>
      <c r="F6838" s="24" t="s">
        <v>19</v>
      </c>
      <c r="G6838" s="24" t="s">
        <v>28</v>
      </c>
      <c r="H6838" s="26">
        <v>32</v>
      </c>
      <c r="I6838" s="24" t="s">
        <v>29</v>
      </c>
      <c r="J6838" s="36">
        <v>45890</v>
      </c>
      <c r="K6838" s="24" t="s">
        <v>22</v>
      </c>
    </row>
    <row r="6839" spans="1:11" x14ac:dyDescent="0.2">
      <c r="A6839" s="27" t="s">
        <v>16083</v>
      </c>
      <c r="B6839" s="27" t="s">
        <v>16084</v>
      </c>
      <c r="C6839" s="27" t="s">
        <v>213</v>
      </c>
      <c r="D6839" s="27" t="s">
        <v>17</v>
      </c>
      <c r="E6839" s="27" t="s">
        <v>18</v>
      </c>
      <c r="F6839" s="27" t="s">
        <v>19</v>
      </c>
      <c r="G6839" s="27" t="s">
        <v>20</v>
      </c>
      <c r="H6839" s="29">
        <v>35</v>
      </c>
      <c r="I6839" s="27" t="s">
        <v>21</v>
      </c>
      <c r="J6839" s="37">
        <v>45883</v>
      </c>
      <c r="K6839" s="27" t="s">
        <v>22</v>
      </c>
    </row>
    <row r="6840" spans="1:11" x14ac:dyDescent="0.2">
      <c r="A6840" s="24" t="s">
        <v>16085</v>
      </c>
      <c r="B6840" s="24" t="s">
        <v>16086</v>
      </c>
      <c r="C6840" s="24" t="s">
        <v>810</v>
      </c>
      <c r="D6840" s="24" t="s">
        <v>17</v>
      </c>
      <c r="E6840" s="24" t="s">
        <v>42</v>
      </c>
      <c r="F6840" s="24" t="s">
        <v>43</v>
      </c>
      <c r="G6840" s="24" t="s">
        <v>217</v>
      </c>
      <c r="H6840" s="26">
        <v>350</v>
      </c>
      <c r="I6840" s="24" t="s">
        <v>29</v>
      </c>
      <c r="J6840" s="36">
        <v>45900</v>
      </c>
      <c r="K6840" s="24" t="s">
        <v>22</v>
      </c>
    </row>
    <row r="6841" spans="1:11" x14ac:dyDescent="0.2">
      <c r="A6841" s="27" t="s">
        <v>16087</v>
      </c>
      <c r="B6841" s="27" t="s">
        <v>16088</v>
      </c>
      <c r="C6841" s="27" t="s">
        <v>1147</v>
      </c>
      <c r="D6841" s="27" t="s">
        <v>17</v>
      </c>
      <c r="E6841" s="27" t="s">
        <v>42</v>
      </c>
      <c r="F6841" s="27" t="s">
        <v>43</v>
      </c>
      <c r="G6841" s="27" t="s">
        <v>28</v>
      </c>
      <c r="H6841" s="29">
        <v>140</v>
      </c>
      <c r="I6841" s="27" t="s">
        <v>29</v>
      </c>
      <c r="J6841" s="37">
        <v>45882</v>
      </c>
      <c r="K6841" s="27" t="s">
        <v>22</v>
      </c>
    </row>
    <row r="6842" spans="1:11" x14ac:dyDescent="0.2">
      <c r="A6842" s="24" t="s">
        <v>16089</v>
      </c>
      <c r="B6842" s="24" t="s">
        <v>16090</v>
      </c>
      <c r="C6842" s="24" t="s">
        <v>85</v>
      </c>
      <c r="D6842" s="24" t="s">
        <v>17</v>
      </c>
      <c r="E6842" s="24" t="s">
        <v>18</v>
      </c>
      <c r="F6842" s="24" t="s">
        <v>19</v>
      </c>
      <c r="G6842" s="24" t="s">
        <v>20</v>
      </c>
      <c r="H6842" s="26">
        <v>20</v>
      </c>
      <c r="I6842" s="24" t="s">
        <v>21</v>
      </c>
      <c r="J6842" s="36">
        <v>45890</v>
      </c>
      <c r="K6842" s="24" t="s">
        <v>22</v>
      </c>
    </row>
    <row r="6843" spans="1:11" x14ac:dyDescent="0.2">
      <c r="A6843" s="27" t="s">
        <v>16091</v>
      </c>
      <c r="B6843" s="27" t="s">
        <v>16092</v>
      </c>
      <c r="C6843" s="27" t="s">
        <v>213</v>
      </c>
      <c r="D6843" s="27" t="s">
        <v>17</v>
      </c>
      <c r="E6843" s="27" t="s">
        <v>18</v>
      </c>
      <c r="F6843" s="27" t="s">
        <v>19</v>
      </c>
      <c r="G6843" s="27" t="s">
        <v>28</v>
      </c>
      <c r="H6843" s="29">
        <v>310</v>
      </c>
      <c r="I6843" s="27" t="s">
        <v>29</v>
      </c>
      <c r="J6843" s="37">
        <v>45880</v>
      </c>
      <c r="K6843" s="27" t="s">
        <v>22</v>
      </c>
    </row>
    <row r="6844" spans="1:11" x14ac:dyDescent="0.2">
      <c r="A6844" s="24" t="s">
        <v>16093</v>
      </c>
      <c r="B6844" s="24" t="s">
        <v>16094</v>
      </c>
      <c r="C6844" s="24" t="s">
        <v>15709</v>
      </c>
      <c r="D6844" s="24" t="s">
        <v>17</v>
      </c>
      <c r="E6844" s="24" t="s">
        <v>42</v>
      </c>
      <c r="F6844" s="24" t="s">
        <v>43</v>
      </c>
      <c r="G6844" s="24" t="s">
        <v>28</v>
      </c>
      <c r="H6844" s="26">
        <v>250</v>
      </c>
      <c r="I6844" s="24" t="s">
        <v>29</v>
      </c>
      <c r="J6844" s="36">
        <v>45873</v>
      </c>
      <c r="K6844" s="24" t="s">
        <v>22</v>
      </c>
    </row>
    <row r="6845" spans="1:11" x14ac:dyDescent="0.2">
      <c r="A6845" s="27" t="s">
        <v>16095</v>
      </c>
      <c r="B6845" s="27" t="s">
        <v>16096</v>
      </c>
      <c r="C6845" s="27" t="s">
        <v>705</v>
      </c>
      <c r="D6845" s="27" t="s">
        <v>17</v>
      </c>
      <c r="E6845" s="27" t="s">
        <v>48</v>
      </c>
      <c r="F6845" s="27" t="s">
        <v>49</v>
      </c>
      <c r="G6845" s="27" t="s">
        <v>28</v>
      </c>
      <c r="H6845" s="29">
        <v>68</v>
      </c>
      <c r="I6845" s="27" t="s">
        <v>29</v>
      </c>
      <c r="J6845" s="37">
        <v>45890</v>
      </c>
      <c r="K6845" s="27" t="s">
        <v>22</v>
      </c>
    </row>
    <row r="6846" spans="1:11" x14ac:dyDescent="0.2">
      <c r="A6846" s="24" t="s">
        <v>16097</v>
      </c>
      <c r="B6846" s="24" t="s">
        <v>16098</v>
      </c>
      <c r="C6846" s="24" t="s">
        <v>437</v>
      </c>
      <c r="D6846" s="24" t="s">
        <v>17</v>
      </c>
      <c r="E6846" s="24" t="s">
        <v>18</v>
      </c>
      <c r="F6846" s="24" t="s">
        <v>19</v>
      </c>
      <c r="G6846" s="24" t="s">
        <v>20</v>
      </c>
      <c r="H6846" s="26">
        <v>20</v>
      </c>
      <c r="I6846" s="24" t="s">
        <v>21</v>
      </c>
      <c r="J6846" s="36">
        <v>45895</v>
      </c>
      <c r="K6846" s="24" t="s">
        <v>22</v>
      </c>
    </row>
    <row r="6847" spans="1:11" x14ac:dyDescent="0.2">
      <c r="A6847" s="27" t="s">
        <v>16099</v>
      </c>
      <c r="B6847" s="27" t="s">
        <v>16100</v>
      </c>
      <c r="C6847" s="27" t="s">
        <v>844</v>
      </c>
      <c r="D6847" s="27" t="s">
        <v>17</v>
      </c>
      <c r="E6847" s="27" t="s">
        <v>18</v>
      </c>
      <c r="F6847" s="27" t="s">
        <v>19</v>
      </c>
      <c r="G6847" s="27" t="s">
        <v>217</v>
      </c>
      <c r="H6847" s="29">
        <v>32</v>
      </c>
      <c r="I6847" s="27" t="s">
        <v>29</v>
      </c>
      <c r="J6847" s="37">
        <v>45895</v>
      </c>
      <c r="K6847" s="27" t="s">
        <v>22</v>
      </c>
    </row>
    <row r="6848" spans="1:11" x14ac:dyDescent="0.2">
      <c r="A6848" s="24" t="s">
        <v>16101</v>
      </c>
      <c r="B6848" s="24" t="s">
        <v>16102</v>
      </c>
      <c r="C6848" s="24" t="s">
        <v>97</v>
      </c>
      <c r="D6848" s="24" t="s">
        <v>17</v>
      </c>
      <c r="E6848" s="24" t="s">
        <v>48</v>
      </c>
      <c r="F6848" s="24" t="s">
        <v>49</v>
      </c>
      <c r="G6848" s="24" t="s">
        <v>44</v>
      </c>
      <c r="H6848" s="26">
        <v>33</v>
      </c>
      <c r="I6848" s="24" t="s">
        <v>21</v>
      </c>
      <c r="J6848" s="36">
        <v>45898</v>
      </c>
      <c r="K6848" s="24" t="s">
        <v>22</v>
      </c>
    </row>
    <row r="6849" spans="1:11" x14ac:dyDescent="0.2">
      <c r="A6849" s="27" t="s">
        <v>16103</v>
      </c>
      <c r="B6849" s="27" t="s">
        <v>16104</v>
      </c>
      <c r="C6849" s="27" t="s">
        <v>1850</v>
      </c>
      <c r="D6849" s="27" t="s">
        <v>17</v>
      </c>
      <c r="E6849" s="27" t="s">
        <v>48</v>
      </c>
      <c r="F6849" s="27" t="s">
        <v>49</v>
      </c>
      <c r="G6849" s="27" t="s">
        <v>28</v>
      </c>
      <c r="H6849" s="29">
        <v>204</v>
      </c>
      <c r="I6849" s="27" t="s">
        <v>29</v>
      </c>
      <c r="J6849" s="37">
        <v>45883</v>
      </c>
      <c r="K6849" s="27" t="s">
        <v>22</v>
      </c>
    </row>
    <row r="6850" spans="1:11" x14ac:dyDescent="0.2">
      <c r="A6850" s="24" t="s">
        <v>16105</v>
      </c>
      <c r="B6850" s="24" t="s">
        <v>16106</v>
      </c>
      <c r="C6850" s="24" t="s">
        <v>500</v>
      </c>
      <c r="D6850" s="24" t="s">
        <v>17</v>
      </c>
      <c r="E6850" s="24" t="s">
        <v>18</v>
      </c>
      <c r="F6850" s="24" t="s">
        <v>19</v>
      </c>
      <c r="G6850" s="24" t="s">
        <v>20</v>
      </c>
      <c r="H6850" s="26">
        <v>40</v>
      </c>
      <c r="I6850" s="24" t="s">
        <v>21</v>
      </c>
      <c r="J6850" s="36">
        <v>45874</v>
      </c>
      <c r="K6850" s="24" t="s">
        <v>22</v>
      </c>
    </row>
    <row r="6851" spans="1:11" x14ac:dyDescent="0.2">
      <c r="A6851" s="27" t="s">
        <v>16107</v>
      </c>
      <c r="B6851" s="27" t="s">
        <v>16108</v>
      </c>
      <c r="C6851" s="27" t="s">
        <v>16109</v>
      </c>
      <c r="D6851" s="27" t="s">
        <v>17</v>
      </c>
      <c r="E6851" s="27" t="s">
        <v>26</v>
      </c>
      <c r="F6851" s="27" t="s">
        <v>27</v>
      </c>
      <c r="G6851" s="27" t="s">
        <v>28</v>
      </c>
      <c r="H6851" s="29">
        <v>67</v>
      </c>
      <c r="I6851" s="27" t="s">
        <v>29</v>
      </c>
      <c r="J6851" s="37">
        <v>45887</v>
      </c>
      <c r="K6851" s="27" t="s">
        <v>22</v>
      </c>
    </row>
    <row r="6852" spans="1:11" x14ac:dyDescent="0.2">
      <c r="A6852" s="24" t="s">
        <v>16110</v>
      </c>
      <c r="B6852" s="24" t="s">
        <v>16111</v>
      </c>
      <c r="C6852" s="24" t="s">
        <v>16112</v>
      </c>
      <c r="D6852" s="24" t="s">
        <v>17</v>
      </c>
      <c r="E6852" s="24" t="s">
        <v>26</v>
      </c>
      <c r="F6852" s="24" t="s">
        <v>27</v>
      </c>
      <c r="G6852" s="24" t="s">
        <v>217</v>
      </c>
      <c r="H6852" s="26">
        <v>72</v>
      </c>
      <c r="I6852" s="24" t="s">
        <v>29</v>
      </c>
      <c r="J6852" s="36">
        <v>45882</v>
      </c>
      <c r="K6852" s="24" t="s">
        <v>22</v>
      </c>
    </row>
    <row r="6853" spans="1:11" x14ac:dyDescent="0.2">
      <c r="A6853" s="27" t="s">
        <v>16113</v>
      </c>
      <c r="B6853" s="27" t="s">
        <v>16114</v>
      </c>
      <c r="C6853" s="27" t="s">
        <v>1383</v>
      </c>
      <c r="D6853" s="27" t="s">
        <v>17</v>
      </c>
      <c r="E6853" s="27" t="s">
        <v>18</v>
      </c>
      <c r="F6853" s="27" t="s">
        <v>19</v>
      </c>
      <c r="G6853" s="27" t="s">
        <v>28</v>
      </c>
      <c r="H6853" s="29">
        <v>10</v>
      </c>
      <c r="I6853" s="27" t="s">
        <v>29</v>
      </c>
      <c r="J6853" s="37">
        <v>45890</v>
      </c>
      <c r="K6853" s="27" t="s">
        <v>22</v>
      </c>
    </row>
    <row r="6854" spans="1:11" x14ac:dyDescent="0.2">
      <c r="A6854" s="24" t="s">
        <v>16115</v>
      </c>
      <c r="B6854" s="24" t="s">
        <v>16116</v>
      </c>
      <c r="C6854" s="24" t="s">
        <v>2669</v>
      </c>
      <c r="D6854" s="24" t="s">
        <v>17</v>
      </c>
      <c r="E6854" s="24" t="s">
        <v>48</v>
      </c>
      <c r="F6854" s="24" t="s">
        <v>49</v>
      </c>
      <c r="G6854" s="24" t="s">
        <v>28</v>
      </c>
      <c r="H6854" s="26">
        <v>100</v>
      </c>
      <c r="I6854" s="24" t="s">
        <v>29</v>
      </c>
      <c r="J6854" s="36">
        <v>45875</v>
      </c>
      <c r="K6854" s="24" t="s">
        <v>22</v>
      </c>
    </row>
    <row r="6855" spans="1:11" x14ac:dyDescent="0.2">
      <c r="A6855" s="27" t="s">
        <v>16117</v>
      </c>
      <c r="B6855" s="27" t="s">
        <v>16118</v>
      </c>
      <c r="C6855" s="27" t="s">
        <v>16119</v>
      </c>
      <c r="D6855" s="27" t="s">
        <v>17</v>
      </c>
      <c r="E6855" s="27" t="s">
        <v>48</v>
      </c>
      <c r="F6855" s="27" t="s">
        <v>49</v>
      </c>
      <c r="G6855" s="27" t="s">
        <v>28</v>
      </c>
      <c r="H6855" s="29">
        <v>90</v>
      </c>
      <c r="I6855" s="27" t="s">
        <v>29</v>
      </c>
      <c r="J6855" s="37">
        <v>45895</v>
      </c>
      <c r="K6855" s="27" t="s">
        <v>22</v>
      </c>
    </row>
    <row r="6856" spans="1:11" x14ac:dyDescent="0.2">
      <c r="A6856" s="24" t="s">
        <v>16120</v>
      </c>
      <c r="B6856" s="24" t="s">
        <v>16121</v>
      </c>
      <c r="C6856" s="24" t="s">
        <v>16122</v>
      </c>
      <c r="D6856" s="24" t="s">
        <v>17</v>
      </c>
      <c r="E6856" s="24" t="s">
        <v>42</v>
      </c>
      <c r="F6856" s="24" t="s">
        <v>43</v>
      </c>
      <c r="G6856" s="24" t="s">
        <v>227</v>
      </c>
      <c r="H6856" s="26">
        <v>36</v>
      </c>
      <c r="I6856" s="24" t="s">
        <v>29</v>
      </c>
      <c r="J6856" s="36">
        <v>45897</v>
      </c>
      <c r="K6856" s="24" t="s">
        <v>22</v>
      </c>
    </row>
    <row r="6857" spans="1:11" x14ac:dyDescent="0.2">
      <c r="A6857" s="27" t="s">
        <v>16123</v>
      </c>
      <c r="B6857" s="27" t="s">
        <v>16124</v>
      </c>
      <c r="C6857" s="27" t="s">
        <v>14320</v>
      </c>
      <c r="D6857" s="27" t="s">
        <v>17</v>
      </c>
      <c r="E6857" s="27" t="s">
        <v>48</v>
      </c>
      <c r="F6857" s="27" t="s">
        <v>49</v>
      </c>
      <c r="G6857" s="27" t="s">
        <v>28</v>
      </c>
      <c r="H6857" s="29">
        <v>45</v>
      </c>
      <c r="I6857" s="27" t="s">
        <v>29</v>
      </c>
      <c r="J6857" s="37">
        <v>45894</v>
      </c>
      <c r="K6857" s="27" t="s">
        <v>22</v>
      </c>
    </row>
    <row r="6858" spans="1:11" x14ac:dyDescent="0.2">
      <c r="A6858" s="24" t="s">
        <v>16125</v>
      </c>
      <c r="B6858" s="24" t="s">
        <v>16126</v>
      </c>
      <c r="C6858" s="24" t="s">
        <v>475</v>
      </c>
      <c r="D6858" s="24" t="s">
        <v>17</v>
      </c>
      <c r="E6858" s="24" t="s">
        <v>26</v>
      </c>
      <c r="F6858" s="24" t="s">
        <v>27</v>
      </c>
      <c r="G6858" s="24" t="s">
        <v>217</v>
      </c>
      <c r="H6858" s="26">
        <v>48</v>
      </c>
      <c r="I6858" s="24" t="s">
        <v>29</v>
      </c>
      <c r="J6858" s="36">
        <v>45870</v>
      </c>
      <c r="K6858" s="24" t="s">
        <v>22</v>
      </c>
    </row>
    <row r="6859" spans="1:11" x14ac:dyDescent="0.2">
      <c r="A6859" s="27" t="s">
        <v>16127</v>
      </c>
      <c r="B6859" s="27" t="s">
        <v>16128</v>
      </c>
      <c r="C6859" s="27" t="s">
        <v>16129</v>
      </c>
      <c r="D6859" s="27" t="s">
        <v>17</v>
      </c>
      <c r="E6859" s="27" t="s">
        <v>26</v>
      </c>
      <c r="F6859" s="27" t="s">
        <v>27</v>
      </c>
      <c r="G6859" s="27" t="s">
        <v>28</v>
      </c>
      <c r="H6859" s="29">
        <v>24</v>
      </c>
      <c r="I6859" s="27" t="s">
        <v>29</v>
      </c>
      <c r="J6859" s="37">
        <v>45870</v>
      </c>
      <c r="K6859" s="27" t="s">
        <v>22</v>
      </c>
    </row>
    <row r="6860" spans="1:11" x14ac:dyDescent="0.2">
      <c r="A6860" s="24" t="s">
        <v>16130</v>
      </c>
      <c r="B6860" s="24" t="s">
        <v>16131</v>
      </c>
      <c r="C6860" s="24" t="s">
        <v>16132</v>
      </c>
      <c r="D6860" s="24" t="s">
        <v>17</v>
      </c>
      <c r="E6860" s="24" t="s">
        <v>48</v>
      </c>
      <c r="F6860" s="24" t="s">
        <v>49</v>
      </c>
      <c r="G6860" s="24" t="s">
        <v>28</v>
      </c>
      <c r="H6860" s="26">
        <v>120</v>
      </c>
      <c r="I6860" s="24" t="s">
        <v>29</v>
      </c>
      <c r="J6860" s="36">
        <v>45882</v>
      </c>
      <c r="K6860" s="24" t="s">
        <v>22</v>
      </c>
    </row>
    <row r="6861" spans="1:11" x14ac:dyDescent="0.2">
      <c r="A6861" s="27" t="s">
        <v>16133</v>
      </c>
      <c r="B6861" s="27" t="s">
        <v>16134</v>
      </c>
      <c r="C6861" s="27" t="s">
        <v>687</v>
      </c>
      <c r="D6861" s="27" t="s">
        <v>17</v>
      </c>
      <c r="E6861" s="27" t="s">
        <v>42</v>
      </c>
      <c r="F6861" s="27" t="s">
        <v>43</v>
      </c>
      <c r="G6861" s="27" t="s">
        <v>28</v>
      </c>
      <c r="H6861" s="29">
        <v>877</v>
      </c>
      <c r="I6861" s="27" t="s">
        <v>29</v>
      </c>
      <c r="J6861" s="37">
        <v>45880</v>
      </c>
      <c r="K6861" s="27" t="s">
        <v>22</v>
      </c>
    </row>
    <row r="6862" spans="1:11" x14ac:dyDescent="0.2">
      <c r="A6862" s="24" t="s">
        <v>16135</v>
      </c>
      <c r="B6862" s="24" t="s">
        <v>16136</v>
      </c>
      <c r="C6862" s="24" t="s">
        <v>6041</v>
      </c>
      <c r="D6862" s="24" t="s">
        <v>17</v>
      </c>
      <c r="E6862" s="24" t="s">
        <v>48</v>
      </c>
      <c r="F6862" s="24" t="s">
        <v>49</v>
      </c>
      <c r="G6862" s="24" t="s">
        <v>28</v>
      </c>
      <c r="H6862" s="26">
        <v>120</v>
      </c>
      <c r="I6862" s="24" t="s">
        <v>29</v>
      </c>
      <c r="J6862" s="36">
        <v>45895</v>
      </c>
      <c r="K6862" s="24" t="s">
        <v>22</v>
      </c>
    </row>
    <row r="6863" spans="1:11" x14ac:dyDescent="0.2">
      <c r="A6863" s="27" t="s">
        <v>16137</v>
      </c>
      <c r="B6863" s="27" t="s">
        <v>16138</v>
      </c>
      <c r="C6863" s="27" t="s">
        <v>2287</v>
      </c>
      <c r="D6863" s="27" t="s">
        <v>17</v>
      </c>
      <c r="E6863" s="27" t="s">
        <v>81</v>
      </c>
      <c r="F6863" s="27" t="s">
        <v>82</v>
      </c>
      <c r="G6863" s="27" t="s">
        <v>28</v>
      </c>
      <c r="H6863" s="29">
        <v>50</v>
      </c>
      <c r="I6863" s="27" t="s">
        <v>29</v>
      </c>
      <c r="J6863" s="37">
        <v>45898</v>
      </c>
      <c r="K6863" s="27" t="s">
        <v>22</v>
      </c>
    </row>
    <row r="6864" spans="1:11" x14ac:dyDescent="0.2">
      <c r="A6864" s="24" t="s">
        <v>16139</v>
      </c>
      <c r="B6864" s="24" t="s">
        <v>16140</v>
      </c>
      <c r="C6864" s="24" t="s">
        <v>1948</v>
      </c>
      <c r="D6864" s="24" t="s">
        <v>17</v>
      </c>
      <c r="E6864" s="24" t="s">
        <v>18</v>
      </c>
      <c r="F6864" s="24" t="s">
        <v>19</v>
      </c>
      <c r="G6864" s="24" t="s">
        <v>28</v>
      </c>
      <c r="H6864" s="26">
        <v>40</v>
      </c>
      <c r="I6864" s="24" t="s">
        <v>29</v>
      </c>
      <c r="J6864" s="36">
        <v>45895</v>
      </c>
      <c r="K6864" s="24" t="s">
        <v>22</v>
      </c>
    </row>
    <row r="6865" spans="1:11" x14ac:dyDescent="0.2">
      <c r="A6865" s="27" t="s">
        <v>16141</v>
      </c>
      <c r="B6865" s="27" t="s">
        <v>16142</v>
      </c>
      <c r="C6865" s="27" t="s">
        <v>526</v>
      </c>
      <c r="D6865" s="27" t="s">
        <v>17</v>
      </c>
      <c r="E6865" s="27" t="s">
        <v>18</v>
      </c>
      <c r="F6865" s="27" t="s">
        <v>19</v>
      </c>
      <c r="G6865" s="27" t="s">
        <v>28</v>
      </c>
      <c r="H6865" s="29">
        <v>32</v>
      </c>
      <c r="I6865" s="27" t="s">
        <v>29</v>
      </c>
      <c r="J6865" s="37">
        <v>45874</v>
      </c>
      <c r="K6865" s="27" t="s">
        <v>22</v>
      </c>
    </row>
    <row r="6866" spans="1:11" x14ac:dyDescent="0.2">
      <c r="A6866" s="24" t="s">
        <v>16143</v>
      </c>
      <c r="B6866" s="24" t="s">
        <v>16144</v>
      </c>
      <c r="C6866" s="24" t="s">
        <v>146</v>
      </c>
      <c r="D6866" s="24" t="s">
        <v>17</v>
      </c>
      <c r="E6866" s="24" t="s">
        <v>48</v>
      </c>
      <c r="F6866" s="24" t="s">
        <v>49</v>
      </c>
      <c r="G6866" s="24" t="s">
        <v>28</v>
      </c>
      <c r="H6866" s="26">
        <v>184</v>
      </c>
      <c r="I6866" s="24" t="s">
        <v>29</v>
      </c>
      <c r="J6866" s="36">
        <v>45875</v>
      </c>
      <c r="K6866" s="24" t="s">
        <v>22</v>
      </c>
    </row>
    <row r="6867" spans="1:11" x14ac:dyDescent="0.2">
      <c r="A6867" s="27" t="s">
        <v>16145</v>
      </c>
      <c r="B6867" s="27" t="s">
        <v>16146</v>
      </c>
      <c r="C6867" s="27" t="s">
        <v>6457</v>
      </c>
      <c r="D6867" s="27" t="s">
        <v>17</v>
      </c>
      <c r="E6867" s="27" t="s">
        <v>48</v>
      </c>
      <c r="F6867" s="27" t="s">
        <v>49</v>
      </c>
      <c r="G6867" s="27" t="s">
        <v>217</v>
      </c>
      <c r="H6867" s="29">
        <v>430</v>
      </c>
      <c r="I6867" s="27" t="s">
        <v>29</v>
      </c>
      <c r="J6867" s="37">
        <v>45899</v>
      </c>
      <c r="K6867" s="27" t="s">
        <v>22</v>
      </c>
    </row>
    <row r="6868" spans="1:11" x14ac:dyDescent="0.2">
      <c r="A6868" s="24" t="s">
        <v>16147</v>
      </c>
      <c r="B6868" s="24" t="s">
        <v>16148</v>
      </c>
      <c r="C6868" s="24" t="s">
        <v>518</v>
      </c>
      <c r="D6868" s="24" t="s">
        <v>17</v>
      </c>
      <c r="E6868" s="24" t="s">
        <v>42</v>
      </c>
      <c r="F6868" s="24" t="s">
        <v>43</v>
      </c>
      <c r="G6868" s="24" t="s">
        <v>28</v>
      </c>
      <c r="H6868" s="26">
        <v>150</v>
      </c>
      <c r="I6868" s="24" t="s">
        <v>29</v>
      </c>
      <c r="J6868" s="36">
        <v>45884</v>
      </c>
      <c r="K6868" s="24" t="s">
        <v>22</v>
      </c>
    </row>
    <row r="6869" spans="1:11" x14ac:dyDescent="0.2">
      <c r="A6869" s="27" t="s">
        <v>16149</v>
      </c>
      <c r="B6869" s="27" t="s">
        <v>16150</v>
      </c>
      <c r="C6869" s="27" t="s">
        <v>16151</v>
      </c>
      <c r="D6869" s="27" t="s">
        <v>17</v>
      </c>
      <c r="E6869" s="27" t="s">
        <v>48</v>
      </c>
      <c r="F6869" s="27" t="s">
        <v>49</v>
      </c>
      <c r="G6869" s="27" t="s">
        <v>28</v>
      </c>
      <c r="H6869" s="29">
        <v>160</v>
      </c>
      <c r="I6869" s="27" t="s">
        <v>29</v>
      </c>
      <c r="J6869" s="37">
        <v>45877</v>
      </c>
      <c r="K6869" s="27" t="s">
        <v>22</v>
      </c>
    </row>
    <row r="6870" spans="1:11" x14ac:dyDescent="0.2">
      <c r="A6870" s="24" t="s">
        <v>16152</v>
      </c>
      <c r="B6870" s="24" t="s">
        <v>16153</v>
      </c>
      <c r="C6870" s="24" t="s">
        <v>2669</v>
      </c>
      <c r="D6870" s="24" t="s">
        <v>17</v>
      </c>
      <c r="E6870" s="24" t="s">
        <v>18</v>
      </c>
      <c r="F6870" s="24" t="s">
        <v>19</v>
      </c>
      <c r="G6870" s="24" t="s">
        <v>28</v>
      </c>
      <c r="H6870" s="26">
        <v>160</v>
      </c>
      <c r="I6870" s="24" t="s">
        <v>29</v>
      </c>
      <c r="J6870" s="36">
        <v>45880</v>
      </c>
      <c r="K6870" s="24" t="s">
        <v>22</v>
      </c>
    </row>
    <row r="6871" spans="1:11" x14ac:dyDescent="0.2">
      <c r="A6871" s="27" t="s">
        <v>16154</v>
      </c>
      <c r="B6871" s="27" t="s">
        <v>16155</v>
      </c>
      <c r="C6871" s="27" t="s">
        <v>4462</v>
      </c>
      <c r="D6871" s="27" t="s">
        <v>17</v>
      </c>
      <c r="E6871" s="27" t="s">
        <v>48</v>
      </c>
      <c r="F6871" s="27" t="s">
        <v>49</v>
      </c>
      <c r="G6871" s="27" t="s">
        <v>44</v>
      </c>
      <c r="H6871" s="29">
        <v>30</v>
      </c>
      <c r="I6871" s="27" t="s">
        <v>29</v>
      </c>
      <c r="J6871" s="37">
        <v>45889</v>
      </c>
      <c r="K6871" s="27" t="s">
        <v>22</v>
      </c>
    </row>
    <row r="6872" spans="1:11" x14ac:dyDescent="0.2">
      <c r="A6872" s="24" t="s">
        <v>16156</v>
      </c>
      <c r="B6872" s="24" t="s">
        <v>16157</v>
      </c>
      <c r="C6872" s="24" t="s">
        <v>298</v>
      </c>
      <c r="D6872" s="24" t="s">
        <v>17</v>
      </c>
      <c r="E6872" s="24" t="s">
        <v>18</v>
      </c>
      <c r="F6872" s="24" t="s">
        <v>19</v>
      </c>
      <c r="G6872" s="24" t="s">
        <v>28</v>
      </c>
      <c r="H6872" s="26">
        <v>178</v>
      </c>
      <c r="I6872" s="24" t="s">
        <v>29</v>
      </c>
      <c r="J6872" s="36">
        <v>45897</v>
      </c>
      <c r="K6872" s="24" t="s">
        <v>22</v>
      </c>
    </row>
    <row r="6873" spans="1:11" x14ac:dyDescent="0.2">
      <c r="A6873" s="27" t="s">
        <v>16158</v>
      </c>
      <c r="B6873" s="27" t="s">
        <v>16159</v>
      </c>
      <c r="C6873" s="27" t="s">
        <v>55</v>
      </c>
      <c r="D6873" s="27" t="s">
        <v>17</v>
      </c>
      <c r="E6873" s="27" t="s">
        <v>18</v>
      </c>
      <c r="F6873" s="27" t="s">
        <v>19</v>
      </c>
      <c r="G6873" s="27" t="s">
        <v>20</v>
      </c>
      <c r="H6873" s="29">
        <v>14</v>
      </c>
      <c r="I6873" s="27" t="s">
        <v>21</v>
      </c>
      <c r="J6873" s="37">
        <v>45887</v>
      </c>
      <c r="K6873" s="27" t="s">
        <v>22</v>
      </c>
    </row>
    <row r="6874" spans="1:11" x14ac:dyDescent="0.2">
      <c r="A6874" s="24" t="s">
        <v>16160</v>
      </c>
      <c r="B6874" s="24" t="s">
        <v>16161</v>
      </c>
      <c r="C6874" s="24" t="s">
        <v>8165</v>
      </c>
      <c r="D6874" s="24" t="s">
        <v>17</v>
      </c>
      <c r="E6874" s="24" t="s">
        <v>48</v>
      </c>
      <c r="F6874" s="24" t="s">
        <v>49</v>
      </c>
      <c r="G6874" s="24" t="s">
        <v>28</v>
      </c>
      <c r="H6874" s="26">
        <v>270</v>
      </c>
      <c r="I6874" s="24" t="s">
        <v>29</v>
      </c>
      <c r="J6874" s="36">
        <v>45896</v>
      </c>
      <c r="K6874" s="24" t="s">
        <v>22</v>
      </c>
    </row>
    <row r="6875" spans="1:11" x14ac:dyDescent="0.2">
      <c r="A6875" s="27" t="s">
        <v>16162</v>
      </c>
      <c r="B6875" s="27" t="s">
        <v>16163</v>
      </c>
      <c r="C6875" s="27" t="s">
        <v>16164</v>
      </c>
      <c r="D6875" s="27" t="s">
        <v>17</v>
      </c>
      <c r="E6875" s="27" t="s">
        <v>42</v>
      </c>
      <c r="F6875" s="27" t="s">
        <v>43</v>
      </c>
      <c r="G6875" s="27" t="s">
        <v>28</v>
      </c>
      <c r="H6875" s="29">
        <v>300</v>
      </c>
      <c r="I6875" s="27" t="s">
        <v>29</v>
      </c>
      <c r="J6875" s="37">
        <v>45896</v>
      </c>
      <c r="K6875" s="27" t="s">
        <v>22</v>
      </c>
    </row>
    <row r="6876" spans="1:11" x14ac:dyDescent="0.2">
      <c r="A6876" s="24" t="s">
        <v>16165</v>
      </c>
      <c r="B6876" s="24" t="s">
        <v>16166</v>
      </c>
      <c r="C6876" s="24" t="s">
        <v>388</v>
      </c>
      <c r="D6876" s="24" t="s">
        <v>17</v>
      </c>
      <c r="E6876" s="24" t="s">
        <v>42</v>
      </c>
      <c r="F6876" s="24" t="s">
        <v>43</v>
      </c>
      <c r="G6876" s="24" t="s">
        <v>20</v>
      </c>
      <c r="H6876" s="26">
        <v>84</v>
      </c>
      <c r="I6876" s="24" t="s">
        <v>21</v>
      </c>
      <c r="J6876" s="36">
        <v>45887</v>
      </c>
      <c r="K6876" s="24" t="s">
        <v>22</v>
      </c>
    </row>
    <row r="6877" spans="1:11" x14ac:dyDescent="0.2">
      <c r="A6877" s="27" t="s">
        <v>16167</v>
      </c>
      <c r="B6877" s="27" t="s">
        <v>16168</v>
      </c>
      <c r="C6877" s="27" t="s">
        <v>4253</v>
      </c>
      <c r="D6877" s="27" t="s">
        <v>17</v>
      </c>
      <c r="E6877" s="27" t="s">
        <v>18</v>
      </c>
      <c r="F6877" s="27" t="s">
        <v>19</v>
      </c>
      <c r="G6877" s="27" t="s">
        <v>28</v>
      </c>
      <c r="H6877" s="29">
        <v>20</v>
      </c>
      <c r="I6877" s="27" t="s">
        <v>29</v>
      </c>
      <c r="J6877" s="37">
        <v>45891</v>
      </c>
      <c r="K6877" s="27" t="s">
        <v>22</v>
      </c>
    </row>
    <row r="6878" spans="1:11" x14ac:dyDescent="0.2">
      <c r="A6878" s="24" t="s">
        <v>16169</v>
      </c>
      <c r="B6878" s="24" t="s">
        <v>16170</v>
      </c>
      <c r="C6878" s="24" t="s">
        <v>55</v>
      </c>
      <c r="D6878" s="24" t="s">
        <v>17</v>
      </c>
      <c r="E6878" s="24" t="s">
        <v>18</v>
      </c>
      <c r="F6878" s="24" t="s">
        <v>19</v>
      </c>
      <c r="G6878" s="24" t="s">
        <v>20</v>
      </c>
      <c r="H6878" s="26">
        <v>9</v>
      </c>
      <c r="I6878" s="24" t="s">
        <v>21</v>
      </c>
      <c r="J6878" s="36">
        <v>45889</v>
      </c>
      <c r="K6878" s="24" t="s">
        <v>22</v>
      </c>
    </row>
    <row r="6879" spans="1:11" x14ac:dyDescent="0.2">
      <c r="A6879" s="27" t="s">
        <v>16171</v>
      </c>
      <c r="B6879" s="27" t="s">
        <v>16172</v>
      </c>
      <c r="C6879" s="27" t="s">
        <v>882</v>
      </c>
      <c r="D6879" s="27" t="s">
        <v>17</v>
      </c>
      <c r="E6879" s="27" t="s">
        <v>42</v>
      </c>
      <c r="F6879" s="27" t="s">
        <v>43</v>
      </c>
      <c r="G6879" s="27" t="s">
        <v>28</v>
      </c>
      <c r="H6879" s="29">
        <v>224</v>
      </c>
      <c r="I6879" s="27" t="s">
        <v>29</v>
      </c>
      <c r="J6879" s="37">
        <v>45881</v>
      </c>
      <c r="K6879" s="27" t="s">
        <v>22</v>
      </c>
    </row>
    <row r="6880" spans="1:11" x14ac:dyDescent="0.2">
      <c r="A6880" s="24" t="s">
        <v>16173</v>
      </c>
      <c r="B6880" s="24" t="s">
        <v>16174</v>
      </c>
      <c r="C6880" s="24" t="s">
        <v>97</v>
      </c>
      <c r="D6880" s="24" t="s">
        <v>17</v>
      </c>
      <c r="E6880" s="24" t="s">
        <v>18</v>
      </c>
      <c r="F6880" s="24" t="s">
        <v>19</v>
      </c>
      <c r="G6880" s="24" t="s">
        <v>28</v>
      </c>
      <c r="H6880" s="26">
        <v>50</v>
      </c>
      <c r="I6880" s="24" t="s">
        <v>29</v>
      </c>
      <c r="J6880" s="36">
        <v>45887</v>
      </c>
      <c r="K6880" s="24" t="s">
        <v>22</v>
      </c>
    </row>
    <row r="6881" spans="1:11" x14ac:dyDescent="0.2">
      <c r="A6881" s="27" t="s">
        <v>16175</v>
      </c>
      <c r="B6881" s="27" t="s">
        <v>16176</v>
      </c>
      <c r="C6881" s="27" t="s">
        <v>85</v>
      </c>
      <c r="D6881" s="27" t="s">
        <v>17</v>
      </c>
      <c r="E6881" s="27" t="s">
        <v>33</v>
      </c>
      <c r="F6881" s="27" t="s">
        <v>34</v>
      </c>
      <c r="G6881" s="27" t="s">
        <v>28</v>
      </c>
      <c r="H6881" s="29">
        <v>694</v>
      </c>
      <c r="I6881" s="27" t="s">
        <v>29</v>
      </c>
      <c r="J6881" s="37">
        <v>45872</v>
      </c>
      <c r="K6881" s="27" t="s">
        <v>22</v>
      </c>
    </row>
    <row r="6882" spans="1:11" x14ac:dyDescent="0.2">
      <c r="A6882" s="24" t="s">
        <v>16177</v>
      </c>
      <c r="B6882" s="24" t="s">
        <v>16178</v>
      </c>
      <c r="C6882" s="24" t="s">
        <v>526</v>
      </c>
      <c r="D6882" s="24" t="s">
        <v>17</v>
      </c>
      <c r="E6882" s="24" t="s">
        <v>18</v>
      </c>
      <c r="F6882" s="24" t="s">
        <v>19</v>
      </c>
      <c r="G6882" s="24" t="s">
        <v>28</v>
      </c>
      <c r="H6882" s="26">
        <v>421</v>
      </c>
      <c r="I6882" s="24" t="s">
        <v>29</v>
      </c>
      <c r="J6882" s="36">
        <v>45875</v>
      </c>
      <c r="K6882" s="24" t="s">
        <v>22</v>
      </c>
    </row>
    <row r="6883" spans="1:11" x14ac:dyDescent="0.2">
      <c r="A6883" s="27" t="s">
        <v>16179</v>
      </c>
      <c r="B6883" s="27" t="s">
        <v>16180</v>
      </c>
      <c r="C6883" s="27" t="s">
        <v>97</v>
      </c>
      <c r="D6883" s="27" t="s">
        <v>17</v>
      </c>
      <c r="E6883" s="27" t="s">
        <v>42</v>
      </c>
      <c r="F6883" s="27" t="s">
        <v>43</v>
      </c>
      <c r="G6883" s="27" t="s">
        <v>28</v>
      </c>
      <c r="H6883" s="29">
        <v>700</v>
      </c>
      <c r="I6883" s="27" t="s">
        <v>29</v>
      </c>
      <c r="J6883" s="37">
        <v>45875</v>
      </c>
      <c r="K6883" s="27" t="s">
        <v>22</v>
      </c>
    </row>
    <row r="6884" spans="1:11" x14ac:dyDescent="0.2">
      <c r="A6884" s="24" t="s">
        <v>16181</v>
      </c>
      <c r="B6884" s="24" t="s">
        <v>16182</v>
      </c>
      <c r="C6884" s="24" t="s">
        <v>140</v>
      </c>
      <c r="D6884" s="24" t="s">
        <v>17</v>
      </c>
      <c r="E6884" s="24" t="s">
        <v>18</v>
      </c>
      <c r="F6884" s="24" t="s">
        <v>19</v>
      </c>
      <c r="G6884" s="24" t="s">
        <v>28</v>
      </c>
      <c r="H6884" s="26">
        <v>110</v>
      </c>
      <c r="I6884" s="24" t="s">
        <v>29</v>
      </c>
      <c r="J6884" s="36">
        <v>45897</v>
      </c>
      <c r="K6884" s="24" t="s">
        <v>22</v>
      </c>
    </row>
    <row r="6885" spans="1:11" x14ac:dyDescent="0.2">
      <c r="A6885" s="27" t="s">
        <v>16183</v>
      </c>
      <c r="B6885" s="27" t="s">
        <v>16184</v>
      </c>
      <c r="C6885" s="27" t="s">
        <v>3183</v>
      </c>
      <c r="D6885" s="27" t="s">
        <v>17</v>
      </c>
      <c r="E6885" s="27" t="s">
        <v>42</v>
      </c>
      <c r="F6885" s="27" t="s">
        <v>43</v>
      </c>
      <c r="G6885" s="27" t="s">
        <v>217</v>
      </c>
      <c r="H6885" s="29">
        <v>1300</v>
      </c>
      <c r="I6885" s="27" t="s">
        <v>29</v>
      </c>
      <c r="J6885" s="37">
        <v>45870</v>
      </c>
      <c r="K6885" s="27" t="s">
        <v>22</v>
      </c>
    </row>
    <row r="6886" spans="1:11" x14ac:dyDescent="0.2">
      <c r="A6886" s="24" t="s">
        <v>16185</v>
      </c>
      <c r="B6886" s="24" t="s">
        <v>16186</v>
      </c>
      <c r="C6886" s="24" t="s">
        <v>16187</v>
      </c>
      <c r="D6886" s="24" t="s">
        <v>17</v>
      </c>
      <c r="E6886" s="24" t="s">
        <v>48</v>
      </c>
      <c r="F6886" s="24" t="s">
        <v>49</v>
      </c>
      <c r="G6886" s="24" t="s">
        <v>44</v>
      </c>
      <c r="H6886" s="26">
        <v>35</v>
      </c>
      <c r="I6886" s="24" t="s">
        <v>29</v>
      </c>
      <c r="J6886" s="36">
        <v>45897</v>
      </c>
      <c r="K6886" s="24" t="s">
        <v>22</v>
      </c>
    </row>
    <row r="6887" spans="1:11" x14ac:dyDescent="0.2">
      <c r="A6887" s="27" t="s">
        <v>16188</v>
      </c>
      <c r="B6887" s="27" t="s">
        <v>16189</v>
      </c>
      <c r="C6887" s="27" t="s">
        <v>595</v>
      </c>
      <c r="D6887" s="27" t="s">
        <v>17</v>
      </c>
      <c r="E6887" s="27" t="s">
        <v>18</v>
      </c>
      <c r="F6887" s="27" t="s">
        <v>19</v>
      </c>
      <c r="G6887" s="27" t="s">
        <v>28</v>
      </c>
      <c r="H6887" s="29">
        <v>30</v>
      </c>
      <c r="I6887" s="27" t="s">
        <v>29</v>
      </c>
      <c r="J6887" s="37">
        <v>45870</v>
      </c>
      <c r="K6887" s="27" t="s">
        <v>22</v>
      </c>
    </row>
    <row r="6888" spans="1:11" x14ac:dyDescent="0.2">
      <c r="A6888" s="24" t="s">
        <v>16190</v>
      </c>
      <c r="B6888" s="24" t="s">
        <v>16191</v>
      </c>
      <c r="C6888" s="24" t="s">
        <v>4090</v>
      </c>
      <c r="D6888" s="24" t="s">
        <v>17</v>
      </c>
      <c r="E6888" s="24" t="s">
        <v>18</v>
      </c>
      <c r="F6888" s="24" t="s">
        <v>19</v>
      </c>
      <c r="G6888" s="24" t="s">
        <v>28</v>
      </c>
      <c r="H6888" s="26">
        <v>8</v>
      </c>
      <c r="I6888" s="24" t="s">
        <v>29</v>
      </c>
      <c r="J6888" s="36">
        <v>45891</v>
      </c>
      <c r="K6888" s="24" t="s">
        <v>22</v>
      </c>
    </row>
    <row r="6889" spans="1:11" x14ac:dyDescent="0.2">
      <c r="A6889" s="27" t="s">
        <v>16192</v>
      </c>
      <c r="B6889" s="27" t="s">
        <v>16193</v>
      </c>
      <c r="C6889" s="27" t="s">
        <v>1147</v>
      </c>
      <c r="D6889" s="27" t="s">
        <v>17</v>
      </c>
      <c r="E6889" s="27" t="s">
        <v>48</v>
      </c>
      <c r="F6889" s="27" t="s">
        <v>49</v>
      </c>
      <c r="G6889" s="27" t="s">
        <v>28</v>
      </c>
      <c r="H6889" s="29">
        <v>200</v>
      </c>
      <c r="I6889" s="27" t="s">
        <v>29</v>
      </c>
      <c r="J6889" s="37">
        <v>45881</v>
      </c>
      <c r="K6889" s="27" t="s">
        <v>22</v>
      </c>
    </row>
    <row r="6890" spans="1:11" x14ac:dyDescent="0.2">
      <c r="A6890" s="24" t="s">
        <v>16194</v>
      </c>
      <c r="B6890" s="24" t="s">
        <v>16195</v>
      </c>
      <c r="C6890" s="24" t="s">
        <v>16196</v>
      </c>
      <c r="D6890" s="24" t="s">
        <v>17</v>
      </c>
      <c r="E6890" s="24" t="s">
        <v>26</v>
      </c>
      <c r="F6890" s="24" t="s">
        <v>27</v>
      </c>
      <c r="G6890" s="24" t="s">
        <v>28</v>
      </c>
      <c r="H6890" s="26">
        <v>43</v>
      </c>
      <c r="I6890" s="24" t="s">
        <v>29</v>
      </c>
      <c r="J6890" s="36">
        <v>45891</v>
      </c>
      <c r="K6890" s="24" t="s">
        <v>22</v>
      </c>
    </row>
    <row r="6891" spans="1:11" x14ac:dyDescent="0.2">
      <c r="A6891" s="27" t="s">
        <v>16197</v>
      </c>
      <c r="B6891" s="27" t="s">
        <v>16198</v>
      </c>
      <c r="C6891" s="27" t="s">
        <v>4888</v>
      </c>
      <c r="D6891" s="27" t="s">
        <v>17</v>
      </c>
      <c r="E6891" s="27" t="s">
        <v>48</v>
      </c>
      <c r="F6891" s="27" t="s">
        <v>49</v>
      </c>
      <c r="G6891" s="27" t="s">
        <v>28</v>
      </c>
      <c r="H6891" s="29">
        <v>10</v>
      </c>
      <c r="I6891" s="27" t="s">
        <v>29</v>
      </c>
      <c r="J6891" s="37">
        <v>45895</v>
      </c>
      <c r="K6891" s="27" t="s">
        <v>22</v>
      </c>
    </row>
    <row r="6892" spans="1:11" x14ac:dyDescent="0.2">
      <c r="A6892" s="24" t="s">
        <v>16199</v>
      </c>
      <c r="B6892" s="24" t="s">
        <v>16200</v>
      </c>
      <c r="C6892" s="24" t="s">
        <v>1417</v>
      </c>
      <c r="D6892" s="24" t="s">
        <v>17</v>
      </c>
      <c r="E6892" s="24" t="s">
        <v>18</v>
      </c>
      <c r="F6892" s="24" t="s">
        <v>19</v>
      </c>
      <c r="G6892" s="24" t="s">
        <v>217</v>
      </c>
      <c r="H6892" s="26">
        <v>66</v>
      </c>
      <c r="I6892" s="24" t="s">
        <v>29</v>
      </c>
      <c r="J6892" s="36">
        <v>45870</v>
      </c>
      <c r="K6892" s="24" t="s">
        <v>22</v>
      </c>
    </row>
    <row r="6893" spans="1:11" x14ac:dyDescent="0.2">
      <c r="A6893" s="27" t="s">
        <v>16201</v>
      </c>
      <c r="B6893" s="27" t="s">
        <v>16202</v>
      </c>
      <c r="C6893" s="27" t="s">
        <v>595</v>
      </c>
      <c r="D6893" s="27" t="s">
        <v>17</v>
      </c>
      <c r="E6893" s="27" t="s">
        <v>42</v>
      </c>
      <c r="F6893" s="27" t="s">
        <v>43</v>
      </c>
      <c r="G6893" s="27" t="s">
        <v>28</v>
      </c>
      <c r="H6893" s="29">
        <v>134</v>
      </c>
      <c r="I6893" s="27" t="s">
        <v>29</v>
      </c>
      <c r="J6893" s="37">
        <v>45889</v>
      </c>
      <c r="K6893" s="27" t="s">
        <v>22</v>
      </c>
    </row>
    <row r="6894" spans="1:11" x14ac:dyDescent="0.2">
      <c r="A6894" s="24" t="s">
        <v>16203</v>
      </c>
      <c r="B6894" s="24" t="s">
        <v>16204</v>
      </c>
      <c r="C6894" s="24" t="s">
        <v>140</v>
      </c>
      <c r="D6894" s="24" t="s">
        <v>17</v>
      </c>
      <c r="E6894" s="24" t="s">
        <v>18</v>
      </c>
      <c r="F6894" s="24" t="s">
        <v>19</v>
      </c>
      <c r="G6894" s="24" t="s">
        <v>227</v>
      </c>
      <c r="H6894" s="26">
        <v>24</v>
      </c>
      <c r="I6894" s="24" t="s">
        <v>29</v>
      </c>
      <c r="J6894" s="36">
        <v>45880</v>
      </c>
      <c r="K6894" s="24" t="s">
        <v>22</v>
      </c>
    </row>
    <row r="6895" spans="1:11" x14ac:dyDescent="0.2">
      <c r="A6895" s="27" t="s">
        <v>16205</v>
      </c>
      <c r="B6895" s="27" t="s">
        <v>16206</v>
      </c>
      <c r="C6895" s="27" t="s">
        <v>194</v>
      </c>
      <c r="D6895" s="27" t="s">
        <v>17</v>
      </c>
      <c r="E6895" s="27" t="s">
        <v>48</v>
      </c>
      <c r="F6895" s="27" t="s">
        <v>49</v>
      </c>
      <c r="G6895" s="27" t="s">
        <v>28</v>
      </c>
      <c r="H6895" s="29">
        <v>96</v>
      </c>
      <c r="I6895" s="27" t="s">
        <v>29</v>
      </c>
      <c r="J6895" s="37">
        <v>45890</v>
      </c>
      <c r="K6895" s="27" t="s">
        <v>22</v>
      </c>
    </row>
    <row r="6896" spans="1:11" x14ac:dyDescent="0.2">
      <c r="A6896" s="24" t="s">
        <v>16207</v>
      </c>
      <c r="B6896" s="24" t="s">
        <v>16208</v>
      </c>
      <c r="C6896" s="24" t="s">
        <v>16209</v>
      </c>
      <c r="D6896" s="24" t="s">
        <v>17</v>
      </c>
      <c r="E6896" s="24" t="s">
        <v>48</v>
      </c>
      <c r="F6896" s="24" t="s">
        <v>49</v>
      </c>
      <c r="G6896" s="24" t="s">
        <v>28</v>
      </c>
      <c r="H6896" s="26">
        <v>90</v>
      </c>
      <c r="I6896" s="24" t="s">
        <v>29</v>
      </c>
      <c r="J6896" s="36">
        <v>45870</v>
      </c>
      <c r="K6896" s="24" t="s">
        <v>22</v>
      </c>
    </row>
    <row r="6897" spans="1:11" x14ac:dyDescent="0.2">
      <c r="A6897" s="27" t="s">
        <v>16210</v>
      </c>
      <c r="B6897" s="27" t="s">
        <v>16211</v>
      </c>
      <c r="C6897" s="27" t="s">
        <v>16212</v>
      </c>
      <c r="D6897" s="27" t="s">
        <v>17</v>
      </c>
      <c r="E6897" s="27" t="s">
        <v>48</v>
      </c>
      <c r="F6897" s="27" t="s">
        <v>49</v>
      </c>
      <c r="G6897" s="27" t="s">
        <v>28</v>
      </c>
      <c r="H6897" s="29">
        <v>40</v>
      </c>
      <c r="I6897" s="27" t="s">
        <v>29</v>
      </c>
      <c r="J6897" s="37">
        <v>45895</v>
      </c>
      <c r="K6897" s="27" t="s">
        <v>22</v>
      </c>
    </row>
    <row r="6898" spans="1:11" x14ac:dyDescent="0.2">
      <c r="A6898" s="24" t="s">
        <v>16213</v>
      </c>
      <c r="B6898" s="24" t="s">
        <v>16214</v>
      </c>
      <c r="C6898" s="24" t="s">
        <v>213</v>
      </c>
      <c r="D6898" s="24" t="s">
        <v>17</v>
      </c>
      <c r="E6898" s="24" t="s">
        <v>18</v>
      </c>
      <c r="F6898" s="24" t="s">
        <v>19</v>
      </c>
      <c r="G6898" s="24" t="s">
        <v>28</v>
      </c>
      <c r="H6898" s="26">
        <v>92</v>
      </c>
      <c r="I6898" s="24" t="s">
        <v>29</v>
      </c>
      <c r="J6898" s="36">
        <v>45882</v>
      </c>
      <c r="K6898" s="24" t="s">
        <v>22</v>
      </c>
    </row>
    <row r="6899" spans="1:11" x14ac:dyDescent="0.2">
      <c r="A6899" s="27" t="s">
        <v>16215</v>
      </c>
      <c r="B6899" s="27" t="s">
        <v>16216</v>
      </c>
      <c r="C6899" s="27" t="s">
        <v>14313</v>
      </c>
      <c r="D6899" s="27" t="s">
        <v>17</v>
      </c>
      <c r="E6899" s="27" t="s">
        <v>48</v>
      </c>
      <c r="F6899" s="27" t="s">
        <v>49</v>
      </c>
      <c r="G6899" s="27" t="s">
        <v>217</v>
      </c>
      <c r="H6899" s="29">
        <v>116</v>
      </c>
      <c r="I6899" s="27" t="s">
        <v>29</v>
      </c>
      <c r="J6899" s="37">
        <v>45896</v>
      </c>
      <c r="K6899" s="27" t="s">
        <v>22</v>
      </c>
    </row>
    <row r="6900" spans="1:11" x14ac:dyDescent="0.2">
      <c r="A6900" s="24" t="s">
        <v>16217</v>
      </c>
      <c r="B6900" s="24" t="s">
        <v>16218</v>
      </c>
      <c r="C6900" s="24" t="s">
        <v>16219</v>
      </c>
      <c r="D6900" s="24" t="s">
        <v>17</v>
      </c>
      <c r="E6900" s="24" t="s">
        <v>48</v>
      </c>
      <c r="F6900" s="24" t="s">
        <v>49</v>
      </c>
      <c r="G6900" s="24" t="s">
        <v>217</v>
      </c>
      <c r="H6900" s="26">
        <v>200</v>
      </c>
      <c r="I6900" s="24" t="s">
        <v>29</v>
      </c>
      <c r="J6900" s="36">
        <v>45870</v>
      </c>
      <c r="K6900" s="24" t="s">
        <v>22</v>
      </c>
    </row>
    <row r="6901" spans="1:11" x14ac:dyDescent="0.2">
      <c r="A6901" s="27" t="s">
        <v>16220</v>
      </c>
      <c r="B6901" s="27" t="s">
        <v>16221</v>
      </c>
      <c r="C6901" s="27" t="s">
        <v>15947</v>
      </c>
      <c r="D6901" s="27" t="s">
        <v>17</v>
      </c>
      <c r="E6901" s="27" t="s">
        <v>18</v>
      </c>
      <c r="F6901" s="27" t="s">
        <v>19</v>
      </c>
      <c r="G6901" s="27" t="s">
        <v>217</v>
      </c>
      <c r="H6901" s="29">
        <v>58</v>
      </c>
      <c r="I6901" s="27" t="s">
        <v>29</v>
      </c>
      <c r="J6901" s="37">
        <v>45877</v>
      </c>
      <c r="K6901" s="27" t="s">
        <v>22</v>
      </c>
    </row>
    <row r="6902" spans="1:11" x14ac:dyDescent="0.2">
      <c r="A6902" s="24" t="s">
        <v>16222</v>
      </c>
      <c r="B6902" s="24" t="s">
        <v>16223</v>
      </c>
      <c r="C6902" s="24" t="s">
        <v>1921</v>
      </c>
      <c r="D6902" s="24" t="s">
        <v>17</v>
      </c>
      <c r="E6902" s="24" t="s">
        <v>26</v>
      </c>
      <c r="F6902" s="24" t="s">
        <v>27</v>
      </c>
      <c r="G6902" s="24" t="s">
        <v>28</v>
      </c>
      <c r="H6902" s="26">
        <v>150</v>
      </c>
      <c r="I6902" s="24" t="s">
        <v>29</v>
      </c>
      <c r="J6902" s="36">
        <v>45888</v>
      </c>
      <c r="K6902" s="24" t="s">
        <v>22</v>
      </c>
    </row>
    <row r="6903" spans="1:11" x14ac:dyDescent="0.2">
      <c r="A6903" s="27" t="s">
        <v>16224</v>
      </c>
      <c r="B6903" s="27" t="s">
        <v>16225</v>
      </c>
      <c r="C6903" s="27" t="s">
        <v>15805</v>
      </c>
      <c r="D6903" s="27" t="s">
        <v>17</v>
      </c>
      <c r="E6903" s="27" t="s">
        <v>18</v>
      </c>
      <c r="F6903" s="27" t="s">
        <v>19</v>
      </c>
      <c r="G6903" s="27" t="s">
        <v>217</v>
      </c>
      <c r="H6903" s="29">
        <v>126</v>
      </c>
      <c r="I6903" s="27" t="s">
        <v>29</v>
      </c>
      <c r="J6903" s="37">
        <v>45900</v>
      </c>
      <c r="K6903" s="27" t="s">
        <v>22</v>
      </c>
    </row>
    <row r="6904" spans="1:11" x14ac:dyDescent="0.2">
      <c r="A6904" s="24" t="s">
        <v>16226</v>
      </c>
      <c r="B6904" s="24" t="s">
        <v>16227</v>
      </c>
      <c r="C6904" s="24" t="s">
        <v>1788</v>
      </c>
      <c r="D6904" s="24" t="s">
        <v>17</v>
      </c>
      <c r="E6904" s="24" t="s">
        <v>48</v>
      </c>
      <c r="F6904" s="24" t="s">
        <v>49</v>
      </c>
      <c r="G6904" s="24" t="s">
        <v>28</v>
      </c>
      <c r="H6904" s="26">
        <v>180</v>
      </c>
      <c r="I6904" s="24" t="s">
        <v>29</v>
      </c>
      <c r="J6904" s="36">
        <v>45875</v>
      </c>
      <c r="K6904" s="24" t="s">
        <v>22</v>
      </c>
    </row>
    <row r="6905" spans="1:11" x14ac:dyDescent="0.2">
      <c r="A6905" s="27" t="s">
        <v>16228</v>
      </c>
      <c r="B6905" s="27" t="s">
        <v>16229</v>
      </c>
      <c r="C6905" s="27" t="s">
        <v>15284</v>
      </c>
      <c r="D6905" s="27" t="s">
        <v>17</v>
      </c>
      <c r="E6905" s="27" t="s">
        <v>48</v>
      </c>
      <c r="F6905" s="27" t="s">
        <v>49</v>
      </c>
      <c r="G6905" s="27" t="s">
        <v>28</v>
      </c>
      <c r="H6905" s="29">
        <v>114</v>
      </c>
      <c r="I6905" s="27" t="s">
        <v>29</v>
      </c>
      <c r="J6905" s="37">
        <v>45875</v>
      </c>
      <c r="K6905" s="27" t="s">
        <v>22</v>
      </c>
    </row>
    <row r="6906" spans="1:11" x14ac:dyDescent="0.2">
      <c r="A6906" s="24" t="s">
        <v>16230</v>
      </c>
      <c r="B6906" s="24" t="s">
        <v>16231</v>
      </c>
      <c r="C6906" s="24" t="s">
        <v>1444</v>
      </c>
      <c r="D6906" s="24" t="s">
        <v>17</v>
      </c>
      <c r="E6906" s="24" t="s">
        <v>48</v>
      </c>
      <c r="F6906" s="24" t="s">
        <v>49</v>
      </c>
      <c r="G6906" s="24" t="s">
        <v>28</v>
      </c>
      <c r="H6906" s="26">
        <v>192</v>
      </c>
      <c r="I6906" s="24" t="s">
        <v>29</v>
      </c>
      <c r="J6906" s="36">
        <v>45898</v>
      </c>
      <c r="K6906" s="24" t="s">
        <v>22</v>
      </c>
    </row>
    <row r="6907" spans="1:11" x14ac:dyDescent="0.2">
      <c r="A6907" s="27" t="s">
        <v>16232</v>
      </c>
      <c r="B6907" s="27" t="s">
        <v>16233</v>
      </c>
      <c r="C6907" s="27" t="s">
        <v>1938</v>
      </c>
      <c r="D6907" s="27" t="s">
        <v>17</v>
      </c>
      <c r="E6907" s="27" t="s">
        <v>18</v>
      </c>
      <c r="F6907" s="27" t="s">
        <v>19</v>
      </c>
      <c r="G6907" s="27" t="s">
        <v>28</v>
      </c>
      <c r="H6907" s="29">
        <v>52</v>
      </c>
      <c r="I6907" s="27" t="s">
        <v>29</v>
      </c>
      <c r="J6907" s="37">
        <v>45880</v>
      </c>
      <c r="K6907" s="27" t="s">
        <v>22</v>
      </c>
    </row>
    <row r="6908" spans="1:11" x14ac:dyDescent="0.2">
      <c r="A6908" s="24" t="s">
        <v>16234</v>
      </c>
      <c r="B6908" s="24" t="s">
        <v>16235</v>
      </c>
      <c r="C6908" s="24" t="s">
        <v>14357</v>
      </c>
      <c r="D6908" s="24" t="s">
        <v>17</v>
      </c>
      <c r="E6908" s="24" t="s">
        <v>18</v>
      </c>
      <c r="F6908" s="24" t="s">
        <v>19</v>
      </c>
      <c r="G6908" s="24" t="s">
        <v>28</v>
      </c>
      <c r="H6908" s="26">
        <v>45</v>
      </c>
      <c r="I6908" s="24" t="s">
        <v>29</v>
      </c>
      <c r="J6908" s="36">
        <v>45880</v>
      </c>
      <c r="K6908" s="24" t="s">
        <v>22</v>
      </c>
    </row>
    <row r="6909" spans="1:11" x14ac:dyDescent="0.2">
      <c r="A6909" s="27" t="s">
        <v>16236</v>
      </c>
      <c r="B6909" s="27" t="s">
        <v>16237</v>
      </c>
      <c r="C6909" s="27" t="s">
        <v>687</v>
      </c>
      <c r="D6909" s="27" t="s">
        <v>17</v>
      </c>
      <c r="E6909" s="27" t="s">
        <v>18</v>
      </c>
      <c r="F6909" s="27" t="s">
        <v>19</v>
      </c>
      <c r="G6909" s="27" t="s">
        <v>20</v>
      </c>
      <c r="H6909" s="29">
        <v>36</v>
      </c>
      <c r="I6909" s="27" t="s">
        <v>21</v>
      </c>
      <c r="J6909" s="37">
        <v>45880</v>
      </c>
      <c r="K6909" s="27" t="s">
        <v>22</v>
      </c>
    </row>
    <row r="6910" spans="1:11" x14ac:dyDescent="0.2">
      <c r="A6910" s="24" t="s">
        <v>16238</v>
      </c>
      <c r="B6910" s="24" t="s">
        <v>16239</v>
      </c>
      <c r="C6910" s="24" t="s">
        <v>494</v>
      </c>
      <c r="D6910" s="24" t="s">
        <v>17</v>
      </c>
      <c r="E6910" s="24" t="s">
        <v>48</v>
      </c>
      <c r="F6910" s="24" t="s">
        <v>49</v>
      </c>
      <c r="G6910" s="24" t="s">
        <v>217</v>
      </c>
      <c r="H6910" s="26">
        <v>320</v>
      </c>
      <c r="I6910" s="24" t="s">
        <v>29</v>
      </c>
      <c r="J6910" s="36">
        <v>45870</v>
      </c>
      <c r="K6910" s="24" t="s">
        <v>22</v>
      </c>
    </row>
    <row r="6911" spans="1:11" x14ac:dyDescent="0.2">
      <c r="A6911" s="27" t="s">
        <v>16240</v>
      </c>
      <c r="B6911" s="27" t="s">
        <v>16241</v>
      </c>
      <c r="C6911" s="27" t="s">
        <v>6768</v>
      </c>
      <c r="D6911" s="27" t="s">
        <v>17</v>
      </c>
      <c r="E6911" s="27" t="s">
        <v>48</v>
      </c>
      <c r="F6911" s="27" t="s">
        <v>49</v>
      </c>
      <c r="G6911" s="27" t="s">
        <v>28</v>
      </c>
      <c r="H6911" s="29">
        <v>40</v>
      </c>
      <c r="I6911" s="27" t="s">
        <v>29</v>
      </c>
      <c r="J6911" s="37">
        <v>45887</v>
      </c>
      <c r="K6911" s="27" t="s">
        <v>22</v>
      </c>
    </row>
    <row r="6912" spans="1:11" x14ac:dyDescent="0.2">
      <c r="A6912" s="24" t="s">
        <v>16242</v>
      </c>
      <c r="B6912" s="24" t="s">
        <v>16243</v>
      </c>
      <c r="C6912" s="24" t="s">
        <v>7320</v>
      </c>
      <c r="D6912" s="24" t="s">
        <v>17</v>
      </c>
      <c r="E6912" s="24" t="s">
        <v>18</v>
      </c>
      <c r="F6912" s="24" t="s">
        <v>19</v>
      </c>
      <c r="G6912" s="24" t="s">
        <v>20</v>
      </c>
      <c r="H6912" s="26">
        <v>16</v>
      </c>
      <c r="I6912" s="24" t="s">
        <v>21</v>
      </c>
      <c r="J6912" s="36">
        <v>45874</v>
      </c>
      <c r="K6912" s="24" t="s">
        <v>22</v>
      </c>
    </row>
    <row r="6913" spans="1:11" x14ac:dyDescent="0.2">
      <c r="A6913" s="27" t="s">
        <v>16244</v>
      </c>
      <c r="B6913" s="27" t="s">
        <v>16245</v>
      </c>
      <c r="C6913" s="27" t="s">
        <v>16246</v>
      </c>
      <c r="D6913" s="27" t="s">
        <v>17</v>
      </c>
      <c r="E6913" s="27" t="s">
        <v>18</v>
      </c>
      <c r="F6913" s="27" t="s">
        <v>19</v>
      </c>
      <c r="G6913" s="27" t="s">
        <v>217</v>
      </c>
      <c r="H6913" s="29">
        <v>18</v>
      </c>
      <c r="I6913" s="27" t="s">
        <v>29</v>
      </c>
      <c r="J6913" s="37">
        <v>45870</v>
      </c>
      <c r="K6913" s="27" t="s">
        <v>22</v>
      </c>
    </row>
    <row r="6914" spans="1:11" x14ac:dyDescent="0.2">
      <c r="A6914" s="24" t="s">
        <v>16247</v>
      </c>
      <c r="B6914" s="24" t="s">
        <v>16248</v>
      </c>
      <c r="C6914" s="24" t="s">
        <v>16249</v>
      </c>
      <c r="D6914" s="24" t="s">
        <v>17</v>
      </c>
      <c r="E6914" s="24" t="s">
        <v>48</v>
      </c>
      <c r="F6914" s="24" t="s">
        <v>49</v>
      </c>
      <c r="G6914" s="24" t="s">
        <v>28</v>
      </c>
      <c r="H6914" s="26">
        <v>300</v>
      </c>
      <c r="I6914" s="24" t="s">
        <v>29</v>
      </c>
      <c r="J6914" s="36">
        <v>45876</v>
      </c>
      <c r="K6914" s="24" t="s">
        <v>22</v>
      </c>
    </row>
    <row r="6915" spans="1:11" x14ac:dyDescent="0.2">
      <c r="A6915" s="27" t="s">
        <v>16250</v>
      </c>
      <c r="B6915" s="27" t="s">
        <v>16251</v>
      </c>
      <c r="C6915" s="27" t="s">
        <v>15328</v>
      </c>
      <c r="D6915" s="27" t="s">
        <v>17</v>
      </c>
      <c r="E6915" s="27" t="s">
        <v>26</v>
      </c>
      <c r="F6915" s="27" t="s">
        <v>27</v>
      </c>
      <c r="G6915" s="27" t="s">
        <v>257</v>
      </c>
      <c r="H6915" s="29">
        <v>31</v>
      </c>
      <c r="I6915" s="27" t="s">
        <v>29</v>
      </c>
      <c r="J6915" s="37">
        <v>45887</v>
      </c>
      <c r="K6915" s="27" t="s">
        <v>22</v>
      </c>
    </row>
    <row r="6916" spans="1:11" x14ac:dyDescent="0.2">
      <c r="A6916" s="24" t="s">
        <v>16252</v>
      </c>
      <c r="B6916" s="24" t="s">
        <v>16253</v>
      </c>
      <c r="C6916" s="24" t="s">
        <v>15338</v>
      </c>
      <c r="D6916" s="24" t="s">
        <v>17</v>
      </c>
      <c r="E6916" s="24" t="s">
        <v>18</v>
      </c>
      <c r="F6916" s="24" t="s">
        <v>19</v>
      </c>
      <c r="G6916" s="24" t="s">
        <v>28</v>
      </c>
      <c r="H6916" s="26">
        <v>12</v>
      </c>
      <c r="I6916" s="24" t="s">
        <v>29</v>
      </c>
      <c r="J6916" s="36">
        <v>45874</v>
      </c>
      <c r="K6916" s="24" t="s">
        <v>22</v>
      </c>
    </row>
    <row r="6917" spans="1:11" x14ac:dyDescent="0.2">
      <c r="A6917" s="27" t="s">
        <v>16254</v>
      </c>
      <c r="B6917" s="27" t="s">
        <v>16255</v>
      </c>
      <c r="C6917" s="27" t="s">
        <v>437</v>
      </c>
      <c r="D6917" s="27" t="s">
        <v>17</v>
      </c>
      <c r="E6917" s="27" t="s">
        <v>42</v>
      </c>
      <c r="F6917" s="27" t="s">
        <v>43</v>
      </c>
      <c r="G6917" s="27" t="s">
        <v>28</v>
      </c>
      <c r="H6917" s="29">
        <v>11000</v>
      </c>
      <c r="I6917" s="27" t="s">
        <v>29</v>
      </c>
      <c r="J6917" s="37">
        <v>45891</v>
      </c>
      <c r="K6917" s="27" t="s">
        <v>22</v>
      </c>
    </row>
    <row r="6918" spans="1:11" x14ac:dyDescent="0.2">
      <c r="A6918" s="24" t="s">
        <v>16256</v>
      </c>
      <c r="B6918" s="24" t="s">
        <v>16257</v>
      </c>
      <c r="C6918" s="24" t="s">
        <v>16258</v>
      </c>
      <c r="D6918" s="24" t="s">
        <v>17</v>
      </c>
      <c r="E6918" s="24" t="s">
        <v>26</v>
      </c>
      <c r="F6918" s="24" t="s">
        <v>27</v>
      </c>
      <c r="G6918" s="24" t="s">
        <v>217</v>
      </c>
      <c r="H6918" s="26">
        <v>15</v>
      </c>
      <c r="I6918" s="24" t="s">
        <v>29</v>
      </c>
      <c r="J6918" s="36">
        <v>45884</v>
      </c>
      <c r="K6918" s="24" t="s">
        <v>22</v>
      </c>
    </row>
    <row r="6919" spans="1:11" x14ac:dyDescent="0.2">
      <c r="A6919" s="27" t="s">
        <v>16259</v>
      </c>
      <c r="B6919" s="27" t="s">
        <v>16260</v>
      </c>
      <c r="C6919" s="27" t="s">
        <v>2331</v>
      </c>
      <c r="D6919" s="27" t="s">
        <v>17</v>
      </c>
      <c r="E6919" s="27" t="s">
        <v>26</v>
      </c>
      <c r="F6919" s="27" t="s">
        <v>27</v>
      </c>
      <c r="G6919" s="27" t="s">
        <v>28</v>
      </c>
      <c r="H6919" s="29">
        <v>375</v>
      </c>
      <c r="I6919" s="27" t="s">
        <v>29</v>
      </c>
      <c r="J6919" s="37">
        <v>45896</v>
      </c>
      <c r="K6919" s="27" t="s">
        <v>22</v>
      </c>
    </row>
    <row r="6920" spans="1:11" x14ac:dyDescent="0.2">
      <c r="A6920" s="24" t="s">
        <v>16261</v>
      </c>
      <c r="B6920" s="24" t="s">
        <v>16262</v>
      </c>
      <c r="C6920" s="24" t="s">
        <v>213</v>
      </c>
      <c r="D6920" s="24" t="s">
        <v>17</v>
      </c>
      <c r="E6920" s="24" t="s">
        <v>18</v>
      </c>
      <c r="F6920" s="24" t="s">
        <v>19</v>
      </c>
      <c r="G6920" s="24" t="s">
        <v>116</v>
      </c>
      <c r="H6920" s="26">
        <v>0</v>
      </c>
      <c r="I6920" s="24" t="s">
        <v>21</v>
      </c>
      <c r="J6920" s="36">
        <v>45884</v>
      </c>
      <c r="K6920" s="24" t="s">
        <v>22</v>
      </c>
    </row>
    <row r="6921" spans="1:11" x14ac:dyDescent="0.2">
      <c r="A6921" s="27" t="s">
        <v>16263</v>
      </c>
      <c r="B6921" s="27" t="s">
        <v>16264</v>
      </c>
      <c r="C6921" s="27" t="s">
        <v>16265</v>
      </c>
      <c r="D6921" s="27" t="s">
        <v>17</v>
      </c>
      <c r="E6921" s="27" t="s">
        <v>163</v>
      </c>
      <c r="F6921" s="27" t="s">
        <v>164</v>
      </c>
      <c r="G6921" s="27" t="s">
        <v>28</v>
      </c>
      <c r="H6921" s="29">
        <v>6</v>
      </c>
      <c r="I6921" s="27" t="s">
        <v>29</v>
      </c>
      <c r="J6921" s="37">
        <v>45875</v>
      </c>
      <c r="K6921" s="27" t="s">
        <v>22</v>
      </c>
    </row>
    <row r="6922" spans="1:11" x14ac:dyDescent="0.2">
      <c r="A6922" s="24" t="s">
        <v>16266</v>
      </c>
      <c r="B6922" s="24" t="s">
        <v>16267</v>
      </c>
      <c r="C6922" s="24" t="s">
        <v>7909</v>
      </c>
      <c r="D6922" s="24" t="s">
        <v>17</v>
      </c>
      <c r="E6922" s="24" t="s">
        <v>48</v>
      </c>
      <c r="F6922" s="24" t="s">
        <v>49</v>
      </c>
      <c r="G6922" s="24" t="s">
        <v>44</v>
      </c>
      <c r="H6922" s="26">
        <v>36</v>
      </c>
      <c r="I6922" s="24" t="s">
        <v>29</v>
      </c>
      <c r="J6922" s="36">
        <v>45884</v>
      </c>
      <c r="K6922" s="24" t="s">
        <v>22</v>
      </c>
    </row>
    <row r="6923" spans="1:11" x14ac:dyDescent="0.2">
      <c r="A6923" s="27" t="s">
        <v>16268</v>
      </c>
      <c r="B6923" s="27" t="s">
        <v>16269</v>
      </c>
      <c r="C6923" s="27" t="s">
        <v>687</v>
      </c>
      <c r="D6923" s="27" t="s">
        <v>17</v>
      </c>
      <c r="E6923" s="27" t="s">
        <v>81</v>
      </c>
      <c r="F6923" s="27" t="s">
        <v>82</v>
      </c>
      <c r="G6923" s="27" t="s">
        <v>28</v>
      </c>
      <c r="H6923" s="29">
        <v>586</v>
      </c>
      <c r="I6923" s="27" t="s">
        <v>29</v>
      </c>
      <c r="J6923" s="37">
        <v>45884</v>
      </c>
      <c r="K6923" s="27" t="s">
        <v>22</v>
      </c>
    </row>
    <row r="6924" spans="1:11" x14ac:dyDescent="0.2">
      <c r="A6924" s="24" t="s">
        <v>16270</v>
      </c>
      <c r="B6924" s="24" t="s">
        <v>16271</v>
      </c>
      <c r="C6924" s="24" t="s">
        <v>526</v>
      </c>
      <c r="D6924" s="24" t="s">
        <v>17</v>
      </c>
      <c r="E6924" s="24" t="s">
        <v>18</v>
      </c>
      <c r="F6924" s="24" t="s">
        <v>19</v>
      </c>
      <c r="G6924" s="24" t="s">
        <v>28</v>
      </c>
      <c r="H6924" s="26">
        <v>144</v>
      </c>
      <c r="I6924" s="24" t="s">
        <v>29</v>
      </c>
      <c r="J6924" s="36">
        <v>45897</v>
      </c>
      <c r="K6924" s="24" t="s">
        <v>22</v>
      </c>
    </row>
    <row r="6925" spans="1:11" x14ac:dyDescent="0.2">
      <c r="A6925" s="27" t="s">
        <v>16272</v>
      </c>
      <c r="B6925" s="27" t="s">
        <v>16273</v>
      </c>
      <c r="C6925" s="27" t="s">
        <v>298</v>
      </c>
      <c r="D6925" s="27" t="s">
        <v>17</v>
      </c>
      <c r="E6925" s="27" t="s">
        <v>18</v>
      </c>
      <c r="F6925" s="27" t="s">
        <v>19</v>
      </c>
      <c r="G6925" s="27" t="s">
        <v>28</v>
      </c>
      <c r="H6925" s="29">
        <v>16</v>
      </c>
      <c r="I6925" s="27" t="s">
        <v>29</v>
      </c>
      <c r="J6925" s="37">
        <v>45881</v>
      </c>
      <c r="K6925" s="27" t="s">
        <v>22</v>
      </c>
    </row>
    <row r="6926" spans="1:11" x14ac:dyDescent="0.2">
      <c r="A6926" s="24" t="s">
        <v>16274</v>
      </c>
      <c r="B6926" s="24" t="s">
        <v>16275</v>
      </c>
      <c r="C6926" s="24" t="s">
        <v>16276</v>
      </c>
      <c r="D6926" s="24" t="s">
        <v>17</v>
      </c>
      <c r="E6926" s="24" t="s">
        <v>18</v>
      </c>
      <c r="F6926" s="24" t="s">
        <v>19</v>
      </c>
      <c r="G6926" s="24" t="s">
        <v>217</v>
      </c>
      <c r="H6926" s="26">
        <v>39</v>
      </c>
      <c r="I6926" s="24" t="s">
        <v>29</v>
      </c>
      <c r="J6926" s="36">
        <v>45884</v>
      </c>
      <c r="K6926" s="24" t="s">
        <v>22</v>
      </c>
    </row>
    <row r="6927" spans="1:11" x14ac:dyDescent="0.2">
      <c r="A6927" s="27" t="s">
        <v>16277</v>
      </c>
      <c r="B6927" s="27" t="s">
        <v>16278</v>
      </c>
      <c r="C6927" s="27" t="s">
        <v>5746</v>
      </c>
      <c r="D6927" s="27" t="s">
        <v>17</v>
      </c>
      <c r="E6927" s="27" t="s">
        <v>48</v>
      </c>
      <c r="F6927" s="27" t="s">
        <v>49</v>
      </c>
      <c r="G6927" s="27" t="s">
        <v>28</v>
      </c>
      <c r="H6927" s="29">
        <v>31</v>
      </c>
      <c r="I6927" s="27" t="s">
        <v>29</v>
      </c>
      <c r="J6927" s="37">
        <v>45873</v>
      </c>
      <c r="K6927" s="27" t="s">
        <v>22</v>
      </c>
    </row>
    <row r="6928" spans="1:11" x14ac:dyDescent="0.2">
      <c r="A6928" s="24" t="s">
        <v>16279</v>
      </c>
      <c r="B6928" s="24" t="s">
        <v>16280</v>
      </c>
      <c r="C6928" s="24" t="s">
        <v>194</v>
      </c>
      <c r="D6928" s="24" t="s">
        <v>17</v>
      </c>
      <c r="E6928" s="24" t="s">
        <v>42</v>
      </c>
      <c r="F6928" s="24" t="s">
        <v>43</v>
      </c>
      <c r="G6928" s="24" t="s">
        <v>28</v>
      </c>
      <c r="H6928" s="26">
        <v>384</v>
      </c>
      <c r="I6928" s="24" t="s">
        <v>29</v>
      </c>
      <c r="J6928" s="36">
        <v>45873</v>
      </c>
      <c r="K6928" s="24" t="s">
        <v>22</v>
      </c>
    </row>
    <row r="6929" spans="1:11" x14ac:dyDescent="0.2">
      <c r="A6929" s="27" t="s">
        <v>16281</v>
      </c>
      <c r="B6929" s="27" t="s">
        <v>16282</v>
      </c>
      <c r="C6929" s="27" t="s">
        <v>1883</v>
      </c>
      <c r="D6929" s="27" t="s">
        <v>17</v>
      </c>
      <c r="E6929" s="27" t="s">
        <v>18</v>
      </c>
      <c r="F6929" s="27" t="s">
        <v>19</v>
      </c>
      <c r="G6929" s="27" t="s">
        <v>28</v>
      </c>
      <c r="H6929" s="29">
        <v>60</v>
      </c>
      <c r="I6929" s="27" t="s">
        <v>29</v>
      </c>
      <c r="J6929" s="37">
        <v>45880</v>
      </c>
      <c r="K6929" s="27" t="s">
        <v>22</v>
      </c>
    </row>
    <row r="6930" spans="1:11" x14ac:dyDescent="0.2">
      <c r="A6930" s="24" t="s">
        <v>16283</v>
      </c>
      <c r="B6930" s="24" t="s">
        <v>16284</v>
      </c>
      <c r="C6930" s="24" t="s">
        <v>4991</v>
      </c>
      <c r="D6930" s="24" t="s">
        <v>17</v>
      </c>
      <c r="E6930" s="24" t="s">
        <v>42</v>
      </c>
      <c r="F6930" s="24" t="s">
        <v>43</v>
      </c>
      <c r="G6930" s="24" t="s">
        <v>44</v>
      </c>
      <c r="H6930" s="26">
        <v>577</v>
      </c>
      <c r="I6930" s="24" t="s">
        <v>21</v>
      </c>
      <c r="J6930" s="36">
        <v>45881</v>
      </c>
      <c r="K6930" s="24" t="s">
        <v>22</v>
      </c>
    </row>
    <row r="6931" spans="1:11" x14ac:dyDescent="0.2">
      <c r="A6931" s="27" t="s">
        <v>16285</v>
      </c>
      <c r="B6931" s="27" t="s">
        <v>16286</v>
      </c>
      <c r="C6931" s="27" t="s">
        <v>6656</v>
      </c>
      <c r="D6931" s="27" t="s">
        <v>17</v>
      </c>
      <c r="E6931" s="27" t="s">
        <v>81</v>
      </c>
      <c r="F6931" s="27" t="s">
        <v>82</v>
      </c>
      <c r="G6931" s="27" t="s">
        <v>217</v>
      </c>
      <c r="H6931" s="29">
        <v>120</v>
      </c>
      <c r="I6931" s="27" t="s">
        <v>29</v>
      </c>
      <c r="J6931" s="37">
        <v>45870</v>
      </c>
      <c r="K6931" s="27" t="s">
        <v>22</v>
      </c>
    </row>
    <row r="6932" spans="1:11" x14ac:dyDescent="0.2">
      <c r="A6932" s="24" t="s">
        <v>16287</v>
      </c>
      <c r="B6932" s="24" t="s">
        <v>16288</v>
      </c>
      <c r="C6932" s="24" t="s">
        <v>15913</v>
      </c>
      <c r="D6932" s="24" t="s">
        <v>17</v>
      </c>
      <c r="E6932" s="24" t="s">
        <v>48</v>
      </c>
      <c r="F6932" s="24" t="s">
        <v>49</v>
      </c>
      <c r="G6932" s="24" t="s">
        <v>59</v>
      </c>
      <c r="H6932" s="26">
        <v>3</v>
      </c>
      <c r="I6932" s="24" t="s">
        <v>21</v>
      </c>
      <c r="J6932" s="36">
        <v>45894</v>
      </c>
      <c r="K6932" s="24" t="s">
        <v>22</v>
      </c>
    </row>
    <row r="6933" spans="1:11" x14ac:dyDescent="0.2">
      <c r="A6933" s="27" t="s">
        <v>16289</v>
      </c>
      <c r="B6933" s="27" t="s">
        <v>16290</v>
      </c>
      <c r="C6933" s="27" t="s">
        <v>12989</v>
      </c>
      <c r="D6933" s="27" t="s">
        <v>17</v>
      </c>
      <c r="E6933" s="27" t="s">
        <v>18</v>
      </c>
      <c r="F6933" s="27" t="s">
        <v>19</v>
      </c>
      <c r="G6933" s="27" t="s">
        <v>28</v>
      </c>
      <c r="H6933" s="29">
        <v>170</v>
      </c>
      <c r="I6933" s="27" t="s">
        <v>29</v>
      </c>
      <c r="J6933" s="37">
        <v>45887</v>
      </c>
      <c r="K6933" s="27" t="s">
        <v>22</v>
      </c>
    </row>
    <row r="6934" spans="1:11" x14ac:dyDescent="0.2">
      <c r="A6934" s="24" t="s">
        <v>16291</v>
      </c>
      <c r="B6934" s="24" t="s">
        <v>16292</v>
      </c>
      <c r="C6934" s="24" t="s">
        <v>16293</v>
      </c>
      <c r="D6934" s="24" t="s">
        <v>17</v>
      </c>
      <c r="E6934" s="24" t="s">
        <v>26</v>
      </c>
      <c r="F6934" s="24" t="s">
        <v>27</v>
      </c>
      <c r="G6934" s="24" t="s">
        <v>28</v>
      </c>
      <c r="H6934" s="26">
        <v>15</v>
      </c>
      <c r="I6934" s="24" t="s">
        <v>29</v>
      </c>
      <c r="J6934" s="36">
        <v>45874</v>
      </c>
      <c r="K6934" s="24" t="s">
        <v>22</v>
      </c>
    </row>
    <row r="6935" spans="1:11" x14ac:dyDescent="0.2">
      <c r="A6935" s="27" t="s">
        <v>16294</v>
      </c>
      <c r="B6935" s="27" t="s">
        <v>16295</v>
      </c>
      <c r="C6935" s="27" t="s">
        <v>11266</v>
      </c>
      <c r="D6935" s="27" t="s">
        <v>17</v>
      </c>
      <c r="E6935" s="27" t="s">
        <v>18</v>
      </c>
      <c r="F6935" s="27" t="s">
        <v>19</v>
      </c>
      <c r="G6935" s="27" t="s">
        <v>28</v>
      </c>
      <c r="H6935" s="29">
        <v>63</v>
      </c>
      <c r="I6935" s="27" t="s">
        <v>29</v>
      </c>
      <c r="J6935" s="37">
        <v>45878</v>
      </c>
      <c r="K6935" s="27" t="s">
        <v>22</v>
      </c>
    </row>
    <row r="6936" spans="1:11" x14ac:dyDescent="0.2">
      <c r="A6936" s="24" t="s">
        <v>16296</v>
      </c>
      <c r="B6936" s="24" t="s">
        <v>16297</v>
      </c>
      <c r="C6936" s="24" t="s">
        <v>1883</v>
      </c>
      <c r="D6936" s="24" t="s">
        <v>17</v>
      </c>
      <c r="E6936" s="24" t="s">
        <v>42</v>
      </c>
      <c r="F6936" s="24" t="s">
        <v>43</v>
      </c>
      <c r="G6936" s="24" t="s">
        <v>28</v>
      </c>
      <c r="H6936" s="26">
        <v>360</v>
      </c>
      <c r="I6936" s="24" t="s">
        <v>29</v>
      </c>
      <c r="J6936" s="36">
        <v>45881</v>
      </c>
      <c r="K6936" s="24" t="s">
        <v>22</v>
      </c>
    </row>
    <row r="6937" spans="1:11" x14ac:dyDescent="0.2">
      <c r="A6937" s="27" t="s">
        <v>16298</v>
      </c>
      <c r="B6937" s="27" t="s">
        <v>16299</v>
      </c>
      <c r="C6937" s="27" t="s">
        <v>8062</v>
      </c>
      <c r="D6937" s="27" t="s">
        <v>17</v>
      </c>
      <c r="E6937" s="27" t="s">
        <v>42</v>
      </c>
      <c r="F6937" s="27" t="s">
        <v>43</v>
      </c>
      <c r="G6937" s="27" t="s">
        <v>217</v>
      </c>
      <c r="H6937" s="29">
        <v>286</v>
      </c>
      <c r="I6937" s="27" t="s">
        <v>29</v>
      </c>
      <c r="J6937" s="37">
        <v>45900</v>
      </c>
      <c r="K6937" s="27" t="s">
        <v>22</v>
      </c>
    </row>
    <row r="6938" spans="1:11" x14ac:dyDescent="0.2">
      <c r="A6938" s="24" t="s">
        <v>16300</v>
      </c>
      <c r="B6938" s="24" t="s">
        <v>16301</v>
      </c>
      <c r="C6938" s="24" t="s">
        <v>1050</v>
      </c>
      <c r="D6938" s="24" t="s">
        <v>17</v>
      </c>
      <c r="E6938" s="24" t="s">
        <v>42</v>
      </c>
      <c r="F6938" s="24" t="s">
        <v>43</v>
      </c>
      <c r="G6938" s="24" t="s">
        <v>217</v>
      </c>
      <c r="H6938" s="26">
        <v>20</v>
      </c>
      <c r="I6938" s="24" t="s">
        <v>29</v>
      </c>
      <c r="J6938" s="36">
        <v>45900</v>
      </c>
      <c r="K6938" s="24" t="s">
        <v>22</v>
      </c>
    </row>
    <row r="6939" spans="1:11" x14ac:dyDescent="0.2">
      <c r="A6939" s="27" t="s">
        <v>16302</v>
      </c>
      <c r="B6939" s="27" t="s">
        <v>16303</v>
      </c>
      <c r="C6939" s="27" t="s">
        <v>16304</v>
      </c>
      <c r="D6939" s="27" t="s">
        <v>17</v>
      </c>
      <c r="E6939" s="27" t="s">
        <v>48</v>
      </c>
      <c r="F6939" s="27" t="s">
        <v>49</v>
      </c>
      <c r="G6939" s="27" t="s">
        <v>217</v>
      </c>
      <c r="H6939" s="29">
        <v>30</v>
      </c>
      <c r="I6939" s="27" t="s">
        <v>29</v>
      </c>
      <c r="J6939" s="37">
        <v>45870</v>
      </c>
      <c r="K6939" s="27" t="s">
        <v>22</v>
      </c>
    </row>
    <row r="6940" spans="1:11" x14ac:dyDescent="0.2">
      <c r="A6940" s="24" t="s">
        <v>16305</v>
      </c>
      <c r="B6940" s="24" t="s">
        <v>16306</v>
      </c>
      <c r="C6940" s="24" t="s">
        <v>2649</v>
      </c>
      <c r="D6940" s="24" t="s">
        <v>17</v>
      </c>
      <c r="E6940" s="24" t="s">
        <v>18</v>
      </c>
      <c r="F6940" s="24" t="s">
        <v>19</v>
      </c>
      <c r="G6940" s="24" t="s">
        <v>28</v>
      </c>
      <c r="H6940" s="26">
        <v>200</v>
      </c>
      <c r="I6940" s="24" t="s">
        <v>29</v>
      </c>
      <c r="J6940" s="36">
        <v>45875</v>
      </c>
      <c r="K6940" s="24" t="s">
        <v>22</v>
      </c>
    </row>
    <row r="6941" spans="1:11" x14ac:dyDescent="0.2">
      <c r="A6941" s="27" t="s">
        <v>16307</v>
      </c>
      <c r="B6941" s="27" t="s">
        <v>16308</v>
      </c>
      <c r="C6941" s="27" t="s">
        <v>3141</v>
      </c>
      <c r="D6941" s="27" t="s">
        <v>17</v>
      </c>
      <c r="E6941" s="27" t="s">
        <v>163</v>
      </c>
      <c r="F6941" s="27" t="s">
        <v>164</v>
      </c>
      <c r="G6941" s="27" t="s">
        <v>217</v>
      </c>
      <c r="H6941" s="29">
        <v>30</v>
      </c>
      <c r="I6941" s="27" t="s">
        <v>29</v>
      </c>
      <c r="J6941" s="37">
        <v>45870</v>
      </c>
      <c r="K6941" s="27" t="s">
        <v>22</v>
      </c>
    </row>
    <row r="6942" spans="1:11" x14ac:dyDescent="0.2">
      <c r="A6942" s="24" t="s">
        <v>16309</v>
      </c>
      <c r="B6942" s="24" t="s">
        <v>16310</v>
      </c>
      <c r="C6942" s="24" t="s">
        <v>14387</v>
      </c>
      <c r="D6942" s="24" t="s">
        <v>17</v>
      </c>
      <c r="E6942" s="24" t="s">
        <v>81</v>
      </c>
      <c r="F6942" s="24" t="s">
        <v>82</v>
      </c>
      <c r="G6942" s="24" t="s">
        <v>28</v>
      </c>
      <c r="H6942" s="26">
        <v>60</v>
      </c>
      <c r="I6942" s="24" t="s">
        <v>29</v>
      </c>
      <c r="J6942" s="36">
        <v>45895</v>
      </c>
      <c r="K6942" s="24" t="s">
        <v>22</v>
      </c>
    </row>
    <row r="6943" spans="1:11" x14ac:dyDescent="0.2">
      <c r="A6943" s="27" t="s">
        <v>16311</v>
      </c>
      <c r="B6943" s="27" t="s">
        <v>16312</v>
      </c>
      <c r="C6943" s="27" t="s">
        <v>106</v>
      </c>
      <c r="D6943" s="27" t="s">
        <v>17</v>
      </c>
      <c r="E6943" s="27" t="s">
        <v>18</v>
      </c>
      <c r="F6943" s="27" t="s">
        <v>19</v>
      </c>
      <c r="G6943" s="27" t="s">
        <v>28</v>
      </c>
      <c r="H6943" s="29">
        <v>44</v>
      </c>
      <c r="I6943" s="27" t="s">
        <v>29</v>
      </c>
      <c r="J6943" s="37">
        <v>45875</v>
      </c>
      <c r="K6943" s="27" t="s">
        <v>22</v>
      </c>
    </row>
    <row r="6944" spans="1:11" x14ac:dyDescent="0.2">
      <c r="A6944" s="24" t="s">
        <v>16313</v>
      </c>
      <c r="B6944" s="24" t="s">
        <v>16314</v>
      </c>
      <c r="C6944" s="24" t="s">
        <v>2448</v>
      </c>
      <c r="D6944" s="24" t="s">
        <v>17</v>
      </c>
      <c r="E6944" s="24" t="s">
        <v>42</v>
      </c>
      <c r="F6944" s="24" t="s">
        <v>43</v>
      </c>
      <c r="G6944" s="24" t="s">
        <v>28</v>
      </c>
      <c r="H6944" s="26">
        <v>90</v>
      </c>
      <c r="I6944" s="24" t="s">
        <v>29</v>
      </c>
      <c r="J6944" s="36">
        <v>45897</v>
      </c>
      <c r="K6944" s="24" t="s">
        <v>22</v>
      </c>
    </row>
    <row r="6945" spans="1:11" x14ac:dyDescent="0.2">
      <c r="A6945" s="27" t="s">
        <v>16315</v>
      </c>
      <c r="B6945" s="27" t="s">
        <v>16316</v>
      </c>
      <c r="C6945" s="27" t="s">
        <v>146</v>
      </c>
      <c r="D6945" s="27" t="s">
        <v>17</v>
      </c>
      <c r="E6945" s="27" t="s">
        <v>42</v>
      </c>
      <c r="F6945" s="27" t="s">
        <v>43</v>
      </c>
      <c r="G6945" s="27" t="s">
        <v>28</v>
      </c>
      <c r="H6945" s="29">
        <v>420</v>
      </c>
      <c r="I6945" s="27" t="s">
        <v>29</v>
      </c>
      <c r="J6945" s="37">
        <v>45880</v>
      </c>
      <c r="K6945" s="27" t="s">
        <v>22</v>
      </c>
    </row>
    <row r="6946" spans="1:11" x14ac:dyDescent="0.2">
      <c r="A6946" s="24" t="s">
        <v>16317</v>
      </c>
      <c r="B6946" s="24" t="s">
        <v>16318</v>
      </c>
      <c r="C6946" s="24" t="s">
        <v>1518</v>
      </c>
      <c r="D6946" s="24" t="s">
        <v>17</v>
      </c>
      <c r="E6946" s="24" t="s">
        <v>48</v>
      </c>
      <c r="F6946" s="24" t="s">
        <v>49</v>
      </c>
      <c r="G6946" s="24" t="s">
        <v>28</v>
      </c>
      <c r="H6946" s="26">
        <v>100</v>
      </c>
      <c r="I6946" s="24" t="s">
        <v>29</v>
      </c>
      <c r="J6946" s="36">
        <v>45873</v>
      </c>
      <c r="K6946" s="24" t="s">
        <v>22</v>
      </c>
    </row>
    <row r="6947" spans="1:11" x14ac:dyDescent="0.2">
      <c r="A6947" s="27" t="s">
        <v>16319</v>
      </c>
      <c r="B6947" s="27" t="s">
        <v>16320</v>
      </c>
      <c r="C6947" s="27" t="s">
        <v>9151</v>
      </c>
      <c r="D6947" s="27" t="s">
        <v>17</v>
      </c>
      <c r="E6947" s="27" t="s">
        <v>48</v>
      </c>
      <c r="F6947" s="27" t="s">
        <v>49</v>
      </c>
      <c r="G6947" s="27" t="s">
        <v>227</v>
      </c>
      <c r="H6947" s="29">
        <v>108</v>
      </c>
      <c r="I6947" s="27" t="s">
        <v>29</v>
      </c>
      <c r="J6947" s="37">
        <v>45897</v>
      </c>
      <c r="K6947" s="27" t="s">
        <v>22</v>
      </c>
    </row>
    <row r="6948" spans="1:11" x14ac:dyDescent="0.2">
      <c r="A6948" s="24" t="s">
        <v>16321</v>
      </c>
      <c r="B6948" s="24" t="s">
        <v>16322</v>
      </c>
      <c r="C6948" s="24" t="s">
        <v>16323</v>
      </c>
      <c r="D6948" s="24" t="s">
        <v>17</v>
      </c>
      <c r="E6948" s="24" t="s">
        <v>18</v>
      </c>
      <c r="F6948" s="24" t="s">
        <v>19</v>
      </c>
      <c r="G6948" s="24" t="s">
        <v>28</v>
      </c>
      <c r="H6948" s="26">
        <v>76</v>
      </c>
      <c r="I6948" s="24" t="s">
        <v>29</v>
      </c>
      <c r="J6948" s="36">
        <v>45897</v>
      </c>
      <c r="K6948" s="24" t="s">
        <v>22</v>
      </c>
    </row>
    <row r="6949" spans="1:11" x14ac:dyDescent="0.2">
      <c r="A6949" s="27" t="s">
        <v>16324</v>
      </c>
      <c r="B6949" s="27" t="s">
        <v>16325</v>
      </c>
      <c r="C6949" s="27" t="s">
        <v>827</v>
      </c>
      <c r="D6949" s="27" t="s">
        <v>17</v>
      </c>
      <c r="E6949" s="27" t="s">
        <v>18</v>
      </c>
      <c r="F6949" s="27" t="s">
        <v>19</v>
      </c>
      <c r="G6949" s="27" t="s">
        <v>28</v>
      </c>
      <c r="H6949" s="29">
        <v>200</v>
      </c>
      <c r="I6949" s="27" t="s">
        <v>29</v>
      </c>
      <c r="J6949" s="37">
        <v>45876</v>
      </c>
      <c r="K6949" s="27" t="s">
        <v>22</v>
      </c>
    </row>
    <row r="6950" spans="1:11" x14ac:dyDescent="0.2">
      <c r="A6950" s="24" t="s">
        <v>16326</v>
      </c>
      <c r="B6950" s="24" t="s">
        <v>16327</v>
      </c>
      <c r="C6950" s="24" t="s">
        <v>16328</v>
      </c>
      <c r="D6950" s="24" t="s">
        <v>17</v>
      </c>
      <c r="E6950" s="24" t="s">
        <v>48</v>
      </c>
      <c r="F6950" s="24" t="s">
        <v>49</v>
      </c>
      <c r="G6950" s="24" t="s">
        <v>217</v>
      </c>
      <c r="H6950" s="26">
        <v>120</v>
      </c>
      <c r="I6950" s="24" t="s">
        <v>29</v>
      </c>
      <c r="J6950" s="36">
        <v>45884</v>
      </c>
      <c r="K6950" s="24" t="s">
        <v>22</v>
      </c>
    </row>
    <row r="6951" spans="1:11" x14ac:dyDescent="0.2">
      <c r="A6951" s="27" t="s">
        <v>16329</v>
      </c>
      <c r="B6951" s="27" t="s">
        <v>16330</v>
      </c>
      <c r="C6951" s="27" t="s">
        <v>16331</v>
      </c>
      <c r="D6951" s="27" t="s">
        <v>17</v>
      </c>
      <c r="E6951" s="27" t="s">
        <v>18</v>
      </c>
      <c r="F6951" s="27" t="s">
        <v>19</v>
      </c>
      <c r="G6951" s="27" t="s">
        <v>28</v>
      </c>
      <c r="H6951" s="29">
        <v>200</v>
      </c>
      <c r="I6951" s="27" t="s">
        <v>29</v>
      </c>
      <c r="J6951" s="37">
        <v>45894</v>
      </c>
      <c r="K6951" s="27" t="s">
        <v>22</v>
      </c>
    </row>
    <row r="6952" spans="1:11" x14ac:dyDescent="0.2">
      <c r="A6952" s="24" t="s">
        <v>16332</v>
      </c>
      <c r="B6952" s="24" t="s">
        <v>16333</v>
      </c>
      <c r="C6952" s="24" t="s">
        <v>16334</v>
      </c>
      <c r="D6952" s="24" t="s">
        <v>17</v>
      </c>
      <c r="E6952" s="24" t="s">
        <v>18</v>
      </c>
      <c r="F6952" s="24" t="s">
        <v>19</v>
      </c>
      <c r="G6952" s="24" t="s">
        <v>217</v>
      </c>
      <c r="H6952" s="26">
        <v>16</v>
      </c>
      <c r="I6952" s="24" t="s">
        <v>29</v>
      </c>
      <c r="J6952" s="36">
        <v>45870</v>
      </c>
      <c r="K6952" s="24" t="s">
        <v>22</v>
      </c>
    </row>
    <row r="6953" spans="1:11" x14ac:dyDescent="0.2">
      <c r="A6953" s="27" t="s">
        <v>16335</v>
      </c>
      <c r="B6953" s="27" t="s">
        <v>16336</v>
      </c>
      <c r="C6953" s="27" t="s">
        <v>1850</v>
      </c>
      <c r="D6953" s="27" t="s">
        <v>17</v>
      </c>
      <c r="E6953" s="27" t="s">
        <v>48</v>
      </c>
      <c r="F6953" s="27" t="s">
        <v>49</v>
      </c>
      <c r="G6953" s="27" t="s">
        <v>28</v>
      </c>
      <c r="H6953" s="29">
        <v>198</v>
      </c>
      <c r="I6953" s="27" t="s">
        <v>29</v>
      </c>
      <c r="J6953" s="37">
        <v>45883</v>
      </c>
      <c r="K6953" s="27" t="s">
        <v>22</v>
      </c>
    </row>
    <row r="6954" spans="1:11" x14ac:dyDescent="0.2">
      <c r="A6954" s="24" t="s">
        <v>16337</v>
      </c>
      <c r="B6954" s="24" t="s">
        <v>16338</v>
      </c>
      <c r="C6954" s="24" t="s">
        <v>16339</v>
      </c>
      <c r="D6954" s="24" t="s">
        <v>17</v>
      </c>
      <c r="E6954" s="24" t="s">
        <v>26</v>
      </c>
      <c r="F6954" s="24" t="s">
        <v>27</v>
      </c>
      <c r="G6954" s="24" t="s">
        <v>28</v>
      </c>
      <c r="H6954" s="26">
        <v>40</v>
      </c>
      <c r="I6954" s="24" t="s">
        <v>29</v>
      </c>
      <c r="J6954" s="36">
        <v>45870</v>
      </c>
      <c r="K6954" s="24" t="s">
        <v>22</v>
      </c>
    </row>
    <row r="6955" spans="1:11" x14ac:dyDescent="0.2">
      <c r="A6955" s="27" t="s">
        <v>16340</v>
      </c>
      <c r="B6955" s="27" t="s">
        <v>16341</v>
      </c>
      <c r="C6955" s="27" t="s">
        <v>2138</v>
      </c>
      <c r="D6955" s="27" t="s">
        <v>17</v>
      </c>
      <c r="E6955" s="27" t="s">
        <v>48</v>
      </c>
      <c r="F6955" s="27" t="s">
        <v>49</v>
      </c>
      <c r="G6955" s="27" t="s">
        <v>28</v>
      </c>
      <c r="H6955" s="29">
        <v>56</v>
      </c>
      <c r="I6955" s="27" t="s">
        <v>29</v>
      </c>
      <c r="J6955" s="37">
        <v>45884</v>
      </c>
      <c r="K6955" s="27" t="s">
        <v>22</v>
      </c>
    </row>
    <row r="6956" spans="1:11" x14ac:dyDescent="0.2">
      <c r="A6956" s="24" t="s">
        <v>16342</v>
      </c>
      <c r="B6956" s="24" t="s">
        <v>16343</v>
      </c>
      <c r="C6956" s="24" t="s">
        <v>213</v>
      </c>
      <c r="D6956" s="24" t="s">
        <v>17</v>
      </c>
      <c r="E6956" s="24" t="s">
        <v>18</v>
      </c>
      <c r="F6956" s="24" t="s">
        <v>19</v>
      </c>
      <c r="G6956" s="24" t="s">
        <v>28</v>
      </c>
      <c r="H6956" s="26">
        <v>8</v>
      </c>
      <c r="I6956" s="24" t="s">
        <v>29</v>
      </c>
      <c r="J6956" s="36">
        <v>45876</v>
      </c>
      <c r="K6956" s="24" t="s">
        <v>22</v>
      </c>
    </row>
    <row r="6957" spans="1:11" x14ac:dyDescent="0.2">
      <c r="A6957" s="27" t="s">
        <v>16344</v>
      </c>
      <c r="B6957" s="27" t="s">
        <v>16345</v>
      </c>
      <c r="C6957" s="27" t="s">
        <v>16346</v>
      </c>
      <c r="D6957" s="27" t="s">
        <v>17</v>
      </c>
      <c r="E6957" s="27" t="s">
        <v>48</v>
      </c>
      <c r="F6957" s="27" t="s">
        <v>49</v>
      </c>
      <c r="G6957" s="27" t="s">
        <v>28</v>
      </c>
      <c r="H6957" s="29">
        <v>80</v>
      </c>
      <c r="I6957" s="27" t="s">
        <v>29</v>
      </c>
      <c r="J6957" s="37">
        <v>45873</v>
      </c>
      <c r="K6957" s="27" t="s">
        <v>22</v>
      </c>
    </row>
    <row r="6958" spans="1:11" x14ac:dyDescent="0.2">
      <c r="A6958" s="24" t="s">
        <v>16347</v>
      </c>
      <c r="B6958" s="24" t="s">
        <v>16348</v>
      </c>
      <c r="C6958" s="24" t="s">
        <v>2725</v>
      </c>
      <c r="D6958" s="24" t="s">
        <v>17</v>
      </c>
      <c r="E6958" s="24" t="s">
        <v>81</v>
      </c>
      <c r="F6958" s="24" t="s">
        <v>82</v>
      </c>
      <c r="G6958" s="24" t="s">
        <v>28</v>
      </c>
      <c r="H6958" s="26">
        <v>30</v>
      </c>
      <c r="I6958" s="24" t="s">
        <v>29</v>
      </c>
      <c r="J6958" s="36">
        <v>45881</v>
      </c>
      <c r="K6958" s="24" t="s">
        <v>22</v>
      </c>
    </row>
    <row r="6959" spans="1:11" x14ac:dyDescent="0.2">
      <c r="A6959" s="27" t="s">
        <v>16349</v>
      </c>
      <c r="B6959" s="27" t="s">
        <v>16350</v>
      </c>
      <c r="C6959" s="27" t="s">
        <v>251</v>
      </c>
      <c r="D6959" s="27" t="s">
        <v>17</v>
      </c>
      <c r="E6959" s="27" t="s">
        <v>18</v>
      </c>
      <c r="F6959" s="27" t="s">
        <v>19</v>
      </c>
      <c r="G6959" s="27" t="s">
        <v>217</v>
      </c>
      <c r="H6959" s="29">
        <v>36</v>
      </c>
      <c r="I6959" s="27" t="s">
        <v>29</v>
      </c>
      <c r="J6959" s="37">
        <v>45889</v>
      </c>
      <c r="K6959" s="27" t="s">
        <v>22</v>
      </c>
    </row>
    <row r="6960" spans="1:11" x14ac:dyDescent="0.2">
      <c r="A6960" s="24" t="s">
        <v>16351</v>
      </c>
      <c r="B6960" s="24" t="s">
        <v>16352</v>
      </c>
      <c r="C6960" s="24" t="s">
        <v>3199</v>
      </c>
      <c r="D6960" s="24" t="s">
        <v>17</v>
      </c>
      <c r="E6960" s="24" t="s">
        <v>18</v>
      </c>
      <c r="F6960" s="24" t="s">
        <v>19</v>
      </c>
      <c r="G6960" s="24" t="s">
        <v>28</v>
      </c>
      <c r="H6960" s="26">
        <v>14</v>
      </c>
      <c r="I6960" s="24" t="s">
        <v>29</v>
      </c>
      <c r="J6960" s="36">
        <v>45884</v>
      </c>
      <c r="K6960" s="24" t="s">
        <v>22</v>
      </c>
    </row>
    <row r="6961" spans="1:11" x14ac:dyDescent="0.2">
      <c r="A6961" s="27" t="s">
        <v>16353</v>
      </c>
      <c r="B6961" s="27" t="s">
        <v>16354</v>
      </c>
      <c r="C6961" s="27" t="s">
        <v>97</v>
      </c>
      <c r="D6961" s="27" t="s">
        <v>17</v>
      </c>
      <c r="E6961" s="27" t="s">
        <v>48</v>
      </c>
      <c r="F6961" s="27" t="s">
        <v>49</v>
      </c>
      <c r="G6961" s="27" t="s">
        <v>28</v>
      </c>
      <c r="H6961" s="29">
        <v>278</v>
      </c>
      <c r="I6961" s="27" t="s">
        <v>29</v>
      </c>
      <c r="J6961" s="37">
        <v>45876</v>
      </c>
      <c r="K6961" s="27" t="s">
        <v>22</v>
      </c>
    </row>
    <row r="6962" spans="1:11" x14ac:dyDescent="0.2">
      <c r="A6962" s="24" t="s">
        <v>16355</v>
      </c>
      <c r="B6962" s="24" t="s">
        <v>16356</v>
      </c>
      <c r="C6962" s="24" t="s">
        <v>68</v>
      </c>
      <c r="D6962" s="24" t="s">
        <v>17</v>
      </c>
      <c r="E6962" s="24" t="s">
        <v>18</v>
      </c>
      <c r="F6962" s="24" t="s">
        <v>19</v>
      </c>
      <c r="G6962" s="24" t="s">
        <v>28</v>
      </c>
      <c r="H6962" s="26">
        <v>55</v>
      </c>
      <c r="I6962" s="24" t="s">
        <v>29</v>
      </c>
      <c r="J6962" s="36">
        <v>45880</v>
      </c>
      <c r="K6962" s="24" t="s">
        <v>22</v>
      </c>
    </row>
    <row r="6963" spans="1:11" x14ac:dyDescent="0.2">
      <c r="A6963" s="27" t="s">
        <v>16357</v>
      </c>
      <c r="B6963" s="27" t="s">
        <v>16358</v>
      </c>
      <c r="C6963" s="27" t="s">
        <v>592</v>
      </c>
      <c r="D6963" s="27" t="s">
        <v>17</v>
      </c>
      <c r="E6963" s="27" t="s">
        <v>26</v>
      </c>
      <c r="F6963" s="27" t="s">
        <v>27</v>
      </c>
      <c r="G6963" s="27" t="s">
        <v>28</v>
      </c>
      <c r="H6963" s="29">
        <v>312</v>
      </c>
      <c r="I6963" s="27" t="s">
        <v>29</v>
      </c>
      <c r="J6963" s="37">
        <v>45880</v>
      </c>
      <c r="K6963" s="27" t="s">
        <v>22</v>
      </c>
    </row>
    <row r="6964" spans="1:11" x14ac:dyDescent="0.2">
      <c r="A6964" s="24" t="s">
        <v>16359</v>
      </c>
      <c r="B6964" s="24" t="s">
        <v>16360</v>
      </c>
      <c r="C6964" s="24" t="s">
        <v>437</v>
      </c>
      <c r="D6964" s="24" t="s">
        <v>17</v>
      </c>
      <c r="E6964" s="24" t="s">
        <v>42</v>
      </c>
      <c r="F6964" s="24" t="s">
        <v>43</v>
      </c>
      <c r="G6964" s="24" t="s">
        <v>28</v>
      </c>
      <c r="H6964" s="26">
        <v>330</v>
      </c>
      <c r="I6964" s="24" t="s">
        <v>29</v>
      </c>
      <c r="J6964" s="36">
        <v>45887</v>
      </c>
      <c r="K6964" s="24" t="s">
        <v>22</v>
      </c>
    </row>
    <row r="6965" spans="1:11" x14ac:dyDescent="0.2">
      <c r="A6965" s="27" t="s">
        <v>16361</v>
      </c>
      <c r="B6965" s="27" t="s">
        <v>16362</v>
      </c>
      <c r="C6965" s="27" t="s">
        <v>213</v>
      </c>
      <c r="D6965" s="27" t="s">
        <v>17</v>
      </c>
      <c r="E6965" s="27" t="s">
        <v>42</v>
      </c>
      <c r="F6965" s="27" t="s">
        <v>43</v>
      </c>
      <c r="G6965" s="27" t="s">
        <v>28</v>
      </c>
      <c r="H6965" s="29">
        <v>400</v>
      </c>
      <c r="I6965" s="27" t="s">
        <v>29</v>
      </c>
      <c r="J6965" s="37">
        <v>45874</v>
      </c>
      <c r="K6965" s="27" t="s">
        <v>22</v>
      </c>
    </row>
    <row r="6966" spans="1:11" x14ac:dyDescent="0.2">
      <c r="A6966" s="24" t="s">
        <v>16363</v>
      </c>
      <c r="B6966" s="24" t="s">
        <v>16364</v>
      </c>
      <c r="C6966" s="24" t="s">
        <v>208</v>
      </c>
      <c r="D6966" s="24" t="s">
        <v>17</v>
      </c>
      <c r="E6966" s="24" t="s">
        <v>42</v>
      </c>
      <c r="F6966" s="24" t="s">
        <v>43</v>
      </c>
      <c r="G6966" s="24" t="s">
        <v>28</v>
      </c>
      <c r="H6966" s="26">
        <v>192</v>
      </c>
      <c r="I6966" s="24" t="s">
        <v>29</v>
      </c>
      <c r="J6966" s="36">
        <v>45881</v>
      </c>
      <c r="K6966" s="24" t="s">
        <v>22</v>
      </c>
    </row>
    <row r="6967" spans="1:11" x14ac:dyDescent="0.2">
      <c r="A6967" s="27" t="s">
        <v>16365</v>
      </c>
      <c r="B6967" s="27" t="s">
        <v>16366</v>
      </c>
      <c r="C6967" s="27" t="s">
        <v>97</v>
      </c>
      <c r="D6967" s="27" t="s">
        <v>17</v>
      </c>
      <c r="E6967" s="27" t="s">
        <v>42</v>
      </c>
      <c r="F6967" s="27" t="s">
        <v>43</v>
      </c>
      <c r="G6967" s="27" t="s">
        <v>28</v>
      </c>
      <c r="H6967" s="29">
        <v>180</v>
      </c>
      <c r="I6967" s="27" t="s">
        <v>29</v>
      </c>
      <c r="J6967" s="37">
        <v>45876</v>
      </c>
      <c r="K6967" s="27" t="s">
        <v>22</v>
      </c>
    </row>
    <row r="6968" spans="1:11" x14ac:dyDescent="0.2">
      <c r="A6968" s="24" t="s">
        <v>16367</v>
      </c>
      <c r="B6968" s="24" t="s">
        <v>16368</v>
      </c>
      <c r="C6968" s="24" t="s">
        <v>14476</v>
      </c>
      <c r="D6968" s="24" t="s">
        <v>17</v>
      </c>
      <c r="E6968" s="24" t="s">
        <v>42</v>
      </c>
      <c r="F6968" s="24" t="s">
        <v>43</v>
      </c>
      <c r="G6968" s="24" t="s">
        <v>28</v>
      </c>
      <c r="H6968" s="26">
        <v>540</v>
      </c>
      <c r="I6968" s="24" t="s">
        <v>29</v>
      </c>
      <c r="J6968" s="36">
        <v>45895</v>
      </c>
      <c r="K6968" s="24" t="s">
        <v>22</v>
      </c>
    </row>
    <row r="6969" spans="1:11" x14ac:dyDescent="0.2">
      <c r="A6969" s="27" t="s">
        <v>16369</v>
      </c>
      <c r="B6969" s="27" t="s">
        <v>16370</v>
      </c>
      <c r="C6969" s="27" t="s">
        <v>16371</v>
      </c>
      <c r="D6969" s="27" t="s">
        <v>17</v>
      </c>
      <c r="E6969" s="27" t="s">
        <v>81</v>
      </c>
      <c r="F6969" s="27" t="s">
        <v>82</v>
      </c>
      <c r="G6969" s="27" t="s">
        <v>28</v>
      </c>
      <c r="H6969" s="29">
        <v>10</v>
      </c>
      <c r="I6969" s="27" t="s">
        <v>29</v>
      </c>
      <c r="J6969" s="37">
        <v>45882</v>
      </c>
      <c r="K6969" s="27" t="s">
        <v>22</v>
      </c>
    </row>
    <row r="6970" spans="1:11" x14ac:dyDescent="0.2">
      <c r="A6970" s="24" t="s">
        <v>16372</v>
      </c>
      <c r="B6970" s="24" t="s">
        <v>16373</v>
      </c>
      <c r="C6970" s="24" t="s">
        <v>16374</v>
      </c>
      <c r="D6970" s="24" t="s">
        <v>17</v>
      </c>
      <c r="E6970" s="24" t="s">
        <v>48</v>
      </c>
      <c r="F6970" s="24" t="s">
        <v>49</v>
      </c>
      <c r="G6970" s="24" t="s">
        <v>28</v>
      </c>
      <c r="H6970" s="26">
        <v>40</v>
      </c>
      <c r="I6970" s="24" t="s">
        <v>29</v>
      </c>
      <c r="J6970" s="36">
        <v>45870</v>
      </c>
      <c r="K6970" s="24" t="s">
        <v>22</v>
      </c>
    </row>
    <row r="6971" spans="1:11" x14ac:dyDescent="0.2">
      <c r="A6971" s="27" t="s">
        <v>16375</v>
      </c>
      <c r="B6971" s="27" t="s">
        <v>16376</v>
      </c>
      <c r="C6971" s="27" t="s">
        <v>8170</v>
      </c>
      <c r="D6971" s="27" t="s">
        <v>17</v>
      </c>
      <c r="E6971" s="27" t="s">
        <v>18</v>
      </c>
      <c r="F6971" s="27" t="s">
        <v>19</v>
      </c>
      <c r="G6971" s="27" t="s">
        <v>28</v>
      </c>
      <c r="H6971" s="29">
        <v>10</v>
      </c>
      <c r="I6971" s="27" t="s">
        <v>29</v>
      </c>
      <c r="J6971" s="37">
        <v>45884</v>
      </c>
      <c r="K6971" s="27" t="s">
        <v>22</v>
      </c>
    </row>
    <row r="6972" spans="1:11" x14ac:dyDescent="0.2">
      <c r="A6972" s="24" t="s">
        <v>16377</v>
      </c>
      <c r="B6972" s="24" t="s">
        <v>16378</v>
      </c>
      <c r="C6972" s="24" t="s">
        <v>213</v>
      </c>
      <c r="D6972" s="24" t="s">
        <v>17</v>
      </c>
      <c r="E6972" s="24" t="s">
        <v>18</v>
      </c>
      <c r="F6972" s="24" t="s">
        <v>19</v>
      </c>
      <c r="G6972" s="24" t="s">
        <v>20</v>
      </c>
      <c r="H6972" s="26">
        <v>9</v>
      </c>
      <c r="I6972" s="24" t="s">
        <v>21</v>
      </c>
      <c r="J6972" s="36">
        <v>45897</v>
      </c>
      <c r="K6972" s="24" t="s">
        <v>22</v>
      </c>
    </row>
    <row r="6973" spans="1:11" x14ac:dyDescent="0.2">
      <c r="A6973" s="27" t="s">
        <v>16379</v>
      </c>
      <c r="B6973" s="27" t="s">
        <v>16380</v>
      </c>
      <c r="C6973" s="27" t="s">
        <v>9396</v>
      </c>
      <c r="D6973" s="27" t="s">
        <v>17</v>
      </c>
      <c r="E6973" s="27" t="s">
        <v>33</v>
      </c>
      <c r="F6973" s="27" t="s">
        <v>34</v>
      </c>
      <c r="G6973" s="27" t="s">
        <v>28</v>
      </c>
      <c r="H6973" s="29">
        <v>778</v>
      </c>
      <c r="I6973" s="27" t="s">
        <v>29</v>
      </c>
      <c r="J6973" s="37">
        <v>45897</v>
      </c>
      <c r="K6973" s="27" t="s">
        <v>22</v>
      </c>
    </row>
    <row r="6974" spans="1:11" x14ac:dyDescent="0.2">
      <c r="A6974" s="24" t="s">
        <v>16381</v>
      </c>
      <c r="B6974" s="24" t="s">
        <v>16382</v>
      </c>
      <c r="C6974" s="24" t="s">
        <v>16046</v>
      </c>
      <c r="D6974" s="24" t="s">
        <v>17</v>
      </c>
      <c r="E6974" s="24" t="s">
        <v>42</v>
      </c>
      <c r="F6974" s="24" t="s">
        <v>43</v>
      </c>
      <c r="G6974" s="24" t="s">
        <v>28</v>
      </c>
      <c r="H6974" s="26">
        <v>780</v>
      </c>
      <c r="I6974" s="24" t="s">
        <v>29</v>
      </c>
      <c r="J6974" s="36">
        <v>45890</v>
      </c>
      <c r="K6974" s="24" t="s">
        <v>22</v>
      </c>
    </row>
    <row r="6975" spans="1:11" x14ac:dyDescent="0.2">
      <c r="A6975" s="27" t="s">
        <v>16383</v>
      </c>
      <c r="B6975" s="27" t="s">
        <v>16384</v>
      </c>
      <c r="C6975" s="27" t="s">
        <v>16385</v>
      </c>
      <c r="D6975" s="27" t="s">
        <v>17</v>
      </c>
      <c r="E6975" s="27" t="s">
        <v>18</v>
      </c>
      <c r="F6975" s="27" t="s">
        <v>19</v>
      </c>
      <c r="G6975" s="27" t="s">
        <v>28</v>
      </c>
      <c r="H6975" s="29">
        <v>74</v>
      </c>
      <c r="I6975" s="27" t="s">
        <v>29</v>
      </c>
      <c r="J6975" s="37">
        <v>45897</v>
      </c>
      <c r="K6975" s="27" t="s">
        <v>22</v>
      </c>
    </row>
    <row r="6976" spans="1:11" x14ac:dyDescent="0.2">
      <c r="A6976" s="24" t="s">
        <v>16386</v>
      </c>
      <c r="B6976" s="24" t="s">
        <v>16387</v>
      </c>
      <c r="C6976" s="24" t="s">
        <v>16388</v>
      </c>
      <c r="D6976" s="24" t="s">
        <v>17</v>
      </c>
      <c r="E6976" s="24" t="s">
        <v>48</v>
      </c>
      <c r="F6976" s="24" t="s">
        <v>49</v>
      </c>
      <c r="G6976" s="24" t="s">
        <v>28</v>
      </c>
      <c r="H6976" s="26">
        <v>60</v>
      </c>
      <c r="I6976" s="24" t="s">
        <v>29</v>
      </c>
      <c r="J6976" s="36">
        <v>45896</v>
      </c>
      <c r="K6976" s="24" t="s">
        <v>22</v>
      </c>
    </row>
    <row r="6977" spans="1:11" x14ac:dyDescent="0.2">
      <c r="A6977" s="27" t="s">
        <v>16389</v>
      </c>
      <c r="B6977" s="27" t="s">
        <v>16390</v>
      </c>
      <c r="C6977" s="27" t="s">
        <v>6130</v>
      </c>
      <c r="D6977" s="27" t="s">
        <v>17</v>
      </c>
      <c r="E6977" s="27" t="s">
        <v>48</v>
      </c>
      <c r="F6977" s="27" t="s">
        <v>49</v>
      </c>
      <c r="G6977" s="27" t="s">
        <v>28</v>
      </c>
      <c r="H6977" s="29">
        <v>60</v>
      </c>
      <c r="I6977" s="27" t="s">
        <v>29</v>
      </c>
      <c r="J6977" s="37">
        <v>45888</v>
      </c>
      <c r="K6977" s="27" t="s">
        <v>22</v>
      </c>
    </row>
    <row r="6978" spans="1:11" x14ac:dyDescent="0.2">
      <c r="A6978" s="24" t="s">
        <v>16391</v>
      </c>
      <c r="B6978" s="24" t="s">
        <v>16392</v>
      </c>
      <c r="C6978" s="24" t="s">
        <v>16393</v>
      </c>
      <c r="D6978" s="24" t="s">
        <v>17</v>
      </c>
      <c r="E6978" s="24" t="s">
        <v>18</v>
      </c>
      <c r="F6978" s="24" t="s">
        <v>19</v>
      </c>
      <c r="G6978" s="24" t="s">
        <v>217</v>
      </c>
      <c r="H6978" s="26">
        <v>84</v>
      </c>
      <c r="I6978" s="24" t="s">
        <v>29</v>
      </c>
      <c r="J6978" s="36">
        <v>45899</v>
      </c>
      <c r="K6978" s="24" t="s">
        <v>22</v>
      </c>
    </row>
    <row r="6979" spans="1:11" x14ac:dyDescent="0.2">
      <c r="A6979" s="27" t="s">
        <v>16394</v>
      </c>
      <c r="B6979" s="27" t="s">
        <v>16395</v>
      </c>
      <c r="C6979" s="27" t="s">
        <v>1766</v>
      </c>
      <c r="D6979" s="27" t="s">
        <v>17</v>
      </c>
      <c r="E6979" s="27" t="s">
        <v>18</v>
      </c>
      <c r="F6979" s="27" t="s">
        <v>19</v>
      </c>
      <c r="G6979" s="27" t="s">
        <v>20</v>
      </c>
      <c r="H6979" s="29">
        <v>14</v>
      </c>
      <c r="I6979" s="27" t="s">
        <v>21</v>
      </c>
      <c r="J6979" s="37">
        <v>45894</v>
      </c>
      <c r="K6979" s="27" t="s">
        <v>22</v>
      </c>
    </row>
    <row r="6980" spans="1:11" x14ac:dyDescent="0.2">
      <c r="A6980" s="24" t="s">
        <v>16396</v>
      </c>
      <c r="B6980" s="24" t="s">
        <v>16397</v>
      </c>
      <c r="C6980" s="24" t="s">
        <v>16398</v>
      </c>
      <c r="D6980" s="24" t="s">
        <v>17</v>
      </c>
      <c r="E6980" s="24" t="s">
        <v>48</v>
      </c>
      <c r="F6980" s="24" t="s">
        <v>49</v>
      </c>
      <c r="G6980" s="24" t="s">
        <v>28</v>
      </c>
      <c r="H6980" s="26">
        <v>107</v>
      </c>
      <c r="I6980" s="24" t="s">
        <v>29</v>
      </c>
      <c r="J6980" s="36">
        <v>45870</v>
      </c>
      <c r="K6980" s="24" t="s">
        <v>22</v>
      </c>
    </row>
    <row r="6981" spans="1:11" x14ac:dyDescent="0.2">
      <c r="A6981" s="27" t="s">
        <v>16399</v>
      </c>
      <c r="B6981" s="27" t="s">
        <v>16400</v>
      </c>
      <c r="C6981" s="27" t="s">
        <v>16401</v>
      </c>
      <c r="D6981" s="27" t="s">
        <v>17</v>
      </c>
      <c r="E6981" s="27" t="s">
        <v>18</v>
      </c>
      <c r="F6981" s="27" t="s">
        <v>19</v>
      </c>
      <c r="G6981" s="27" t="s">
        <v>28</v>
      </c>
      <c r="H6981" s="29">
        <v>30</v>
      </c>
      <c r="I6981" s="27" t="s">
        <v>29</v>
      </c>
      <c r="J6981" s="37">
        <v>45885</v>
      </c>
      <c r="K6981" s="27" t="s">
        <v>22</v>
      </c>
    </row>
    <row r="6982" spans="1:11" x14ac:dyDescent="0.2">
      <c r="A6982" s="24" t="s">
        <v>16402</v>
      </c>
      <c r="B6982" s="24" t="s">
        <v>16403</v>
      </c>
      <c r="C6982" s="24" t="s">
        <v>16151</v>
      </c>
      <c r="D6982" s="24" t="s">
        <v>17</v>
      </c>
      <c r="E6982" s="24" t="s">
        <v>48</v>
      </c>
      <c r="F6982" s="24" t="s">
        <v>49</v>
      </c>
      <c r="G6982" s="24" t="s">
        <v>28</v>
      </c>
      <c r="H6982" s="26">
        <v>160</v>
      </c>
      <c r="I6982" s="24" t="s">
        <v>29</v>
      </c>
      <c r="J6982" s="36">
        <v>45881</v>
      </c>
      <c r="K6982" s="24" t="s">
        <v>22</v>
      </c>
    </row>
    <row r="6983" spans="1:11" x14ac:dyDescent="0.2">
      <c r="A6983" s="27" t="s">
        <v>16404</v>
      </c>
      <c r="B6983" s="27" t="s">
        <v>16405</v>
      </c>
      <c r="C6983" s="27" t="s">
        <v>277</v>
      </c>
      <c r="D6983" s="27" t="s">
        <v>17</v>
      </c>
      <c r="E6983" s="27" t="s">
        <v>18</v>
      </c>
      <c r="F6983" s="27" t="s">
        <v>19</v>
      </c>
      <c r="G6983" s="27" t="s">
        <v>28</v>
      </c>
      <c r="H6983" s="29">
        <v>78</v>
      </c>
      <c r="I6983" s="27" t="s">
        <v>29</v>
      </c>
      <c r="J6983" s="37">
        <v>45898</v>
      </c>
      <c r="K6983" s="27" t="s">
        <v>22</v>
      </c>
    </row>
    <row r="6984" spans="1:11" x14ac:dyDescent="0.2">
      <c r="A6984" s="24" t="s">
        <v>16406</v>
      </c>
      <c r="B6984" s="24" t="s">
        <v>16407</v>
      </c>
      <c r="C6984" s="24" t="s">
        <v>5083</v>
      </c>
      <c r="D6984" s="24" t="s">
        <v>17</v>
      </c>
      <c r="E6984" s="24" t="s">
        <v>18</v>
      </c>
      <c r="F6984" s="24" t="s">
        <v>19</v>
      </c>
      <c r="G6984" s="24" t="s">
        <v>28</v>
      </c>
      <c r="H6984" s="26">
        <v>50</v>
      </c>
      <c r="I6984" s="24" t="s">
        <v>29</v>
      </c>
      <c r="J6984" s="36">
        <v>45881</v>
      </c>
      <c r="K6984" s="24" t="s">
        <v>22</v>
      </c>
    </row>
    <row r="6985" spans="1:11" x14ac:dyDescent="0.2">
      <c r="A6985" s="27" t="s">
        <v>16408</v>
      </c>
      <c r="B6985" s="27" t="s">
        <v>16409</v>
      </c>
      <c r="C6985" s="27" t="s">
        <v>16410</v>
      </c>
      <c r="D6985" s="27" t="s">
        <v>17</v>
      </c>
      <c r="E6985" s="27" t="s">
        <v>48</v>
      </c>
      <c r="F6985" s="27" t="s">
        <v>49</v>
      </c>
      <c r="G6985" s="27" t="s">
        <v>28</v>
      </c>
      <c r="H6985" s="29">
        <v>120</v>
      </c>
      <c r="I6985" s="27" t="s">
        <v>29</v>
      </c>
      <c r="J6985" s="37">
        <v>45891</v>
      </c>
      <c r="K6985" s="27" t="s">
        <v>22</v>
      </c>
    </row>
    <row r="6986" spans="1:11" x14ac:dyDescent="0.2">
      <c r="A6986" s="24" t="s">
        <v>16411</v>
      </c>
      <c r="B6986" s="24" t="s">
        <v>16412</v>
      </c>
      <c r="C6986" s="24" t="s">
        <v>4253</v>
      </c>
      <c r="D6986" s="24" t="s">
        <v>17</v>
      </c>
      <c r="E6986" s="24" t="s">
        <v>48</v>
      </c>
      <c r="F6986" s="24" t="s">
        <v>49</v>
      </c>
      <c r="G6986" s="24" t="s">
        <v>28</v>
      </c>
      <c r="H6986" s="26">
        <v>40</v>
      </c>
      <c r="I6986" s="24" t="s">
        <v>29</v>
      </c>
      <c r="J6986" s="36">
        <v>45904</v>
      </c>
      <c r="K6986" s="24" t="s">
        <v>22</v>
      </c>
    </row>
    <row r="6987" spans="1:11" x14ac:dyDescent="0.2">
      <c r="A6987" s="27" t="s">
        <v>16413</v>
      </c>
      <c r="B6987" s="27" t="s">
        <v>16414</v>
      </c>
      <c r="C6987" s="27" t="s">
        <v>16415</v>
      </c>
      <c r="D6987" s="27" t="s">
        <v>17</v>
      </c>
      <c r="E6987" s="27" t="s">
        <v>48</v>
      </c>
      <c r="F6987" s="27" t="s">
        <v>49</v>
      </c>
      <c r="G6987" s="27" t="s">
        <v>28</v>
      </c>
      <c r="H6987" s="29">
        <v>24</v>
      </c>
      <c r="I6987" s="27" t="s">
        <v>29</v>
      </c>
      <c r="J6987" s="37">
        <v>45910</v>
      </c>
      <c r="K6987" s="27" t="s">
        <v>22</v>
      </c>
    </row>
    <row r="6988" spans="1:11" x14ac:dyDescent="0.2">
      <c r="A6988" s="24" t="s">
        <v>16416</v>
      </c>
      <c r="B6988" s="24" t="s">
        <v>16417</v>
      </c>
      <c r="C6988" s="24" t="s">
        <v>960</v>
      </c>
      <c r="D6988" s="24" t="s">
        <v>17</v>
      </c>
      <c r="E6988" s="24" t="s">
        <v>48</v>
      </c>
      <c r="F6988" s="24" t="s">
        <v>49</v>
      </c>
      <c r="G6988" s="24" t="s">
        <v>257</v>
      </c>
      <c r="H6988" s="26">
        <v>120</v>
      </c>
      <c r="I6988" s="24" t="s">
        <v>29</v>
      </c>
      <c r="J6988" s="36">
        <v>45901</v>
      </c>
      <c r="K6988" s="24" t="s">
        <v>22</v>
      </c>
    </row>
    <row r="6989" spans="1:11" x14ac:dyDescent="0.2">
      <c r="A6989" s="27" t="s">
        <v>16418</v>
      </c>
      <c r="B6989" s="27" t="s">
        <v>16419</v>
      </c>
      <c r="C6989" s="27" t="s">
        <v>16420</v>
      </c>
      <c r="D6989" s="27" t="s">
        <v>17</v>
      </c>
      <c r="E6989" s="27" t="s">
        <v>48</v>
      </c>
      <c r="F6989" s="27" t="s">
        <v>49</v>
      </c>
      <c r="G6989" s="27" t="s">
        <v>28</v>
      </c>
      <c r="H6989" s="29">
        <v>150</v>
      </c>
      <c r="I6989" s="27" t="s">
        <v>29</v>
      </c>
      <c r="J6989" s="37">
        <v>45916</v>
      </c>
      <c r="K6989" s="27" t="s">
        <v>22</v>
      </c>
    </row>
    <row r="6990" spans="1:11" x14ac:dyDescent="0.2">
      <c r="A6990" s="24" t="s">
        <v>16421</v>
      </c>
      <c r="B6990" s="24" t="s">
        <v>16422</v>
      </c>
      <c r="C6990" s="24" t="s">
        <v>230</v>
      </c>
      <c r="D6990" s="24" t="s">
        <v>17</v>
      </c>
      <c r="E6990" s="24" t="s">
        <v>18</v>
      </c>
      <c r="F6990" s="24" t="s">
        <v>19</v>
      </c>
      <c r="G6990" s="24" t="s">
        <v>44</v>
      </c>
      <c r="H6990" s="26">
        <v>218</v>
      </c>
      <c r="I6990" s="24" t="s">
        <v>29</v>
      </c>
      <c r="J6990" s="36">
        <v>45917</v>
      </c>
      <c r="K6990" s="24" t="s">
        <v>22</v>
      </c>
    </row>
    <row r="6991" spans="1:11" x14ac:dyDescent="0.2">
      <c r="A6991" s="27" t="s">
        <v>16423</v>
      </c>
      <c r="B6991" s="27" t="s">
        <v>16424</v>
      </c>
      <c r="C6991" s="27" t="s">
        <v>1346</v>
      </c>
      <c r="D6991" s="27" t="s">
        <v>17</v>
      </c>
      <c r="E6991" s="27" t="s">
        <v>18</v>
      </c>
      <c r="F6991" s="27" t="s">
        <v>19</v>
      </c>
      <c r="G6991" s="27" t="s">
        <v>20</v>
      </c>
      <c r="H6991" s="29">
        <v>20</v>
      </c>
      <c r="I6991" s="27" t="s">
        <v>21</v>
      </c>
      <c r="J6991" s="37">
        <v>45912</v>
      </c>
      <c r="K6991" s="27" t="s">
        <v>22</v>
      </c>
    </row>
    <row r="6992" spans="1:11" x14ac:dyDescent="0.2">
      <c r="A6992" s="24" t="s">
        <v>16425</v>
      </c>
      <c r="B6992" s="24" t="s">
        <v>16426</v>
      </c>
      <c r="C6992" s="24" t="s">
        <v>687</v>
      </c>
      <c r="D6992" s="24" t="s">
        <v>17</v>
      </c>
      <c r="E6992" s="24" t="s">
        <v>18</v>
      </c>
      <c r="F6992" s="24" t="s">
        <v>19</v>
      </c>
      <c r="G6992" s="24" t="s">
        <v>28</v>
      </c>
      <c r="H6992" s="26">
        <v>80</v>
      </c>
      <c r="I6992" s="24" t="s">
        <v>29</v>
      </c>
      <c r="J6992" s="36">
        <v>45926</v>
      </c>
      <c r="K6992" s="24" t="s">
        <v>22</v>
      </c>
    </row>
    <row r="6993" spans="1:11" x14ac:dyDescent="0.2">
      <c r="A6993" s="27" t="s">
        <v>16427</v>
      </c>
      <c r="B6993" s="27" t="s">
        <v>16428</v>
      </c>
      <c r="C6993" s="27" t="s">
        <v>16429</v>
      </c>
      <c r="D6993" s="27" t="s">
        <v>17</v>
      </c>
      <c r="E6993" s="27" t="s">
        <v>18</v>
      </c>
      <c r="F6993" s="27" t="s">
        <v>19</v>
      </c>
      <c r="G6993" s="27" t="s">
        <v>20</v>
      </c>
      <c r="H6993" s="29">
        <v>60</v>
      </c>
      <c r="I6993" s="27" t="s">
        <v>21</v>
      </c>
      <c r="J6993" s="37">
        <v>45911</v>
      </c>
      <c r="K6993" s="27" t="s">
        <v>22</v>
      </c>
    </row>
    <row r="6994" spans="1:11" x14ac:dyDescent="0.2">
      <c r="A6994" s="24" t="s">
        <v>16430</v>
      </c>
      <c r="B6994" s="24" t="s">
        <v>16431</v>
      </c>
      <c r="C6994" s="24" t="s">
        <v>1796</v>
      </c>
      <c r="D6994" s="24" t="s">
        <v>17</v>
      </c>
      <c r="E6994" s="24" t="s">
        <v>26</v>
      </c>
      <c r="F6994" s="24" t="s">
        <v>27</v>
      </c>
      <c r="G6994" s="24" t="s">
        <v>217</v>
      </c>
      <c r="H6994" s="26">
        <v>318</v>
      </c>
      <c r="I6994" s="24" t="s">
        <v>29</v>
      </c>
      <c r="J6994" s="36">
        <v>45910</v>
      </c>
      <c r="K6994" s="24" t="s">
        <v>22</v>
      </c>
    </row>
    <row r="6995" spans="1:11" x14ac:dyDescent="0.2">
      <c r="A6995" s="27" t="s">
        <v>16432</v>
      </c>
      <c r="B6995" s="27" t="s">
        <v>16433</v>
      </c>
      <c r="C6995" s="27" t="s">
        <v>670</v>
      </c>
      <c r="D6995" s="27" t="s">
        <v>17</v>
      </c>
      <c r="E6995" s="27" t="s">
        <v>48</v>
      </c>
      <c r="F6995" s="27" t="s">
        <v>49</v>
      </c>
      <c r="G6995" s="27" t="s">
        <v>217</v>
      </c>
      <c r="H6995" s="29">
        <v>24</v>
      </c>
      <c r="I6995" s="27" t="s">
        <v>29</v>
      </c>
      <c r="J6995" s="37">
        <v>45902</v>
      </c>
      <c r="K6995" s="27" t="s">
        <v>22</v>
      </c>
    </row>
    <row r="6996" spans="1:11" x14ac:dyDescent="0.2">
      <c r="A6996" s="24" t="s">
        <v>16434</v>
      </c>
      <c r="B6996" s="24" t="s">
        <v>16435</v>
      </c>
      <c r="C6996" s="24" t="s">
        <v>1737</v>
      </c>
      <c r="D6996" s="24" t="s">
        <v>17</v>
      </c>
      <c r="E6996" s="24" t="s">
        <v>26</v>
      </c>
      <c r="F6996" s="24" t="s">
        <v>27</v>
      </c>
      <c r="G6996" s="24" t="s">
        <v>217</v>
      </c>
      <c r="H6996" s="26">
        <v>153</v>
      </c>
      <c r="I6996" s="24" t="s">
        <v>29</v>
      </c>
      <c r="J6996" s="36">
        <v>45901</v>
      </c>
      <c r="K6996" s="24" t="s">
        <v>22</v>
      </c>
    </row>
    <row r="6997" spans="1:11" x14ac:dyDescent="0.2">
      <c r="A6997" s="27" t="s">
        <v>16436</v>
      </c>
      <c r="B6997" s="27" t="s">
        <v>16437</v>
      </c>
      <c r="C6997" s="27" t="s">
        <v>16438</v>
      </c>
      <c r="D6997" s="27" t="s">
        <v>17</v>
      </c>
      <c r="E6997" s="27" t="s">
        <v>26</v>
      </c>
      <c r="F6997" s="27" t="s">
        <v>27</v>
      </c>
      <c r="G6997" s="27" t="s">
        <v>28</v>
      </c>
      <c r="H6997" s="29">
        <v>200</v>
      </c>
      <c r="I6997" s="27" t="s">
        <v>29</v>
      </c>
      <c r="J6997" s="37">
        <v>45923</v>
      </c>
      <c r="K6997" s="27" t="s">
        <v>22</v>
      </c>
    </row>
    <row r="6998" spans="1:11" x14ac:dyDescent="0.2">
      <c r="A6998" s="24" t="s">
        <v>16439</v>
      </c>
      <c r="B6998" s="24" t="s">
        <v>16440</v>
      </c>
      <c r="C6998" s="24" t="s">
        <v>9933</v>
      </c>
      <c r="D6998" s="24" t="s">
        <v>17</v>
      </c>
      <c r="E6998" s="24" t="s">
        <v>18</v>
      </c>
      <c r="F6998" s="24" t="s">
        <v>19</v>
      </c>
      <c r="G6998" s="24" t="s">
        <v>28</v>
      </c>
      <c r="H6998" s="26">
        <v>240</v>
      </c>
      <c r="I6998" s="24" t="s">
        <v>29</v>
      </c>
      <c r="J6998" s="36">
        <v>45929</v>
      </c>
      <c r="K6998" s="24" t="s">
        <v>22</v>
      </c>
    </row>
    <row r="6999" spans="1:11" x14ac:dyDescent="0.2">
      <c r="A6999" s="27" t="s">
        <v>16441</v>
      </c>
      <c r="B6999" s="27" t="s">
        <v>16442</v>
      </c>
      <c r="C6999" s="27" t="s">
        <v>7450</v>
      </c>
      <c r="D6999" s="27" t="s">
        <v>17</v>
      </c>
      <c r="E6999" s="27" t="s">
        <v>42</v>
      </c>
      <c r="F6999" s="27" t="s">
        <v>43</v>
      </c>
      <c r="G6999" s="27" t="s">
        <v>217</v>
      </c>
      <c r="H6999" s="29">
        <v>321</v>
      </c>
      <c r="I6999" s="27" t="s">
        <v>29</v>
      </c>
      <c r="J6999" s="37">
        <v>45902</v>
      </c>
      <c r="K6999" s="27" t="s">
        <v>22</v>
      </c>
    </row>
    <row r="7000" spans="1:11" x14ac:dyDescent="0.2">
      <c r="A7000" s="24" t="s">
        <v>16443</v>
      </c>
      <c r="B7000" s="24" t="s">
        <v>16444</v>
      </c>
      <c r="C7000" s="24" t="s">
        <v>194</v>
      </c>
      <c r="D7000" s="24" t="s">
        <v>17</v>
      </c>
      <c r="E7000" s="24" t="s">
        <v>42</v>
      </c>
      <c r="F7000" s="24" t="s">
        <v>43</v>
      </c>
      <c r="G7000" s="24" t="s">
        <v>28</v>
      </c>
      <c r="H7000" s="26">
        <v>490</v>
      </c>
      <c r="I7000" s="24" t="s">
        <v>29</v>
      </c>
      <c r="J7000" s="36">
        <v>45924</v>
      </c>
      <c r="K7000" s="24" t="s">
        <v>22</v>
      </c>
    </row>
    <row r="7001" spans="1:11" x14ac:dyDescent="0.2">
      <c r="A7001" s="27" t="s">
        <v>16445</v>
      </c>
      <c r="B7001" s="27" t="s">
        <v>16446</v>
      </c>
      <c r="C7001" s="27" t="s">
        <v>12611</v>
      </c>
      <c r="D7001" s="27" t="s">
        <v>17</v>
      </c>
      <c r="E7001" s="27" t="s">
        <v>42</v>
      </c>
      <c r="F7001" s="27" t="s">
        <v>43</v>
      </c>
      <c r="G7001" s="27" t="s">
        <v>217</v>
      </c>
      <c r="H7001" s="29">
        <v>198</v>
      </c>
      <c r="I7001" s="27" t="s">
        <v>29</v>
      </c>
      <c r="J7001" s="37">
        <v>45901</v>
      </c>
      <c r="K7001" s="27" t="s">
        <v>22</v>
      </c>
    </row>
    <row r="7002" spans="1:11" x14ac:dyDescent="0.2">
      <c r="A7002" s="24" t="s">
        <v>16447</v>
      </c>
      <c r="B7002" s="24" t="s">
        <v>16448</v>
      </c>
      <c r="C7002" s="24" t="s">
        <v>16449</v>
      </c>
      <c r="D7002" s="24" t="s">
        <v>17</v>
      </c>
      <c r="E7002" s="24" t="s">
        <v>18</v>
      </c>
      <c r="F7002" s="24" t="s">
        <v>19</v>
      </c>
      <c r="G7002" s="24" t="s">
        <v>217</v>
      </c>
      <c r="H7002" s="26">
        <v>10</v>
      </c>
      <c r="I7002" s="24" t="s">
        <v>29</v>
      </c>
      <c r="J7002" s="36">
        <v>45901</v>
      </c>
      <c r="K7002" s="24" t="s">
        <v>22</v>
      </c>
    </row>
    <row r="7003" spans="1:11" x14ac:dyDescent="0.2">
      <c r="A7003" s="27" t="s">
        <v>16450</v>
      </c>
      <c r="B7003" s="27" t="s">
        <v>16451</v>
      </c>
      <c r="C7003" s="27" t="s">
        <v>14701</v>
      </c>
      <c r="D7003" s="27" t="s">
        <v>17</v>
      </c>
      <c r="E7003" s="27" t="s">
        <v>48</v>
      </c>
      <c r="F7003" s="27" t="s">
        <v>49</v>
      </c>
      <c r="G7003" s="27" t="s">
        <v>28</v>
      </c>
      <c r="H7003" s="29">
        <v>320</v>
      </c>
      <c r="I7003" s="27" t="s">
        <v>29</v>
      </c>
      <c r="J7003" s="37">
        <v>45929</v>
      </c>
      <c r="K7003" s="27" t="s">
        <v>22</v>
      </c>
    </row>
    <row r="7004" spans="1:11" x14ac:dyDescent="0.2">
      <c r="A7004" s="24" t="s">
        <v>16452</v>
      </c>
      <c r="B7004" s="24" t="s">
        <v>16453</v>
      </c>
      <c r="C7004" s="24" t="s">
        <v>1523</v>
      </c>
      <c r="D7004" s="24" t="s">
        <v>17</v>
      </c>
      <c r="E7004" s="24" t="s">
        <v>48</v>
      </c>
      <c r="F7004" s="24" t="s">
        <v>49</v>
      </c>
      <c r="G7004" s="24" t="s">
        <v>217</v>
      </c>
      <c r="H7004" s="26">
        <v>48</v>
      </c>
      <c r="I7004" s="24" t="s">
        <v>29</v>
      </c>
      <c r="J7004" s="36">
        <v>45915</v>
      </c>
      <c r="K7004" s="24" t="s">
        <v>22</v>
      </c>
    </row>
    <row r="7005" spans="1:11" x14ac:dyDescent="0.2">
      <c r="A7005" s="27" t="s">
        <v>16454</v>
      </c>
      <c r="B7005" s="27" t="s">
        <v>16455</v>
      </c>
      <c r="C7005" s="27" t="s">
        <v>12305</v>
      </c>
      <c r="D7005" s="27" t="s">
        <v>17</v>
      </c>
      <c r="E7005" s="27" t="s">
        <v>18</v>
      </c>
      <c r="F7005" s="27" t="s">
        <v>19</v>
      </c>
      <c r="G7005" s="27" t="s">
        <v>44</v>
      </c>
      <c r="H7005" s="29">
        <v>79</v>
      </c>
      <c r="I7005" s="27" t="s">
        <v>21</v>
      </c>
      <c r="J7005" s="37">
        <v>45925</v>
      </c>
      <c r="K7005" s="27" t="s">
        <v>22</v>
      </c>
    </row>
    <row r="7006" spans="1:11" x14ac:dyDescent="0.2">
      <c r="A7006" s="24" t="s">
        <v>16456</v>
      </c>
      <c r="B7006" s="24" t="s">
        <v>16457</v>
      </c>
      <c r="C7006" s="24" t="s">
        <v>2309</v>
      </c>
      <c r="D7006" s="24" t="s">
        <v>17</v>
      </c>
      <c r="E7006" s="24" t="s">
        <v>42</v>
      </c>
      <c r="F7006" s="24" t="s">
        <v>43</v>
      </c>
      <c r="G7006" s="24" t="s">
        <v>217</v>
      </c>
      <c r="H7006" s="26">
        <v>300</v>
      </c>
      <c r="I7006" s="24" t="s">
        <v>29</v>
      </c>
      <c r="J7006" s="36">
        <v>45922</v>
      </c>
      <c r="K7006" s="24" t="s">
        <v>22</v>
      </c>
    </row>
    <row r="7007" spans="1:11" x14ac:dyDescent="0.2">
      <c r="A7007" s="27" t="s">
        <v>16458</v>
      </c>
      <c r="B7007" s="27" t="s">
        <v>16459</v>
      </c>
      <c r="C7007" s="27" t="s">
        <v>16460</v>
      </c>
      <c r="D7007" s="27" t="s">
        <v>17</v>
      </c>
      <c r="E7007" s="27" t="s">
        <v>48</v>
      </c>
      <c r="F7007" s="27" t="s">
        <v>49</v>
      </c>
      <c r="G7007" s="27" t="s">
        <v>44</v>
      </c>
      <c r="H7007" s="29">
        <v>100</v>
      </c>
      <c r="I7007" s="27" t="s">
        <v>29</v>
      </c>
      <c r="J7007" s="37">
        <v>45926</v>
      </c>
      <c r="K7007" s="27" t="s">
        <v>22</v>
      </c>
    </row>
    <row r="7008" spans="1:11" x14ac:dyDescent="0.2">
      <c r="A7008" s="24" t="s">
        <v>16461</v>
      </c>
      <c r="B7008" s="24" t="s">
        <v>16462</v>
      </c>
      <c r="C7008" s="24" t="s">
        <v>11607</v>
      </c>
      <c r="D7008" s="24" t="s">
        <v>17</v>
      </c>
      <c r="E7008" s="24" t="s">
        <v>26</v>
      </c>
      <c r="F7008" s="24" t="s">
        <v>27</v>
      </c>
      <c r="G7008" s="24" t="s">
        <v>116</v>
      </c>
      <c r="H7008" s="26">
        <v>0</v>
      </c>
      <c r="I7008" s="24" t="s">
        <v>21</v>
      </c>
      <c r="J7008" s="36">
        <v>45901</v>
      </c>
      <c r="K7008" s="24" t="s">
        <v>22</v>
      </c>
    </row>
    <row r="7009" spans="1:11" x14ac:dyDescent="0.2">
      <c r="A7009" s="27" t="s">
        <v>16463</v>
      </c>
      <c r="B7009" s="27" t="s">
        <v>16464</v>
      </c>
      <c r="C7009" s="27" t="s">
        <v>1953</v>
      </c>
      <c r="D7009" s="27" t="s">
        <v>17</v>
      </c>
      <c r="E7009" s="27" t="s">
        <v>48</v>
      </c>
      <c r="F7009" s="27" t="s">
        <v>49</v>
      </c>
      <c r="G7009" s="27" t="s">
        <v>28</v>
      </c>
      <c r="H7009" s="29">
        <v>10</v>
      </c>
      <c r="I7009" s="27" t="s">
        <v>29</v>
      </c>
      <c r="J7009" s="37">
        <v>45910</v>
      </c>
      <c r="K7009" s="27" t="s">
        <v>22</v>
      </c>
    </row>
    <row r="7010" spans="1:11" x14ac:dyDescent="0.2">
      <c r="A7010" s="24" t="s">
        <v>16465</v>
      </c>
      <c r="B7010" s="24" t="s">
        <v>16466</v>
      </c>
      <c r="C7010" s="24" t="s">
        <v>349</v>
      </c>
      <c r="D7010" s="24" t="s">
        <v>17</v>
      </c>
      <c r="E7010" s="24" t="s">
        <v>18</v>
      </c>
      <c r="F7010" s="24" t="s">
        <v>19</v>
      </c>
      <c r="G7010" s="24" t="s">
        <v>217</v>
      </c>
      <c r="H7010" s="26">
        <v>28</v>
      </c>
      <c r="I7010" s="24" t="s">
        <v>29</v>
      </c>
      <c r="J7010" s="36">
        <v>45930</v>
      </c>
      <c r="K7010" s="24" t="s">
        <v>22</v>
      </c>
    </row>
    <row r="7011" spans="1:11" x14ac:dyDescent="0.2">
      <c r="A7011" s="27" t="s">
        <v>16467</v>
      </c>
      <c r="B7011" s="27" t="s">
        <v>16468</v>
      </c>
      <c r="C7011" s="27" t="s">
        <v>85</v>
      </c>
      <c r="D7011" s="27" t="s">
        <v>17</v>
      </c>
      <c r="E7011" s="27" t="s">
        <v>18</v>
      </c>
      <c r="F7011" s="27" t="s">
        <v>19</v>
      </c>
      <c r="G7011" s="27" t="s">
        <v>44</v>
      </c>
      <c r="H7011" s="29">
        <v>24</v>
      </c>
      <c r="I7011" s="27" t="s">
        <v>21</v>
      </c>
      <c r="J7011" s="37">
        <v>45902</v>
      </c>
      <c r="K7011" s="27" t="s">
        <v>22</v>
      </c>
    </row>
    <row r="7012" spans="1:11" x14ac:dyDescent="0.2">
      <c r="A7012" s="24" t="s">
        <v>16469</v>
      </c>
      <c r="B7012" s="24" t="s">
        <v>16470</v>
      </c>
      <c r="C7012" s="24" t="s">
        <v>4888</v>
      </c>
      <c r="D7012" s="24" t="s">
        <v>17</v>
      </c>
      <c r="E7012" s="24" t="s">
        <v>18</v>
      </c>
      <c r="F7012" s="24" t="s">
        <v>19</v>
      </c>
      <c r="G7012" s="24" t="s">
        <v>28</v>
      </c>
      <c r="H7012" s="26">
        <v>64</v>
      </c>
      <c r="I7012" s="24" t="s">
        <v>29</v>
      </c>
      <c r="J7012" s="36">
        <v>45903</v>
      </c>
      <c r="K7012" s="24" t="s">
        <v>22</v>
      </c>
    </row>
    <row r="7013" spans="1:11" x14ac:dyDescent="0.2">
      <c r="A7013" s="27" t="s">
        <v>16471</v>
      </c>
      <c r="B7013" s="27" t="s">
        <v>16472</v>
      </c>
      <c r="C7013" s="27" t="s">
        <v>4244</v>
      </c>
      <c r="D7013" s="27" t="s">
        <v>17</v>
      </c>
      <c r="E7013" s="27" t="s">
        <v>26</v>
      </c>
      <c r="F7013" s="27" t="s">
        <v>27</v>
      </c>
      <c r="G7013" s="27" t="s">
        <v>28</v>
      </c>
      <c r="H7013" s="29">
        <v>21</v>
      </c>
      <c r="I7013" s="27" t="s">
        <v>29</v>
      </c>
      <c r="J7013" s="37">
        <v>45930</v>
      </c>
      <c r="K7013" s="27" t="s">
        <v>22</v>
      </c>
    </row>
    <row r="7014" spans="1:11" x14ac:dyDescent="0.2">
      <c r="A7014" s="24" t="s">
        <v>16473</v>
      </c>
      <c r="B7014" s="24" t="s">
        <v>16474</v>
      </c>
      <c r="C7014" s="24" t="s">
        <v>4913</v>
      </c>
      <c r="D7014" s="24" t="s">
        <v>17</v>
      </c>
      <c r="E7014" s="24" t="s">
        <v>48</v>
      </c>
      <c r="F7014" s="24" t="s">
        <v>49</v>
      </c>
      <c r="G7014" s="24" t="s">
        <v>28</v>
      </c>
      <c r="H7014" s="26">
        <v>12</v>
      </c>
      <c r="I7014" s="24" t="s">
        <v>29</v>
      </c>
      <c r="J7014" s="36">
        <v>45912</v>
      </c>
      <c r="K7014" s="24" t="s">
        <v>22</v>
      </c>
    </row>
    <row r="7015" spans="1:11" x14ac:dyDescent="0.2">
      <c r="A7015" s="27" t="s">
        <v>16475</v>
      </c>
      <c r="B7015" s="27" t="s">
        <v>16476</v>
      </c>
      <c r="C7015" s="27" t="s">
        <v>213</v>
      </c>
      <c r="D7015" s="27" t="s">
        <v>17</v>
      </c>
      <c r="E7015" s="27" t="s">
        <v>42</v>
      </c>
      <c r="F7015" s="27" t="s">
        <v>43</v>
      </c>
      <c r="G7015" s="27" t="s">
        <v>28</v>
      </c>
      <c r="H7015" s="29">
        <v>680</v>
      </c>
      <c r="I7015" s="27" t="s">
        <v>29</v>
      </c>
      <c r="J7015" s="37">
        <v>45929</v>
      </c>
      <c r="K7015" s="27" t="s">
        <v>22</v>
      </c>
    </row>
    <row r="7016" spans="1:11" x14ac:dyDescent="0.2">
      <c r="A7016" s="24" t="s">
        <v>16477</v>
      </c>
      <c r="B7016" s="24" t="s">
        <v>16478</v>
      </c>
      <c r="C7016" s="24" t="s">
        <v>16479</v>
      </c>
      <c r="D7016" s="24" t="s">
        <v>17</v>
      </c>
      <c r="E7016" s="24" t="s">
        <v>48</v>
      </c>
      <c r="F7016" s="24" t="s">
        <v>49</v>
      </c>
      <c r="G7016" s="24" t="s">
        <v>217</v>
      </c>
      <c r="H7016" s="26">
        <v>250</v>
      </c>
      <c r="I7016" s="24" t="s">
        <v>29</v>
      </c>
      <c r="J7016" s="36">
        <v>45901</v>
      </c>
      <c r="K7016" s="24" t="s">
        <v>22</v>
      </c>
    </row>
    <row r="7017" spans="1:11" x14ac:dyDescent="0.2">
      <c r="A7017" s="27" t="s">
        <v>16480</v>
      </c>
      <c r="B7017" s="27" t="s">
        <v>16481</v>
      </c>
      <c r="C7017" s="27" t="s">
        <v>6439</v>
      </c>
      <c r="D7017" s="27" t="s">
        <v>17</v>
      </c>
      <c r="E7017" s="27" t="s">
        <v>42</v>
      </c>
      <c r="F7017" s="27" t="s">
        <v>43</v>
      </c>
      <c r="G7017" s="27" t="s">
        <v>44</v>
      </c>
      <c r="H7017" s="29">
        <v>489</v>
      </c>
      <c r="I7017" s="27" t="s">
        <v>21</v>
      </c>
      <c r="J7017" s="37">
        <v>45902</v>
      </c>
      <c r="K7017" s="27" t="s">
        <v>22</v>
      </c>
    </row>
    <row r="7018" spans="1:11" x14ac:dyDescent="0.2">
      <c r="A7018" s="24" t="s">
        <v>16482</v>
      </c>
      <c r="B7018" s="24" t="s">
        <v>16483</v>
      </c>
      <c r="C7018" s="24" t="s">
        <v>251</v>
      </c>
      <c r="D7018" s="24" t="s">
        <v>17</v>
      </c>
      <c r="E7018" s="24" t="s">
        <v>18</v>
      </c>
      <c r="F7018" s="24" t="s">
        <v>19</v>
      </c>
      <c r="G7018" s="24" t="s">
        <v>28</v>
      </c>
      <c r="H7018" s="26">
        <v>28</v>
      </c>
      <c r="I7018" s="24" t="s">
        <v>29</v>
      </c>
      <c r="J7018" s="36">
        <v>45930</v>
      </c>
      <c r="K7018" s="24" t="s">
        <v>22</v>
      </c>
    </row>
    <row r="7019" spans="1:11" x14ac:dyDescent="0.2">
      <c r="A7019" s="27" t="s">
        <v>16484</v>
      </c>
      <c r="B7019" s="27" t="s">
        <v>16485</v>
      </c>
      <c r="C7019" s="27" t="s">
        <v>2621</v>
      </c>
      <c r="D7019" s="27" t="s">
        <v>17</v>
      </c>
      <c r="E7019" s="27" t="s">
        <v>48</v>
      </c>
      <c r="F7019" s="27" t="s">
        <v>49</v>
      </c>
      <c r="G7019" s="27" t="s">
        <v>28</v>
      </c>
      <c r="H7019" s="29">
        <v>90</v>
      </c>
      <c r="I7019" s="27" t="s">
        <v>29</v>
      </c>
      <c r="J7019" s="37">
        <v>45916</v>
      </c>
      <c r="K7019" s="27" t="s">
        <v>22</v>
      </c>
    </row>
    <row r="7020" spans="1:11" x14ac:dyDescent="0.2">
      <c r="A7020" s="24" t="s">
        <v>16486</v>
      </c>
      <c r="B7020" s="24" t="s">
        <v>16487</v>
      </c>
      <c r="C7020" s="24" t="s">
        <v>9947</v>
      </c>
      <c r="D7020" s="24" t="s">
        <v>17</v>
      </c>
      <c r="E7020" s="24" t="s">
        <v>26</v>
      </c>
      <c r="F7020" s="24" t="s">
        <v>27</v>
      </c>
      <c r="G7020" s="24" t="s">
        <v>217</v>
      </c>
      <c r="H7020" s="26">
        <v>30</v>
      </c>
      <c r="I7020" s="24" t="s">
        <v>29</v>
      </c>
      <c r="J7020" s="36">
        <v>45930</v>
      </c>
      <c r="K7020" s="24" t="s">
        <v>22</v>
      </c>
    </row>
    <row r="7021" spans="1:11" x14ac:dyDescent="0.2">
      <c r="A7021" s="27" t="s">
        <v>16488</v>
      </c>
      <c r="B7021" s="27" t="s">
        <v>16489</v>
      </c>
      <c r="C7021" s="27" t="s">
        <v>213</v>
      </c>
      <c r="D7021" s="27" t="s">
        <v>17</v>
      </c>
      <c r="E7021" s="27" t="s">
        <v>42</v>
      </c>
      <c r="F7021" s="27" t="s">
        <v>43</v>
      </c>
      <c r="G7021" s="27" t="s">
        <v>116</v>
      </c>
      <c r="H7021" s="29">
        <v>0</v>
      </c>
      <c r="I7021" s="27" t="s">
        <v>21</v>
      </c>
      <c r="J7021" s="37">
        <v>45915</v>
      </c>
      <c r="K7021" s="27" t="s">
        <v>22</v>
      </c>
    </row>
    <row r="7022" spans="1:11" x14ac:dyDescent="0.2">
      <c r="A7022" s="24" t="s">
        <v>16490</v>
      </c>
      <c r="B7022" s="24" t="s">
        <v>16491</v>
      </c>
      <c r="C7022" s="24" t="s">
        <v>9987</v>
      </c>
      <c r="D7022" s="24" t="s">
        <v>17</v>
      </c>
      <c r="E7022" s="24" t="s">
        <v>48</v>
      </c>
      <c r="F7022" s="24" t="s">
        <v>49</v>
      </c>
      <c r="G7022" s="24" t="s">
        <v>217</v>
      </c>
      <c r="H7022" s="26">
        <v>30</v>
      </c>
      <c r="I7022" s="24" t="s">
        <v>29</v>
      </c>
      <c r="J7022" s="36">
        <v>45901</v>
      </c>
      <c r="K7022" s="24" t="s">
        <v>22</v>
      </c>
    </row>
    <row r="7023" spans="1:11" x14ac:dyDescent="0.2">
      <c r="A7023" s="27" t="s">
        <v>16492</v>
      </c>
      <c r="B7023" s="27" t="s">
        <v>16493</v>
      </c>
      <c r="C7023" s="27" t="s">
        <v>16494</v>
      </c>
      <c r="D7023" s="27" t="s">
        <v>17</v>
      </c>
      <c r="E7023" s="27" t="s">
        <v>163</v>
      </c>
      <c r="F7023" s="27" t="s">
        <v>164</v>
      </c>
      <c r="G7023" s="27" t="s">
        <v>28</v>
      </c>
      <c r="H7023" s="29">
        <v>8</v>
      </c>
      <c r="I7023" s="27" t="s">
        <v>29</v>
      </c>
      <c r="J7023" s="37">
        <v>45904</v>
      </c>
      <c r="K7023" s="27" t="s">
        <v>22</v>
      </c>
    </row>
    <row r="7024" spans="1:11" x14ac:dyDescent="0.2">
      <c r="A7024" s="24" t="s">
        <v>16495</v>
      </c>
      <c r="B7024" s="24" t="s">
        <v>16496</v>
      </c>
      <c r="C7024" s="24" t="s">
        <v>140</v>
      </c>
      <c r="D7024" s="24" t="s">
        <v>17</v>
      </c>
      <c r="E7024" s="24" t="s">
        <v>48</v>
      </c>
      <c r="F7024" s="24" t="s">
        <v>49</v>
      </c>
      <c r="G7024" s="24" t="s">
        <v>217</v>
      </c>
      <c r="H7024" s="26">
        <v>150</v>
      </c>
      <c r="I7024" s="24" t="s">
        <v>29</v>
      </c>
      <c r="J7024" s="36">
        <v>45926</v>
      </c>
      <c r="K7024" s="24" t="s">
        <v>22</v>
      </c>
    </row>
    <row r="7025" spans="1:11" x14ac:dyDescent="0.2">
      <c r="A7025" s="27" t="s">
        <v>16497</v>
      </c>
      <c r="B7025" s="27" t="s">
        <v>16498</v>
      </c>
      <c r="C7025" s="27" t="s">
        <v>16499</v>
      </c>
      <c r="D7025" s="27" t="s">
        <v>17</v>
      </c>
      <c r="E7025" s="27" t="s">
        <v>42</v>
      </c>
      <c r="F7025" s="27" t="s">
        <v>43</v>
      </c>
      <c r="G7025" s="27" t="s">
        <v>28</v>
      </c>
      <c r="H7025" s="29">
        <v>845</v>
      </c>
      <c r="I7025" s="27" t="s">
        <v>29</v>
      </c>
      <c r="J7025" s="37">
        <v>45912</v>
      </c>
      <c r="K7025" s="27" t="s">
        <v>22</v>
      </c>
    </row>
    <row r="7026" spans="1:11" x14ac:dyDescent="0.2">
      <c r="A7026" s="24" t="s">
        <v>16500</v>
      </c>
      <c r="B7026" s="24" t="s">
        <v>16501</v>
      </c>
      <c r="C7026" s="24" t="s">
        <v>9814</v>
      </c>
      <c r="D7026" s="24" t="s">
        <v>17</v>
      </c>
      <c r="E7026" s="24" t="s">
        <v>18</v>
      </c>
      <c r="F7026" s="24" t="s">
        <v>19</v>
      </c>
      <c r="G7026" s="24" t="s">
        <v>217</v>
      </c>
      <c r="H7026" s="26">
        <v>56</v>
      </c>
      <c r="I7026" s="24" t="s">
        <v>29</v>
      </c>
      <c r="J7026" s="36">
        <v>45901</v>
      </c>
      <c r="K7026" s="24" t="s">
        <v>22</v>
      </c>
    </row>
    <row r="7027" spans="1:11" x14ac:dyDescent="0.2">
      <c r="A7027" s="27" t="s">
        <v>16502</v>
      </c>
      <c r="B7027" s="27" t="s">
        <v>16503</v>
      </c>
      <c r="C7027" s="27" t="s">
        <v>55</v>
      </c>
      <c r="D7027" s="27" t="s">
        <v>17</v>
      </c>
      <c r="E7027" s="27" t="s">
        <v>18</v>
      </c>
      <c r="F7027" s="27" t="s">
        <v>19</v>
      </c>
      <c r="G7027" s="27" t="s">
        <v>20</v>
      </c>
      <c r="H7027" s="29">
        <v>8</v>
      </c>
      <c r="I7027" s="27" t="s">
        <v>21</v>
      </c>
      <c r="J7027" s="37">
        <v>45917</v>
      </c>
      <c r="K7027" s="27" t="s">
        <v>22</v>
      </c>
    </row>
    <row r="7028" spans="1:11" x14ac:dyDescent="0.2">
      <c r="A7028" s="24" t="s">
        <v>16504</v>
      </c>
      <c r="B7028" s="24" t="s">
        <v>16505</v>
      </c>
      <c r="C7028" s="24" t="s">
        <v>1158</v>
      </c>
      <c r="D7028" s="24" t="s">
        <v>17</v>
      </c>
      <c r="E7028" s="24" t="s">
        <v>42</v>
      </c>
      <c r="F7028" s="24" t="s">
        <v>43</v>
      </c>
      <c r="G7028" s="24" t="s">
        <v>28</v>
      </c>
      <c r="H7028" s="26">
        <v>160</v>
      </c>
      <c r="I7028" s="24" t="s">
        <v>29</v>
      </c>
      <c r="J7028" s="36">
        <v>45916</v>
      </c>
      <c r="K7028" s="24" t="s">
        <v>22</v>
      </c>
    </row>
    <row r="7029" spans="1:11" x14ac:dyDescent="0.2">
      <c r="A7029" s="27" t="s">
        <v>16506</v>
      </c>
      <c r="B7029" s="27" t="s">
        <v>16507</v>
      </c>
      <c r="C7029" s="27" t="s">
        <v>325</v>
      </c>
      <c r="D7029" s="27" t="s">
        <v>17</v>
      </c>
      <c r="E7029" s="27" t="s">
        <v>18</v>
      </c>
      <c r="F7029" s="27" t="s">
        <v>19</v>
      </c>
      <c r="G7029" s="27" t="s">
        <v>28</v>
      </c>
      <c r="H7029" s="29">
        <v>16</v>
      </c>
      <c r="I7029" s="27" t="s">
        <v>29</v>
      </c>
      <c r="J7029" s="37">
        <v>45922</v>
      </c>
      <c r="K7029" s="27" t="s">
        <v>22</v>
      </c>
    </row>
    <row r="7030" spans="1:11" x14ac:dyDescent="0.2">
      <c r="A7030" s="24" t="s">
        <v>16508</v>
      </c>
      <c r="B7030" s="24" t="s">
        <v>16509</v>
      </c>
      <c r="C7030" s="24" t="s">
        <v>5466</v>
      </c>
      <c r="D7030" s="24" t="s">
        <v>17</v>
      </c>
      <c r="E7030" s="24" t="s">
        <v>26</v>
      </c>
      <c r="F7030" s="24" t="s">
        <v>27</v>
      </c>
      <c r="G7030" s="24" t="s">
        <v>28</v>
      </c>
      <c r="H7030" s="26">
        <v>75</v>
      </c>
      <c r="I7030" s="24" t="s">
        <v>29</v>
      </c>
      <c r="J7030" s="36">
        <v>45929</v>
      </c>
      <c r="K7030" s="24" t="s">
        <v>22</v>
      </c>
    </row>
    <row r="7031" spans="1:11" x14ac:dyDescent="0.2">
      <c r="A7031" s="27" t="s">
        <v>16510</v>
      </c>
      <c r="B7031" s="27" t="s">
        <v>16511</v>
      </c>
      <c r="C7031" s="27" t="s">
        <v>16512</v>
      </c>
      <c r="D7031" s="27" t="s">
        <v>17</v>
      </c>
      <c r="E7031" s="27" t="s">
        <v>33</v>
      </c>
      <c r="F7031" s="27" t="s">
        <v>34</v>
      </c>
      <c r="G7031" s="27" t="s">
        <v>217</v>
      </c>
      <c r="H7031" s="29">
        <v>252</v>
      </c>
      <c r="I7031" s="27" t="s">
        <v>29</v>
      </c>
      <c r="J7031" s="37">
        <v>45901</v>
      </c>
      <c r="K7031" s="27" t="s">
        <v>22</v>
      </c>
    </row>
    <row r="7032" spans="1:11" x14ac:dyDescent="0.2">
      <c r="A7032" s="24" t="s">
        <v>16513</v>
      </c>
      <c r="B7032" s="24" t="s">
        <v>16514</v>
      </c>
      <c r="C7032" s="24" t="s">
        <v>1147</v>
      </c>
      <c r="D7032" s="24" t="s">
        <v>17</v>
      </c>
      <c r="E7032" s="24" t="s">
        <v>18</v>
      </c>
      <c r="F7032" s="24" t="s">
        <v>19</v>
      </c>
      <c r="G7032" s="24" t="s">
        <v>28</v>
      </c>
      <c r="H7032" s="26">
        <v>64</v>
      </c>
      <c r="I7032" s="24" t="s">
        <v>29</v>
      </c>
      <c r="J7032" s="36">
        <v>45925</v>
      </c>
      <c r="K7032" s="24" t="s">
        <v>22</v>
      </c>
    </row>
    <row r="7033" spans="1:11" x14ac:dyDescent="0.2">
      <c r="A7033" s="27" t="s">
        <v>16515</v>
      </c>
      <c r="B7033" s="27" t="s">
        <v>16516</v>
      </c>
      <c r="C7033" s="27" t="s">
        <v>16517</v>
      </c>
      <c r="D7033" s="27" t="s">
        <v>17</v>
      </c>
      <c r="E7033" s="27" t="s">
        <v>26</v>
      </c>
      <c r="F7033" s="27" t="s">
        <v>27</v>
      </c>
      <c r="G7033" s="27" t="s">
        <v>217</v>
      </c>
      <c r="H7033" s="29">
        <v>30</v>
      </c>
      <c r="I7033" s="27" t="s">
        <v>29</v>
      </c>
      <c r="J7033" s="37">
        <v>45901</v>
      </c>
      <c r="K7033" s="27" t="s">
        <v>22</v>
      </c>
    </row>
    <row r="7034" spans="1:11" x14ac:dyDescent="0.2">
      <c r="A7034" s="24" t="s">
        <v>16518</v>
      </c>
      <c r="B7034" s="24" t="s">
        <v>16519</v>
      </c>
      <c r="C7034" s="24" t="s">
        <v>1663</v>
      </c>
      <c r="D7034" s="24" t="s">
        <v>17</v>
      </c>
      <c r="E7034" s="24" t="s">
        <v>18</v>
      </c>
      <c r="F7034" s="24" t="s">
        <v>19</v>
      </c>
      <c r="G7034" s="24" t="s">
        <v>28</v>
      </c>
      <c r="H7034" s="26">
        <v>174</v>
      </c>
      <c r="I7034" s="24" t="s">
        <v>29</v>
      </c>
      <c r="J7034" s="36">
        <v>45926</v>
      </c>
      <c r="K7034" s="24" t="s">
        <v>22</v>
      </c>
    </row>
    <row r="7035" spans="1:11" x14ac:dyDescent="0.2">
      <c r="A7035" s="27" t="s">
        <v>16520</v>
      </c>
      <c r="B7035" s="27" t="s">
        <v>16521</v>
      </c>
      <c r="C7035" s="27" t="s">
        <v>644</v>
      </c>
      <c r="D7035" s="27" t="s">
        <v>17</v>
      </c>
      <c r="E7035" s="27" t="s">
        <v>48</v>
      </c>
      <c r="F7035" s="27" t="s">
        <v>49</v>
      </c>
      <c r="G7035" s="27" t="s">
        <v>28</v>
      </c>
      <c r="H7035" s="29">
        <v>100</v>
      </c>
      <c r="I7035" s="27" t="s">
        <v>29</v>
      </c>
      <c r="J7035" s="37">
        <v>45909</v>
      </c>
      <c r="K7035" s="27" t="s">
        <v>22</v>
      </c>
    </row>
    <row r="7036" spans="1:11" x14ac:dyDescent="0.2">
      <c r="A7036" s="24" t="s">
        <v>16522</v>
      </c>
      <c r="B7036" s="24" t="s">
        <v>16523</v>
      </c>
      <c r="C7036" s="24" t="s">
        <v>5636</v>
      </c>
      <c r="D7036" s="24" t="s">
        <v>17</v>
      </c>
      <c r="E7036" s="24" t="s">
        <v>48</v>
      </c>
      <c r="F7036" s="24" t="s">
        <v>49</v>
      </c>
      <c r="G7036" s="24" t="s">
        <v>44</v>
      </c>
      <c r="H7036" s="26">
        <v>240</v>
      </c>
      <c r="I7036" s="24" t="s">
        <v>29</v>
      </c>
      <c r="J7036" s="36">
        <v>45917</v>
      </c>
      <c r="K7036" s="24" t="s">
        <v>22</v>
      </c>
    </row>
    <row r="7037" spans="1:11" x14ac:dyDescent="0.2">
      <c r="A7037" s="27" t="s">
        <v>16524</v>
      </c>
      <c r="B7037" s="27" t="s">
        <v>16525</v>
      </c>
      <c r="C7037" s="27" t="s">
        <v>8496</v>
      </c>
      <c r="D7037" s="27" t="s">
        <v>17</v>
      </c>
      <c r="E7037" s="27" t="s">
        <v>18</v>
      </c>
      <c r="F7037" s="27" t="s">
        <v>19</v>
      </c>
      <c r="G7037" s="27" t="s">
        <v>28</v>
      </c>
      <c r="H7037" s="29">
        <v>32</v>
      </c>
      <c r="I7037" s="27" t="s">
        <v>29</v>
      </c>
      <c r="J7037" s="37">
        <v>45911</v>
      </c>
      <c r="K7037" s="27" t="s">
        <v>22</v>
      </c>
    </row>
    <row r="7038" spans="1:11" x14ac:dyDescent="0.2">
      <c r="A7038" s="24" t="s">
        <v>16526</v>
      </c>
      <c r="B7038" s="24" t="s">
        <v>16527</v>
      </c>
      <c r="C7038" s="24" t="s">
        <v>690</v>
      </c>
      <c r="D7038" s="24" t="s">
        <v>17</v>
      </c>
      <c r="E7038" s="24" t="s">
        <v>42</v>
      </c>
      <c r="F7038" s="24" t="s">
        <v>43</v>
      </c>
      <c r="G7038" s="24" t="s">
        <v>28</v>
      </c>
      <c r="H7038" s="26">
        <v>500</v>
      </c>
      <c r="I7038" s="24" t="s">
        <v>29</v>
      </c>
      <c r="J7038" s="36">
        <v>45922</v>
      </c>
      <c r="K7038" s="24" t="s">
        <v>22</v>
      </c>
    </row>
    <row r="7039" spans="1:11" x14ac:dyDescent="0.2">
      <c r="A7039" s="27" t="s">
        <v>16528</v>
      </c>
      <c r="B7039" s="27" t="s">
        <v>16529</v>
      </c>
      <c r="C7039" s="27" t="s">
        <v>984</v>
      </c>
      <c r="D7039" s="27" t="s">
        <v>17</v>
      </c>
      <c r="E7039" s="27" t="s">
        <v>26</v>
      </c>
      <c r="F7039" s="27" t="s">
        <v>27</v>
      </c>
      <c r="G7039" s="27" t="s">
        <v>28</v>
      </c>
      <c r="H7039" s="29">
        <v>166</v>
      </c>
      <c r="I7039" s="27" t="s">
        <v>29</v>
      </c>
      <c r="J7039" s="37">
        <v>45930</v>
      </c>
      <c r="K7039" s="27" t="s">
        <v>22</v>
      </c>
    </row>
    <row r="7040" spans="1:11" x14ac:dyDescent="0.2">
      <c r="A7040" s="24" t="s">
        <v>16530</v>
      </c>
      <c r="B7040" s="24" t="s">
        <v>16531</v>
      </c>
      <c r="C7040" s="24" t="s">
        <v>16532</v>
      </c>
      <c r="D7040" s="24" t="s">
        <v>17</v>
      </c>
      <c r="E7040" s="24" t="s">
        <v>18</v>
      </c>
      <c r="F7040" s="24" t="s">
        <v>19</v>
      </c>
      <c r="G7040" s="24" t="s">
        <v>217</v>
      </c>
      <c r="H7040" s="26">
        <v>40</v>
      </c>
      <c r="I7040" s="24" t="s">
        <v>29</v>
      </c>
      <c r="J7040" s="36">
        <v>45930</v>
      </c>
      <c r="K7040" s="24" t="s">
        <v>22</v>
      </c>
    </row>
    <row r="7041" spans="1:11" x14ac:dyDescent="0.2">
      <c r="A7041" s="27" t="s">
        <v>16533</v>
      </c>
      <c r="B7041" s="27" t="s">
        <v>16534</v>
      </c>
      <c r="C7041" s="27" t="s">
        <v>7365</v>
      </c>
      <c r="D7041" s="27" t="s">
        <v>17</v>
      </c>
      <c r="E7041" s="27" t="s">
        <v>42</v>
      </c>
      <c r="F7041" s="27" t="s">
        <v>43</v>
      </c>
      <c r="G7041" s="27" t="s">
        <v>28</v>
      </c>
      <c r="H7041" s="29">
        <v>246</v>
      </c>
      <c r="I7041" s="27" t="s">
        <v>29</v>
      </c>
      <c r="J7041" s="37">
        <v>45925</v>
      </c>
      <c r="K7041" s="27" t="s">
        <v>22</v>
      </c>
    </row>
    <row r="7042" spans="1:11" x14ac:dyDescent="0.2">
      <c r="A7042" s="24" t="s">
        <v>16535</v>
      </c>
      <c r="B7042" s="24" t="s">
        <v>16536</v>
      </c>
      <c r="C7042" s="24" t="s">
        <v>208</v>
      </c>
      <c r="D7042" s="24" t="s">
        <v>17</v>
      </c>
      <c r="E7042" s="24" t="s">
        <v>42</v>
      </c>
      <c r="F7042" s="24" t="s">
        <v>43</v>
      </c>
      <c r="G7042" s="24" t="s">
        <v>28</v>
      </c>
      <c r="H7042" s="26">
        <v>942</v>
      </c>
      <c r="I7042" s="24" t="s">
        <v>29</v>
      </c>
      <c r="J7042" s="36">
        <v>45916</v>
      </c>
      <c r="K7042" s="24" t="s">
        <v>22</v>
      </c>
    </row>
    <row r="7043" spans="1:11" x14ac:dyDescent="0.2">
      <c r="A7043" s="27" t="s">
        <v>16537</v>
      </c>
      <c r="B7043" s="27" t="s">
        <v>16538</v>
      </c>
      <c r="C7043" s="27" t="s">
        <v>7335</v>
      </c>
      <c r="D7043" s="27" t="s">
        <v>17</v>
      </c>
      <c r="E7043" s="27" t="s">
        <v>42</v>
      </c>
      <c r="F7043" s="27" t="s">
        <v>43</v>
      </c>
      <c r="G7043" s="27" t="s">
        <v>44</v>
      </c>
      <c r="H7043" s="29">
        <v>7500</v>
      </c>
      <c r="I7043" s="27" t="s">
        <v>29</v>
      </c>
      <c r="J7043" s="37">
        <v>45925</v>
      </c>
      <c r="K7043" s="27" t="s">
        <v>22</v>
      </c>
    </row>
    <row r="7044" spans="1:11" x14ac:dyDescent="0.2">
      <c r="A7044" s="24" t="s">
        <v>16539</v>
      </c>
      <c r="B7044" s="24" t="s">
        <v>16540</v>
      </c>
      <c r="C7044" s="24" t="s">
        <v>4482</v>
      </c>
      <c r="D7044" s="24" t="s">
        <v>17</v>
      </c>
      <c r="E7044" s="24" t="s">
        <v>48</v>
      </c>
      <c r="F7044" s="24" t="s">
        <v>49</v>
      </c>
      <c r="G7044" s="24" t="s">
        <v>28</v>
      </c>
      <c r="H7044" s="26">
        <v>135</v>
      </c>
      <c r="I7044" s="24" t="s">
        <v>29</v>
      </c>
      <c r="J7044" s="36">
        <v>45911</v>
      </c>
      <c r="K7044" s="24" t="s">
        <v>22</v>
      </c>
    </row>
    <row r="7045" spans="1:11" x14ac:dyDescent="0.2">
      <c r="A7045" s="27" t="s">
        <v>16541</v>
      </c>
      <c r="B7045" s="27" t="s">
        <v>16542</v>
      </c>
      <c r="C7045" s="27" t="s">
        <v>16543</v>
      </c>
      <c r="D7045" s="27" t="s">
        <v>17</v>
      </c>
      <c r="E7045" s="27" t="s">
        <v>48</v>
      </c>
      <c r="F7045" s="27" t="s">
        <v>49</v>
      </c>
      <c r="G7045" s="27" t="s">
        <v>217</v>
      </c>
      <c r="H7045" s="29">
        <v>78</v>
      </c>
      <c r="I7045" s="27" t="s">
        <v>29</v>
      </c>
      <c r="J7045" s="37">
        <v>45901</v>
      </c>
      <c r="K7045" s="27" t="s">
        <v>22</v>
      </c>
    </row>
    <row r="7046" spans="1:11" x14ac:dyDescent="0.2">
      <c r="A7046" s="24" t="s">
        <v>16544</v>
      </c>
      <c r="B7046" s="24" t="s">
        <v>16545</v>
      </c>
      <c r="C7046" s="24" t="s">
        <v>3512</v>
      </c>
      <c r="D7046" s="24" t="s">
        <v>17</v>
      </c>
      <c r="E7046" s="24" t="s">
        <v>18</v>
      </c>
      <c r="F7046" s="24" t="s">
        <v>19</v>
      </c>
      <c r="G7046" s="24" t="s">
        <v>28</v>
      </c>
      <c r="H7046" s="26">
        <v>100</v>
      </c>
      <c r="I7046" s="24" t="s">
        <v>29</v>
      </c>
      <c r="J7046" s="36">
        <v>45923</v>
      </c>
      <c r="K7046" s="24" t="s">
        <v>22</v>
      </c>
    </row>
    <row r="7047" spans="1:11" x14ac:dyDescent="0.2">
      <c r="A7047" s="27" t="s">
        <v>16546</v>
      </c>
      <c r="B7047" s="27" t="s">
        <v>16547</v>
      </c>
      <c r="C7047" s="27" t="s">
        <v>134</v>
      </c>
      <c r="D7047" s="27" t="s">
        <v>17</v>
      </c>
      <c r="E7047" s="27" t="s">
        <v>81</v>
      </c>
      <c r="F7047" s="27" t="s">
        <v>82</v>
      </c>
      <c r="G7047" s="27" t="s">
        <v>28</v>
      </c>
      <c r="H7047" s="29">
        <v>50</v>
      </c>
      <c r="I7047" s="27" t="s">
        <v>29</v>
      </c>
      <c r="J7047" s="37">
        <v>45904</v>
      </c>
      <c r="K7047" s="27" t="s">
        <v>22</v>
      </c>
    </row>
    <row r="7048" spans="1:11" x14ac:dyDescent="0.2">
      <c r="A7048" s="24" t="s">
        <v>16548</v>
      </c>
      <c r="B7048" s="24" t="s">
        <v>16549</v>
      </c>
      <c r="C7048" s="24" t="s">
        <v>15979</v>
      </c>
      <c r="D7048" s="24" t="s">
        <v>17</v>
      </c>
      <c r="E7048" s="24" t="s">
        <v>48</v>
      </c>
      <c r="F7048" s="24" t="s">
        <v>49</v>
      </c>
      <c r="G7048" s="24" t="s">
        <v>28</v>
      </c>
      <c r="H7048" s="26">
        <v>84</v>
      </c>
      <c r="I7048" s="24" t="s">
        <v>29</v>
      </c>
      <c r="J7048" s="36">
        <v>45903</v>
      </c>
      <c r="K7048" s="24" t="s">
        <v>22</v>
      </c>
    </row>
    <row r="7049" spans="1:11" x14ac:dyDescent="0.2">
      <c r="A7049" s="27" t="s">
        <v>16550</v>
      </c>
      <c r="B7049" s="27" t="s">
        <v>16551</v>
      </c>
      <c r="C7049" s="27" t="s">
        <v>11282</v>
      </c>
      <c r="D7049" s="27" t="s">
        <v>17</v>
      </c>
      <c r="E7049" s="27" t="s">
        <v>26</v>
      </c>
      <c r="F7049" s="27" t="s">
        <v>27</v>
      </c>
      <c r="G7049" s="27" t="s">
        <v>217</v>
      </c>
      <c r="H7049" s="29">
        <v>18</v>
      </c>
      <c r="I7049" s="27" t="s">
        <v>29</v>
      </c>
      <c r="J7049" s="37">
        <v>45920</v>
      </c>
      <c r="K7049" s="27" t="s">
        <v>22</v>
      </c>
    </row>
    <row r="7050" spans="1:11" x14ac:dyDescent="0.2">
      <c r="A7050" s="24" t="s">
        <v>16552</v>
      </c>
      <c r="B7050" s="24" t="s">
        <v>16553</v>
      </c>
      <c r="C7050" s="24" t="s">
        <v>91</v>
      </c>
      <c r="D7050" s="24" t="s">
        <v>17</v>
      </c>
      <c r="E7050" s="24" t="s">
        <v>18</v>
      </c>
      <c r="F7050" s="24" t="s">
        <v>19</v>
      </c>
      <c r="G7050" s="24" t="s">
        <v>28</v>
      </c>
      <c r="H7050" s="26">
        <v>200</v>
      </c>
      <c r="I7050" s="24" t="s">
        <v>29</v>
      </c>
      <c r="J7050" s="36">
        <v>45925</v>
      </c>
      <c r="K7050" s="24" t="s">
        <v>22</v>
      </c>
    </row>
    <row r="7051" spans="1:11" x14ac:dyDescent="0.2">
      <c r="A7051" s="27" t="s">
        <v>16554</v>
      </c>
      <c r="B7051" s="27" t="s">
        <v>16555</v>
      </c>
      <c r="C7051" s="27" t="s">
        <v>15335</v>
      </c>
      <c r="D7051" s="27" t="s">
        <v>17</v>
      </c>
      <c r="E7051" s="27" t="s">
        <v>48</v>
      </c>
      <c r="F7051" s="27" t="s">
        <v>49</v>
      </c>
      <c r="G7051" s="27" t="s">
        <v>28</v>
      </c>
      <c r="H7051" s="29">
        <v>66</v>
      </c>
      <c r="I7051" s="27" t="s">
        <v>29</v>
      </c>
      <c r="J7051" s="37">
        <v>45922</v>
      </c>
      <c r="K7051" s="27" t="s">
        <v>22</v>
      </c>
    </row>
    <row r="7052" spans="1:11" x14ac:dyDescent="0.2">
      <c r="A7052" s="24" t="s">
        <v>16556</v>
      </c>
      <c r="B7052" s="24" t="s">
        <v>16557</v>
      </c>
      <c r="C7052" s="24" t="s">
        <v>11145</v>
      </c>
      <c r="D7052" s="24" t="s">
        <v>17</v>
      </c>
      <c r="E7052" s="24" t="s">
        <v>48</v>
      </c>
      <c r="F7052" s="24" t="s">
        <v>49</v>
      </c>
      <c r="G7052" s="24" t="s">
        <v>217</v>
      </c>
      <c r="H7052" s="26">
        <v>60</v>
      </c>
      <c r="I7052" s="24" t="s">
        <v>29</v>
      </c>
      <c r="J7052" s="36">
        <v>45901</v>
      </c>
      <c r="K7052" s="24" t="s">
        <v>22</v>
      </c>
    </row>
    <row r="7053" spans="1:11" x14ac:dyDescent="0.2">
      <c r="A7053" s="27" t="s">
        <v>16558</v>
      </c>
      <c r="B7053" s="27" t="s">
        <v>16559</v>
      </c>
      <c r="C7053" s="27" t="s">
        <v>627</v>
      </c>
      <c r="D7053" s="27" t="s">
        <v>17</v>
      </c>
      <c r="E7053" s="27" t="s">
        <v>48</v>
      </c>
      <c r="F7053" s="27" t="s">
        <v>49</v>
      </c>
      <c r="G7053" s="27" t="s">
        <v>44</v>
      </c>
      <c r="H7053" s="29">
        <v>2850</v>
      </c>
      <c r="I7053" s="27" t="s">
        <v>29</v>
      </c>
      <c r="J7053" s="37">
        <v>45908</v>
      </c>
      <c r="K7053" s="27" t="s">
        <v>22</v>
      </c>
    </row>
    <row r="7054" spans="1:11" x14ac:dyDescent="0.2">
      <c r="A7054" s="24" t="s">
        <v>16560</v>
      </c>
      <c r="B7054" s="24" t="s">
        <v>16561</v>
      </c>
      <c r="C7054" s="24" t="s">
        <v>2461</v>
      </c>
      <c r="D7054" s="24" t="s">
        <v>17</v>
      </c>
      <c r="E7054" s="24" t="s">
        <v>26</v>
      </c>
      <c r="F7054" s="24" t="s">
        <v>27</v>
      </c>
      <c r="G7054" s="24" t="s">
        <v>217</v>
      </c>
      <c r="H7054" s="26">
        <v>450</v>
      </c>
      <c r="I7054" s="24" t="s">
        <v>29</v>
      </c>
      <c r="J7054" s="36">
        <v>45922</v>
      </c>
      <c r="K7054" s="24" t="s">
        <v>22</v>
      </c>
    </row>
    <row r="7055" spans="1:11" x14ac:dyDescent="0.2">
      <c r="A7055" s="27" t="s">
        <v>16562</v>
      </c>
      <c r="B7055" s="27" t="s">
        <v>16563</v>
      </c>
      <c r="C7055" s="27" t="s">
        <v>595</v>
      </c>
      <c r="D7055" s="27" t="s">
        <v>17</v>
      </c>
      <c r="E7055" s="27" t="s">
        <v>42</v>
      </c>
      <c r="F7055" s="27" t="s">
        <v>43</v>
      </c>
      <c r="G7055" s="27" t="s">
        <v>28</v>
      </c>
      <c r="H7055" s="29">
        <v>382</v>
      </c>
      <c r="I7055" s="27" t="s">
        <v>29</v>
      </c>
      <c r="J7055" s="37">
        <v>45912</v>
      </c>
      <c r="K7055" s="27" t="s">
        <v>22</v>
      </c>
    </row>
    <row r="7056" spans="1:11" x14ac:dyDescent="0.2">
      <c r="A7056" s="24" t="s">
        <v>16564</v>
      </c>
      <c r="B7056" s="24" t="s">
        <v>16565</v>
      </c>
      <c r="C7056" s="24" t="s">
        <v>10824</v>
      </c>
      <c r="D7056" s="24" t="s">
        <v>17</v>
      </c>
      <c r="E7056" s="24" t="s">
        <v>42</v>
      </c>
      <c r="F7056" s="24" t="s">
        <v>43</v>
      </c>
      <c r="G7056" s="24" t="s">
        <v>28</v>
      </c>
      <c r="H7056" s="26">
        <v>24</v>
      </c>
      <c r="I7056" s="24" t="s">
        <v>29</v>
      </c>
      <c r="J7056" s="36">
        <v>45903</v>
      </c>
      <c r="K7056" s="24" t="s">
        <v>22</v>
      </c>
    </row>
    <row r="7057" spans="1:11" x14ac:dyDescent="0.2">
      <c r="A7057" s="27" t="s">
        <v>16566</v>
      </c>
      <c r="B7057" s="27" t="s">
        <v>16567</v>
      </c>
      <c r="C7057" s="27" t="s">
        <v>1502</v>
      </c>
      <c r="D7057" s="27" t="s">
        <v>17</v>
      </c>
      <c r="E7057" s="27" t="s">
        <v>18</v>
      </c>
      <c r="F7057" s="27" t="s">
        <v>19</v>
      </c>
      <c r="G7057" s="27" t="s">
        <v>116</v>
      </c>
      <c r="H7057" s="29">
        <v>0</v>
      </c>
      <c r="I7057" s="27" t="s">
        <v>21</v>
      </c>
      <c r="J7057" s="37">
        <v>45912</v>
      </c>
      <c r="K7057" s="27" t="s">
        <v>22</v>
      </c>
    </row>
    <row r="7058" spans="1:11" x14ac:dyDescent="0.2">
      <c r="A7058" s="24" t="s">
        <v>16568</v>
      </c>
      <c r="B7058" s="24" t="s">
        <v>16569</v>
      </c>
      <c r="C7058" s="24" t="s">
        <v>185</v>
      </c>
      <c r="D7058" s="24" t="s">
        <v>17</v>
      </c>
      <c r="E7058" s="24" t="s">
        <v>42</v>
      </c>
      <c r="F7058" s="24" t="s">
        <v>43</v>
      </c>
      <c r="G7058" s="24" t="s">
        <v>217</v>
      </c>
      <c r="H7058" s="26">
        <v>546</v>
      </c>
      <c r="I7058" s="24" t="s">
        <v>29</v>
      </c>
      <c r="J7058" s="36">
        <v>45930</v>
      </c>
      <c r="K7058" s="24" t="s">
        <v>22</v>
      </c>
    </row>
    <row r="7059" spans="1:11" x14ac:dyDescent="0.2">
      <c r="A7059" s="27" t="s">
        <v>16570</v>
      </c>
      <c r="B7059" s="27" t="s">
        <v>16571</v>
      </c>
      <c r="C7059" s="27" t="s">
        <v>2669</v>
      </c>
      <c r="D7059" s="27" t="s">
        <v>17</v>
      </c>
      <c r="E7059" s="27" t="s">
        <v>42</v>
      </c>
      <c r="F7059" s="27" t="s">
        <v>43</v>
      </c>
      <c r="G7059" s="27" t="s">
        <v>28</v>
      </c>
      <c r="H7059" s="29">
        <v>408</v>
      </c>
      <c r="I7059" s="27" t="s">
        <v>29</v>
      </c>
      <c r="J7059" s="37">
        <v>45903</v>
      </c>
      <c r="K7059" s="27" t="s">
        <v>22</v>
      </c>
    </row>
    <row r="7060" spans="1:11" x14ac:dyDescent="0.2">
      <c r="A7060" s="24" t="s">
        <v>16572</v>
      </c>
      <c r="B7060" s="24" t="s">
        <v>16573</v>
      </c>
      <c r="C7060" s="24" t="s">
        <v>4485</v>
      </c>
      <c r="D7060" s="24" t="s">
        <v>17</v>
      </c>
      <c r="E7060" s="24" t="s">
        <v>48</v>
      </c>
      <c r="F7060" s="24" t="s">
        <v>49</v>
      </c>
      <c r="G7060" s="24" t="s">
        <v>28</v>
      </c>
      <c r="H7060" s="26">
        <v>148</v>
      </c>
      <c r="I7060" s="24" t="s">
        <v>29</v>
      </c>
      <c r="J7060" s="36">
        <v>45911</v>
      </c>
      <c r="K7060" s="24" t="s">
        <v>22</v>
      </c>
    </row>
    <row r="7061" spans="1:11" x14ac:dyDescent="0.2">
      <c r="A7061" s="27" t="s">
        <v>16574</v>
      </c>
      <c r="B7061" s="27" t="s">
        <v>16575</v>
      </c>
      <c r="C7061" s="27" t="s">
        <v>7559</v>
      </c>
      <c r="D7061" s="27" t="s">
        <v>17</v>
      </c>
      <c r="E7061" s="27" t="s">
        <v>26</v>
      </c>
      <c r="F7061" s="27" t="s">
        <v>27</v>
      </c>
      <c r="G7061" s="27" t="s">
        <v>28</v>
      </c>
      <c r="H7061" s="29">
        <v>320</v>
      </c>
      <c r="I7061" s="27" t="s">
        <v>29</v>
      </c>
      <c r="J7061" s="37">
        <v>45917</v>
      </c>
      <c r="K7061" s="27" t="s">
        <v>22</v>
      </c>
    </row>
    <row r="7062" spans="1:11" x14ac:dyDescent="0.2">
      <c r="A7062" s="24" t="s">
        <v>16576</v>
      </c>
      <c r="B7062" s="24" t="s">
        <v>16577</v>
      </c>
      <c r="C7062" s="24" t="s">
        <v>16578</v>
      </c>
      <c r="D7062" s="24" t="s">
        <v>17</v>
      </c>
      <c r="E7062" s="24" t="s">
        <v>18</v>
      </c>
      <c r="F7062" s="24" t="s">
        <v>19</v>
      </c>
      <c r="G7062" s="24" t="s">
        <v>28</v>
      </c>
      <c r="H7062" s="26">
        <v>80</v>
      </c>
      <c r="I7062" s="24" t="s">
        <v>29</v>
      </c>
      <c r="J7062" s="36">
        <v>45916</v>
      </c>
      <c r="K7062" s="24" t="s">
        <v>22</v>
      </c>
    </row>
    <row r="7063" spans="1:11" x14ac:dyDescent="0.2">
      <c r="A7063" s="27" t="s">
        <v>16579</v>
      </c>
      <c r="B7063" s="27" t="s">
        <v>16580</v>
      </c>
      <c r="C7063" s="27" t="s">
        <v>16581</v>
      </c>
      <c r="D7063" s="27" t="s">
        <v>17</v>
      </c>
      <c r="E7063" s="27" t="s">
        <v>18</v>
      </c>
      <c r="F7063" s="27" t="s">
        <v>19</v>
      </c>
      <c r="G7063" s="27" t="s">
        <v>217</v>
      </c>
      <c r="H7063" s="29">
        <v>29</v>
      </c>
      <c r="I7063" s="27" t="s">
        <v>29</v>
      </c>
      <c r="J7063" s="37">
        <v>45901</v>
      </c>
      <c r="K7063" s="27" t="s">
        <v>22</v>
      </c>
    </row>
    <row r="7064" spans="1:11" x14ac:dyDescent="0.2">
      <c r="A7064" s="24" t="s">
        <v>16582</v>
      </c>
      <c r="B7064" s="24" t="s">
        <v>16583</v>
      </c>
      <c r="C7064" s="24" t="s">
        <v>208</v>
      </c>
      <c r="D7064" s="24" t="s">
        <v>17</v>
      </c>
      <c r="E7064" s="24" t="s">
        <v>81</v>
      </c>
      <c r="F7064" s="24" t="s">
        <v>82</v>
      </c>
      <c r="G7064" s="24" t="s">
        <v>28</v>
      </c>
      <c r="H7064" s="26">
        <v>218</v>
      </c>
      <c r="I7064" s="24" t="s">
        <v>29</v>
      </c>
      <c r="J7064" s="36">
        <v>45922</v>
      </c>
      <c r="K7064" s="24" t="s">
        <v>22</v>
      </c>
    </row>
    <row r="7065" spans="1:11" x14ac:dyDescent="0.2">
      <c r="A7065" s="27" t="s">
        <v>16584</v>
      </c>
      <c r="B7065" s="27" t="s">
        <v>16585</v>
      </c>
      <c r="C7065" s="27" t="s">
        <v>13282</v>
      </c>
      <c r="D7065" s="27" t="s">
        <v>17</v>
      </c>
      <c r="E7065" s="27" t="s">
        <v>48</v>
      </c>
      <c r="F7065" s="27" t="s">
        <v>49</v>
      </c>
      <c r="G7065" s="27" t="s">
        <v>44</v>
      </c>
      <c r="H7065" s="29">
        <v>420</v>
      </c>
      <c r="I7065" s="27" t="s">
        <v>29</v>
      </c>
      <c r="J7065" s="37">
        <v>45915</v>
      </c>
      <c r="K7065" s="27" t="s">
        <v>22</v>
      </c>
    </row>
    <row r="7066" spans="1:11" x14ac:dyDescent="0.2">
      <c r="A7066" s="24" t="s">
        <v>16586</v>
      </c>
      <c r="B7066" s="24" t="s">
        <v>16587</v>
      </c>
      <c r="C7066" s="24" t="s">
        <v>134</v>
      </c>
      <c r="D7066" s="24" t="s">
        <v>17</v>
      </c>
      <c r="E7066" s="24" t="s">
        <v>33</v>
      </c>
      <c r="F7066" s="24" t="s">
        <v>34</v>
      </c>
      <c r="G7066" s="24" t="s">
        <v>28</v>
      </c>
      <c r="H7066" s="26">
        <v>470</v>
      </c>
      <c r="I7066" s="24" t="s">
        <v>29</v>
      </c>
      <c r="J7066" s="36">
        <v>45930</v>
      </c>
      <c r="K7066" s="24" t="s">
        <v>22</v>
      </c>
    </row>
    <row r="7067" spans="1:11" x14ac:dyDescent="0.2">
      <c r="A7067" s="27" t="s">
        <v>16588</v>
      </c>
      <c r="B7067" s="27" t="s">
        <v>16589</v>
      </c>
      <c r="C7067" s="27" t="s">
        <v>1155</v>
      </c>
      <c r="D7067" s="27" t="s">
        <v>17</v>
      </c>
      <c r="E7067" s="27" t="s">
        <v>81</v>
      </c>
      <c r="F7067" s="27" t="s">
        <v>82</v>
      </c>
      <c r="G7067" s="27" t="s">
        <v>217</v>
      </c>
      <c r="H7067" s="29">
        <v>50</v>
      </c>
      <c r="I7067" s="27" t="s">
        <v>29</v>
      </c>
      <c r="J7067" s="37">
        <v>45901</v>
      </c>
      <c r="K7067" s="27" t="s">
        <v>22</v>
      </c>
    </row>
    <row r="7068" spans="1:11" x14ac:dyDescent="0.2">
      <c r="A7068" s="24" t="s">
        <v>16590</v>
      </c>
      <c r="B7068" s="24" t="s">
        <v>16591</v>
      </c>
      <c r="C7068" s="24" t="s">
        <v>526</v>
      </c>
      <c r="D7068" s="24" t="s">
        <v>17</v>
      </c>
      <c r="E7068" s="24" t="s">
        <v>18</v>
      </c>
      <c r="F7068" s="24" t="s">
        <v>19</v>
      </c>
      <c r="G7068" s="24" t="s">
        <v>28</v>
      </c>
      <c r="H7068" s="26">
        <v>32</v>
      </c>
      <c r="I7068" s="24" t="s">
        <v>29</v>
      </c>
      <c r="J7068" s="36">
        <v>45918</v>
      </c>
      <c r="K7068" s="24" t="s">
        <v>22</v>
      </c>
    </row>
    <row r="7069" spans="1:11" x14ac:dyDescent="0.2">
      <c r="A7069" s="27" t="s">
        <v>16592</v>
      </c>
      <c r="B7069" s="27" t="s">
        <v>16593</v>
      </c>
      <c r="C7069" s="27" t="s">
        <v>16594</v>
      </c>
      <c r="D7069" s="27" t="s">
        <v>17</v>
      </c>
      <c r="E7069" s="27" t="s">
        <v>48</v>
      </c>
      <c r="F7069" s="27" t="s">
        <v>49</v>
      </c>
      <c r="G7069" s="27" t="s">
        <v>217</v>
      </c>
      <c r="H7069" s="29">
        <v>135</v>
      </c>
      <c r="I7069" s="27" t="s">
        <v>29</v>
      </c>
      <c r="J7069" s="37">
        <v>45930</v>
      </c>
      <c r="K7069" s="27" t="s">
        <v>22</v>
      </c>
    </row>
    <row r="7070" spans="1:11" x14ac:dyDescent="0.2">
      <c r="A7070" s="24" t="s">
        <v>16595</v>
      </c>
      <c r="B7070" s="24" t="s">
        <v>16596</v>
      </c>
      <c r="C7070" s="24" t="s">
        <v>7261</v>
      </c>
      <c r="D7070" s="24" t="s">
        <v>17</v>
      </c>
      <c r="E7070" s="24" t="s">
        <v>18</v>
      </c>
      <c r="F7070" s="24" t="s">
        <v>19</v>
      </c>
      <c r="G7070" s="24" t="s">
        <v>28</v>
      </c>
      <c r="H7070" s="26">
        <v>236</v>
      </c>
      <c r="I7070" s="24" t="s">
        <v>29</v>
      </c>
      <c r="J7070" s="36">
        <v>45903</v>
      </c>
      <c r="K7070" s="24" t="s">
        <v>22</v>
      </c>
    </row>
    <row r="7071" spans="1:11" x14ac:dyDescent="0.2">
      <c r="A7071" s="27" t="s">
        <v>16597</v>
      </c>
      <c r="B7071" s="27" t="s">
        <v>16598</v>
      </c>
      <c r="C7071" s="27" t="s">
        <v>9396</v>
      </c>
      <c r="D7071" s="27" t="s">
        <v>17</v>
      </c>
      <c r="E7071" s="27" t="s">
        <v>48</v>
      </c>
      <c r="F7071" s="27" t="s">
        <v>49</v>
      </c>
      <c r="G7071" s="27" t="s">
        <v>217</v>
      </c>
      <c r="H7071" s="29">
        <v>72</v>
      </c>
      <c r="I7071" s="27" t="s">
        <v>29</v>
      </c>
      <c r="J7071" s="37">
        <v>45901</v>
      </c>
      <c r="K7071" s="27" t="s">
        <v>22</v>
      </c>
    </row>
    <row r="7072" spans="1:11" x14ac:dyDescent="0.2">
      <c r="A7072" s="24" t="s">
        <v>16599</v>
      </c>
      <c r="B7072" s="24" t="s">
        <v>16600</v>
      </c>
      <c r="C7072" s="24" t="s">
        <v>213</v>
      </c>
      <c r="D7072" s="24" t="s">
        <v>17</v>
      </c>
      <c r="E7072" s="24" t="s">
        <v>18</v>
      </c>
      <c r="F7072" s="24" t="s">
        <v>19</v>
      </c>
      <c r="G7072" s="24" t="s">
        <v>28</v>
      </c>
      <c r="H7072" s="26">
        <v>12</v>
      </c>
      <c r="I7072" s="24" t="s">
        <v>29</v>
      </c>
      <c r="J7072" s="36">
        <v>45918</v>
      </c>
      <c r="K7072" s="24" t="s">
        <v>22</v>
      </c>
    </row>
    <row r="7073" spans="1:11" x14ac:dyDescent="0.2">
      <c r="A7073" s="27" t="s">
        <v>16601</v>
      </c>
      <c r="B7073" s="27" t="s">
        <v>16602</v>
      </c>
      <c r="C7073" s="27" t="s">
        <v>251</v>
      </c>
      <c r="D7073" s="27" t="s">
        <v>17</v>
      </c>
      <c r="E7073" s="27" t="s">
        <v>81</v>
      </c>
      <c r="F7073" s="27" t="s">
        <v>82</v>
      </c>
      <c r="G7073" s="27" t="s">
        <v>28</v>
      </c>
      <c r="H7073" s="29">
        <v>50</v>
      </c>
      <c r="I7073" s="27" t="s">
        <v>29</v>
      </c>
      <c r="J7073" s="37">
        <v>45909</v>
      </c>
      <c r="K7073" s="27" t="s">
        <v>22</v>
      </c>
    </row>
    <row r="7074" spans="1:11" x14ac:dyDescent="0.2">
      <c r="A7074" s="24" t="s">
        <v>16603</v>
      </c>
      <c r="B7074" s="24" t="s">
        <v>16604</v>
      </c>
      <c r="C7074" s="24" t="s">
        <v>16605</v>
      </c>
      <c r="D7074" s="24" t="s">
        <v>17</v>
      </c>
      <c r="E7074" s="24" t="s">
        <v>42</v>
      </c>
      <c r="F7074" s="24" t="s">
        <v>43</v>
      </c>
      <c r="G7074" s="24" t="s">
        <v>217</v>
      </c>
      <c r="H7074" s="26">
        <v>500</v>
      </c>
      <c r="I7074" s="24" t="s">
        <v>29</v>
      </c>
      <c r="J7074" s="36">
        <v>45901</v>
      </c>
      <c r="K7074" s="24" t="s">
        <v>22</v>
      </c>
    </row>
    <row r="7075" spans="1:11" x14ac:dyDescent="0.2">
      <c r="A7075" s="27" t="s">
        <v>16606</v>
      </c>
      <c r="B7075" s="27" t="s">
        <v>16607</v>
      </c>
      <c r="C7075" s="27" t="s">
        <v>16608</v>
      </c>
      <c r="D7075" s="27" t="s">
        <v>17</v>
      </c>
      <c r="E7075" s="27" t="s">
        <v>18</v>
      </c>
      <c r="F7075" s="27" t="s">
        <v>19</v>
      </c>
      <c r="G7075" s="27" t="s">
        <v>217</v>
      </c>
      <c r="H7075" s="29">
        <v>12</v>
      </c>
      <c r="I7075" s="27" t="s">
        <v>29</v>
      </c>
      <c r="J7075" s="37">
        <v>45901</v>
      </c>
      <c r="K7075" s="27" t="s">
        <v>22</v>
      </c>
    </row>
    <row r="7076" spans="1:11" x14ac:dyDescent="0.2">
      <c r="A7076" s="24" t="s">
        <v>16609</v>
      </c>
      <c r="B7076" s="24" t="s">
        <v>16610</v>
      </c>
      <c r="C7076" s="24" t="s">
        <v>251</v>
      </c>
      <c r="D7076" s="24" t="s">
        <v>17</v>
      </c>
      <c r="E7076" s="24" t="s">
        <v>48</v>
      </c>
      <c r="F7076" s="24" t="s">
        <v>49</v>
      </c>
      <c r="G7076" s="24" t="s">
        <v>44</v>
      </c>
      <c r="H7076" s="26">
        <v>7</v>
      </c>
      <c r="I7076" s="24" t="s">
        <v>21</v>
      </c>
      <c r="J7076" s="36">
        <v>45911</v>
      </c>
      <c r="K7076" s="24" t="s">
        <v>22</v>
      </c>
    </row>
    <row r="7077" spans="1:11" x14ac:dyDescent="0.2">
      <c r="A7077" s="27" t="s">
        <v>16611</v>
      </c>
      <c r="B7077" s="27" t="s">
        <v>16612</v>
      </c>
      <c r="C7077" s="27" t="s">
        <v>177</v>
      </c>
      <c r="D7077" s="27" t="s">
        <v>17</v>
      </c>
      <c r="E7077" s="27" t="s">
        <v>42</v>
      </c>
      <c r="F7077" s="27" t="s">
        <v>43</v>
      </c>
      <c r="G7077" s="27" t="s">
        <v>28</v>
      </c>
      <c r="H7077" s="29">
        <v>720</v>
      </c>
      <c r="I7077" s="27" t="s">
        <v>29</v>
      </c>
      <c r="J7077" s="37">
        <v>45908</v>
      </c>
      <c r="K7077" s="27" t="s">
        <v>22</v>
      </c>
    </row>
    <row r="7078" spans="1:11" x14ac:dyDescent="0.2">
      <c r="A7078" s="24" t="s">
        <v>16613</v>
      </c>
      <c r="B7078" s="24" t="s">
        <v>16614</v>
      </c>
      <c r="C7078" s="24" t="s">
        <v>15338</v>
      </c>
      <c r="D7078" s="24" t="s">
        <v>17</v>
      </c>
      <c r="E7078" s="24" t="s">
        <v>26</v>
      </c>
      <c r="F7078" s="24" t="s">
        <v>27</v>
      </c>
      <c r="G7078" s="24" t="s">
        <v>28</v>
      </c>
      <c r="H7078" s="26">
        <v>90</v>
      </c>
      <c r="I7078" s="24" t="s">
        <v>29</v>
      </c>
      <c r="J7078" s="36">
        <v>45922</v>
      </c>
      <c r="K7078" s="24" t="s">
        <v>22</v>
      </c>
    </row>
    <row r="7079" spans="1:11" x14ac:dyDescent="0.2">
      <c r="A7079" s="27" t="s">
        <v>16615</v>
      </c>
      <c r="B7079" s="27" t="s">
        <v>16616</v>
      </c>
      <c r="C7079" s="27" t="s">
        <v>518</v>
      </c>
      <c r="D7079" s="27" t="s">
        <v>17</v>
      </c>
      <c r="E7079" s="27" t="s">
        <v>42</v>
      </c>
      <c r="F7079" s="27" t="s">
        <v>43</v>
      </c>
      <c r="G7079" s="27" t="s">
        <v>217</v>
      </c>
      <c r="H7079" s="29">
        <v>144</v>
      </c>
      <c r="I7079" s="27" t="s">
        <v>29</v>
      </c>
      <c r="J7079" s="37">
        <v>45925</v>
      </c>
      <c r="K7079" s="27" t="s">
        <v>22</v>
      </c>
    </row>
    <row r="7080" spans="1:11" x14ac:dyDescent="0.2">
      <c r="A7080" s="24" t="s">
        <v>16617</v>
      </c>
      <c r="B7080" s="24" t="s">
        <v>16618</v>
      </c>
      <c r="C7080" s="24" t="s">
        <v>68</v>
      </c>
      <c r="D7080" s="24" t="s">
        <v>17</v>
      </c>
      <c r="E7080" s="24" t="s">
        <v>18</v>
      </c>
      <c r="F7080" s="24" t="s">
        <v>19</v>
      </c>
      <c r="G7080" s="24" t="s">
        <v>28</v>
      </c>
      <c r="H7080" s="26">
        <v>153</v>
      </c>
      <c r="I7080" s="24" t="s">
        <v>29</v>
      </c>
      <c r="J7080" s="36">
        <v>45916</v>
      </c>
      <c r="K7080" s="24" t="s">
        <v>22</v>
      </c>
    </row>
    <row r="7081" spans="1:11" x14ac:dyDescent="0.2">
      <c r="A7081" s="27" t="s">
        <v>16619</v>
      </c>
      <c r="B7081" s="27" t="s">
        <v>16620</v>
      </c>
      <c r="C7081" s="27" t="s">
        <v>220</v>
      </c>
      <c r="D7081" s="27" t="s">
        <v>17</v>
      </c>
      <c r="E7081" s="27" t="s">
        <v>48</v>
      </c>
      <c r="F7081" s="27" t="s">
        <v>49</v>
      </c>
      <c r="G7081" s="27" t="s">
        <v>28</v>
      </c>
      <c r="H7081" s="29">
        <v>450</v>
      </c>
      <c r="I7081" s="27" t="s">
        <v>29</v>
      </c>
      <c r="J7081" s="37">
        <v>45903</v>
      </c>
      <c r="K7081" s="27" t="s">
        <v>22</v>
      </c>
    </row>
    <row r="7082" spans="1:11" x14ac:dyDescent="0.2">
      <c r="A7082" s="24" t="s">
        <v>16621</v>
      </c>
      <c r="B7082" s="24" t="s">
        <v>16622</v>
      </c>
      <c r="C7082" s="24" t="s">
        <v>1518</v>
      </c>
      <c r="D7082" s="24" t="s">
        <v>17</v>
      </c>
      <c r="E7082" s="24" t="s">
        <v>26</v>
      </c>
      <c r="F7082" s="24" t="s">
        <v>27</v>
      </c>
      <c r="G7082" s="24" t="s">
        <v>28</v>
      </c>
      <c r="H7082" s="26">
        <v>424</v>
      </c>
      <c r="I7082" s="24" t="s">
        <v>29</v>
      </c>
      <c r="J7082" s="36">
        <v>45922</v>
      </c>
      <c r="K7082" s="24" t="s">
        <v>22</v>
      </c>
    </row>
    <row r="7083" spans="1:11" x14ac:dyDescent="0.2">
      <c r="A7083" s="27" t="s">
        <v>16623</v>
      </c>
      <c r="B7083" s="27" t="s">
        <v>16624</v>
      </c>
      <c r="C7083" s="27" t="s">
        <v>16625</v>
      </c>
      <c r="D7083" s="27" t="s">
        <v>17</v>
      </c>
      <c r="E7083" s="27" t="s">
        <v>18</v>
      </c>
      <c r="F7083" s="27" t="s">
        <v>19</v>
      </c>
      <c r="G7083" s="27" t="s">
        <v>20</v>
      </c>
      <c r="H7083" s="29">
        <v>14</v>
      </c>
      <c r="I7083" s="27" t="s">
        <v>21</v>
      </c>
      <c r="J7083" s="37">
        <v>45922</v>
      </c>
      <c r="K7083" s="27" t="s">
        <v>22</v>
      </c>
    </row>
    <row r="7084" spans="1:11" x14ac:dyDescent="0.2">
      <c r="A7084" s="24" t="s">
        <v>16626</v>
      </c>
      <c r="B7084" s="24" t="s">
        <v>16627</v>
      </c>
      <c r="C7084" s="24" t="s">
        <v>2811</v>
      </c>
      <c r="D7084" s="24" t="s">
        <v>17</v>
      </c>
      <c r="E7084" s="24" t="s">
        <v>18</v>
      </c>
      <c r="F7084" s="24" t="s">
        <v>19</v>
      </c>
      <c r="G7084" s="24" t="s">
        <v>227</v>
      </c>
      <c r="H7084" s="26">
        <v>80</v>
      </c>
      <c r="I7084" s="24" t="s">
        <v>29</v>
      </c>
      <c r="J7084" s="36">
        <v>45913</v>
      </c>
      <c r="K7084" s="24" t="s">
        <v>22</v>
      </c>
    </row>
    <row r="7085" spans="1:11" x14ac:dyDescent="0.2">
      <c r="A7085" s="27" t="s">
        <v>16628</v>
      </c>
      <c r="B7085" s="27" t="s">
        <v>16629</v>
      </c>
      <c r="C7085" s="27" t="s">
        <v>437</v>
      </c>
      <c r="D7085" s="27" t="s">
        <v>17</v>
      </c>
      <c r="E7085" s="27" t="s">
        <v>18</v>
      </c>
      <c r="F7085" s="27" t="s">
        <v>19</v>
      </c>
      <c r="G7085" s="27" t="s">
        <v>28</v>
      </c>
      <c r="H7085" s="29">
        <v>380</v>
      </c>
      <c r="I7085" s="27" t="s">
        <v>29</v>
      </c>
      <c r="J7085" s="37">
        <v>45916</v>
      </c>
      <c r="K7085" s="27" t="s">
        <v>22</v>
      </c>
    </row>
    <row r="7086" spans="1:11" x14ac:dyDescent="0.2">
      <c r="A7086" s="24" t="s">
        <v>16630</v>
      </c>
      <c r="B7086" s="24" t="s">
        <v>16631</v>
      </c>
      <c r="C7086" s="24" t="s">
        <v>11074</v>
      </c>
      <c r="D7086" s="24" t="s">
        <v>17</v>
      </c>
      <c r="E7086" s="24" t="s">
        <v>18</v>
      </c>
      <c r="F7086" s="24" t="s">
        <v>19</v>
      </c>
      <c r="G7086" s="24" t="s">
        <v>217</v>
      </c>
      <c r="H7086" s="26">
        <v>30</v>
      </c>
      <c r="I7086" s="24" t="s">
        <v>29</v>
      </c>
      <c r="J7086" s="36">
        <v>45901</v>
      </c>
      <c r="K7086" s="24" t="s">
        <v>22</v>
      </c>
    </row>
    <row r="7087" spans="1:11" x14ac:dyDescent="0.2">
      <c r="A7087" s="27" t="s">
        <v>16632</v>
      </c>
      <c r="B7087" s="27" t="s">
        <v>16633</v>
      </c>
      <c r="C7087" s="27" t="s">
        <v>277</v>
      </c>
      <c r="D7087" s="27" t="s">
        <v>17</v>
      </c>
      <c r="E7087" s="27" t="s">
        <v>18</v>
      </c>
      <c r="F7087" s="27" t="s">
        <v>19</v>
      </c>
      <c r="G7087" s="27" t="s">
        <v>20</v>
      </c>
      <c r="H7087" s="29">
        <v>22</v>
      </c>
      <c r="I7087" s="27" t="s">
        <v>21</v>
      </c>
      <c r="J7087" s="37">
        <v>45902</v>
      </c>
      <c r="K7087" s="27" t="s">
        <v>22</v>
      </c>
    </row>
    <row r="7088" spans="1:11" x14ac:dyDescent="0.2">
      <c r="A7088" s="24" t="s">
        <v>16634</v>
      </c>
      <c r="B7088" s="24" t="s">
        <v>16635</v>
      </c>
      <c r="C7088" s="24" t="s">
        <v>5538</v>
      </c>
      <c r="D7088" s="24" t="s">
        <v>17</v>
      </c>
      <c r="E7088" s="24" t="s">
        <v>18</v>
      </c>
      <c r="F7088" s="24" t="s">
        <v>19</v>
      </c>
      <c r="G7088" s="24" t="s">
        <v>28</v>
      </c>
      <c r="H7088" s="26">
        <v>165</v>
      </c>
      <c r="I7088" s="24" t="s">
        <v>29</v>
      </c>
      <c r="J7088" s="36">
        <v>45923</v>
      </c>
      <c r="K7088" s="24" t="s">
        <v>22</v>
      </c>
    </row>
    <row r="7089" spans="1:11" x14ac:dyDescent="0.2">
      <c r="A7089" s="27" t="s">
        <v>16636</v>
      </c>
      <c r="B7089" s="27" t="s">
        <v>16637</v>
      </c>
      <c r="C7089" s="27" t="s">
        <v>690</v>
      </c>
      <c r="D7089" s="27" t="s">
        <v>17</v>
      </c>
      <c r="E7089" s="27" t="s">
        <v>48</v>
      </c>
      <c r="F7089" s="27" t="s">
        <v>49</v>
      </c>
      <c r="G7089" s="27" t="s">
        <v>28</v>
      </c>
      <c r="H7089" s="29">
        <v>240</v>
      </c>
      <c r="I7089" s="27" t="s">
        <v>29</v>
      </c>
      <c r="J7089" s="37">
        <v>45915</v>
      </c>
      <c r="K7089" s="27" t="s">
        <v>22</v>
      </c>
    </row>
    <row r="7090" spans="1:11" x14ac:dyDescent="0.2">
      <c r="A7090" s="24" t="s">
        <v>16638</v>
      </c>
      <c r="B7090" s="24" t="s">
        <v>16639</v>
      </c>
      <c r="C7090" s="24" t="s">
        <v>3113</v>
      </c>
      <c r="D7090" s="24" t="s">
        <v>17</v>
      </c>
      <c r="E7090" s="24" t="s">
        <v>42</v>
      </c>
      <c r="F7090" s="24" t="s">
        <v>43</v>
      </c>
      <c r="G7090" s="24" t="s">
        <v>28</v>
      </c>
      <c r="H7090" s="26">
        <v>200</v>
      </c>
      <c r="I7090" s="24" t="s">
        <v>29</v>
      </c>
      <c r="J7090" s="36">
        <v>45902</v>
      </c>
      <c r="K7090" s="24" t="s">
        <v>22</v>
      </c>
    </row>
    <row r="7091" spans="1:11" x14ac:dyDescent="0.2">
      <c r="A7091" s="27" t="s">
        <v>16640</v>
      </c>
      <c r="B7091" s="27" t="s">
        <v>16641</v>
      </c>
      <c r="C7091" s="27" t="s">
        <v>2355</v>
      </c>
      <c r="D7091" s="27" t="s">
        <v>17</v>
      </c>
      <c r="E7091" s="27" t="s">
        <v>18</v>
      </c>
      <c r="F7091" s="27" t="s">
        <v>19</v>
      </c>
      <c r="G7091" s="27" t="s">
        <v>28</v>
      </c>
      <c r="H7091" s="29">
        <v>68</v>
      </c>
      <c r="I7091" s="27" t="s">
        <v>29</v>
      </c>
      <c r="J7091" s="37">
        <v>45915</v>
      </c>
      <c r="K7091" s="27" t="s">
        <v>22</v>
      </c>
    </row>
    <row r="7092" spans="1:11" x14ac:dyDescent="0.2">
      <c r="A7092" s="24" t="s">
        <v>16642</v>
      </c>
      <c r="B7092" s="24" t="s">
        <v>16643</v>
      </c>
      <c r="C7092" s="24" t="s">
        <v>662</v>
      </c>
      <c r="D7092" s="24" t="s">
        <v>17</v>
      </c>
      <c r="E7092" s="24" t="s">
        <v>48</v>
      </c>
      <c r="F7092" s="24" t="s">
        <v>49</v>
      </c>
      <c r="G7092" s="24" t="s">
        <v>28</v>
      </c>
      <c r="H7092" s="26">
        <v>450</v>
      </c>
      <c r="I7092" s="24" t="s">
        <v>29</v>
      </c>
      <c r="J7092" s="36">
        <v>45916</v>
      </c>
      <c r="K7092" s="24" t="s">
        <v>22</v>
      </c>
    </row>
    <row r="7093" spans="1:11" x14ac:dyDescent="0.2">
      <c r="A7093" s="27" t="s">
        <v>16644</v>
      </c>
      <c r="B7093" s="27" t="s">
        <v>16645</v>
      </c>
      <c r="C7093" s="27" t="s">
        <v>146</v>
      </c>
      <c r="D7093" s="27" t="s">
        <v>17</v>
      </c>
      <c r="E7093" s="27" t="s">
        <v>18</v>
      </c>
      <c r="F7093" s="27" t="s">
        <v>19</v>
      </c>
      <c r="G7093" s="27" t="s">
        <v>28</v>
      </c>
      <c r="H7093" s="29">
        <v>32</v>
      </c>
      <c r="I7093" s="27" t="s">
        <v>29</v>
      </c>
      <c r="J7093" s="37">
        <v>45916</v>
      </c>
      <c r="K7093" s="27" t="s">
        <v>22</v>
      </c>
    </row>
    <row r="7094" spans="1:11" x14ac:dyDescent="0.2">
      <c r="A7094" s="24" t="s">
        <v>16646</v>
      </c>
      <c r="B7094" s="24" t="s">
        <v>16647</v>
      </c>
      <c r="C7094" s="24" t="s">
        <v>213</v>
      </c>
      <c r="D7094" s="24" t="s">
        <v>17</v>
      </c>
      <c r="E7094" s="24" t="s">
        <v>42</v>
      </c>
      <c r="F7094" s="24" t="s">
        <v>43</v>
      </c>
      <c r="G7094" s="24" t="s">
        <v>28</v>
      </c>
      <c r="H7094" s="26">
        <v>140</v>
      </c>
      <c r="I7094" s="24" t="s">
        <v>29</v>
      </c>
      <c r="J7094" s="36">
        <v>45910</v>
      </c>
      <c r="K7094" s="24" t="s">
        <v>22</v>
      </c>
    </row>
    <row r="7095" spans="1:11" x14ac:dyDescent="0.2">
      <c r="A7095" s="27" t="s">
        <v>16648</v>
      </c>
      <c r="B7095" s="27" t="s">
        <v>16649</v>
      </c>
      <c r="C7095" s="27" t="s">
        <v>8677</v>
      </c>
      <c r="D7095" s="27" t="s">
        <v>17</v>
      </c>
      <c r="E7095" s="27" t="s">
        <v>48</v>
      </c>
      <c r="F7095" s="27" t="s">
        <v>49</v>
      </c>
      <c r="G7095" s="27" t="s">
        <v>20</v>
      </c>
      <c r="H7095" s="29">
        <v>40</v>
      </c>
      <c r="I7095" s="27" t="s">
        <v>21</v>
      </c>
      <c r="J7095" s="37">
        <v>45902</v>
      </c>
      <c r="K7095" s="27" t="s">
        <v>22</v>
      </c>
    </row>
    <row r="7096" spans="1:11" x14ac:dyDescent="0.2">
      <c r="A7096" s="24" t="s">
        <v>16650</v>
      </c>
      <c r="B7096" s="24" t="s">
        <v>16651</v>
      </c>
      <c r="C7096" s="24" t="s">
        <v>68</v>
      </c>
      <c r="D7096" s="24" t="s">
        <v>17</v>
      </c>
      <c r="E7096" s="24" t="s">
        <v>48</v>
      </c>
      <c r="F7096" s="24" t="s">
        <v>49</v>
      </c>
      <c r="G7096" s="24" t="s">
        <v>28</v>
      </c>
      <c r="H7096" s="26">
        <v>351</v>
      </c>
      <c r="I7096" s="24" t="s">
        <v>29</v>
      </c>
      <c r="J7096" s="36">
        <v>45905</v>
      </c>
      <c r="K7096" s="24" t="s">
        <v>22</v>
      </c>
    </row>
    <row r="7097" spans="1:11" x14ac:dyDescent="0.2">
      <c r="A7097" s="27" t="s">
        <v>16652</v>
      </c>
      <c r="B7097" s="27" t="s">
        <v>16653</v>
      </c>
      <c r="C7097" s="27" t="s">
        <v>106</v>
      </c>
      <c r="D7097" s="27" t="s">
        <v>17</v>
      </c>
      <c r="E7097" s="27" t="s">
        <v>42</v>
      </c>
      <c r="F7097" s="27" t="s">
        <v>43</v>
      </c>
      <c r="G7097" s="27" t="s">
        <v>28</v>
      </c>
      <c r="H7097" s="29">
        <v>400</v>
      </c>
      <c r="I7097" s="27" t="s">
        <v>29</v>
      </c>
      <c r="J7097" s="37">
        <v>45913</v>
      </c>
      <c r="K7097" s="27" t="s">
        <v>22</v>
      </c>
    </row>
    <row r="7098" spans="1:11" x14ac:dyDescent="0.2">
      <c r="A7098" s="24" t="s">
        <v>16654</v>
      </c>
      <c r="B7098" s="24" t="s">
        <v>16655</v>
      </c>
      <c r="C7098" s="24" t="s">
        <v>9491</v>
      </c>
      <c r="D7098" s="24" t="s">
        <v>17</v>
      </c>
      <c r="E7098" s="24" t="s">
        <v>42</v>
      </c>
      <c r="F7098" s="24" t="s">
        <v>43</v>
      </c>
      <c r="G7098" s="24" t="s">
        <v>28</v>
      </c>
      <c r="H7098" s="26">
        <v>420</v>
      </c>
      <c r="I7098" s="24" t="s">
        <v>29</v>
      </c>
      <c r="J7098" s="36">
        <v>45923</v>
      </c>
      <c r="K7098" s="24" t="s">
        <v>22</v>
      </c>
    </row>
    <row r="7099" spans="1:11" x14ac:dyDescent="0.2">
      <c r="A7099" s="27" t="s">
        <v>16656</v>
      </c>
      <c r="B7099" s="27" t="s">
        <v>16657</v>
      </c>
      <c r="C7099" s="27" t="s">
        <v>16658</v>
      </c>
      <c r="D7099" s="27" t="s">
        <v>17</v>
      </c>
      <c r="E7099" s="27" t="s">
        <v>48</v>
      </c>
      <c r="F7099" s="27" t="s">
        <v>49</v>
      </c>
      <c r="G7099" s="27" t="s">
        <v>44</v>
      </c>
      <c r="H7099" s="29">
        <v>168</v>
      </c>
      <c r="I7099" s="27" t="s">
        <v>21</v>
      </c>
      <c r="J7099" s="37">
        <v>45925</v>
      </c>
      <c r="K7099" s="27" t="s">
        <v>22</v>
      </c>
    </row>
    <row r="7100" spans="1:11" x14ac:dyDescent="0.2">
      <c r="A7100" s="24" t="s">
        <v>16659</v>
      </c>
      <c r="B7100" s="24" t="s">
        <v>16660</v>
      </c>
      <c r="C7100" s="24" t="s">
        <v>16661</v>
      </c>
      <c r="D7100" s="24" t="s">
        <v>17</v>
      </c>
      <c r="E7100" s="24" t="s">
        <v>18</v>
      </c>
      <c r="F7100" s="24" t="s">
        <v>19</v>
      </c>
      <c r="G7100" s="24" t="s">
        <v>44</v>
      </c>
      <c r="H7100" s="26">
        <v>52</v>
      </c>
      <c r="I7100" s="24" t="s">
        <v>29</v>
      </c>
      <c r="J7100" s="36">
        <v>45915</v>
      </c>
      <c r="K7100" s="24" t="s">
        <v>22</v>
      </c>
    </row>
    <row r="7101" spans="1:11" x14ac:dyDescent="0.2">
      <c r="A7101" s="27" t="s">
        <v>16662</v>
      </c>
      <c r="B7101" s="27" t="s">
        <v>16663</v>
      </c>
      <c r="C7101" s="27" t="s">
        <v>1119</v>
      </c>
      <c r="D7101" s="27" t="s">
        <v>17</v>
      </c>
      <c r="E7101" s="27" t="s">
        <v>48</v>
      </c>
      <c r="F7101" s="27" t="s">
        <v>49</v>
      </c>
      <c r="G7101" s="27" t="s">
        <v>217</v>
      </c>
      <c r="H7101" s="29">
        <v>120</v>
      </c>
      <c r="I7101" s="27" t="s">
        <v>29</v>
      </c>
      <c r="J7101" s="37">
        <v>45920</v>
      </c>
      <c r="K7101" s="27" t="s">
        <v>22</v>
      </c>
    </row>
    <row r="7102" spans="1:11" x14ac:dyDescent="0.2">
      <c r="A7102" s="24" t="s">
        <v>16664</v>
      </c>
      <c r="B7102" s="24" t="s">
        <v>16665</v>
      </c>
      <c r="C7102" s="24" t="s">
        <v>14357</v>
      </c>
      <c r="D7102" s="24" t="s">
        <v>17</v>
      </c>
      <c r="E7102" s="24" t="s">
        <v>48</v>
      </c>
      <c r="F7102" s="24" t="s">
        <v>49</v>
      </c>
      <c r="G7102" s="24" t="s">
        <v>28</v>
      </c>
      <c r="H7102" s="26">
        <v>30</v>
      </c>
      <c r="I7102" s="24" t="s">
        <v>29</v>
      </c>
      <c r="J7102" s="36">
        <v>45926</v>
      </c>
      <c r="K7102" s="24" t="s">
        <v>22</v>
      </c>
    </row>
    <row r="7103" spans="1:11" x14ac:dyDescent="0.2">
      <c r="A7103" s="27" t="s">
        <v>16666</v>
      </c>
      <c r="B7103" s="27" t="s">
        <v>16667</v>
      </c>
      <c r="C7103" s="27" t="s">
        <v>1693</v>
      </c>
      <c r="D7103" s="27" t="s">
        <v>17</v>
      </c>
      <c r="E7103" s="27" t="s">
        <v>42</v>
      </c>
      <c r="F7103" s="27" t="s">
        <v>43</v>
      </c>
      <c r="G7103" s="27" t="s">
        <v>28</v>
      </c>
      <c r="H7103" s="29">
        <v>39</v>
      </c>
      <c r="I7103" s="27" t="s">
        <v>29</v>
      </c>
      <c r="J7103" s="37">
        <v>45923</v>
      </c>
      <c r="K7103" s="27" t="s">
        <v>22</v>
      </c>
    </row>
    <row r="7104" spans="1:11" x14ac:dyDescent="0.2">
      <c r="A7104" s="24" t="s">
        <v>16668</v>
      </c>
      <c r="B7104" s="24" t="s">
        <v>16669</v>
      </c>
      <c r="C7104" s="24" t="s">
        <v>16670</v>
      </c>
      <c r="D7104" s="24" t="s">
        <v>17</v>
      </c>
      <c r="E7104" s="24" t="s">
        <v>42</v>
      </c>
      <c r="F7104" s="24" t="s">
        <v>43</v>
      </c>
      <c r="G7104" s="24" t="s">
        <v>28</v>
      </c>
      <c r="H7104" s="26">
        <v>20000</v>
      </c>
      <c r="I7104" s="24" t="s">
        <v>29</v>
      </c>
      <c r="J7104" s="36">
        <v>45901</v>
      </c>
      <c r="K7104" s="24" t="s">
        <v>22</v>
      </c>
    </row>
    <row r="7105" spans="1:11" x14ac:dyDescent="0.2">
      <c r="A7105" s="27" t="s">
        <v>16671</v>
      </c>
      <c r="B7105" s="27" t="s">
        <v>16672</v>
      </c>
      <c r="C7105" s="27" t="s">
        <v>16673</v>
      </c>
      <c r="D7105" s="27" t="s">
        <v>17</v>
      </c>
      <c r="E7105" s="27" t="s">
        <v>42</v>
      </c>
      <c r="F7105" s="27" t="s">
        <v>43</v>
      </c>
      <c r="G7105" s="27" t="s">
        <v>28</v>
      </c>
      <c r="H7105" s="29">
        <v>184</v>
      </c>
      <c r="I7105" s="27" t="s">
        <v>29</v>
      </c>
      <c r="J7105" s="37">
        <v>45906</v>
      </c>
      <c r="K7105" s="27" t="s">
        <v>22</v>
      </c>
    </row>
    <row r="7106" spans="1:11" x14ac:dyDescent="0.2">
      <c r="A7106" s="24" t="s">
        <v>16674</v>
      </c>
      <c r="B7106" s="24" t="s">
        <v>16675</v>
      </c>
      <c r="C7106" s="24" t="s">
        <v>3444</v>
      </c>
      <c r="D7106" s="24" t="s">
        <v>17</v>
      </c>
      <c r="E7106" s="24" t="s">
        <v>48</v>
      </c>
      <c r="F7106" s="24" t="s">
        <v>49</v>
      </c>
      <c r="G7106" s="24" t="s">
        <v>28</v>
      </c>
      <c r="H7106" s="26">
        <v>100</v>
      </c>
      <c r="I7106" s="24" t="s">
        <v>29</v>
      </c>
      <c r="J7106" s="36">
        <v>45925</v>
      </c>
      <c r="K7106" s="24" t="s">
        <v>22</v>
      </c>
    </row>
    <row r="7107" spans="1:11" x14ac:dyDescent="0.2">
      <c r="A7107" s="27" t="s">
        <v>16676</v>
      </c>
      <c r="B7107" s="27" t="s">
        <v>16677</v>
      </c>
      <c r="C7107" s="27" t="s">
        <v>14588</v>
      </c>
      <c r="D7107" s="27" t="s">
        <v>17</v>
      </c>
      <c r="E7107" s="27" t="s">
        <v>18</v>
      </c>
      <c r="F7107" s="27" t="s">
        <v>19</v>
      </c>
      <c r="G7107" s="27" t="s">
        <v>28</v>
      </c>
      <c r="H7107" s="29">
        <v>47</v>
      </c>
      <c r="I7107" s="27" t="s">
        <v>29</v>
      </c>
      <c r="J7107" s="37">
        <v>45904</v>
      </c>
      <c r="K7107" s="27" t="s">
        <v>22</v>
      </c>
    </row>
    <row r="7108" spans="1:11" x14ac:dyDescent="0.2">
      <c r="A7108" s="24" t="s">
        <v>16678</v>
      </c>
      <c r="B7108" s="24" t="s">
        <v>16679</v>
      </c>
      <c r="C7108" s="24" t="s">
        <v>1523</v>
      </c>
      <c r="D7108" s="24" t="s">
        <v>17</v>
      </c>
      <c r="E7108" s="24" t="s">
        <v>18</v>
      </c>
      <c r="F7108" s="24" t="s">
        <v>19</v>
      </c>
      <c r="G7108" s="24" t="s">
        <v>28</v>
      </c>
      <c r="H7108" s="26">
        <v>40</v>
      </c>
      <c r="I7108" s="24" t="s">
        <v>29</v>
      </c>
      <c r="J7108" s="36">
        <v>45901</v>
      </c>
      <c r="K7108" s="24" t="s">
        <v>22</v>
      </c>
    </row>
    <row r="7109" spans="1:11" x14ac:dyDescent="0.2">
      <c r="A7109" s="27" t="s">
        <v>16680</v>
      </c>
      <c r="B7109" s="27" t="s">
        <v>16681</v>
      </c>
      <c r="C7109" s="27" t="s">
        <v>551</v>
      </c>
      <c r="D7109" s="27" t="s">
        <v>17</v>
      </c>
      <c r="E7109" s="27" t="s">
        <v>42</v>
      </c>
      <c r="F7109" s="27" t="s">
        <v>43</v>
      </c>
      <c r="G7109" s="27" t="s">
        <v>28</v>
      </c>
      <c r="H7109" s="29">
        <v>390</v>
      </c>
      <c r="I7109" s="27" t="s">
        <v>29</v>
      </c>
      <c r="J7109" s="37">
        <v>45918</v>
      </c>
      <c r="K7109" s="27" t="s">
        <v>22</v>
      </c>
    </row>
    <row r="7110" spans="1:11" x14ac:dyDescent="0.2">
      <c r="A7110" s="24" t="s">
        <v>16682</v>
      </c>
      <c r="B7110" s="24" t="s">
        <v>16683</v>
      </c>
      <c r="C7110" s="24" t="s">
        <v>16684</v>
      </c>
      <c r="D7110" s="24" t="s">
        <v>17</v>
      </c>
      <c r="E7110" s="24" t="s">
        <v>18</v>
      </c>
      <c r="F7110" s="24" t="s">
        <v>19</v>
      </c>
      <c r="G7110" s="24" t="s">
        <v>217</v>
      </c>
      <c r="H7110" s="26">
        <v>76</v>
      </c>
      <c r="I7110" s="24" t="s">
        <v>29</v>
      </c>
      <c r="J7110" s="36">
        <v>45901</v>
      </c>
      <c r="K7110" s="24" t="s">
        <v>22</v>
      </c>
    </row>
    <row r="7111" spans="1:11" x14ac:dyDescent="0.2">
      <c r="A7111" s="27" t="s">
        <v>16685</v>
      </c>
      <c r="B7111" s="27" t="s">
        <v>16686</v>
      </c>
      <c r="C7111" s="27" t="s">
        <v>194</v>
      </c>
      <c r="D7111" s="27" t="s">
        <v>17</v>
      </c>
      <c r="E7111" s="27" t="s">
        <v>42</v>
      </c>
      <c r="F7111" s="27" t="s">
        <v>43</v>
      </c>
      <c r="G7111" s="27" t="s">
        <v>28</v>
      </c>
      <c r="H7111" s="29">
        <v>440</v>
      </c>
      <c r="I7111" s="27" t="s">
        <v>29</v>
      </c>
      <c r="J7111" s="37">
        <v>45929</v>
      </c>
      <c r="K7111" s="27" t="s">
        <v>22</v>
      </c>
    </row>
    <row r="7112" spans="1:11" x14ac:dyDescent="0.2">
      <c r="A7112" s="24" t="s">
        <v>16687</v>
      </c>
      <c r="B7112" s="24" t="s">
        <v>16688</v>
      </c>
      <c r="C7112" s="24" t="s">
        <v>2287</v>
      </c>
      <c r="D7112" s="24" t="s">
        <v>17</v>
      </c>
      <c r="E7112" s="24" t="s">
        <v>48</v>
      </c>
      <c r="F7112" s="24" t="s">
        <v>49</v>
      </c>
      <c r="G7112" s="24" t="s">
        <v>28</v>
      </c>
      <c r="H7112" s="26">
        <v>6</v>
      </c>
      <c r="I7112" s="24" t="s">
        <v>29</v>
      </c>
      <c r="J7112" s="36">
        <v>45930</v>
      </c>
      <c r="K7112" s="24" t="s">
        <v>22</v>
      </c>
    </row>
    <row r="7113" spans="1:11" x14ac:dyDescent="0.2">
      <c r="A7113" s="27" t="s">
        <v>16689</v>
      </c>
      <c r="B7113" s="27" t="s">
        <v>16690</v>
      </c>
      <c r="C7113" s="27" t="s">
        <v>15805</v>
      </c>
      <c r="D7113" s="27" t="s">
        <v>17</v>
      </c>
      <c r="E7113" s="27" t="s">
        <v>18</v>
      </c>
      <c r="F7113" s="27" t="s">
        <v>19</v>
      </c>
      <c r="G7113" s="27" t="s">
        <v>20</v>
      </c>
      <c r="H7113" s="29">
        <v>6</v>
      </c>
      <c r="I7113" s="27" t="s">
        <v>21</v>
      </c>
      <c r="J7113" s="37">
        <v>45929</v>
      </c>
      <c r="K7113" s="27" t="s">
        <v>22</v>
      </c>
    </row>
    <row r="7114" spans="1:11" x14ac:dyDescent="0.2">
      <c r="A7114" s="24" t="s">
        <v>16691</v>
      </c>
      <c r="B7114" s="24" t="s">
        <v>16692</v>
      </c>
      <c r="C7114" s="24" t="s">
        <v>71</v>
      </c>
      <c r="D7114" s="24" t="s">
        <v>17</v>
      </c>
      <c r="E7114" s="24" t="s">
        <v>42</v>
      </c>
      <c r="F7114" s="24" t="s">
        <v>43</v>
      </c>
      <c r="G7114" s="24" t="s">
        <v>217</v>
      </c>
      <c r="H7114" s="26">
        <v>122</v>
      </c>
      <c r="I7114" s="24" t="s">
        <v>29</v>
      </c>
      <c r="J7114" s="36">
        <v>45901</v>
      </c>
      <c r="K7114" s="24" t="s">
        <v>22</v>
      </c>
    </row>
    <row r="7115" spans="1:11" x14ac:dyDescent="0.2">
      <c r="A7115" s="27" t="s">
        <v>16693</v>
      </c>
      <c r="B7115" s="27" t="s">
        <v>16694</v>
      </c>
      <c r="C7115" s="27" t="s">
        <v>16695</v>
      </c>
      <c r="D7115" s="27" t="s">
        <v>17</v>
      </c>
      <c r="E7115" s="27" t="s">
        <v>42</v>
      </c>
      <c r="F7115" s="27" t="s">
        <v>43</v>
      </c>
      <c r="G7115" s="27" t="s">
        <v>28</v>
      </c>
      <c r="H7115" s="29">
        <v>85</v>
      </c>
      <c r="I7115" s="27" t="s">
        <v>29</v>
      </c>
      <c r="J7115" s="37">
        <v>45923</v>
      </c>
      <c r="K7115" s="27" t="s">
        <v>22</v>
      </c>
    </row>
    <row r="7116" spans="1:11" x14ac:dyDescent="0.2">
      <c r="A7116" s="24" t="s">
        <v>16696</v>
      </c>
      <c r="B7116" s="24" t="s">
        <v>16697</v>
      </c>
      <c r="C7116" s="24" t="s">
        <v>1630</v>
      </c>
      <c r="D7116" s="24" t="s">
        <v>17</v>
      </c>
      <c r="E7116" s="24" t="s">
        <v>48</v>
      </c>
      <c r="F7116" s="24" t="s">
        <v>49</v>
      </c>
      <c r="G7116" s="24" t="s">
        <v>217</v>
      </c>
      <c r="H7116" s="26">
        <v>35</v>
      </c>
      <c r="I7116" s="24" t="s">
        <v>29</v>
      </c>
      <c r="J7116" s="36">
        <v>45901</v>
      </c>
      <c r="K7116" s="24" t="s">
        <v>22</v>
      </c>
    </row>
    <row r="7117" spans="1:11" x14ac:dyDescent="0.2">
      <c r="A7117" s="27" t="s">
        <v>16698</v>
      </c>
      <c r="B7117" s="27" t="s">
        <v>16699</v>
      </c>
      <c r="C7117" s="27" t="s">
        <v>16700</v>
      </c>
      <c r="D7117" s="27" t="s">
        <v>17</v>
      </c>
      <c r="E7117" s="27" t="s">
        <v>18</v>
      </c>
      <c r="F7117" s="27" t="s">
        <v>19</v>
      </c>
      <c r="G7117" s="27" t="s">
        <v>217</v>
      </c>
      <c r="H7117" s="29">
        <v>16</v>
      </c>
      <c r="I7117" s="27" t="s">
        <v>29</v>
      </c>
      <c r="J7117" s="37">
        <v>45901</v>
      </c>
      <c r="K7117" s="27" t="s">
        <v>22</v>
      </c>
    </row>
    <row r="7118" spans="1:11" x14ac:dyDescent="0.2">
      <c r="A7118" s="24" t="s">
        <v>16701</v>
      </c>
      <c r="B7118" s="24" t="s">
        <v>16702</v>
      </c>
      <c r="C7118" s="24" t="s">
        <v>16703</v>
      </c>
      <c r="D7118" s="24" t="s">
        <v>17</v>
      </c>
      <c r="E7118" s="24" t="s">
        <v>48</v>
      </c>
      <c r="F7118" s="24" t="s">
        <v>49</v>
      </c>
      <c r="G7118" s="24" t="s">
        <v>28</v>
      </c>
      <c r="H7118" s="26">
        <v>550</v>
      </c>
      <c r="I7118" s="24" t="s">
        <v>29</v>
      </c>
      <c r="J7118" s="36">
        <v>45902</v>
      </c>
      <c r="K7118" s="24" t="s">
        <v>22</v>
      </c>
    </row>
    <row r="7119" spans="1:11" x14ac:dyDescent="0.2">
      <c r="A7119" s="27" t="s">
        <v>16704</v>
      </c>
      <c r="B7119" s="27" t="s">
        <v>16705</v>
      </c>
      <c r="C7119" s="27" t="s">
        <v>526</v>
      </c>
      <c r="D7119" s="27" t="s">
        <v>17</v>
      </c>
      <c r="E7119" s="27" t="s">
        <v>18</v>
      </c>
      <c r="F7119" s="27" t="s">
        <v>19</v>
      </c>
      <c r="G7119" s="27" t="s">
        <v>20</v>
      </c>
      <c r="H7119" s="29">
        <v>191</v>
      </c>
      <c r="I7119" s="27" t="s">
        <v>21</v>
      </c>
      <c r="J7119" s="37">
        <v>45916</v>
      </c>
      <c r="K7119" s="27" t="s">
        <v>22</v>
      </c>
    </row>
    <row r="7120" spans="1:11" x14ac:dyDescent="0.2">
      <c r="A7120" s="24" t="s">
        <v>16706</v>
      </c>
      <c r="B7120" s="24" t="s">
        <v>16707</v>
      </c>
      <c r="C7120" s="24" t="s">
        <v>16708</v>
      </c>
      <c r="D7120" s="24" t="s">
        <v>17</v>
      </c>
      <c r="E7120" s="24" t="s">
        <v>26</v>
      </c>
      <c r="F7120" s="24" t="s">
        <v>27</v>
      </c>
      <c r="G7120" s="24" t="s">
        <v>217</v>
      </c>
      <c r="H7120" s="26">
        <v>12</v>
      </c>
      <c r="I7120" s="24" t="s">
        <v>29</v>
      </c>
      <c r="J7120" s="36">
        <v>45909</v>
      </c>
      <c r="K7120" s="24" t="s">
        <v>22</v>
      </c>
    </row>
    <row r="7121" spans="1:11" x14ac:dyDescent="0.2">
      <c r="A7121" s="27" t="s">
        <v>16709</v>
      </c>
      <c r="B7121" s="27" t="s">
        <v>16710</v>
      </c>
      <c r="C7121" s="27" t="s">
        <v>3504</v>
      </c>
      <c r="D7121" s="27" t="s">
        <v>17</v>
      </c>
      <c r="E7121" s="27" t="s">
        <v>81</v>
      </c>
      <c r="F7121" s="27" t="s">
        <v>82</v>
      </c>
      <c r="G7121" s="27" t="s">
        <v>28</v>
      </c>
      <c r="H7121" s="29">
        <v>180</v>
      </c>
      <c r="I7121" s="27" t="s">
        <v>29</v>
      </c>
      <c r="J7121" s="37">
        <v>45926</v>
      </c>
      <c r="K7121" s="27" t="s">
        <v>22</v>
      </c>
    </row>
    <row r="7122" spans="1:11" x14ac:dyDescent="0.2">
      <c r="A7122" s="24" t="s">
        <v>16711</v>
      </c>
      <c r="B7122" s="24" t="s">
        <v>16712</v>
      </c>
      <c r="C7122" s="24" t="s">
        <v>85</v>
      </c>
      <c r="D7122" s="24" t="s">
        <v>17</v>
      </c>
      <c r="E7122" s="24" t="s">
        <v>42</v>
      </c>
      <c r="F7122" s="24" t="s">
        <v>43</v>
      </c>
      <c r="G7122" s="24" t="s">
        <v>116</v>
      </c>
      <c r="H7122" s="26">
        <v>0</v>
      </c>
      <c r="I7122" s="24" t="s">
        <v>21</v>
      </c>
      <c r="J7122" s="36">
        <v>45915</v>
      </c>
      <c r="K7122" s="24" t="s">
        <v>22</v>
      </c>
    </row>
    <row r="7123" spans="1:11" x14ac:dyDescent="0.2">
      <c r="A7123" s="27" t="s">
        <v>16713</v>
      </c>
      <c r="B7123" s="27" t="s">
        <v>16714</v>
      </c>
      <c r="C7123" s="27" t="s">
        <v>97</v>
      </c>
      <c r="D7123" s="27" t="s">
        <v>17</v>
      </c>
      <c r="E7123" s="27" t="s">
        <v>26</v>
      </c>
      <c r="F7123" s="27" t="s">
        <v>27</v>
      </c>
      <c r="G7123" s="27" t="s">
        <v>28</v>
      </c>
      <c r="H7123" s="29">
        <v>91</v>
      </c>
      <c r="I7123" s="27" t="s">
        <v>29</v>
      </c>
      <c r="J7123" s="37">
        <v>45924</v>
      </c>
      <c r="K7123" s="27" t="s">
        <v>22</v>
      </c>
    </row>
    <row r="7124" spans="1:11" x14ac:dyDescent="0.2">
      <c r="A7124" s="24" t="s">
        <v>16715</v>
      </c>
      <c r="B7124" s="24" t="s">
        <v>16716</v>
      </c>
      <c r="C7124" s="24" t="s">
        <v>500</v>
      </c>
      <c r="D7124" s="24" t="s">
        <v>17</v>
      </c>
      <c r="E7124" s="24" t="s">
        <v>18</v>
      </c>
      <c r="F7124" s="24" t="s">
        <v>19</v>
      </c>
      <c r="G7124" s="24" t="s">
        <v>20</v>
      </c>
      <c r="H7124" s="26">
        <v>32</v>
      </c>
      <c r="I7124" s="24" t="s">
        <v>21</v>
      </c>
      <c r="J7124" s="36">
        <v>45927</v>
      </c>
      <c r="K7124" s="24" t="s">
        <v>22</v>
      </c>
    </row>
    <row r="7125" spans="1:11" x14ac:dyDescent="0.2">
      <c r="A7125" s="27" t="s">
        <v>16717</v>
      </c>
      <c r="B7125" s="27" t="s">
        <v>16718</v>
      </c>
      <c r="C7125" s="27" t="s">
        <v>71</v>
      </c>
      <c r="D7125" s="27" t="s">
        <v>17</v>
      </c>
      <c r="E7125" s="27" t="s">
        <v>42</v>
      </c>
      <c r="F7125" s="27" t="s">
        <v>43</v>
      </c>
      <c r="G7125" s="27" t="s">
        <v>28</v>
      </c>
      <c r="H7125" s="29">
        <v>504</v>
      </c>
      <c r="I7125" s="27" t="s">
        <v>29</v>
      </c>
      <c r="J7125" s="37">
        <v>45904</v>
      </c>
      <c r="K7125" s="27" t="s">
        <v>22</v>
      </c>
    </row>
    <row r="7126" spans="1:11" x14ac:dyDescent="0.2">
      <c r="A7126" s="24" t="s">
        <v>16719</v>
      </c>
      <c r="B7126" s="24" t="s">
        <v>16720</v>
      </c>
      <c r="C7126" s="24" t="s">
        <v>494</v>
      </c>
      <c r="D7126" s="24" t="s">
        <v>17</v>
      </c>
      <c r="E7126" s="24" t="s">
        <v>42</v>
      </c>
      <c r="F7126" s="24" t="s">
        <v>43</v>
      </c>
      <c r="G7126" s="24" t="s">
        <v>217</v>
      </c>
      <c r="H7126" s="26">
        <v>666</v>
      </c>
      <c r="I7126" s="24" t="s">
        <v>29</v>
      </c>
      <c r="J7126" s="36">
        <v>45901</v>
      </c>
      <c r="K7126" s="24" t="s">
        <v>22</v>
      </c>
    </row>
    <row r="7127" spans="1:11" x14ac:dyDescent="0.2">
      <c r="A7127" s="27" t="s">
        <v>16721</v>
      </c>
      <c r="B7127" s="27" t="s">
        <v>16722</v>
      </c>
      <c r="C7127" s="27" t="s">
        <v>4616</v>
      </c>
      <c r="D7127" s="27" t="s">
        <v>17</v>
      </c>
      <c r="E7127" s="27" t="s">
        <v>18</v>
      </c>
      <c r="F7127" s="27" t="s">
        <v>19</v>
      </c>
      <c r="G7127" s="27" t="s">
        <v>28</v>
      </c>
      <c r="H7127" s="29">
        <v>78</v>
      </c>
      <c r="I7127" s="27" t="s">
        <v>29</v>
      </c>
      <c r="J7127" s="37">
        <v>45916</v>
      </c>
      <c r="K7127" s="27" t="s">
        <v>22</v>
      </c>
    </row>
    <row r="7128" spans="1:11" x14ac:dyDescent="0.2">
      <c r="A7128" s="24" t="s">
        <v>16723</v>
      </c>
      <c r="B7128" s="24" t="s">
        <v>16724</v>
      </c>
      <c r="C7128" s="24" t="s">
        <v>97</v>
      </c>
      <c r="D7128" s="24" t="s">
        <v>17</v>
      </c>
      <c r="E7128" s="24" t="s">
        <v>26</v>
      </c>
      <c r="F7128" s="24" t="s">
        <v>27</v>
      </c>
      <c r="G7128" s="24" t="s">
        <v>28</v>
      </c>
      <c r="H7128" s="26">
        <v>52</v>
      </c>
      <c r="I7128" s="24" t="s">
        <v>29</v>
      </c>
      <c r="J7128" s="36">
        <v>45930</v>
      </c>
      <c r="K7128" s="24" t="s">
        <v>22</v>
      </c>
    </row>
    <row r="7129" spans="1:11" x14ac:dyDescent="0.2">
      <c r="A7129" s="27" t="s">
        <v>16725</v>
      </c>
      <c r="B7129" s="27" t="s">
        <v>16726</v>
      </c>
      <c r="C7129" s="27" t="s">
        <v>1648</v>
      </c>
      <c r="D7129" s="27" t="s">
        <v>17</v>
      </c>
      <c r="E7129" s="27" t="s">
        <v>163</v>
      </c>
      <c r="F7129" s="27" t="s">
        <v>164</v>
      </c>
      <c r="G7129" s="27" t="s">
        <v>28</v>
      </c>
      <c r="H7129" s="29">
        <v>20</v>
      </c>
      <c r="I7129" s="27" t="s">
        <v>29</v>
      </c>
      <c r="J7129" s="37">
        <v>45901</v>
      </c>
      <c r="K7129" s="27" t="s">
        <v>22</v>
      </c>
    </row>
    <row r="7130" spans="1:11" x14ac:dyDescent="0.2">
      <c r="A7130" s="24" t="s">
        <v>16727</v>
      </c>
      <c r="B7130" s="24" t="s">
        <v>16728</v>
      </c>
      <c r="C7130" s="24" t="s">
        <v>9613</v>
      </c>
      <c r="D7130" s="24" t="s">
        <v>17</v>
      </c>
      <c r="E7130" s="24" t="s">
        <v>81</v>
      </c>
      <c r="F7130" s="24" t="s">
        <v>82</v>
      </c>
      <c r="G7130" s="24" t="s">
        <v>217</v>
      </c>
      <c r="H7130" s="26">
        <v>3</v>
      </c>
      <c r="I7130" s="24" t="s">
        <v>29</v>
      </c>
      <c r="J7130" s="36">
        <v>45901</v>
      </c>
      <c r="K7130" s="24" t="s">
        <v>22</v>
      </c>
    </row>
    <row r="7131" spans="1:11" x14ac:dyDescent="0.2">
      <c r="A7131" s="27" t="s">
        <v>16729</v>
      </c>
      <c r="B7131" s="27" t="s">
        <v>16730</v>
      </c>
      <c r="C7131" s="27" t="s">
        <v>973</v>
      </c>
      <c r="D7131" s="27" t="s">
        <v>17</v>
      </c>
      <c r="E7131" s="27" t="s">
        <v>48</v>
      </c>
      <c r="F7131" s="27" t="s">
        <v>49</v>
      </c>
      <c r="G7131" s="27" t="s">
        <v>44</v>
      </c>
      <c r="H7131" s="29">
        <v>209</v>
      </c>
      <c r="I7131" s="27" t="s">
        <v>21</v>
      </c>
      <c r="J7131" s="37">
        <v>45902</v>
      </c>
      <c r="K7131" s="27" t="s">
        <v>22</v>
      </c>
    </row>
    <row r="7132" spans="1:11" x14ac:dyDescent="0.2">
      <c r="A7132" s="24" t="s">
        <v>16731</v>
      </c>
      <c r="B7132" s="24" t="s">
        <v>16732</v>
      </c>
      <c r="C7132" s="24" t="s">
        <v>3183</v>
      </c>
      <c r="D7132" s="24" t="s">
        <v>17</v>
      </c>
      <c r="E7132" s="24" t="s">
        <v>33</v>
      </c>
      <c r="F7132" s="24" t="s">
        <v>34</v>
      </c>
      <c r="G7132" s="24" t="s">
        <v>217</v>
      </c>
      <c r="H7132" s="26">
        <v>240</v>
      </c>
      <c r="I7132" s="24" t="s">
        <v>29</v>
      </c>
      <c r="J7132" s="36">
        <v>45929</v>
      </c>
      <c r="K7132" s="24" t="s">
        <v>22</v>
      </c>
    </row>
    <row r="7133" spans="1:11" x14ac:dyDescent="0.2">
      <c r="A7133" s="27" t="s">
        <v>16733</v>
      </c>
      <c r="B7133" s="27" t="s">
        <v>16734</v>
      </c>
      <c r="C7133" s="27" t="s">
        <v>251</v>
      </c>
      <c r="D7133" s="27" t="s">
        <v>17</v>
      </c>
      <c r="E7133" s="27" t="s">
        <v>18</v>
      </c>
      <c r="F7133" s="27" t="s">
        <v>19</v>
      </c>
      <c r="G7133" s="27" t="s">
        <v>28</v>
      </c>
      <c r="H7133" s="29">
        <v>20</v>
      </c>
      <c r="I7133" s="27" t="s">
        <v>29</v>
      </c>
      <c r="J7133" s="37">
        <v>45924</v>
      </c>
      <c r="K7133" s="27" t="s">
        <v>22</v>
      </c>
    </row>
    <row r="7134" spans="1:11" x14ac:dyDescent="0.2">
      <c r="A7134" s="24" t="s">
        <v>16735</v>
      </c>
      <c r="B7134" s="24" t="s">
        <v>16736</v>
      </c>
      <c r="C7134" s="24" t="s">
        <v>4966</v>
      </c>
      <c r="D7134" s="24" t="s">
        <v>17</v>
      </c>
      <c r="E7134" s="24" t="s">
        <v>81</v>
      </c>
      <c r="F7134" s="24" t="s">
        <v>82</v>
      </c>
      <c r="G7134" s="24" t="s">
        <v>28</v>
      </c>
      <c r="H7134" s="26">
        <v>50</v>
      </c>
      <c r="I7134" s="24" t="s">
        <v>29</v>
      </c>
      <c r="J7134" s="36">
        <v>45917</v>
      </c>
      <c r="K7134" s="24" t="s">
        <v>22</v>
      </c>
    </row>
    <row r="7135" spans="1:11" x14ac:dyDescent="0.2">
      <c r="A7135" s="27" t="s">
        <v>16737</v>
      </c>
      <c r="B7135" s="27" t="s">
        <v>16738</v>
      </c>
      <c r="C7135" s="27" t="s">
        <v>301</v>
      </c>
      <c r="D7135" s="27" t="s">
        <v>17</v>
      </c>
      <c r="E7135" s="27" t="s">
        <v>42</v>
      </c>
      <c r="F7135" s="27" t="s">
        <v>43</v>
      </c>
      <c r="G7135" s="27" t="s">
        <v>28</v>
      </c>
      <c r="H7135" s="29">
        <v>663</v>
      </c>
      <c r="I7135" s="27" t="s">
        <v>29</v>
      </c>
      <c r="J7135" s="37">
        <v>45902</v>
      </c>
      <c r="K7135" s="27" t="s">
        <v>22</v>
      </c>
    </row>
    <row r="7136" spans="1:11" x14ac:dyDescent="0.2">
      <c r="A7136" s="24" t="s">
        <v>16739</v>
      </c>
      <c r="B7136" s="24" t="s">
        <v>16740</v>
      </c>
      <c r="C7136" s="24" t="s">
        <v>16741</v>
      </c>
      <c r="D7136" s="24" t="s">
        <v>17</v>
      </c>
      <c r="E7136" s="24" t="s">
        <v>18</v>
      </c>
      <c r="F7136" s="24" t="s">
        <v>19</v>
      </c>
      <c r="G7136" s="24" t="s">
        <v>28</v>
      </c>
      <c r="H7136" s="26">
        <v>48</v>
      </c>
      <c r="I7136" s="24" t="s">
        <v>29</v>
      </c>
      <c r="J7136" s="36">
        <v>45904</v>
      </c>
      <c r="K7136" s="24" t="s">
        <v>22</v>
      </c>
    </row>
    <row r="7137" spans="1:11" x14ac:dyDescent="0.2">
      <c r="A7137" s="27" t="s">
        <v>16742</v>
      </c>
      <c r="B7137" s="27" t="s">
        <v>16743</v>
      </c>
      <c r="C7137" s="27" t="s">
        <v>11422</v>
      </c>
      <c r="D7137" s="27" t="s">
        <v>17</v>
      </c>
      <c r="E7137" s="27" t="s">
        <v>48</v>
      </c>
      <c r="F7137" s="27" t="s">
        <v>49</v>
      </c>
      <c r="G7137" s="27" t="s">
        <v>28</v>
      </c>
      <c r="H7137" s="29">
        <v>156</v>
      </c>
      <c r="I7137" s="27" t="s">
        <v>29</v>
      </c>
      <c r="J7137" s="37">
        <v>45930</v>
      </c>
      <c r="K7137" s="27" t="s">
        <v>22</v>
      </c>
    </row>
    <row r="7138" spans="1:11" x14ac:dyDescent="0.2">
      <c r="A7138" s="24" t="s">
        <v>16744</v>
      </c>
      <c r="B7138" s="24" t="s">
        <v>16745</v>
      </c>
      <c r="C7138" s="24" t="s">
        <v>68</v>
      </c>
      <c r="D7138" s="24" t="s">
        <v>17</v>
      </c>
      <c r="E7138" s="24" t="s">
        <v>48</v>
      </c>
      <c r="F7138" s="24" t="s">
        <v>49</v>
      </c>
      <c r="G7138" s="24" t="s">
        <v>28</v>
      </c>
      <c r="H7138" s="26">
        <v>120</v>
      </c>
      <c r="I7138" s="24" t="s">
        <v>29</v>
      </c>
      <c r="J7138" s="36">
        <v>45912</v>
      </c>
      <c r="K7138" s="24" t="s">
        <v>22</v>
      </c>
    </row>
    <row r="7139" spans="1:11" x14ac:dyDescent="0.2">
      <c r="A7139" s="27" t="s">
        <v>16746</v>
      </c>
      <c r="B7139" s="27" t="s">
        <v>16747</v>
      </c>
      <c r="C7139" s="27" t="s">
        <v>2586</v>
      </c>
      <c r="D7139" s="27" t="s">
        <v>17</v>
      </c>
      <c r="E7139" s="27" t="s">
        <v>42</v>
      </c>
      <c r="F7139" s="27" t="s">
        <v>43</v>
      </c>
      <c r="G7139" s="27" t="s">
        <v>28</v>
      </c>
      <c r="H7139" s="29">
        <v>850</v>
      </c>
      <c r="I7139" s="27" t="s">
        <v>29</v>
      </c>
      <c r="J7139" s="37">
        <v>45916</v>
      </c>
      <c r="K7139" s="27" t="s">
        <v>22</v>
      </c>
    </row>
    <row r="7140" spans="1:11" x14ac:dyDescent="0.2">
      <c r="A7140" s="24" t="s">
        <v>16748</v>
      </c>
      <c r="B7140" s="24" t="s">
        <v>16749</v>
      </c>
      <c r="C7140" s="24" t="s">
        <v>16750</v>
      </c>
      <c r="D7140" s="24" t="s">
        <v>17</v>
      </c>
      <c r="E7140" s="24" t="s">
        <v>26</v>
      </c>
      <c r="F7140" s="24" t="s">
        <v>27</v>
      </c>
      <c r="G7140" s="24" t="s">
        <v>217</v>
      </c>
      <c r="H7140" s="26">
        <v>190</v>
      </c>
      <c r="I7140" s="24" t="s">
        <v>29</v>
      </c>
      <c r="J7140" s="36">
        <v>45901</v>
      </c>
      <c r="K7140" s="24" t="s">
        <v>22</v>
      </c>
    </row>
    <row r="7141" spans="1:11" x14ac:dyDescent="0.2">
      <c r="A7141" s="27" t="s">
        <v>16751</v>
      </c>
      <c r="B7141" s="27" t="s">
        <v>16752</v>
      </c>
      <c r="C7141" s="27" t="s">
        <v>14417</v>
      </c>
      <c r="D7141" s="27" t="s">
        <v>17</v>
      </c>
      <c r="E7141" s="27" t="s">
        <v>26</v>
      </c>
      <c r="F7141" s="27" t="s">
        <v>27</v>
      </c>
      <c r="G7141" s="27" t="s">
        <v>28</v>
      </c>
      <c r="H7141" s="29">
        <v>200</v>
      </c>
      <c r="I7141" s="27" t="s">
        <v>29</v>
      </c>
      <c r="J7141" s="37">
        <v>45905</v>
      </c>
      <c r="K7141" s="27" t="s">
        <v>22</v>
      </c>
    </row>
    <row r="7142" spans="1:11" x14ac:dyDescent="0.2">
      <c r="A7142" s="24" t="s">
        <v>16753</v>
      </c>
      <c r="B7142" s="24" t="s">
        <v>16754</v>
      </c>
      <c r="C7142" s="24" t="s">
        <v>97</v>
      </c>
      <c r="D7142" s="24" t="s">
        <v>17</v>
      </c>
      <c r="E7142" s="24" t="s">
        <v>42</v>
      </c>
      <c r="F7142" s="24" t="s">
        <v>43</v>
      </c>
      <c r="G7142" s="24" t="s">
        <v>28</v>
      </c>
      <c r="H7142" s="26">
        <v>70</v>
      </c>
      <c r="I7142" s="24" t="s">
        <v>29</v>
      </c>
      <c r="J7142" s="36">
        <v>45915</v>
      </c>
      <c r="K7142" s="24" t="s">
        <v>22</v>
      </c>
    </row>
    <row r="7143" spans="1:11" x14ac:dyDescent="0.2">
      <c r="A7143" s="27" t="s">
        <v>16755</v>
      </c>
      <c r="B7143" s="27" t="s">
        <v>16756</v>
      </c>
      <c r="C7143" s="27" t="s">
        <v>1518</v>
      </c>
      <c r="D7143" s="27" t="s">
        <v>17</v>
      </c>
      <c r="E7143" s="27" t="s">
        <v>26</v>
      </c>
      <c r="F7143" s="27" t="s">
        <v>27</v>
      </c>
      <c r="G7143" s="27" t="s">
        <v>28</v>
      </c>
      <c r="H7143" s="29">
        <v>414</v>
      </c>
      <c r="I7143" s="27" t="s">
        <v>29</v>
      </c>
      <c r="J7143" s="37">
        <v>45902</v>
      </c>
      <c r="K7143" s="27" t="s">
        <v>22</v>
      </c>
    </row>
    <row r="7144" spans="1:11" x14ac:dyDescent="0.2">
      <c r="A7144" s="24" t="s">
        <v>16757</v>
      </c>
      <c r="B7144" s="24" t="s">
        <v>16758</v>
      </c>
      <c r="C7144" s="24" t="s">
        <v>134</v>
      </c>
      <c r="D7144" s="24" t="s">
        <v>17</v>
      </c>
      <c r="E7144" s="24" t="s">
        <v>18</v>
      </c>
      <c r="F7144" s="24" t="s">
        <v>19</v>
      </c>
      <c r="G7144" s="24" t="s">
        <v>28</v>
      </c>
      <c r="H7144" s="26">
        <v>48</v>
      </c>
      <c r="I7144" s="24" t="s">
        <v>29</v>
      </c>
      <c r="J7144" s="36">
        <v>45903</v>
      </c>
      <c r="K7144" s="24" t="s">
        <v>22</v>
      </c>
    </row>
    <row r="7145" spans="1:11" x14ac:dyDescent="0.2">
      <c r="A7145" s="27" t="s">
        <v>16759</v>
      </c>
      <c r="B7145" s="27" t="s">
        <v>16760</v>
      </c>
      <c r="C7145" s="27" t="s">
        <v>2494</v>
      </c>
      <c r="D7145" s="27" t="s">
        <v>17</v>
      </c>
      <c r="E7145" s="27" t="s">
        <v>163</v>
      </c>
      <c r="F7145" s="27" t="s">
        <v>164</v>
      </c>
      <c r="G7145" s="27" t="s">
        <v>217</v>
      </c>
      <c r="H7145" s="29">
        <v>8</v>
      </c>
      <c r="I7145" s="27" t="s">
        <v>29</v>
      </c>
      <c r="J7145" s="37">
        <v>45901</v>
      </c>
      <c r="K7145" s="27" t="s">
        <v>22</v>
      </c>
    </row>
    <row r="7146" spans="1:11" x14ac:dyDescent="0.2">
      <c r="A7146" s="24" t="s">
        <v>16761</v>
      </c>
      <c r="B7146" s="24" t="s">
        <v>16762</v>
      </c>
      <c r="C7146" s="24" t="s">
        <v>16763</v>
      </c>
      <c r="D7146" s="24" t="s">
        <v>17</v>
      </c>
      <c r="E7146" s="24" t="s">
        <v>42</v>
      </c>
      <c r="F7146" s="24" t="s">
        <v>43</v>
      </c>
      <c r="G7146" s="24" t="s">
        <v>28</v>
      </c>
      <c r="H7146" s="26">
        <v>144</v>
      </c>
      <c r="I7146" s="24" t="s">
        <v>29</v>
      </c>
      <c r="J7146" s="36">
        <v>45917</v>
      </c>
      <c r="K7146" s="24" t="s">
        <v>22</v>
      </c>
    </row>
    <row r="7147" spans="1:11" x14ac:dyDescent="0.2">
      <c r="A7147" s="27" t="s">
        <v>16764</v>
      </c>
      <c r="B7147" s="27" t="s">
        <v>16765</v>
      </c>
      <c r="C7147" s="27" t="s">
        <v>3489</v>
      </c>
      <c r="D7147" s="27" t="s">
        <v>17</v>
      </c>
      <c r="E7147" s="27" t="s">
        <v>48</v>
      </c>
      <c r="F7147" s="27" t="s">
        <v>49</v>
      </c>
      <c r="G7147" s="27" t="s">
        <v>28</v>
      </c>
      <c r="H7147" s="29">
        <v>52</v>
      </c>
      <c r="I7147" s="27" t="s">
        <v>29</v>
      </c>
      <c r="J7147" s="37">
        <v>45915</v>
      </c>
      <c r="K7147" s="27" t="s">
        <v>22</v>
      </c>
    </row>
    <row r="7148" spans="1:11" x14ac:dyDescent="0.2">
      <c r="A7148" s="24" t="s">
        <v>16766</v>
      </c>
      <c r="B7148" s="24" t="s">
        <v>16767</v>
      </c>
      <c r="C7148" s="24" t="s">
        <v>16768</v>
      </c>
      <c r="D7148" s="24" t="s">
        <v>17</v>
      </c>
      <c r="E7148" s="24" t="s">
        <v>26</v>
      </c>
      <c r="F7148" s="24" t="s">
        <v>27</v>
      </c>
      <c r="G7148" s="24" t="s">
        <v>217</v>
      </c>
      <c r="H7148" s="26">
        <v>66</v>
      </c>
      <c r="I7148" s="24" t="s">
        <v>29</v>
      </c>
      <c r="J7148" s="36">
        <v>45901</v>
      </c>
      <c r="K7148" s="24" t="s">
        <v>22</v>
      </c>
    </row>
    <row r="7149" spans="1:11" x14ac:dyDescent="0.2">
      <c r="A7149" s="27" t="s">
        <v>16769</v>
      </c>
      <c r="B7149" s="27" t="s">
        <v>16770</v>
      </c>
      <c r="C7149" s="27" t="s">
        <v>518</v>
      </c>
      <c r="D7149" s="27" t="s">
        <v>17</v>
      </c>
      <c r="E7149" s="27" t="s">
        <v>18</v>
      </c>
      <c r="F7149" s="27" t="s">
        <v>19</v>
      </c>
      <c r="G7149" s="27" t="s">
        <v>28</v>
      </c>
      <c r="H7149" s="29">
        <v>64</v>
      </c>
      <c r="I7149" s="27" t="s">
        <v>29</v>
      </c>
      <c r="J7149" s="37">
        <v>45918</v>
      </c>
      <c r="K7149" s="27" t="s">
        <v>22</v>
      </c>
    </row>
    <row r="7150" spans="1:11" x14ac:dyDescent="0.2">
      <c r="A7150" s="24" t="s">
        <v>16771</v>
      </c>
      <c r="B7150" s="24" t="s">
        <v>16772</v>
      </c>
      <c r="C7150" s="24" t="s">
        <v>2657</v>
      </c>
      <c r="D7150" s="24" t="s">
        <v>17</v>
      </c>
      <c r="E7150" s="24" t="s">
        <v>42</v>
      </c>
      <c r="F7150" s="24" t="s">
        <v>43</v>
      </c>
      <c r="G7150" s="24" t="s">
        <v>217</v>
      </c>
      <c r="H7150" s="26">
        <v>360</v>
      </c>
      <c r="I7150" s="24" t="s">
        <v>29</v>
      </c>
      <c r="J7150" s="36">
        <v>45901</v>
      </c>
      <c r="K7150" s="24" t="s">
        <v>22</v>
      </c>
    </row>
    <row r="7151" spans="1:11" x14ac:dyDescent="0.2">
      <c r="A7151" s="27" t="s">
        <v>16773</v>
      </c>
      <c r="B7151" s="27" t="s">
        <v>16774</v>
      </c>
      <c r="C7151" s="27" t="s">
        <v>16775</v>
      </c>
      <c r="D7151" s="27" t="s">
        <v>17</v>
      </c>
      <c r="E7151" s="27" t="s">
        <v>42</v>
      </c>
      <c r="F7151" s="27" t="s">
        <v>43</v>
      </c>
      <c r="G7151" s="27" t="s">
        <v>28</v>
      </c>
      <c r="H7151" s="29">
        <v>234</v>
      </c>
      <c r="I7151" s="27" t="s">
        <v>29</v>
      </c>
      <c r="J7151" s="37">
        <v>45901</v>
      </c>
      <c r="K7151" s="27" t="s">
        <v>22</v>
      </c>
    </row>
    <row r="7152" spans="1:11" x14ac:dyDescent="0.2">
      <c r="A7152" s="24" t="s">
        <v>16776</v>
      </c>
      <c r="B7152" s="24" t="s">
        <v>16777</v>
      </c>
      <c r="C7152" s="24" t="s">
        <v>55</v>
      </c>
      <c r="D7152" s="24" t="s">
        <v>17</v>
      </c>
      <c r="E7152" s="24" t="s">
        <v>18</v>
      </c>
      <c r="F7152" s="24" t="s">
        <v>19</v>
      </c>
      <c r="G7152" s="24" t="s">
        <v>28</v>
      </c>
      <c r="H7152" s="26">
        <v>64</v>
      </c>
      <c r="I7152" s="24" t="s">
        <v>29</v>
      </c>
      <c r="J7152" s="36">
        <v>45922</v>
      </c>
      <c r="K7152" s="24" t="s">
        <v>22</v>
      </c>
    </row>
    <row r="7153" spans="1:11" x14ac:dyDescent="0.2">
      <c r="A7153" s="27" t="s">
        <v>16778</v>
      </c>
      <c r="B7153" s="27" t="s">
        <v>16779</v>
      </c>
      <c r="C7153" s="27" t="s">
        <v>1110</v>
      </c>
      <c r="D7153" s="27" t="s">
        <v>17</v>
      </c>
      <c r="E7153" s="27" t="s">
        <v>42</v>
      </c>
      <c r="F7153" s="27" t="s">
        <v>43</v>
      </c>
      <c r="G7153" s="27" t="s">
        <v>28</v>
      </c>
      <c r="H7153" s="29">
        <v>800</v>
      </c>
      <c r="I7153" s="27" t="s">
        <v>29</v>
      </c>
      <c r="J7153" s="37">
        <v>45917</v>
      </c>
      <c r="K7153" s="27" t="s">
        <v>22</v>
      </c>
    </row>
    <row r="7154" spans="1:11" x14ac:dyDescent="0.2">
      <c r="A7154" s="24" t="s">
        <v>16780</v>
      </c>
      <c r="B7154" s="24" t="s">
        <v>16781</v>
      </c>
      <c r="C7154" s="24" t="s">
        <v>1088</v>
      </c>
      <c r="D7154" s="24" t="s">
        <v>17</v>
      </c>
      <c r="E7154" s="24" t="s">
        <v>42</v>
      </c>
      <c r="F7154" s="24" t="s">
        <v>43</v>
      </c>
      <c r="G7154" s="24" t="s">
        <v>28</v>
      </c>
      <c r="H7154" s="26">
        <v>11000</v>
      </c>
      <c r="I7154" s="24" t="s">
        <v>29</v>
      </c>
      <c r="J7154" s="36">
        <v>45922</v>
      </c>
      <c r="K7154" s="24" t="s">
        <v>22</v>
      </c>
    </row>
    <row r="7155" spans="1:11" x14ac:dyDescent="0.2">
      <c r="A7155" s="27" t="s">
        <v>16782</v>
      </c>
      <c r="B7155" s="27" t="s">
        <v>16783</v>
      </c>
      <c r="C7155" s="27" t="s">
        <v>16784</v>
      </c>
      <c r="D7155" s="27" t="s">
        <v>17</v>
      </c>
      <c r="E7155" s="27" t="s">
        <v>18</v>
      </c>
      <c r="F7155" s="27" t="s">
        <v>19</v>
      </c>
      <c r="G7155" s="27" t="s">
        <v>28</v>
      </c>
      <c r="H7155" s="29">
        <v>32</v>
      </c>
      <c r="I7155" s="27" t="s">
        <v>29</v>
      </c>
      <c r="J7155" s="37">
        <v>45901</v>
      </c>
      <c r="K7155" s="27" t="s">
        <v>22</v>
      </c>
    </row>
    <row r="7156" spans="1:11" x14ac:dyDescent="0.2">
      <c r="A7156" s="24" t="s">
        <v>16785</v>
      </c>
      <c r="B7156" s="24" t="s">
        <v>16786</v>
      </c>
      <c r="C7156" s="24" t="s">
        <v>882</v>
      </c>
      <c r="D7156" s="24" t="s">
        <v>17</v>
      </c>
      <c r="E7156" s="24" t="s">
        <v>26</v>
      </c>
      <c r="F7156" s="24" t="s">
        <v>27</v>
      </c>
      <c r="G7156" s="24" t="s">
        <v>28</v>
      </c>
      <c r="H7156" s="26">
        <v>220</v>
      </c>
      <c r="I7156" s="24" t="s">
        <v>29</v>
      </c>
      <c r="J7156" s="36">
        <v>45908</v>
      </c>
      <c r="K7156" s="24" t="s">
        <v>22</v>
      </c>
    </row>
    <row r="7157" spans="1:11" x14ac:dyDescent="0.2">
      <c r="A7157" s="27" t="s">
        <v>16787</v>
      </c>
      <c r="B7157" s="27" t="s">
        <v>16788</v>
      </c>
      <c r="C7157" s="27" t="s">
        <v>354</v>
      </c>
      <c r="D7157" s="27" t="s">
        <v>17</v>
      </c>
      <c r="E7157" s="27" t="s">
        <v>33</v>
      </c>
      <c r="F7157" s="27" t="s">
        <v>34</v>
      </c>
      <c r="G7157" s="27" t="s">
        <v>28</v>
      </c>
      <c r="H7157" s="29">
        <v>176</v>
      </c>
      <c r="I7157" s="27" t="s">
        <v>29</v>
      </c>
      <c r="J7157" s="37">
        <v>45930</v>
      </c>
      <c r="K7157" s="27" t="s">
        <v>22</v>
      </c>
    </row>
    <row r="7158" spans="1:11" x14ac:dyDescent="0.2">
      <c r="A7158" s="24" t="s">
        <v>16789</v>
      </c>
      <c r="B7158" s="24" t="s">
        <v>16790</v>
      </c>
      <c r="C7158" s="24" t="s">
        <v>213</v>
      </c>
      <c r="D7158" s="24" t="s">
        <v>17</v>
      </c>
      <c r="E7158" s="24" t="s">
        <v>18</v>
      </c>
      <c r="F7158" s="24" t="s">
        <v>19</v>
      </c>
      <c r="G7158" s="24" t="s">
        <v>20</v>
      </c>
      <c r="H7158" s="26">
        <v>12</v>
      </c>
      <c r="I7158" s="24" t="s">
        <v>21</v>
      </c>
      <c r="J7158" s="36">
        <v>45905</v>
      </c>
      <c r="K7158" s="24" t="s">
        <v>22</v>
      </c>
    </row>
    <row r="7159" spans="1:11" x14ac:dyDescent="0.2">
      <c r="A7159" s="27" t="s">
        <v>16791</v>
      </c>
      <c r="B7159" s="27" t="s">
        <v>16792</v>
      </c>
      <c r="C7159" s="27" t="s">
        <v>213</v>
      </c>
      <c r="D7159" s="27" t="s">
        <v>17</v>
      </c>
      <c r="E7159" s="27" t="s">
        <v>18</v>
      </c>
      <c r="F7159" s="27" t="s">
        <v>19</v>
      </c>
      <c r="G7159" s="27" t="s">
        <v>28</v>
      </c>
      <c r="H7159" s="29">
        <v>28</v>
      </c>
      <c r="I7159" s="27" t="s">
        <v>29</v>
      </c>
      <c r="J7159" s="37">
        <v>45922</v>
      </c>
      <c r="K7159" s="27" t="s">
        <v>22</v>
      </c>
    </row>
    <row r="7160" spans="1:11" x14ac:dyDescent="0.2">
      <c r="A7160" s="24" t="s">
        <v>16793</v>
      </c>
      <c r="B7160" s="24" t="s">
        <v>16794</v>
      </c>
      <c r="C7160" s="24" t="s">
        <v>12073</v>
      </c>
      <c r="D7160" s="24" t="s">
        <v>17</v>
      </c>
      <c r="E7160" s="24" t="s">
        <v>18</v>
      </c>
      <c r="F7160" s="24" t="s">
        <v>19</v>
      </c>
      <c r="G7160" s="24" t="s">
        <v>28</v>
      </c>
      <c r="H7160" s="26">
        <v>46</v>
      </c>
      <c r="I7160" s="24" t="s">
        <v>29</v>
      </c>
      <c r="J7160" s="36">
        <v>45908</v>
      </c>
      <c r="K7160" s="24" t="s">
        <v>22</v>
      </c>
    </row>
    <row r="7161" spans="1:11" x14ac:dyDescent="0.2">
      <c r="A7161" s="27" t="s">
        <v>16795</v>
      </c>
      <c r="B7161" s="27" t="s">
        <v>16796</v>
      </c>
      <c r="C7161" s="27" t="s">
        <v>5453</v>
      </c>
      <c r="D7161" s="27" t="s">
        <v>17</v>
      </c>
      <c r="E7161" s="27" t="s">
        <v>48</v>
      </c>
      <c r="F7161" s="27" t="s">
        <v>49</v>
      </c>
      <c r="G7161" s="27" t="s">
        <v>28</v>
      </c>
      <c r="H7161" s="29">
        <v>28</v>
      </c>
      <c r="I7161" s="27" t="s">
        <v>29</v>
      </c>
      <c r="J7161" s="37">
        <v>45901</v>
      </c>
      <c r="K7161" s="27" t="s">
        <v>22</v>
      </c>
    </row>
    <row r="7162" spans="1:11" x14ac:dyDescent="0.2">
      <c r="A7162" s="24" t="s">
        <v>16797</v>
      </c>
      <c r="B7162" s="24" t="s">
        <v>16798</v>
      </c>
      <c r="C7162" s="24" t="s">
        <v>4379</v>
      </c>
      <c r="D7162" s="24" t="s">
        <v>17</v>
      </c>
      <c r="E7162" s="24" t="s">
        <v>26</v>
      </c>
      <c r="F7162" s="24" t="s">
        <v>27</v>
      </c>
      <c r="G7162" s="24" t="s">
        <v>28</v>
      </c>
      <c r="H7162" s="26">
        <v>42</v>
      </c>
      <c r="I7162" s="24" t="s">
        <v>29</v>
      </c>
      <c r="J7162" s="36">
        <v>45902</v>
      </c>
      <c r="K7162" s="24" t="s">
        <v>22</v>
      </c>
    </row>
    <row r="7163" spans="1:11" x14ac:dyDescent="0.2">
      <c r="A7163" s="27" t="s">
        <v>16799</v>
      </c>
      <c r="B7163" s="27" t="s">
        <v>16800</v>
      </c>
      <c r="C7163" s="27" t="s">
        <v>140</v>
      </c>
      <c r="D7163" s="27" t="s">
        <v>17</v>
      </c>
      <c r="E7163" s="27" t="s">
        <v>48</v>
      </c>
      <c r="F7163" s="27" t="s">
        <v>49</v>
      </c>
      <c r="G7163" s="27" t="s">
        <v>217</v>
      </c>
      <c r="H7163" s="29">
        <v>220</v>
      </c>
      <c r="I7163" s="27" t="s">
        <v>29</v>
      </c>
      <c r="J7163" s="37">
        <v>45901</v>
      </c>
      <c r="K7163" s="27" t="s">
        <v>22</v>
      </c>
    </row>
    <row r="7164" spans="1:11" x14ac:dyDescent="0.2">
      <c r="A7164" s="24" t="s">
        <v>16801</v>
      </c>
      <c r="B7164" s="24" t="s">
        <v>16802</v>
      </c>
      <c r="C7164" s="24" t="s">
        <v>6622</v>
      </c>
      <c r="D7164" s="24" t="s">
        <v>17</v>
      </c>
      <c r="E7164" s="24" t="s">
        <v>18</v>
      </c>
      <c r="F7164" s="24" t="s">
        <v>19</v>
      </c>
      <c r="G7164" s="24" t="s">
        <v>28</v>
      </c>
      <c r="H7164" s="26">
        <v>60</v>
      </c>
      <c r="I7164" s="24" t="s">
        <v>29</v>
      </c>
      <c r="J7164" s="36">
        <v>45929</v>
      </c>
      <c r="K7164" s="24" t="s">
        <v>22</v>
      </c>
    </row>
    <row r="7165" spans="1:11" x14ac:dyDescent="0.2">
      <c r="A7165" s="27" t="s">
        <v>16803</v>
      </c>
      <c r="B7165" s="27" t="s">
        <v>16804</v>
      </c>
      <c r="C7165" s="27" t="s">
        <v>4462</v>
      </c>
      <c r="D7165" s="27" t="s">
        <v>17</v>
      </c>
      <c r="E7165" s="27" t="s">
        <v>48</v>
      </c>
      <c r="F7165" s="27" t="s">
        <v>49</v>
      </c>
      <c r="G7165" s="27" t="s">
        <v>44</v>
      </c>
      <c r="H7165" s="29">
        <v>30</v>
      </c>
      <c r="I7165" s="27" t="s">
        <v>29</v>
      </c>
      <c r="J7165" s="37">
        <v>45908</v>
      </c>
      <c r="K7165" s="27" t="s">
        <v>22</v>
      </c>
    </row>
    <row r="7166" spans="1:11" x14ac:dyDescent="0.2">
      <c r="A7166" s="24" t="s">
        <v>16805</v>
      </c>
      <c r="B7166" s="24" t="s">
        <v>16806</v>
      </c>
      <c r="C7166" s="24" t="s">
        <v>1050</v>
      </c>
      <c r="D7166" s="24" t="s">
        <v>17</v>
      </c>
      <c r="E7166" s="24" t="s">
        <v>48</v>
      </c>
      <c r="F7166" s="24" t="s">
        <v>49</v>
      </c>
      <c r="G7166" s="24" t="s">
        <v>217</v>
      </c>
      <c r="H7166" s="26">
        <v>80</v>
      </c>
      <c r="I7166" s="24" t="s">
        <v>29</v>
      </c>
      <c r="J7166" s="36">
        <v>45915</v>
      </c>
      <c r="K7166" s="24" t="s">
        <v>22</v>
      </c>
    </row>
    <row r="7167" spans="1:11" x14ac:dyDescent="0.2">
      <c r="A7167" s="27" t="s">
        <v>16807</v>
      </c>
      <c r="B7167" s="27" t="s">
        <v>16808</v>
      </c>
      <c r="C7167" s="27" t="s">
        <v>16122</v>
      </c>
      <c r="D7167" s="27" t="s">
        <v>17</v>
      </c>
      <c r="E7167" s="27" t="s">
        <v>42</v>
      </c>
      <c r="F7167" s="27" t="s">
        <v>43</v>
      </c>
      <c r="G7167" s="27" t="s">
        <v>227</v>
      </c>
      <c r="H7167" s="29">
        <v>40</v>
      </c>
      <c r="I7167" s="27" t="s">
        <v>29</v>
      </c>
      <c r="J7167" s="37">
        <v>45910</v>
      </c>
      <c r="K7167" s="27" t="s">
        <v>22</v>
      </c>
    </row>
    <row r="7168" spans="1:11" x14ac:dyDescent="0.2">
      <c r="A7168" s="24" t="s">
        <v>16809</v>
      </c>
      <c r="B7168" s="24" t="s">
        <v>16810</v>
      </c>
      <c r="C7168" s="24" t="s">
        <v>106</v>
      </c>
      <c r="D7168" s="24" t="s">
        <v>17</v>
      </c>
      <c r="E7168" s="24" t="s">
        <v>18</v>
      </c>
      <c r="F7168" s="24" t="s">
        <v>19</v>
      </c>
      <c r="G7168" s="24" t="s">
        <v>20</v>
      </c>
      <c r="H7168" s="26">
        <v>32</v>
      </c>
      <c r="I7168" s="24" t="s">
        <v>21</v>
      </c>
      <c r="J7168" s="36">
        <v>45908</v>
      </c>
      <c r="K7168" s="24" t="s">
        <v>22</v>
      </c>
    </row>
    <row r="7169" spans="1:11" x14ac:dyDescent="0.2">
      <c r="A7169" s="27" t="s">
        <v>16811</v>
      </c>
      <c r="B7169" s="27" t="s">
        <v>16812</v>
      </c>
      <c r="C7169" s="27" t="s">
        <v>7648</v>
      </c>
      <c r="D7169" s="27" t="s">
        <v>17</v>
      </c>
      <c r="E7169" s="27" t="s">
        <v>48</v>
      </c>
      <c r="F7169" s="27" t="s">
        <v>49</v>
      </c>
      <c r="G7169" s="27" t="s">
        <v>28</v>
      </c>
      <c r="H7169" s="29">
        <v>30</v>
      </c>
      <c r="I7169" s="27" t="s">
        <v>29</v>
      </c>
      <c r="J7169" s="37">
        <v>45908</v>
      </c>
      <c r="K7169" s="27" t="s">
        <v>22</v>
      </c>
    </row>
    <row r="7170" spans="1:11" x14ac:dyDescent="0.2">
      <c r="A7170" s="24" t="s">
        <v>16813</v>
      </c>
      <c r="B7170" s="24" t="s">
        <v>16814</v>
      </c>
      <c r="C7170" s="24" t="s">
        <v>16815</v>
      </c>
      <c r="D7170" s="24" t="s">
        <v>17</v>
      </c>
      <c r="E7170" s="24" t="s">
        <v>18</v>
      </c>
      <c r="F7170" s="24" t="s">
        <v>19</v>
      </c>
      <c r="G7170" s="24" t="s">
        <v>44</v>
      </c>
      <c r="H7170" s="26">
        <v>16</v>
      </c>
      <c r="I7170" s="24" t="s">
        <v>29</v>
      </c>
      <c r="J7170" s="36">
        <v>45910</v>
      </c>
      <c r="K7170" s="24" t="s">
        <v>22</v>
      </c>
    </row>
    <row r="7171" spans="1:11" x14ac:dyDescent="0.2">
      <c r="A7171" s="27" t="s">
        <v>16816</v>
      </c>
      <c r="B7171" s="27" t="s">
        <v>16817</v>
      </c>
      <c r="C7171" s="27" t="s">
        <v>5017</v>
      </c>
      <c r="D7171" s="27" t="s">
        <v>17</v>
      </c>
      <c r="E7171" s="27" t="s">
        <v>42</v>
      </c>
      <c r="F7171" s="27" t="s">
        <v>43</v>
      </c>
      <c r="G7171" s="27" t="s">
        <v>28</v>
      </c>
      <c r="H7171" s="29">
        <v>30</v>
      </c>
      <c r="I7171" s="27" t="s">
        <v>29</v>
      </c>
      <c r="J7171" s="37">
        <v>45912</v>
      </c>
      <c r="K7171" s="27" t="s">
        <v>22</v>
      </c>
    </row>
    <row r="7172" spans="1:11" x14ac:dyDescent="0.2">
      <c r="A7172" s="24" t="s">
        <v>16818</v>
      </c>
      <c r="B7172" s="24" t="s">
        <v>16819</v>
      </c>
      <c r="C7172" s="24" t="s">
        <v>6656</v>
      </c>
      <c r="D7172" s="24" t="s">
        <v>17</v>
      </c>
      <c r="E7172" s="24" t="s">
        <v>81</v>
      </c>
      <c r="F7172" s="24" t="s">
        <v>82</v>
      </c>
      <c r="G7172" s="24" t="s">
        <v>28</v>
      </c>
      <c r="H7172" s="26">
        <v>54</v>
      </c>
      <c r="I7172" s="24" t="s">
        <v>29</v>
      </c>
      <c r="J7172" s="36">
        <v>45906</v>
      </c>
      <c r="K7172" s="24" t="s">
        <v>22</v>
      </c>
    </row>
    <row r="7173" spans="1:11" x14ac:dyDescent="0.2">
      <c r="A7173" s="27" t="s">
        <v>16820</v>
      </c>
      <c r="B7173" s="27" t="s">
        <v>16821</v>
      </c>
      <c r="C7173" s="27" t="s">
        <v>16822</v>
      </c>
      <c r="D7173" s="27" t="s">
        <v>17</v>
      </c>
      <c r="E7173" s="27" t="s">
        <v>163</v>
      </c>
      <c r="F7173" s="27" t="s">
        <v>164</v>
      </c>
      <c r="G7173" s="27" t="s">
        <v>28</v>
      </c>
      <c r="H7173" s="29">
        <v>3</v>
      </c>
      <c r="I7173" s="27" t="s">
        <v>29</v>
      </c>
      <c r="J7173" s="37">
        <v>45911</v>
      </c>
      <c r="K7173" s="27" t="s">
        <v>22</v>
      </c>
    </row>
    <row r="7174" spans="1:11" x14ac:dyDescent="0.2">
      <c r="A7174" s="24" t="s">
        <v>16823</v>
      </c>
      <c r="B7174" s="24" t="s">
        <v>16824</v>
      </c>
      <c r="C7174" s="24" t="s">
        <v>16825</v>
      </c>
      <c r="D7174" s="24" t="s">
        <v>17</v>
      </c>
      <c r="E7174" s="24" t="s">
        <v>18</v>
      </c>
      <c r="F7174" s="24" t="s">
        <v>19</v>
      </c>
      <c r="G7174" s="24" t="s">
        <v>28</v>
      </c>
      <c r="H7174" s="26">
        <v>20</v>
      </c>
      <c r="I7174" s="24" t="s">
        <v>29</v>
      </c>
      <c r="J7174" s="36">
        <v>45926</v>
      </c>
      <c r="K7174" s="24" t="s">
        <v>22</v>
      </c>
    </row>
    <row r="7175" spans="1:11" x14ac:dyDescent="0.2">
      <c r="A7175" s="27" t="s">
        <v>16826</v>
      </c>
      <c r="B7175" s="27" t="s">
        <v>16827</v>
      </c>
      <c r="C7175" s="27" t="s">
        <v>16828</v>
      </c>
      <c r="D7175" s="27" t="s">
        <v>17</v>
      </c>
      <c r="E7175" s="27" t="s">
        <v>18</v>
      </c>
      <c r="F7175" s="27" t="s">
        <v>19</v>
      </c>
      <c r="G7175" s="27" t="s">
        <v>217</v>
      </c>
      <c r="H7175" s="29">
        <v>40</v>
      </c>
      <c r="I7175" s="27" t="s">
        <v>29</v>
      </c>
      <c r="J7175" s="37">
        <v>45901</v>
      </c>
      <c r="K7175" s="27" t="s">
        <v>22</v>
      </c>
    </row>
    <row r="7176" spans="1:11" x14ac:dyDescent="0.2">
      <c r="A7176" s="24" t="s">
        <v>16829</v>
      </c>
      <c r="B7176" s="24" t="s">
        <v>16830</v>
      </c>
      <c r="C7176" s="24" t="s">
        <v>16831</v>
      </c>
      <c r="D7176" s="24" t="s">
        <v>17</v>
      </c>
      <c r="E7176" s="24" t="s">
        <v>26</v>
      </c>
      <c r="F7176" s="24" t="s">
        <v>27</v>
      </c>
      <c r="G7176" s="24" t="s">
        <v>28</v>
      </c>
      <c r="H7176" s="26">
        <v>150</v>
      </c>
      <c r="I7176" s="24" t="s">
        <v>29</v>
      </c>
      <c r="J7176" s="36">
        <v>45903</v>
      </c>
      <c r="K7176" s="24" t="s">
        <v>22</v>
      </c>
    </row>
    <row r="7177" spans="1:11" x14ac:dyDescent="0.2">
      <c r="A7177" s="27" t="s">
        <v>16832</v>
      </c>
      <c r="B7177" s="27" t="s">
        <v>16833</v>
      </c>
      <c r="C7177" s="27" t="s">
        <v>595</v>
      </c>
      <c r="D7177" s="27" t="s">
        <v>17</v>
      </c>
      <c r="E7177" s="27" t="s">
        <v>18</v>
      </c>
      <c r="F7177" s="27" t="s">
        <v>19</v>
      </c>
      <c r="G7177" s="27" t="s">
        <v>217</v>
      </c>
      <c r="H7177" s="29">
        <v>132</v>
      </c>
      <c r="I7177" s="27" t="s">
        <v>29</v>
      </c>
      <c r="J7177" s="37">
        <v>45929</v>
      </c>
      <c r="K7177" s="27" t="s">
        <v>22</v>
      </c>
    </row>
    <row r="7178" spans="1:11" x14ac:dyDescent="0.2">
      <c r="A7178" s="24" t="s">
        <v>16834</v>
      </c>
      <c r="B7178" s="24" t="s">
        <v>16835</v>
      </c>
      <c r="C7178" s="24" t="s">
        <v>752</v>
      </c>
      <c r="D7178" s="24" t="s">
        <v>17</v>
      </c>
      <c r="E7178" s="24" t="s">
        <v>18</v>
      </c>
      <c r="F7178" s="24" t="s">
        <v>19</v>
      </c>
      <c r="G7178" s="24" t="s">
        <v>28</v>
      </c>
      <c r="H7178" s="26">
        <v>40</v>
      </c>
      <c r="I7178" s="24" t="s">
        <v>29</v>
      </c>
      <c r="J7178" s="36">
        <v>45916</v>
      </c>
      <c r="K7178" s="24" t="s">
        <v>22</v>
      </c>
    </row>
    <row r="7179" spans="1:11" x14ac:dyDescent="0.2">
      <c r="A7179" s="27" t="s">
        <v>16836</v>
      </c>
      <c r="B7179" s="27" t="s">
        <v>16837</v>
      </c>
      <c r="C7179" s="27" t="s">
        <v>16838</v>
      </c>
      <c r="D7179" s="27" t="s">
        <v>17</v>
      </c>
      <c r="E7179" s="27" t="s">
        <v>26</v>
      </c>
      <c r="F7179" s="27" t="s">
        <v>27</v>
      </c>
      <c r="G7179" s="27" t="s">
        <v>28</v>
      </c>
      <c r="H7179" s="29">
        <v>10</v>
      </c>
      <c r="I7179" s="27" t="s">
        <v>29</v>
      </c>
      <c r="J7179" s="37">
        <v>45925</v>
      </c>
      <c r="K7179" s="27" t="s">
        <v>22</v>
      </c>
    </row>
    <row r="7180" spans="1:11" x14ac:dyDescent="0.2">
      <c r="A7180" s="24" t="s">
        <v>16839</v>
      </c>
      <c r="B7180" s="24" t="s">
        <v>16840</v>
      </c>
      <c r="C7180" s="24" t="s">
        <v>16841</v>
      </c>
      <c r="D7180" s="24" t="s">
        <v>17</v>
      </c>
      <c r="E7180" s="24" t="s">
        <v>163</v>
      </c>
      <c r="F7180" s="24" t="s">
        <v>164</v>
      </c>
      <c r="G7180" s="24" t="s">
        <v>28</v>
      </c>
      <c r="H7180" s="26">
        <v>9</v>
      </c>
      <c r="I7180" s="24" t="s">
        <v>29</v>
      </c>
      <c r="J7180" s="36">
        <v>45916</v>
      </c>
      <c r="K7180" s="24" t="s">
        <v>22</v>
      </c>
    </row>
    <row r="7181" spans="1:11" x14ac:dyDescent="0.2">
      <c r="A7181" s="27" t="s">
        <v>16842</v>
      </c>
      <c r="B7181" s="27" t="s">
        <v>16843</v>
      </c>
      <c r="C7181" s="27" t="s">
        <v>1044</v>
      </c>
      <c r="D7181" s="27" t="s">
        <v>17</v>
      </c>
      <c r="E7181" s="27" t="s">
        <v>18</v>
      </c>
      <c r="F7181" s="27" t="s">
        <v>19</v>
      </c>
      <c r="G7181" s="27" t="s">
        <v>28</v>
      </c>
      <c r="H7181" s="29">
        <v>60</v>
      </c>
      <c r="I7181" s="27" t="s">
        <v>29</v>
      </c>
      <c r="J7181" s="37">
        <v>45901</v>
      </c>
      <c r="K7181" s="27" t="s">
        <v>22</v>
      </c>
    </row>
    <row r="7182" spans="1:11" x14ac:dyDescent="0.2">
      <c r="A7182" s="24" t="s">
        <v>16844</v>
      </c>
      <c r="B7182" s="24" t="s">
        <v>16845</v>
      </c>
      <c r="C7182" s="24" t="s">
        <v>242</v>
      </c>
      <c r="D7182" s="24" t="s">
        <v>17</v>
      </c>
      <c r="E7182" s="24" t="s">
        <v>26</v>
      </c>
      <c r="F7182" s="24" t="s">
        <v>27</v>
      </c>
      <c r="G7182" s="24" t="s">
        <v>28</v>
      </c>
      <c r="H7182" s="26">
        <v>198</v>
      </c>
      <c r="I7182" s="24" t="s">
        <v>29</v>
      </c>
      <c r="J7182" s="36">
        <v>45924</v>
      </c>
      <c r="K7182" s="24" t="s">
        <v>22</v>
      </c>
    </row>
    <row r="7183" spans="1:11" x14ac:dyDescent="0.2">
      <c r="A7183" s="27" t="s">
        <v>16846</v>
      </c>
      <c r="B7183" s="27" t="s">
        <v>16847</v>
      </c>
      <c r="C7183" s="27" t="s">
        <v>2725</v>
      </c>
      <c r="D7183" s="27" t="s">
        <v>17</v>
      </c>
      <c r="E7183" s="27" t="s">
        <v>42</v>
      </c>
      <c r="F7183" s="27" t="s">
        <v>43</v>
      </c>
      <c r="G7183" s="27" t="s">
        <v>28</v>
      </c>
      <c r="H7183" s="29">
        <v>561</v>
      </c>
      <c r="I7183" s="27" t="s">
        <v>29</v>
      </c>
      <c r="J7183" s="37">
        <v>45923</v>
      </c>
      <c r="K7183" s="27" t="s">
        <v>22</v>
      </c>
    </row>
    <row r="7184" spans="1:11" x14ac:dyDescent="0.2">
      <c r="A7184" s="24" t="s">
        <v>16848</v>
      </c>
      <c r="B7184" s="24" t="s">
        <v>16849</v>
      </c>
      <c r="C7184" s="24" t="s">
        <v>16850</v>
      </c>
      <c r="D7184" s="24" t="s">
        <v>17</v>
      </c>
      <c r="E7184" s="24" t="s">
        <v>42</v>
      </c>
      <c r="F7184" s="24" t="s">
        <v>43</v>
      </c>
      <c r="G7184" s="24" t="s">
        <v>28</v>
      </c>
      <c r="H7184" s="26">
        <v>142</v>
      </c>
      <c r="I7184" s="24" t="s">
        <v>29</v>
      </c>
      <c r="J7184" s="36">
        <v>45901</v>
      </c>
      <c r="K7184" s="24" t="s">
        <v>22</v>
      </c>
    </row>
    <row r="7185" spans="1:11" x14ac:dyDescent="0.2">
      <c r="A7185" s="27" t="s">
        <v>16851</v>
      </c>
      <c r="B7185" s="27" t="s">
        <v>16852</v>
      </c>
      <c r="C7185" s="27" t="s">
        <v>11771</v>
      </c>
      <c r="D7185" s="27" t="s">
        <v>17</v>
      </c>
      <c r="E7185" s="27" t="s">
        <v>42</v>
      </c>
      <c r="F7185" s="27" t="s">
        <v>43</v>
      </c>
      <c r="G7185" s="27" t="s">
        <v>217</v>
      </c>
      <c r="H7185" s="29">
        <v>540</v>
      </c>
      <c r="I7185" s="27" t="s">
        <v>29</v>
      </c>
      <c r="J7185" s="37">
        <v>45901</v>
      </c>
      <c r="K7185" s="27" t="s">
        <v>22</v>
      </c>
    </row>
    <row r="7186" spans="1:11" x14ac:dyDescent="0.2">
      <c r="A7186" s="24" t="s">
        <v>16853</v>
      </c>
      <c r="B7186" s="24" t="s">
        <v>16854</v>
      </c>
      <c r="C7186" s="24" t="s">
        <v>13508</v>
      </c>
      <c r="D7186" s="24" t="s">
        <v>17</v>
      </c>
      <c r="E7186" s="24" t="s">
        <v>163</v>
      </c>
      <c r="F7186" s="24" t="s">
        <v>164</v>
      </c>
      <c r="G7186" s="24" t="s">
        <v>217</v>
      </c>
      <c r="H7186" s="26">
        <v>12</v>
      </c>
      <c r="I7186" s="24" t="s">
        <v>29</v>
      </c>
      <c r="J7186" s="36">
        <v>45912</v>
      </c>
      <c r="K7186" s="24" t="s">
        <v>22</v>
      </c>
    </row>
    <row r="7187" spans="1:11" x14ac:dyDescent="0.2">
      <c r="A7187" s="27" t="s">
        <v>16855</v>
      </c>
      <c r="B7187" s="27" t="s">
        <v>16856</v>
      </c>
      <c r="C7187" s="27" t="s">
        <v>13941</v>
      </c>
      <c r="D7187" s="27" t="s">
        <v>17</v>
      </c>
      <c r="E7187" s="27" t="s">
        <v>48</v>
      </c>
      <c r="F7187" s="27" t="s">
        <v>49</v>
      </c>
      <c r="G7187" s="27" t="s">
        <v>227</v>
      </c>
      <c r="H7187" s="29">
        <v>360</v>
      </c>
      <c r="I7187" s="27" t="s">
        <v>29</v>
      </c>
      <c r="J7187" s="37">
        <v>45902</v>
      </c>
      <c r="K7187" s="27" t="s">
        <v>22</v>
      </c>
    </row>
    <row r="7188" spans="1:11" x14ac:dyDescent="0.2">
      <c r="A7188" s="24" t="s">
        <v>16857</v>
      </c>
      <c r="B7188" s="24" t="s">
        <v>16858</v>
      </c>
      <c r="C7188" s="24" t="s">
        <v>1523</v>
      </c>
      <c r="D7188" s="24" t="s">
        <v>17</v>
      </c>
      <c r="E7188" s="24" t="s">
        <v>42</v>
      </c>
      <c r="F7188" s="24" t="s">
        <v>43</v>
      </c>
      <c r="G7188" s="24" t="s">
        <v>217</v>
      </c>
      <c r="H7188" s="26">
        <v>280</v>
      </c>
      <c r="I7188" s="24" t="s">
        <v>29</v>
      </c>
      <c r="J7188" s="36">
        <v>45901</v>
      </c>
      <c r="K7188" s="24" t="s">
        <v>22</v>
      </c>
    </row>
    <row r="7189" spans="1:11" x14ac:dyDescent="0.2">
      <c r="A7189" s="27" t="s">
        <v>16859</v>
      </c>
      <c r="B7189" s="27" t="s">
        <v>16860</v>
      </c>
      <c r="C7189" s="27" t="s">
        <v>8554</v>
      </c>
      <c r="D7189" s="27" t="s">
        <v>17</v>
      </c>
      <c r="E7189" s="27" t="s">
        <v>42</v>
      </c>
      <c r="F7189" s="27" t="s">
        <v>43</v>
      </c>
      <c r="G7189" s="27" t="s">
        <v>217</v>
      </c>
      <c r="H7189" s="29">
        <v>300</v>
      </c>
      <c r="I7189" s="27" t="s">
        <v>29</v>
      </c>
      <c r="J7189" s="37">
        <v>45901</v>
      </c>
      <c r="K7189" s="27" t="s">
        <v>22</v>
      </c>
    </row>
    <row r="7190" spans="1:11" x14ac:dyDescent="0.2">
      <c r="A7190" s="24" t="s">
        <v>16861</v>
      </c>
      <c r="B7190" s="24" t="s">
        <v>16862</v>
      </c>
      <c r="C7190" s="24" t="s">
        <v>801</v>
      </c>
      <c r="D7190" s="24" t="s">
        <v>17</v>
      </c>
      <c r="E7190" s="24" t="s">
        <v>48</v>
      </c>
      <c r="F7190" s="24" t="s">
        <v>49</v>
      </c>
      <c r="G7190" s="24" t="s">
        <v>28</v>
      </c>
      <c r="H7190" s="26">
        <v>224</v>
      </c>
      <c r="I7190" s="24" t="s">
        <v>29</v>
      </c>
      <c r="J7190" s="36">
        <v>45929</v>
      </c>
      <c r="K7190" s="24" t="s">
        <v>22</v>
      </c>
    </row>
    <row r="7191" spans="1:11" x14ac:dyDescent="0.2">
      <c r="A7191" s="27" t="s">
        <v>16863</v>
      </c>
      <c r="B7191" s="27" t="s">
        <v>16864</v>
      </c>
      <c r="C7191" s="27" t="s">
        <v>1523</v>
      </c>
      <c r="D7191" s="27" t="s">
        <v>17</v>
      </c>
      <c r="E7191" s="27" t="s">
        <v>42</v>
      </c>
      <c r="F7191" s="27" t="s">
        <v>43</v>
      </c>
      <c r="G7191" s="27" t="s">
        <v>217</v>
      </c>
      <c r="H7191" s="29">
        <v>240</v>
      </c>
      <c r="I7191" s="27" t="s">
        <v>29</v>
      </c>
      <c r="J7191" s="37">
        <v>45901</v>
      </c>
      <c r="K7191" s="27" t="s">
        <v>22</v>
      </c>
    </row>
    <row r="7192" spans="1:11" x14ac:dyDescent="0.2">
      <c r="A7192" s="24" t="s">
        <v>16865</v>
      </c>
      <c r="B7192" s="24" t="s">
        <v>16866</v>
      </c>
      <c r="C7192" s="24" t="s">
        <v>16867</v>
      </c>
      <c r="D7192" s="24" t="s">
        <v>17</v>
      </c>
      <c r="E7192" s="24" t="s">
        <v>48</v>
      </c>
      <c r="F7192" s="24" t="s">
        <v>49</v>
      </c>
      <c r="G7192" s="24" t="s">
        <v>116</v>
      </c>
      <c r="H7192" s="26">
        <v>0</v>
      </c>
      <c r="I7192" s="24" t="s">
        <v>21</v>
      </c>
      <c r="J7192" s="36">
        <v>45902</v>
      </c>
      <c r="K7192" s="24" t="s">
        <v>22</v>
      </c>
    </row>
    <row r="7193" spans="1:11" x14ac:dyDescent="0.2">
      <c r="A7193" s="27" t="s">
        <v>16868</v>
      </c>
      <c r="B7193" s="27" t="s">
        <v>16869</v>
      </c>
      <c r="C7193" s="27" t="s">
        <v>10824</v>
      </c>
      <c r="D7193" s="27" t="s">
        <v>17</v>
      </c>
      <c r="E7193" s="27" t="s">
        <v>42</v>
      </c>
      <c r="F7193" s="27" t="s">
        <v>43</v>
      </c>
      <c r="G7193" s="27" t="s">
        <v>227</v>
      </c>
      <c r="H7193" s="29">
        <v>176</v>
      </c>
      <c r="I7193" s="27" t="s">
        <v>29</v>
      </c>
      <c r="J7193" s="37">
        <v>45912</v>
      </c>
      <c r="K7193" s="27" t="s">
        <v>22</v>
      </c>
    </row>
    <row r="7194" spans="1:11" x14ac:dyDescent="0.2">
      <c r="A7194" s="24" t="s">
        <v>16870</v>
      </c>
      <c r="B7194" s="24" t="s">
        <v>16871</v>
      </c>
      <c r="C7194" s="24" t="s">
        <v>68</v>
      </c>
      <c r="D7194" s="24" t="s">
        <v>17</v>
      </c>
      <c r="E7194" s="24" t="s">
        <v>18</v>
      </c>
      <c r="F7194" s="24" t="s">
        <v>19</v>
      </c>
      <c r="G7194" s="24" t="s">
        <v>28</v>
      </c>
      <c r="H7194" s="26">
        <v>120</v>
      </c>
      <c r="I7194" s="24" t="s">
        <v>29</v>
      </c>
      <c r="J7194" s="36">
        <v>45912</v>
      </c>
      <c r="K7194" s="24" t="s">
        <v>22</v>
      </c>
    </row>
    <row r="7195" spans="1:11" x14ac:dyDescent="0.2">
      <c r="A7195" s="27" t="s">
        <v>16872</v>
      </c>
      <c r="B7195" s="27" t="s">
        <v>16873</v>
      </c>
      <c r="C7195" s="27" t="s">
        <v>3977</v>
      </c>
      <c r="D7195" s="27" t="s">
        <v>17</v>
      </c>
      <c r="E7195" s="27" t="s">
        <v>42</v>
      </c>
      <c r="F7195" s="27" t="s">
        <v>43</v>
      </c>
      <c r="G7195" s="27" t="s">
        <v>28</v>
      </c>
      <c r="H7195" s="29">
        <v>80</v>
      </c>
      <c r="I7195" s="27" t="s">
        <v>29</v>
      </c>
      <c r="J7195" s="37">
        <v>45929</v>
      </c>
      <c r="K7195" s="27" t="s">
        <v>22</v>
      </c>
    </row>
    <row r="7196" spans="1:11" x14ac:dyDescent="0.2">
      <c r="A7196" s="24" t="s">
        <v>16874</v>
      </c>
      <c r="B7196" s="24" t="s">
        <v>16875</v>
      </c>
      <c r="C7196" s="24" t="s">
        <v>494</v>
      </c>
      <c r="D7196" s="24" t="s">
        <v>17</v>
      </c>
      <c r="E7196" s="24" t="s">
        <v>26</v>
      </c>
      <c r="F7196" s="24" t="s">
        <v>27</v>
      </c>
      <c r="G7196" s="24" t="s">
        <v>217</v>
      </c>
      <c r="H7196" s="26">
        <v>291</v>
      </c>
      <c r="I7196" s="24" t="s">
        <v>29</v>
      </c>
      <c r="J7196" s="36">
        <v>45901</v>
      </c>
      <c r="K7196" s="24" t="s">
        <v>22</v>
      </c>
    </row>
    <row r="7197" spans="1:11" x14ac:dyDescent="0.2">
      <c r="A7197" s="27" t="s">
        <v>16876</v>
      </c>
      <c r="B7197" s="27" t="s">
        <v>16877</v>
      </c>
      <c r="C7197" s="27" t="s">
        <v>197</v>
      </c>
      <c r="D7197" s="27" t="s">
        <v>17</v>
      </c>
      <c r="E7197" s="27" t="s">
        <v>18</v>
      </c>
      <c r="F7197" s="27" t="s">
        <v>19</v>
      </c>
      <c r="G7197" s="27" t="s">
        <v>28</v>
      </c>
      <c r="H7197" s="29">
        <v>40</v>
      </c>
      <c r="I7197" s="27" t="s">
        <v>29</v>
      </c>
      <c r="J7197" s="37">
        <v>45922</v>
      </c>
      <c r="K7197" s="27" t="s">
        <v>22</v>
      </c>
    </row>
    <row r="7198" spans="1:11" x14ac:dyDescent="0.2">
      <c r="A7198" s="24" t="s">
        <v>16878</v>
      </c>
      <c r="B7198" s="24" t="s">
        <v>16879</v>
      </c>
      <c r="C7198" s="24" t="s">
        <v>16880</v>
      </c>
      <c r="D7198" s="24" t="s">
        <v>17</v>
      </c>
      <c r="E7198" s="24" t="s">
        <v>42</v>
      </c>
      <c r="F7198" s="24" t="s">
        <v>43</v>
      </c>
      <c r="G7198" s="24" t="s">
        <v>217</v>
      </c>
      <c r="H7198" s="26">
        <v>150</v>
      </c>
      <c r="I7198" s="24" t="s">
        <v>29</v>
      </c>
      <c r="J7198" s="36">
        <v>45901</v>
      </c>
      <c r="K7198" s="24" t="s">
        <v>22</v>
      </c>
    </row>
    <row r="7199" spans="1:11" x14ac:dyDescent="0.2">
      <c r="A7199" s="27" t="s">
        <v>16881</v>
      </c>
      <c r="B7199" s="27" t="s">
        <v>16882</v>
      </c>
      <c r="C7199" s="27" t="s">
        <v>512</v>
      </c>
      <c r="D7199" s="27" t="s">
        <v>17</v>
      </c>
      <c r="E7199" s="27" t="s">
        <v>18</v>
      </c>
      <c r="F7199" s="27" t="s">
        <v>19</v>
      </c>
      <c r="G7199" s="27" t="s">
        <v>28</v>
      </c>
      <c r="H7199" s="29">
        <v>108</v>
      </c>
      <c r="I7199" s="27" t="s">
        <v>29</v>
      </c>
      <c r="J7199" s="37">
        <v>45912</v>
      </c>
      <c r="K7199" s="27" t="s">
        <v>22</v>
      </c>
    </row>
    <row r="7200" spans="1:11" x14ac:dyDescent="0.2">
      <c r="A7200" s="24" t="s">
        <v>16883</v>
      </c>
      <c r="B7200" s="24" t="s">
        <v>16884</v>
      </c>
      <c r="C7200" s="24" t="s">
        <v>16684</v>
      </c>
      <c r="D7200" s="24" t="s">
        <v>17</v>
      </c>
      <c r="E7200" s="24" t="s">
        <v>18</v>
      </c>
      <c r="F7200" s="24" t="s">
        <v>19</v>
      </c>
      <c r="G7200" s="24" t="s">
        <v>217</v>
      </c>
      <c r="H7200" s="26">
        <v>76</v>
      </c>
      <c r="I7200" s="24" t="s">
        <v>29</v>
      </c>
      <c r="J7200" s="36">
        <v>45901</v>
      </c>
      <c r="K7200" s="24" t="s">
        <v>22</v>
      </c>
    </row>
    <row r="7201" spans="1:11" x14ac:dyDescent="0.2">
      <c r="A7201" s="27" t="s">
        <v>16885</v>
      </c>
      <c r="B7201" s="27" t="s">
        <v>16886</v>
      </c>
      <c r="C7201" s="27" t="s">
        <v>97</v>
      </c>
      <c r="D7201" s="27" t="s">
        <v>17</v>
      </c>
      <c r="E7201" s="27" t="s">
        <v>26</v>
      </c>
      <c r="F7201" s="27" t="s">
        <v>27</v>
      </c>
      <c r="G7201" s="27" t="s">
        <v>116</v>
      </c>
      <c r="H7201" s="29">
        <v>0</v>
      </c>
      <c r="I7201" s="27" t="s">
        <v>21</v>
      </c>
      <c r="J7201" s="37">
        <v>45902</v>
      </c>
      <c r="K7201" s="27" t="s">
        <v>22</v>
      </c>
    </row>
    <row r="7202" spans="1:11" x14ac:dyDescent="0.2">
      <c r="A7202" s="24" t="s">
        <v>16887</v>
      </c>
      <c r="B7202" s="24" t="s">
        <v>16888</v>
      </c>
      <c r="C7202" s="24" t="s">
        <v>16889</v>
      </c>
      <c r="D7202" s="24" t="s">
        <v>17</v>
      </c>
      <c r="E7202" s="24" t="s">
        <v>48</v>
      </c>
      <c r="F7202" s="24" t="s">
        <v>49</v>
      </c>
      <c r="G7202" s="24" t="s">
        <v>217</v>
      </c>
      <c r="H7202" s="26">
        <v>50</v>
      </c>
      <c r="I7202" s="24" t="s">
        <v>29</v>
      </c>
      <c r="J7202" s="36">
        <v>45901</v>
      </c>
      <c r="K7202" s="24" t="s">
        <v>22</v>
      </c>
    </row>
    <row r="7203" spans="1:11" x14ac:dyDescent="0.2">
      <c r="A7203" s="27" t="s">
        <v>16890</v>
      </c>
      <c r="B7203" s="27" t="s">
        <v>16891</v>
      </c>
      <c r="C7203" s="27" t="s">
        <v>1110</v>
      </c>
      <c r="D7203" s="27" t="s">
        <v>17</v>
      </c>
      <c r="E7203" s="27" t="s">
        <v>48</v>
      </c>
      <c r="F7203" s="27" t="s">
        <v>49</v>
      </c>
      <c r="G7203" s="27" t="s">
        <v>28</v>
      </c>
      <c r="H7203" s="29">
        <v>60</v>
      </c>
      <c r="I7203" s="27" t="s">
        <v>29</v>
      </c>
      <c r="J7203" s="37">
        <v>45909</v>
      </c>
      <c r="K7203" s="27" t="s">
        <v>22</v>
      </c>
    </row>
    <row r="7204" spans="1:11" x14ac:dyDescent="0.2">
      <c r="A7204" s="24" t="s">
        <v>16892</v>
      </c>
      <c r="B7204" s="24" t="s">
        <v>16893</v>
      </c>
      <c r="C7204" s="24" t="s">
        <v>1883</v>
      </c>
      <c r="D7204" s="24" t="s">
        <v>17</v>
      </c>
      <c r="E7204" s="24" t="s">
        <v>18</v>
      </c>
      <c r="F7204" s="24" t="s">
        <v>19</v>
      </c>
      <c r="G7204" s="24" t="s">
        <v>28</v>
      </c>
      <c r="H7204" s="26">
        <v>111</v>
      </c>
      <c r="I7204" s="24" t="s">
        <v>29</v>
      </c>
      <c r="J7204" s="36">
        <v>45924</v>
      </c>
      <c r="K7204" s="24" t="s">
        <v>22</v>
      </c>
    </row>
    <row r="7205" spans="1:11" x14ac:dyDescent="0.2">
      <c r="A7205" s="27" t="s">
        <v>16894</v>
      </c>
      <c r="B7205" s="27" t="s">
        <v>16895</v>
      </c>
      <c r="C7205" s="27" t="s">
        <v>1110</v>
      </c>
      <c r="D7205" s="27" t="s">
        <v>17</v>
      </c>
      <c r="E7205" s="27" t="s">
        <v>18</v>
      </c>
      <c r="F7205" s="27" t="s">
        <v>19</v>
      </c>
      <c r="G7205" s="27" t="s">
        <v>28</v>
      </c>
      <c r="H7205" s="29">
        <v>30</v>
      </c>
      <c r="I7205" s="27" t="s">
        <v>29</v>
      </c>
      <c r="J7205" s="37">
        <v>45930</v>
      </c>
      <c r="K7205" s="27" t="s">
        <v>22</v>
      </c>
    </row>
    <row r="7206" spans="1:11" x14ac:dyDescent="0.2">
      <c r="A7206" s="24" t="s">
        <v>16896</v>
      </c>
      <c r="B7206" s="24" t="s">
        <v>16897</v>
      </c>
      <c r="C7206" s="24" t="s">
        <v>512</v>
      </c>
      <c r="D7206" s="24" t="s">
        <v>17</v>
      </c>
      <c r="E7206" s="24" t="s">
        <v>18</v>
      </c>
      <c r="F7206" s="24" t="s">
        <v>19</v>
      </c>
      <c r="G7206" s="24" t="s">
        <v>28</v>
      </c>
      <c r="H7206" s="26">
        <v>11</v>
      </c>
      <c r="I7206" s="24" t="s">
        <v>29</v>
      </c>
      <c r="J7206" s="36">
        <v>45901</v>
      </c>
      <c r="K7206" s="24" t="s">
        <v>22</v>
      </c>
    </row>
    <row r="7207" spans="1:11" x14ac:dyDescent="0.2">
      <c r="A7207" s="27" t="s">
        <v>16898</v>
      </c>
      <c r="B7207" s="27" t="s">
        <v>16899</v>
      </c>
      <c r="C7207" s="27" t="s">
        <v>85</v>
      </c>
      <c r="D7207" s="27" t="s">
        <v>17</v>
      </c>
      <c r="E7207" s="27" t="s">
        <v>48</v>
      </c>
      <c r="F7207" s="27" t="s">
        <v>49</v>
      </c>
      <c r="G7207" s="27" t="s">
        <v>28</v>
      </c>
      <c r="H7207" s="29">
        <v>200</v>
      </c>
      <c r="I7207" s="27" t="s">
        <v>29</v>
      </c>
      <c r="J7207" s="37">
        <v>45930</v>
      </c>
      <c r="K7207" s="27" t="s">
        <v>22</v>
      </c>
    </row>
    <row r="7208" spans="1:11" x14ac:dyDescent="0.2">
      <c r="A7208" s="24" t="s">
        <v>16900</v>
      </c>
      <c r="B7208" s="24" t="s">
        <v>16901</v>
      </c>
      <c r="C7208" s="24" t="s">
        <v>429</v>
      </c>
      <c r="D7208" s="24" t="s">
        <v>17</v>
      </c>
      <c r="E7208" s="24" t="s">
        <v>42</v>
      </c>
      <c r="F7208" s="24" t="s">
        <v>43</v>
      </c>
      <c r="G7208" s="24" t="s">
        <v>28</v>
      </c>
      <c r="H7208" s="26">
        <v>111</v>
      </c>
      <c r="I7208" s="24" t="s">
        <v>29</v>
      </c>
      <c r="J7208" s="36">
        <v>45910</v>
      </c>
      <c r="K7208" s="24" t="s">
        <v>22</v>
      </c>
    </row>
    <row r="7209" spans="1:11" x14ac:dyDescent="0.2">
      <c r="A7209" s="27" t="s">
        <v>16902</v>
      </c>
      <c r="B7209" s="27" t="s">
        <v>16903</v>
      </c>
      <c r="C7209" s="27" t="s">
        <v>16904</v>
      </c>
      <c r="D7209" s="27" t="s">
        <v>17</v>
      </c>
      <c r="E7209" s="27" t="s">
        <v>26</v>
      </c>
      <c r="F7209" s="27" t="s">
        <v>27</v>
      </c>
      <c r="G7209" s="27" t="s">
        <v>217</v>
      </c>
      <c r="H7209" s="29">
        <v>48</v>
      </c>
      <c r="I7209" s="27" t="s">
        <v>29</v>
      </c>
      <c r="J7209" s="37">
        <v>45901</v>
      </c>
      <c r="K7209" s="27" t="s">
        <v>22</v>
      </c>
    </row>
    <row r="7210" spans="1:11" x14ac:dyDescent="0.2">
      <c r="A7210" s="24" t="s">
        <v>16905</v>
      </c>
      <c r="B7210" s="24" t="s">
        <v>16906</v>
      </c>
      <c r="C7210" s="24" t="s">
        <v>134</v>
      </c>
      <c r="D7210" s="24" t="s">
        <v>17</v>
      </c>
      <c r="E7210" s="24" t="s">
        <v>48</v>
      </c>
      <c r="F7210" s="24" t="s">
        <v>49</v>
      </c>
      <c r="G7210" s="24" t="s">
        <v>28</v>
      </c>
      <c r="H7210" s="26">
        <v>130</v>
      </c>
      <c r="I7210" s="24" t="s">
        <v>29</v>
      </c>
      <c r="J7210" s="36">
        <v>45909</v>
      </c>
      <c r="K7210" s="24" t="s">
        <v>22</v>
      </c>
    </row>
    <row r="7211" spans="1:11" x14ac:dyDescent="0.2">
      <c r="A7211" s="27" t="s">
        <v>16907</v>
      </c>
      <c r="B7211" s="27" t="s">
        <v>16908</v>
      </c>
      <c r="C7211" s="27" t="s">
        <v>2045</v>
      </c>
      <c r="D7211" s="27" t="s">
        <v>17</v>
      </c>
      <c r="E7211" s="27" t="s">
        <v>48</v>
      </c>
      <c r="F7211" s="27" t="s">
        <v>49</v>
      </c>
      <c r="G7211" s="27" t="s">
        <v>28</v>
      </c>
      <c r="H7211" s="29">
        <v>200</v>
      </c>
      <c r="I7211" s="27" t="s">
        <v>29</v>
      </c>
      <c r="J7211" s="37">
        <v>45930</v>
      </c>
      <c r="K7211" s="27" t="s">
        <v>22</v>
      </c>
    </row>
    <row r="7212" spans="1:11" x14ac:dyDescent="0.2">
      <c r="A7212" s="24" t="s">
        <v>16909</v>
      </c>
      <c r="B7212" s="24" t="s">
        <v>16910</v>
      </c>
      <c r="C7212" s="24" t="s">
        <v>16911</v>
      </c>
      <c r="D7212" s="24" t="s">
        <v>17</v>
      </c>
      <c r="E7212" s="24" t="s">
        <v>26</v>
      </c>
      <c r="F7212" s="24" t="s">
        <v>27</v>
      </c>
      <c r="G7212" s="24" t="s">
        <v>217</v>
      </c>
      <c r="H7212" s="26">
        <v>41</v>
      </c>
      <c r="I7212" s="24" t="s">
        <v>29</v>
      </c>
      <c r="J7212" s="36">
        <v>45901</v>
      </c>
      <c r="K7212" s="24" t="s">
        <v>22</v>
      </c>
    </row>
    <row r="7213" spans="1:11" x14ac:dyDescent="0.2">
      <c r="A7213" s="27" t="s">
        <v>16912</v>
      </c>
      <c r="B7213" s="27" t="s">
        <v>16913</v>
      </c>
      <c r="C7213" s="27" t="s">
        <v>16914</v>
      </c>
      <c r="D7213" s="27" t="s">
        <v>17</v>
      </c>
      <c r="E7213" s="27" t="s">
        <v>18</v>
      </c>
      <c r="F7213" s="27" t="s">
        <v>19</v>
      </c>
      <c r="G7213" s="27" t="s">
        <v>28</v>
      </c>
      <c r="H7213" s="29">
        <v>15</v>
      </c>
      <c r="I7213" s="27" t="s">
        <v>29</v>
      </c>
      <c r="J7213" s="37">
        <v>45916</v>
      </c>
      <c r="K7213" s="27" t="s">
        <v>22</v>
      </c>
    </row>
    <row r="7214" spans="1:11" x14ac:dyDescent="0.2">
      <c r="A7214" s="24" t="s">
        <v>16915</v>
      </c>
      <c r="B7214" s="24" t="s">
        <v>16916</v>
      </c>
      <c r="C7214" s="24" t="s">
        <v>15338</v>
      </c>
      <c r="D7214" s="24" t="s">
        <v>17</v>
      </c>
      <c r="E7214" s="24" t="s">
        <v>18</v>
      </c>
      <c r="F7214" s="24" t="s">
        <v>19</v>
      </c>
      <c r="G7214" s="24" t="s">
        <v>28</v>
      </c>
      <c r="H7214" s="26">
        <v>12</v>
      </c>
      <c r="I7214" s="24" t="s">
        <v>29</v>
      </c>
      <c r="J7214" s="36">
        <v>45915</v>
      </c>
      <c r="K7214" s="24" t="s">
        <v>22</v>
      </c>
    </row>
    <row r="7215" spans="1:11" x14ac:dyDescent="0.2">
      <c r="A7215" s="27" t="s">
        <v>16917</v>
      </c>
      <c r="B7215" s="27" t="s">
        <v>16918</v>
      </c>
      <c r="C7215" s="27" t="s">
        <v>71</v>
      </c>
      <c r="D7215" s="27" t="s">
        <v>17</v>
      </c>
      <c r="E7215" s="27" t="s">
        <v>26</v>
      </c>
      <c r="F7215" s="27" t="s">
        <v>27</v>
      </c>
      <c r="G7215" s="27" t="s">
        <v>217</v>
      </c>
      <c r="H7215" s="29">
        <v>96</v>
      </c>
      <c r="I7215" s="27" t="s">
        <v>29</v>
      </c>
      <c r="J7215" s="37">
        <v>45901</v>
      </c>
      <c r="K7215" s="27" t="s">
        <v>22</v>
      </c>
    </row>
    <row r="7216" spans="1:11" x14ac:dyDescent="0.2">
      <c r="A7216" s="24" t="s">
        <v>16919</v>
      </c>
      <c r="B7216" s="24" t="s">
        <v>16920</v>
      </c>
      <c r="C7216" s="24" t="s">
        <v>10289</v>
      </c>
      <c r="D7216" s="24" t="s">
        <v>17</v>
      </c>
      <c r="E7216" s="24" t="s">
        <v>48</v>
      </c>
      <c r="F7216" s="24" t="s">
        <v>49</v>
      </c>
      <c r="G7216" s="24" t="s">
        <v>28</v>
      </c>
      <c r="H7216" s="26">
        <v>70</v>
      </c>
      <c r="I7216" s="24" t="s">
        <v>29</v>
      </c>
      <c r="J7216" s="36">
        <v>45919</v>
      </c>
      <c r="K7216" s="24" t="s">
        <v>22</v>
      </c>
    </row>
    <row r="7217" spans="1:11" x14ac:dyDescent="0.2">
      <c r="A7217" s="27" t="s">
        <v>16921</v>
      </c>
      <c r="B7217" s="27" t="s">
        <v>16922</v>
      </c>
      <c r="C7217" s="27" t="s">
        <v>16923</v>
      </c>
      <c r="D7217" s="27" t="s">
        <v>17</v>
      </c>
      <c r="E7217" s="27" t="s">
        <v>42</v>
      </c>
      <c r="F7217" s="27" t="s">
        <v>43</v>
      </c>
      <c r="G7217" s="27" t="s">
        <v>217</v>
      </c>
      <c r="H7217" s="29">
        <v>340</v>
      </c>
      <c r="I7217" s="27" t="s">
        <v>29</v>
      </c>
      <c r="J7217" s="37">
        <v>45901</v>
      </c>
      <c r="K7217" s="27" t="s">
        <v>22</v>
      </c>
    </row>
    <row r="7218" spans="1:11" x14ac:dyDescent="0.2">
      <c r="A7218" s="24" t="s">
        <v>16924</v>
      </c>
      <c r="B7218" s="24" t="s">
        <v>16925</v>
      </c>
      <c r="C7218" s="24" t="s">
        <v>9677</v>
      </c>
      <c r="D7218" s="24" t="s">
        <v>17</v>
      </c>
      <c r="E7218" s="24" t="s">
        <v>48</v>
      </c>
      <c r="F7218" s="24" t="s">
        <v>49</v>
      </c>
      <c r="G7218" s="24" t="s">
        <v>44</v>
      </c>
      <c r="H7218" s="26">
        <v>47</v>
      </c>
      <c r="I7218" s="24" t="s">
        <v>21</v>
      </c>
      <c r="J7218" s="36">
        <v>45905</v>
      </c>
      <c r="K7218" s="24" t="s">
        <v>22</v>
      </c>
    </row>
    <row r="7219" spans="1:11" x14ac:dyDescent="0.2">
      <c r="A7219" s="27" t="s">
        <v>16926</v>
      </c>
      <c r="B7219" s="27" t="s">
        <v>16927</v>
      </c>
      <c r="C7219" s="27" t="s">
        <v>220</v>
      </c>
      <c r="D7219" s="27" t="s">
        <v>17</v>
      </c>
      <c r="E7219" s="27" t="s">
        <v>42</v>
      </c>
      <c r="F7219" s="27" t="s">
        <v>43</v>
      </c>
      <c r="G7219" s="27" t="s">
        <v>28</v>
      </c>
      <c r="H7219" s="29">
        <v>200</v>
      </c>
      <c r="I7219" s="27" t="s">
        <v>29</v>
      </c>
      <c r="J7219" s="37">
        <v>45915</v>
      </c>
      <c r="K7219" s="27" t="s">
        <v>22</v>
      </c>
    </row>
    <row r="7220" spans="1:11" x14ac:dyDescent="0.2">
      <c r="A7220" s="24" t="s">
        <v>16928</v>
      </c>
      <c r="B7220" s="24" t="s">
        <v>16929</v>
      </c>
      <c r="C7220" s="24" t="s">
        <v>5080</v>
      </c>
      <c r="D7220" s="24" t="s">
        <v>17</v>
      </c>
      <c r="E7220" s="24" t="s">
        <v>48</v>
      </c>
      <c r="F7220" s="24" t="s">
        <v>49</v>
      </c>
      <c r="G7220" s="24" t="s">
        <v>28</v>
      </c>
      <c r="H7220" s="26">
        <v>125</v>
      </c>
      <c r="I7220" s="24" t="s">
        <v>29</v>
      </c>
      <c r="J7220" s="36">
        <v>45924</v>
      </c>
      <c r="K7220" s="24" t="s">
        <v>22</v>
      </c>
    </row>
    <row r="7221" spans="1:11" x14ac:dyDescent="0.2">
      <c r="A7221" s="27" t="s">
        <v>16930</v>
      </c>
      <c r="B7221" s="27" t="s">
        <v>16931</v>
      </c>
      <c r="C7221" s="27" t="s">
        <v>16932</v>
      </c>
      <c r="D7221" s="27" t="s">
        <v>17</v>
      </c>
      <c r="E7221" s="27" t="s">
        <v>26</v>
      </c>
      <c r="F7221" s="27" t="s">
        <v>27</v>
      </c>
      <c r="G7221" s="27" t="s">
        <v>28</v>
      </c>
      <c r="H7221" s="29">
        <v>205</v>
      </c>
      <c r="I7221" s="27" t="s">
        <v>29</v>
      </c>
      <c r="J7221" s="37">
        <v>45923</v>
      </c>
      <c r="K7221" s="27" t="s">
        <v>22</v>
      </c>
    </row>
    <row r="7222" spans="1:11" x14ac:dyDescent="0.2">
      <c r="A7222" s="24" t="s">
        <v>16933</v>
      </c>
      <c r="B7222" s="24" t="s">
        <v>16934</v>
      </c>
      <c r="C7222" s="24" t="s">
        <v>2282</v>
      </c>
      <c r="D7222" s="24" t="s">
        <v>17</v>
      </c>
      <c r="E7222" s="24" t="s">
        <v>42</v>
      </c>
      <c r="F7222" s="24" t="s">
        <v>43</v>
      </c>
      <c r="G7222" s="24" t="s">
        <v>217</v>
      </c>
      <c r="H7222" s="26">
        <v>600</v>
      </c>
      <c r="I7222" s="24" t="s">
        <v>29</v>
      </c>
      <c r="J7222" s="36">
        <v>45915</v>
      </c>
      <c r="K7222" s="24" t="s">
        <v>22</v>
      </c>
    </row>
    <row r="7223" spans="1:11" x14ac:dyDescent="0.2">
      <c r="A7223" s="27" t="s">
        <v>16935</v>
      </c>
      <c r="B7223" s="27" t="s">
        <v>16936</v>
      </c>
      <c r="C7223" s="27" t="s">
        <v>16937</v>
      </c>
      <c r="D7223" s="27" t="s">
        <v>17</v>
      </c>
      <c r="E7223" s="27" t="s">
        <v>42</v>
      </c>
      <c r="F7223" s="27" t="s">
        <v>43</v>
      </c>
      <c r="G7223" s="27" t="s">
        <v>28</v>
      </c>
      <c r="H7223" s="29">
        <v>300</v>
      </c>
      <c r="I7223" s="27" t="s">
        <v>29</v>
      </c>
      <c r="J7223" s="37">
        <v>45901</v>
      </c>
      <c r="K7223" s="27" t="s">
        <v>22</v>
      </c>
    </row>
    <row r="7224" spans="1:11" x14ac:dyDescent="0.2">
      <c r="A7224" s="24" t="s">
        <v>16938</v>
      </c>
      <c r="B7224" s="24" t="s">
        <v>16939</v>
      </c>
      <c r="C7224" s="24" t="s">
        <v>16112</v>
      </c>
      <c r="D7224" s="24" t="s">
        <v>17</v>
      </c>
      <c r="E7224" s="24" t="s">
        <v>42</v>
      </c>
      <c r="F7224" s="24" t="s">
        <v>43</v>
      </c>
      <c r="G7224" s="24" t="s">
        <v>28</v>
      </c>
      <c r="H7224" s="26">
        <v>400</v>
      </c>
      <c r="I7224" s="24" t="s">
        <v>29</v>
      </c>
      <c r="J7224" s="36">
        <v>45910</v>
      </c>
      <c r="K7224" s="24" t="s">
        <v>22</v>
      </c>
    </row>
    <row r="7225" spans="1:11" x14ac:dyDescent="0.2">
      <c r="A7225" s="27" t="s">
        <v>16940</v>
      </c>
      <c r="B7225" s="27" t="s">
        <v>16941</v>
      </c>
      <c r="C7225" s="27" t="s">
        <v>526</v>
      </c>
      <c r="D7225" s="27" t="s">
        <v>17</v>
      </c>
      <c r="E7225" s="27" t="s">
        <v>42</v>
      </c>
      <c r="F7225" s="27" t="s">
        <v>43</v>
      </c>
      <c r="G7225" s="27" t="s">
        <v>28</v>
      </c>
      <c r="H7225" s="29">
        <v>1000</v>
      </c>
      <c r="I7225" s="27" t="s">
        <v>29</v>
      </c>
      <c r="J7225" s="37">
        <v>45930</v>
      </c>
      <c r="K7225" s="27" t="s">
        <v>22</v>
      </c>
    </row>
    <row r="7226" spans="1:11" x14ac:dyDescent="0.2">
      <c r="A7226" s="24" t="s">
        <v>16942</v>
      </c>
      <c r="B7226" s="24" t="s">
        <v>16943</v>
      </c>
      <c r="C7226" s="24" t="s">
        <v>12305</v>
      </c>
      <c r="D7226" s="24" t="s">
        <v>17</v>
      </c>
      <c r="E7226" s="24" t="s">
        <v>18</v>
      </c>
      <c r="F7226" s="24" t="s">
        <v>19</v>
      </c>
      <c r="G7226" s="24" t="s">
        <v>28</v>
      </c>
      <c r="H7226" s="26">
        <v>104</v>
      </c>
      <c r="I7226" s="24" t="s">
        <v>29</v>
      </c>
      <c r="J7226" s="36">
        <v>45904</v>
      </c>
      <c r="K7226" s="24" t="s">
        <v>22</v>
      </c>
    </row>
    <row r="7227" spans="1:11" x14ac:dyDescent="0.2">
      <c r="A7227" s="27" t="s">
        <v>16944</v>
      </c>
      <c r="B7227" s="27" t="s">
        <v>16945</v>
      </c>
      <c r="C7227" s="27" t="s">
        <v>7601</v>
      </c>
      <c r="D7227" s="27" t="s">
        <v>17</v>
      </c>
      <c r="E7227" s="27" t="s">
        <v>81</v>
      </c>
      <c r="F7227" s="27" t="s">
        <v>82</v>
      </c>
      <c r="G7227" s="27" t="s">
        <v>28</v>
      </c>
      <c r="H7227" s="29">
        <v>100</v>
      </c>
      <c r="I7227" s="27" t="s">
        <v>29</v>
      </c>
      <c r="J7227" s="37">
        <v>45925</v>
      </c>
      <c r="K7227" s="27" t="s">
        <v>22</v>
      </c>
    </row>
    <row r="7228" spans="1:11" x14ac:dyDescent="0.2">
      <c r="A7228" s="24" t="s">
        <v>16946</v>
      </c>
      <c r="B7228" s="24" t="s">
        <v>16947</v>
      </c>
      <c r="C7228" s="24" t="s">
        <v>71</v>
      </c>
      <c r="D7228" s="24" t="s">
        <v>17</v>
      </c>
      <c r="E7228" s="24" t="s">
        <v>42</v>
      </c>
      <c r="F7228" s="24" t="s">
        <v>43</v>
      </c>
      <c r="G7228" s="24" t="s">
        <v>28</v>
      </c>
      <c r="H7228" s="26">
        <v>602</v>
      </c>
      <c r="I7228" s="24" t="s">
        <v>29</v>
      </c>
      <c r="J7228" s="36">
        <v>45908</v>
      </c>
      <c r="K7228" s="24" t="s">
        <v>22</v>
      </c>
    </row>
    <row r="7229" spans="1:11" x14ac:dyDescent="0.2">
      <c r="A7229" s="27" t="s">
        <v>16948</v>
      </c>
      <c r="B7229" s="27" t="s">
        <v>16949</v>
      </c>
      <c r="C7229" s="27" t="s">
        <v>13508</v>
      </c>
      <c r="D7229" s="27" t="s">
        <v>17</v>
      </c>
      <c r="E7229" s="27" t="s">
        <v>163</v>
      </c>
      <c r="F7229" s="27" t="s">
        <v>164</v>
      </c>
      <c r="G7229" s="27" t="s">
        <v>217</v>
      </c>
      <c r="H7229" s="29">
        <v>12</v>
      </c>
      <c r="I7229" s="27" t="s">
        <v>29</v>
      </c>
      <c r="J7229" s="37">
        <v>45925</v>
      </c>
      <c r="K7229" s="27" t="s">
        <v>22</v>
      </c>
    </row>
    <row r="7230" spans="1:11" x14ac:dyDescent="0.2">
      <c r="A7230" s="24" t="s">
        <v>16950</v>
      </c>
      <c r="B7230" s="24" t="s">
        <v>16951</v>
      </c>
      <c r="C7230" s="24" t="s">
        <v>4966</v>
      </c>
      <c r="D7230" s="24" t="s">
        <v>17</v>
      </c>
      <c r="E7230" s="24" t="s">
        <v>18</v>
      </c>
      <c r="F7230" s="24" t="s">
        <v>19</v>
      </c>
      <c r="G7230" s="24" t="s">
        <v>28</v>
      </c>
      <c r="H7230" s="26">
        <v>24</v>
      </c>
      <c r="I7230" s="24" t="s">
        <v>29</v>
      </c>
      <c r="J7230" s="36">
        <v>45909</v>
      </c>
      <c r="K7230" s="24" t="s">
        <v>22</v>
      </c>
    </row>
    <row r="7231" spans="1:11" x14ac:dyDescent="0.2">
      <c r="A7231" s="27" t="s">
        <v>16952</v>
      </c>
      <c r="B7231" s="27" t="s">
        <v>16953</v>
      </c>
      <c r="C7231" s="27" t="s">
        <v>16954</v>
      </c>
      <c r="D7231" s="27" t="s">
        <v>17</v>
      </c>
      <c r="E7231" s="27" t="s">
        <v>48</v>
      </c>
      <c r="F7231" s="27" t="s">
        <v>49</v>
      </c>
      <c r="G7231" s="27" t="s">
        <v>116</v>
      </c>
      <c r="H7231" s="29">
        <v>0</v>
      </c>
      <c r="I7231" s="27" t="s">
        <v>21</v>
      </c>
      <c r="J7231" s="37">
        <v>45901</v>
      </c>
      <c r="K7231" s="27" t="s">
        <v>22</v>
      </c>
    </row>
    <row r="7232" spans="1:11" x14ac:dyDescent="0.2">
      <c r="A7232" s="24" t="s">
        <v>16955</v>
      </c>
      <c r="B7232" s="24" t="s">
        <v>16956</v>
      </c>
      <c r="C7232" s="24" t="s">
        <v>12600</v>
      </c>
      <c r="D7232" s="24" t="s">
        <v>17</v>
      </c>
      <c r="E7232" s="24" t="s">
        <v>48</v>
      </c>
      <c r="F7232" s="24" t="s">
        <v>49</v>
      </c>
      <c r="G7232" s="24" t="s">
        <v>28</v>
      </c>
      <c r="H7232" s="26">
        <v>10</v>
      </c>
      <c r="I7232" s="24" t="s">
        <v>29</v>
      </c>
      <c r="J7232" s="36">
        <v>45930</v>
      </c>
      <c r="K7232" s="24" t="s">
        <v>22</v>
      </c>
    </row>
    <row r="7233" spans="1:11" x14ac:dyDescent="0.2">
      <c r="A7233" s="27" t="s">
        <v>16957</v>
      </c>
      <c r="B7233" s="27" t="s">
        <v>16958</v>
      </c>
      <c r="C7233" s="27" t="s">
        <v>2779</v>
      </c>
      <c r="D7233" s="27" t="s">
        <v>17</v>
      </c>
      <c r="E7233" s="27" t="s">
        <v>18</v>
      </c>
      <c r="F7233" s="27" t="s">
        <v>19</v>
      </c>
      <c r="G7233" s="27" t="s">
        <v>44</v>
      </c>
      <c r="H7233" s="29">
        <v>24</v>
      </c>
      <c r="I7233" s="27" t="s">
        <v>21</v>
      </c>
      <c r="J7233" s="37">
        <v>45924</v>
      </c>
      <c r="K7233" s="27" t="s">
        <v>22</v>
      </c>
    </row>
    <row r="7234" spans="1:11" x14ac:dyDescent="0.2">
      <c r="A7234" s="24" t="s">
        <v>16959</v>
      </c>
      <c r="B7234" s="24" t="s">
        <v>16960</v>
      </c>
      <c r="C7234" s="24" t="s">
        <v>16961</v>
      </c>
      <c r="D7234" s="24" t="s">
        <v>17</v>
      </c>
      <c r="E7234" s="24" t="s">
        <v>18</v>
      </c>
      <c r="F7234" s="24" t="s">
        <v>19</v>
      </c>
      <c r="G7234" s="24" t="s">
        <v>28</v>
      </c>
      <c r="H7234" s="26">
        <v>48</v>
      </c>
      <c r="I7234" s="24" t="s">
        <v>29</v>
      </c>
      <c r="J7234" s="36">
        <v>45901</v>
      </c>
      <c r="K7234" s="24" t="s">
        <v>22</v>
      </c>
    </row>
    <row r="7235" spans="1:11" x14ac:dyDescent="0.2">
      <c r="A7235" s="27" t="s">
        <v>16962</v>
      </c>
      <c r="B7235" s="27" t="s">
        <v>16963</v>
      </c>
      <c r="C7235" s="27" t="s">
        <v>55</v>
      </c>
      <c r="D7235" s="27" t="s">
        <v>17</v>
      </c>
      <c r="E7235" s="27" t="s">
        <v>48</v>
      </c>
      <c r="F7235" s="27" t="s">
        <v>49</v>
      </c>
      <c r="G7235" s="27" t="s">
        <v>28</v>
      </c>
      <c r="H7235" s="29">
        <v>315</v>
      </c>
      <c r="I7235" s="27" t="s">
        <v>29</v>
      </c>
      <c r="J7235" s="37">
        <v>45926</v>
      </c>
      <c r="K7235" s="27" t="s">
        <v>22</v>
      </c>
    </row>
    <row r="7236" spans="1:11" x14ac:dyDescent="0.2">
      <c r="A7236" s="24" t="s">
        <v>16964</v>
      </c>
      <c r="B7236" s="24" t="s">
        <v>16965</v>
      </c>
      <c r="C7236" s="24" t="s">
        <v>16966</v>
      </c>
      <c r="D7236" s="24" t="s">
        <v>17</v>
      </c>
      <c r="E7236" s="24" t="s">
        <v>42</v>
      </c>
      <c r="F7236" s="24" t="s">
        <v>43</v>
      </c>
      <c r="G7236" s="24" t="s">
        <v>217</v>
      </c>
      <c r="H7236" s="26">
        <v>400</v>
      </c>
      <c r="I7236" s="24" t="s">
        <v>29</v>
      </c>
      <c r="J7236" s="36">
        <v>45930</v>
      </c>
      <c r="K7236" s="24" t="s">
        <v>22</v>
      </c>
    </row>
    <row r="7237" spans="1:11" x14ac:dyDescent="0.2">
      <c r="A7237" s="27" t="s">
        <v>16967</v>
      </c>
      <c r="B7237" s="27" t="s">
        <v>16968</v>
      </c>
      <c r="C7237" s="27" t="s">
        <v>526</v>
      </c>
      <c r="D7237" s="27" t="s">
        <v>17</v>
      </c>
      <c r="E7237" s="27" t="s">
        <v>42</v>
      </c>
      <c r="F7237" s="27" t="s">
        <v>43</v>
      </c>
      <c r="G7237" s="27" t="s">
        <v>28</v>
      </c>
      <c r="H7237" s="29">
        <v>800</v>
      </c>
      <c r="I7237" s="27" t="s">
        <v>29</v>
      </c>
      <c r="J7237" s="37">
        <v>45915</v>
      </c>
      <c r="K7237" s="27" t="s">
        <v>22</v>
      </c>
    </row>
    <row r="7238" spans="1:11" x14ac:dyDescent="0.2">
      <c r="A7238" s="24" t="s">
        <v>16969</v>
      </c>
      <c r="B7238" s="24" t="s">
        <v>16970</v>
      </c>
      <c r="C7238" s="24" t="s">
        <v>3444</v>
      </c>
      <c r="D7238" s="24" t="s">
        <v>17</v>
      </c>
      <c r="E7238" s="24" t="s">
        <v>163</v>
      </c>
      <c r="F7238" s="24" t="s">
        <v>164</v>
      </c>
      <c r="G7238" s="24" t="s">
        <v>28</v>
      </c>
      <c r="H7238" s="26">
        <v>19</v>
      </c>
      <c r="I7238" s="24" t="s">
        <v>29</v>
      </c>
      <c r="J7238" s="36">
        <v>45925</v>
      </c>
      <c r="K7238" s="24" t="s">
        <v>22</v>
      </c>
    </row>
    <row r="7239" spans="1:11" x14ac:dyDescent="0.2">
      <c r="A7239" s="27" t="s">
        <v>16971</v>
      </c>
      <c r="B7239" s="27" t="s">
        <v>16972</v>
      </c>
      <c r="C7239" s="27" t="s">
        <v>15335</v>
      </c>
      <c r="D7239" s="27" t="s">
        <v>17</v>
      </c>
      <c r="E7239" s="27" t="s">
        <v>42</v>
      </c>
      <c r="F7239" s="27" t="s">
        <v>43</v>
      </c>
      <c r="G7239" s="27" t="s">
        <v>28</v>
      </c>
      <c r="H7239" s="29">
        <v>250</v>
      </c>
      <c r="I7239" s="27" t="s">
        <v>29</v>
      </c>
      <c r="J7239" s="37">
        <v>45908</v>
      </c>
      <c r="K7239" s="27" t="s">
        <v>22</v>
      </c>
    </row>
    <row r="7240" spans="1:11" x14ac:dyDescent="0.2">
      <c r="A7240" s="24" t="s">
        <v>16973</v>
      </c>
      <c r="B7240" s="24" t="s">
        <v>16974</v>
      </c>
      <c r="C7240" s="24" t="s">
        <v>146</v>
      </c>
      <c r="D7240" s="24" t="s">
        <v>17</v>
      </c>
      <c r="E7240" s="24" t="s">
        <v>48</v>
      </c>
      <c r="F7240" s="24" t="s">
        <v>49</v>
      </c>
      <c r="G7240" s="24" t="s">
        <v>217</v>
      </c>
      <c r="H7240" s="26">
        <v>400</v>
      </c>
      <c r="I7240" s="24" t="s">
        <v>29</v>
      </c>
      <c r="J7240" s="36">
        <v>45926</v>
      </c>
      <c r="K7240" s="24" t="s">
        <v>22</v>
      </c>
    </row>
    <row r="7241" spans="1:11" x14ac:dyDescent="0.2">
      <c r="A7241" s="27" t="s">
        <v>16975</v>
      </c>
      <c r="B7241" s="27" t="s">
        <v>16976</v>
      </c>
      <c r="C7241" s="27" t="s">
        <v>16977</v>
      </c>
      <c r="D7241" s="27" t="s">
        <v>17</v>
      </c>
      <c r="E7241" s="27" t="s">
        <v>48</v>
      </c>
      <c r="F7241" s="27" t="s">
        <v>49</v>
      </c>
      <c r="G7241" s="27" t="s">
        <v>217</v>
      </c>
      <c r="H7241" s="29">
        <v>39</v>
      </c>
      <c r="I7241" s="27" t="s">
        <v>29</v>
      </c>
      <c r="J7241" s="37">
        <v>45901</v>
      </c>
      <c r="K7241" s="27" t="s">
        <v>22</v>
      </c>
    </row>
    <row r="7242" spans="1:11" x14ac:dyDescent="0.2">
      <c r="A7242" s="24" t="s">
        <v>16978</v>
      </c>
      <c r="B7242" s="24" t="s">
        <v>16979</v>
      </c>
      <c r="C7242" s="24" t="s">
        <v>526</v>
      </c>
      <c r="D7242" s="24" t="s">
        <v>17</v>
      </c>
      <c r="E7242" s="24" t="s">
        <v>42</v>
      </c>
      <c r="F7242" s="24" t="s">
        <v>43</v>
      </c>
      <c r="G7242" s="24" t="s">
        <v>28</v>
      </c>
      <c r="H7242" s="26">
        <v>10450</v>
      </c>
      <c r="I7242" s="24" t="s">
        <v>29</v>
      </c>
      <c r="J7242" s="36">
        <v>45902</v>
      </c>
      <c r="K7242" s="24" t="s">
        <v>22</v>
      </c>
    </row>
    <row r="7243" spans="1:11" x14ac:dyDescent="0.2">
      <c r="A7243" s="27" t="s">
        <v>16980</v>
      </c>
      <c r="B7243" s="27" t="s">
        <v>16981</v>
      </c>
      <c r="C7243" s="27" t="s">
        <v>792</v>
      </c>
      <c r="D7243" s="27" t="s">
        <v>17</v>
      </c>
      <c r="E7243" s="27" t="s">
        <v>42</v>
      </c>
      <c r="F7243" s="27" t="s">
        <v>43</v>
      </c>
      <c r="G7243" s="27" t="s">
        <v>28</v>
      </c>
      <c r="H7243" s="29">
        <v>710</v>
      </c>
      <c r="I7243" s="27" t="s">
        <v>29</v>
      </c>
      <c r="J7243" s="37">
        <v>45930</v>
      </c>
      <c r="K7243" s="27" t="s">
        <v>22</v>
      </c>
    </row>
    <row r="7244" spans="1:11" x14ac:dyDescent="0.2">
      <c r="A7244" s="24" t="s">
        <v>16982</v>
      </c>
      <c r="B7244" s="24" t="s">
        <v>16983</v>
      </c>
      <c r="C7244" s="24" t="s">
        <v>4501</v>
      </c>
      <c r="D7244" s="24" t="s">
        <v>17</v>
      </c>
      <c r="E7244" s="24" t="s">
        <v>18</v>
      </c>
      <c r="F7244" s="24" t="s">
        <v>19</v>
      </c>
      <c r="G7244" s="24" t="s">
        <v>20</v>
      </c>
      <c r="H7244" s="26">
        <v>50</v>
      </c>
      <c r="I7244" s="24" t="s">
        <v>21</v>
      </c>
      <c r="J7244" s="36">
        <v>45929</v>
      </c>
      <c r="K7244" s="24" t="s">
        <v>22</v>
      </c>
    </row>
    <row r="7245" spans="1:11" x14ac:dyDescent="0.2">
      <c r="A7245" s="27" t="s">
        <v>16984</v>
      </c>
      <c r="B7245" s="27" t="s">
        <v>16985</v>
      </c>
      <c r="C7245" s="27" t="s">
        <v>55</v>
      </c>
      <c r="D7245" s="27" t="s">
        <v>17</v>
      </c>
      <c r="E7245" s="27" t="s">
        <v>18</v>
      </c>
      <c r="F7245" s="27" t="s">
        <v>19</v>
      </c>
      <c r="G7245" s="27" t="s">
        <v>20</v>
      </c>
      <c r="H7245" s="29">
        <v>12</v>
      </c>
      <c r="I7245" s="27" t="s">
        <v>21</v>
      </c>
      <c r="J7245" s="37">
        <v>45926</v>
      </c>
      <c r="K7245" s="27" t="s">
        <v>22</v>
      </c>
    </row>
    <row r="7246" spans="1:11" x14ac:dyDescent="0.2">
      <c r="A7246" s="24" t="s">
        <v>16986</v>
      </c>
      <c r="B7246" s="24" t="s">
        <v>16987</v>
      </c>
      <c r="C7246" s="24" t="s">
        <v>1582</v>
      </c>
      <c r="D7246" s="24" t="s">
        <v>17</v>
      </c>
      <c r="E7246" s="24" t="s">
        <v>42</v>
      </c>
      <c r="F7246" s="24" t="s">
        <v>43</v>
      </c>
      <c r="G7246" s="24" t="s">
        <v>28</v>
      </c>
      <c r="H7246" s="26">
        <v>1300</v>
      </c>
      <c r="I7246" s="24" t="s">
        <v>29</v>
      </c>
      <c r="J7246" s="36">
        <v>45926</v>
      </c>
      <c r="K7246" s="24" t="s">
        <v>22</v>
      </c>
    </row>
    <row r="7247" spans="1:11" x14ac:dyDescent="0.2">
      <c r="A7247" s="27" t="s">
        <v>16988</v>
      </c>
      <c r="B7247" s="27" t="s">
        <v>16989</v>
      </c>
      <c r="C7247" s="27" t="s">
        <v>85</v>
      </c>
      <c r="D7247" s="27" t="s">
        <v>17</v>
      </c>
      <c r="E7247" s="27" t="s">
        <v>81</v>
      </c>
      <c r="F7247" s="27" t="s">
        <v>82</v>
      </c>
      <c r="G7247" s="27" t="s">
        <v>44</v>
      </c>
      <c r="H7247" s="29">
        <v>75</v>
      </c>
      <c r="I7247" s="27" t="s">
        <v>21</v>
      </c>
      <c r="J7247" s="37">
        <v>45925</v>
      </c>
      <c r="K7247" s="27" t="s">
        <v>22</v>
      </c>
    </row>
    <row r="7248" spans="1:11" x14ac:dyDescent="0.2">
      <c r="A7248" s="24" t="s">
        <v>16990</v>
      </c>
      <c r="B7248" s="24" t="s">
        <v>16991</v>
      </c>
      <c r="C7248" s="24" t="s">
        <v>16992</v>
      </c>
      <c r="D7248" s="24" t="s">
        <v>17</v>
      </c>
      <c r="E7248" s="24" t="s">
        <v>18</v>
      </c>
      <c r="F7248" s="24" t="s">
        <v>19</v>
      </c>
      <c r="G7248" s="24" t="s">
        <v>28</v>
      </c>
      <c r="H7248" s="26">
        <v>56</v>
      </c>
      <c r="I7248" s="24" t="s">
        <v>29</v>
      </c>
      <c r="J7248" s="36">
        <v>45911</v>
      </c>
      <c r="K7248" s="24" t="s">
        <v>22</v>
      </c>
    </row>
    <row r="7249" spans="1:11" x14ac:dyDescent="0.2">
      <c r="A7249" s="27" t="s">
        <v>16993</v>
      </c>
      <c r="B7249" s="27" t="s">
        <v>16994</v>
      </c>
      <c r="C7249" s="27" t="s">
        <v>3281</v>
      </c>
      <c r="D7249" s="27" t="s">
        <v>17</v>
      </c>
      <c r="E7249" s="27" t="s">
        <v>18</v>
      </c>
      <c r="F7249" s="27" t="s">
        <v>19</v>
      </c>
      <c r="G7249" s="27" t="s">
        <v>217</v>
      </c>
      <c r="H7249" s="29">
        <v>14</v>
      </c>
      <c r="I7249" s="27" t="s">
        <v>29</v>
      </c>
      <c r="J7249" s="37">
        <v>45915</v>
      </c>
      <c r="K7249" s="27" t="s">
        <v>22</v>
      </c>
    </row>
    <row r="7250" spans="1:11" x14ac:dyDescent="0.2">
      <c r="A7250" s="24" t="s">
        <v>16995</v>
      </c>
      <c r="B7250" s="24" t="s">
        <v>16996</v>
      </c>
      <c r="C7250" s="24" t="s">
        <v>512</v>
      </c>
      <c r="D7250" s="24" t="s">
        <v>17</v>
      </c>
      <c r="E7250" s="24" t="s">
        <v>18</v>
      </c>
      <c r="F7250" s="24" t="s">
        <v>19</v>
      </c>
      <c r="G7250" s="24" t="s">
        <v>28</v>
      </c>
      <c r="H7250" s="26">
        <v>90</v>
      </c>
      <c r="I7250" s="24" t="s">
        <v>29</v>
      </c>
      <c r="J7250" s="36">
        <v>45912</v>
      </c>
      <c r="K7250" s="24" t="s">
        <v>22</v>
      </c>
    </row>
    <row r="7251" spans="1:11" x14ac:dyDescent="0.2">
      <c r="A7251" s="27" t="s">
        <v>16997</v>
      </c>
      <c r="B7251" s="27" t="s">
        <v>16998</v>
      </c>
      <c r="C7251" s="27" t="s">
        <v>8496</v>
      </c>
      <c r="D7251" s="27" t="s">
        <v>17</v>
      </c>
      <c r="E7251" s="27" t="s">
        <v>163</v>
      </c>
      <c r="F7251" s="27" t="s">
        <v>164</v>
      </c>
      <c r="G7251" s="27" t="s">
        <v>28</v>
      </c>
      <c r="H7251" s="29">
        <v>6</v>
      </c>
      <c r="I7251" s="27" t="s">
        <v>29</v>
      </c>
      <c r="J7251" s="37">
        <v>45930</v>
      </c>
      <c r="K7251" s="27" t="s">
        <v>22</v>
      </c>
    </row>
    <row r="7252" spans="1:11" x14ac:dyDescent="0.2">
      <c r="A7252" s="24" t="s">
        <v>16999</v>
      </c>
      <c r="B7252" s="24" t="s">
        <v>17000</v>
      </c>
      <c r="C7252" s="24" t="s">
        <v>1523</v>
      </c>
      <c r="D7252" s="24" t="s">
        <v>17</v>
      </c>
      <c r="E7252" s="24" t="s">
        <v>48</v>
      </c>
      <c r="F7252" s="24" t="s">
        <v>49</v>
      </c>
      <c r="G7252" s="24" t="s">
        <v>217</v>
      </c>
      <c r="H7252" s="26">
        <v>106</v>
      </c>
      <c r="I7252" s="24" t="s">
        <v>29</v>
      </c>
      <c r="J7252" s="36">
        <v>45901</v>
      </c>
      <c r="K7252" s="24" t="s">
        <v>22</v>
      </c>
    </row>
    <row r="7253" spans="1:11" x14ac:dyDescent="0.2">
      <c r="A7253" s="27" t="s">
        <v>17001</v>
      </c>
      <c r="B7253" s="27" t="s">
        <v>17002</v>
      </c>
      <c r="C7253" s="27" t="s">
        <v>17003</v>
      </c>
      <c r="D7253" s="27" t="s">
        <v>17</v>
      </c>
      <c r="E7253" s="27" t="s">
        <v>48</v>
      </c>
      <c r="F7253" s="27" t="s">
        <v>49</v>
      </c>
      <c r="G7253" s="27" t="s">
        <v>28</v>
      </c>
      <c r="H7253" s="29">
        <v>40</v>
      </c>
      <c r="I7253" s="27" t="s">
        <v>29</v>
      </c>
      <c r="J7253" s="37">
        <v>45901</v>
      </c>
      <c r="K7253" s="27" t="s">
        <v>22</v>
      </c>
    </row>
    <row r="7254" spans="1:11" x14ac:dyDescent="0.2">
      <c r="A7254" s="24" t="s">
        <v>17004</v>
      </c>
      <c r="B7254" s="24" t="s">
        <v>17005</v>
      </c>
      <c r="C7254" s="24" t="s">
        <v>792</v>
      </c>
      <c r="D7254" s="24" t="s">
        <v>17</v>
      </c>
      <c r="E7254" s="24" t="s">
        <v>18</v>
      </c>
      <c r="F7254" s="24" t="s">
        <v>19</v>
      </c>
      <c r="G7254" s="24" t="s">
        <v>20</v>
      </c>
      <c r="H7254" s="26">
        <v>58</v>
      </c>
      <c r="I7254" s="24" t="s">
        <v>21</v>
      </c>
      <c r="J7254" s="36">
        <v>45929</v>
      </c>
      <c r="K7254" s="24" t="s">
        <v>22</v>
      </c>
    </row>
    <row r="7255" spans="1:11" x14ac:dyDescent="0.2">
      <c r="A7255" s="27" t="s">
        <v>17006</v>
      </c>
      <c r="B7255" s="27" t="s">
        <v>17007</v>
      </c>
      <c r="C7255" s="27" t="s">
        <v>12611</v>
      </c>
      <c r="D7255" s="27" t="s">
        <v>17</v>
      </c>
      <c r="E7255" s="27" t="s">
        <v>42</v>
      </c>
      <c r="F7255" s="27" t="s">
        <v>43</v>
      </c>
      <c r="G7255" s="27" t="s">
        <v>28</v>
      </c>
      <c r="H7255" s="29">
        <v>180</v>
      </c>
      <c r="I7255" s="27" t="s">
        <v>29</v>
      </c>
      <c r="J7255" s="37">
        <v>45916</v>
      </c>
      <c r="K7255" s="27" t="s">
        <v>22</v>
      </c>
    </row>
    <row r="7256" spans="1:11" x14ac:dyDescent="0.2">
      <c r="A7256" s="24" t="s">
        <v>17008</v>
      </c>
      <c r="B7256" s="24" t="s">
        <v>17009</v>
      </c>
      <c r="C7256" s="24" t="s">
        <v>17010</v>
      </c>
      <c r="D7256" s="24" t="s">
        <v>17</v>
      </c>
      <c r="E7256" s="24" t="s">
        <v>18</v>
      </c>
      <c r="F7256" s="24" t="s">
        <v>19</v>
      </c>
      <c r="G7256" s="24" t="s">
        <v>28</v>
      </c>
      <c r="H7256" s="26">
        <v>72</v>
      </c>
      <c r="I7256" s="24" t="s">
        <v>29</v>
      </c>
      <c r="J7256" s="36">
        <v>45901</v>
      </c>
      <c r="K7256" s="24" t="s">
        <v>22</v>
      </c>
    </row>
    <row r="7257" spans="1:11" x14ac:dyDescent="0.2">
      <c r="A7257" s="27" t="s">
        <v>17011</v>
      </c>
      <c r="B7257" s="27" t="s">
        <v>17012</v>
      </c>
      <c r="C7257" s="27" t="s">
        <v>17013</v>
      </c>
      <c r="D7257" s="27" t="s">
        <v>17</v>
      </c>
      <c r="E7257" s="27" t="s">
        <v>26</v>
      </c>
      <c r="F7257" s="27" t="s">
        <v>27</v>
      </c>
      <c r="G7257" s="27" t="s">
        <v>217</v>
      </c>
      <c r="H7257" s="29">
        <v>110</v>
      </c>
      <c r="I7257" s="27" t="s">
        <v>29</v>
      </c>
      <c r="J7257" s="37">
        <v>45901</v>
      </c>
      <c r="K7257" s="27" t="s">
        <v>22</v>
      </c>
    </row>
    <row r="7258" spans="1:11" x14ac:dyDescent="0.2">
      <c r="A7258" s="24" t="s">
        <v>17014</v>
      </c>
      <c r="B7258" s="24" t="s">
        <v>17015</v>
      </c>
      <c r="C7258" s="24" t="s">
        <v>11266</v>
      </c>
      <c r="D7258" s="24" t="s">
        <v>17</v>
      </c>
      <c r="E7258" s="24" t="s">
        <v>18</v>
      </c>
      <c r="F7258" s="24" t="s">
        <v>19</v>
      </c>
      <c r="G7258" s="24" t="s">
        <v>28</v>
      </c>
      <c r="H7258" s="26">
        <v>68</v>
      </c>
      <c r="I7258" s="24" t="s">
        <v>29</v>
      </c>
      <c r="J7258" s="36">
        <v>45905</v>
      </c>
      <c r="K7258" s="24" t="s">
        <v>22</v>
      </c>
    </row>
    <row r="7259" spans="1:11" x14ac:dyDescent="0.2">
      <c r="A7259" s="27" t="s">
        <v>17016</v>
      </c>
      <c r="B7259" s="27" t="s">
        <v>17017</v>
      </c>
      <c r="C7259" s="27" t="s">
        <v>1737</v>
      </c>
      <c r="D7259" s="27" t="s">
        <v>17</v>
      </c>
      <c r="E7259" s="27" t="s">
        <v>48</v>
      </c>
      <c r="F7259" s="27" t="s">
        <v>49</v>
      </c>
      <c r="G7259" s="27" t="s">
        <v>217</v>
      </c>
      <c r="H7259" s="29">
        <v>60</v>
      </c>
      <c r="I7259" s="27" t="s">
        <v>29</v>
      </c>
      <c r="J7259" s="37">
        <v>45901</v>
      </c>
      <c r="K7259" s="27" t="s">
        <v>22</v>
      </c>
    </row>
    <row r="7260" spans="1:11" x14ac:dyDescent="0.2">
      <c r="A7260" s="24" t="s">
        <v>17018</v>
      </c>
      <c r="B7260" s="24" t="s">
        <v>17019</v>
      </c>
      <c r="C7260" s="24" t="s">
        <v>17020</v>
      </c>
      <c r="D7260" s="24" t="s">
        <v>17</v>
      </c>
      <c r="E7260" s="24" t="s">
        <v>33</v>
      </c>
      <c r="F7260" s="24" t="s">
        <v>34</v>
      </c>
      <c r="G7260" s="24" t="s">
        <v>217</v>
      </c>
      <c r="H7260" s="26">
        <v>200</v>
      </c>
      <c r="I7260" s="24" t="s">
        <v>29</v>
      </c>
      <c r="J7260" s="36">
        <v>45901</v>
      </c>
      <c r="K7260" s="24" t="s">
        <v>22</v>
      </c>
    </row>
    <row r="7261" spans="1:11" x14ac:dyDescent="0.2">
      <c r="A7261" s="27" t="s">
        <v>17021</v>
      </c>
      <c r="B7261" s="27" t="s">
        <v>17022</v>
      </c>
      <c r="C7261" s="27" t="s">
        <v>12611</v>
      </c>
      <c r="D7261" s="27" t="s">
        <v>17</v>
      </c>
      <c r="E7261" s="27" t="s">
        <v>33</v>
      </c>
      <c r="F7261" s="27" t="s">
        <v>34</v>
      </c>
      <c r="G7261" s="27" t="s">
        <v>28</v>
      </c>
      <c r="H7261" s="29">
        <v>315</v>
      </c>
      <c r="I7261" s="27" t="s">
        <v>29</v>
      </c>
      <c r="J7261" s="37">
        <v>45903</v>
      </c>
      <c r="K7261" s="27" t="s">
        <v>22</v>
      </c>
    </row>
    <row r="7262" spans="1:11" x14ac:dyDescent="0.2">
      <c r="A7262" s="24" t="s">
        <v>17023</v>
      </c>
      <c r="B7262" s="24" t="s">
        <v>17024</v>
      </c>
      <c r="C7262" s="24" t="s">
        <v>11081</v>
      </c>
      <c r="D7262" s="24" t="s">
        <v>17</v>
      </c>
      <c r="E7262" s="24" t="s">
        <v>48</v>
      </c>
      <c r="F7262" s="24" t="s">
        <v>49</v>
      </c>
      <c r="G7262" s="24" t="s">
        <v>217</v>
      </c>
      <c r="H7262" s="26">
        <v>180</v>
      </c>
      <c r="I7262" s="24" t="s">
        <v>29</v>
      </c>
      <c r="J7262" s="36">
        <v>45901</v>
      </c>
      <c r="K7262" s="24" t="s">
        <v>22</v>
      </c>
    </row>
    <row r="7263" spans="1:11" x14ac:dyDescent="0.2">
      <c r="A7263" s="27" t="s">
        <v>17025</v>
      </c>
      <c r="B7263" s="27" t="s">
        <v>17026</v>
      </c>
      <c r="C7263" s="27" t="s">
        <v>11422</v>
      </c>
      <c r="D7263" s="27" t="s">
        <v>17</v>
      </c>
      <c r="E7263" s="27" t="s">
        <v>48</v>
      </c>
      <c r="F7263" s="27" t="s">
        <v>49</v>
      </c>
      <c r="G7263" s="27" t="s">
        <v>28</v>
      </c>
      <c r="H7263" s="29">
        <v>180</v>
      </c>
      <c r="I7263" s="27" t="s">
        <v>29</v>
      </c>
      <c r="J7263" s="37">
        <v>45901</v>
      </c>
      <c r="K7263" s="27" t="s">
        <v>22</v>
      </c>
    </row>
    <row r="7264" spans="1:11" x14ac:dyDescent="0.2">
      <c r="A7264" s="24" t="s">
        <v>17027</v>
      </c>
      <c r="B7264" s="24" t="s">
        <v>17028</v>
      </c>
      <c r="C7264" s="24" t="s">
        <v>71</v>
      </c>
      <c r="D7264" s="24" t="s">
        <v>17</v>
      </c>
      <c r="E7264" s="24" t="s">
        <v>48</v>
      </c>
      <c r="F7264" s="24" t="s">
        <v>49</v>
      </c>
      <c r="G7264" s="24" t="s">
        <v>28</v>
      </c>
      <c r="H7264" s="26">
        <v>160</v>
      </c>
      <c r="I7264" s="24" t="s">
        <v>29</v>
      </c>
      <c r="J7264" s="36">
        <v>45912</v>
      </c>
      <c r="K7264" s="24" t="s">
        <v>22</v>
      </c>
    </row>
    <row r="7265" spans="1:11" x14ac:dyDescent="0.2">
      <c r="A7265" s="27" t="s">
        <v>17029</v>
      </c>
      <c r="B7265" s="27" t="s">
        <v>17030</v>
      </c>
      <c r="C7265" s="27" t="s">
        <v>1737</v>
      </c>
      <c r="D7265" s="27" t="s">
        <v>17</v>
      </c>
      <c r="E7265" s="27" t="s">
        <v>26</v>
      </c>
      <c r="F7265" s="27" t="s">
        <v>27</v>
      </c>
      <c r="G7265" s="27" t="s">
        <v>28</v>
      </c>
      <c r="H7265" s="29">
        <v>350</v>
      </c>
      <c r="I7265" s="27" t="s">
        <v>29</v>
      </c>
      <c r="J7265" s="37">
        <v>45923</v>
      </c>
      <c r="K7265" s="27" t="s">
        <v>22</v>
      </c>
    </row>
    <row r="7266" spans="1:11" x14ac:dyDescent="0.2">
      <c r="A7266" s="24" t="s">
        <v>17031</v>
      </c>
      <c r="B7266" s="24" t="s">
        <v>17032</v>
      </c>
      <c r="C7266" s="24" t="s">
        <v>17033</v>
      </c>
      <c r="D7266" s="24" t="s">
        <v>17</v>
      </c>
      <c r="E7266" s="24" t="s">
        <v>18</v>
      </c>
      <c r="F7266" s="24" t="s">
        <v>19</v>
      </c>
      <c r="G7266" s="24" t="s">
        <v>20</v>
      </c>
      <c r="H7266" s="26">
        <v>56</v>
      </c>
      <c r="I7266" s="24" t="s">
        <v>21</v>
      </c>
      <c r="J7266" s="36">
        <v>45908</v>
      </c>
      <c r="K7266" s="24" t="s">
        <v>22</v>
      </c>
    </row>
    <row r="7267" spans="1:11" x14ac:dyDescent="0.2">
      <c r="A7267" s="27" t="s">
        <v>17034</v>
      </c>
      <c r="B7267" s="27" t="s">
        <v>17035</v>
      </c>
      <c r="C7267" s="27" t="s">
        <v>11878</v>
      </c>
      <c r="D7267" s="27" t="s">
        <v>17</v>
      </c>
      <c r="E7267" s="27" t="s">
        <v>42</v>
      </c>
      <c r="F7267" s="27" t="s">
        <v>43</v>
      </c>
      <c r="G7267" s="27" t="s">
        <v>217</v>
      </c>
      <c r="H7267" s="29">
        <v>207</v>
      </c>
      <c r="I7267" s="27" t="s">
        <v>29</v>
      </c>
      <c r="J7267" s="37">
        <v>45923</v>
      </c>
      <c r="K7267" s="27" t="s">
        <v>22</v>
      </c>
    </row>
    <row r="7268" spans="1:11" x14ac:dyDescent="0.2">
      <c r="A7268" s="24" t="s">
        <v>17036</v>
      </c>
      <c r="B7268" s="24" t="s">
        <v>17037</v>
      </c>
      <c r="C7268" s="24" t="s">
        <v>1678</v>
      </c>
      <c r="D7268" s="24" t="s">
        <v>17</v>
      </c>
      <c r="E7268" s="24" t="s">
        <v>48</v>
      </c>
      <c r="F7268" s="24" t="s">
        <v>49</v>
      </c>
      <c r="G7268" s="24" t="s">
        <v>28</v>
      </c>
      <c r="H7268" s="26">
        <v>60</v>
      </c>
      <c r="I7268" s="24" t="s">
        <v>29</v>
      </c>
      <c r="J7268" s="36">
        <v>45923</v>
      </c>
      <c r="K7268" s="24" t="s">
        <v>22</v>
      </c>
    </row>
    <row r="7269" spans="1:11" x14ac:dyDescent="0.2">
      <c r="A7269" s="27" t="s">
        <v>17038</v>
      </c>
      <c r="B7269" s="27" t="s">
        <v>17039</v>
      </c>
      <c r="C7269" s="27" t="s">
        <v>17040</v>
      </c>
      <c r="D7269" s="27" t="s">
        <v>17</v>
      </c>
      <c r="E7269" s="27" t="s">
        <v>42</v>
      </c>
      <c r="F7269" s="27" t="s">
        <v>43</v>
      </c>
      <c r="G7269" s="27" t="s">
        <v>28</v>
      </c>
      <c r="H7269" s="29">
        <v>520</v>
      </c>
      <c r="I7269" s="27" t="s">
        <v>29</v>
      </c>
      <c r="J7269" s="37">
        <v>45924</v>
      </c>
      <c r="K7269" s="27" t="s">
        <v>22</v>
      </c>
    </row>
    <row r="7270" spans="1:11" x14ac:dyDescent="0.2">
      <c r="A7270" s="24" t="s">
        <v>17041</v>
      </c>
      <c r="B7270" s="24" t="s">
        <v>17042</v>
      </c>
      <c r="C7270" s="24" t="s">
        <v>3539</v>
      </c>
      <c r="D7270" s="24" t="s">
        <v>17</v>
      </c>
      <c r="E7270" s="24" t="s">
        <v>81</v>
      </c>
      <c r="F7270" s="24" t="s">
        <v>82</v>
      </c>
      <c r="G7270" s="24" t="s">
        <v>217</v>
      </c>
      <c r="H7270" s="26">
        <v>9588</v>
      </c>
      <c r="I7270" s="24" t="s">
        <v>29</v>
      </c>
      <c r="J7270" s="36">
        <v>45901</v>
      </c>
      <c r="K7270" s="24" t="s">
        <v>22</v>
      </c>
    </row>
    <row r="7271" spans="1:11" x14ac:dyDescent="0.2">
      <c r="A7271" s="27" t="s">
        <v>17043</v>
      </c>
      <c r="B7271" s="27" t="s">
        <v>17044</v>
      </c>
      <c r="C7271" s="27" t="s">
        <v>208</v>
      </c>
      <c r="D7271" s="27" t="s">
        <v>17</v>
      </c>
      <c r="E7271" s="27" t="s">
        <v>81</v>
      </c>
      <c r="F7271" s="27" t="s">
        <v>82</v>
      </c>
      <c r="G7271" s="27" t="s">
        <v>28</v>
      </c>
      <c r="H7271" s="29">
        <v>35</v>
      </c>
      <c r="I7271" s="27" t="s">
        <v>29</v>
      </c>
      <c r="J7271" s="37">
        <v>45923</v>
      </c>
      <c r="K7271" s="27" t="s">
        <v>22</v>
      </c>
    </row>
    <row r="7272" spans="1:11" x14ac:dyDescent="0.2">
      <c r="A7272" s="24" t="s">
        <v>17045</v>
      </c>
      <c r="B7272" s="24" t="s">
        <v>17046</v>
      </c>
      <c r="C7272" s="24" t="s">
        <v>12358</v>
      </c>
      <c r="D7272" s="24" t="s">
        <v>17</v>
      </c>
      <c r="E7272" s="24" t="s">
        <v>163</v>
      </c>
      <c r="F7272" s="24" t="s">
        <v>164</v>
      </c>
      <c r="G7272" s="24" t="s">
        <v>44</v>
      </c>
      <c r="H7272" s="26">
        <v>20</v>
      </c>
      <c r="I7272" s="24" t="s">
        <v>29</v>
      </c>
      <c r="J7272" s="36">
        <v>45912</v>
      </c>
      <c r="K7272" s="24" t="s">
        <v>22</v>
      </c>
    </row>
    <row r="7273" spans="1:11" x14ac:dyDescent="0.2">
      <c r="A7273" s="27" t="s">
        <v>17047</v>
      </c>
      <c r="B7273" s="27" t="s">
        <v>17048</v>
      </c>
      <c r="C7273" s="27" t="s">
        <v>3141</v>
      </c>
      <c r="D7273" s="27" t="s">
        <v>17</v>
      </c>
      <c r="E7273" s="27" t="s">
        <v>163</v>
      </c>
      <c r="F7273" s="27" t="s">
        <v>164</v>
      </c>
      <c r="G7273" s="27" t="s">
        <v>28</v>
      </c>
      <c r="H7273" s="29">
        <v>28</v>
      </c>
      <c r="I7273" s="27" t="s">
        <v>29</v>
      </c>
      <c r="J7273" s="37">
        <v>45926</v>
      </c>
      <c r="K7273" s="27" t="s">
        <v>22</v>
      </c>
    </row>
    <row r="7274" spans="1:11" x14ac:dyDescent="0.2">
      <c r="A7274" s="24" t="s">
        <v>17049</v>
      </c>
      <c r="B7274" s="24" t="s">
        <v>17050</v>
      </c>
      <c r="C7274" s="24" t="s">
        <v>17051</v>
      </c>
      <c r="D7274" s="24" t="s">
        <v>17</v>
      </c>
      <c r="E7274" s="24" t="s">
        <v>18</v>
      </c>
      <c r="F7274" s="24" t="s">
        <v>19</v>
      </c>
      <c r="G7274" s="24" t="s">
        <v>28</v>
      </c>
      <c r="H7274" s="26">
        <v>32</v>
      </c>
      <c r="I7274" s="24" t="s">
        <v>29</v>
      </c>
      <c r="J7274" s="36">
        <v>45910</v>
      </c>
      <c r="K7274" s="24" t="s">
        <v>22</v>
      </c>
    </row>
    <row r="7275" spans="1:11" x14ac:dyDescent="0.2">
      <c r="A7275" s="27" t="s">
        <v>17052</v>
      </c>
      <c r="B7275" s="27" t="s">
        <v>17053</v>
      </c>
      <c r="C7275" s="27" t="s">
        <v>500</v>
      </c>
      <c r="D7275" s="27" t="s">
        <v>17</v>
      </c>
      <c r="E7275" s="27" t="s">
        <v>18</v>
      </c>
      <c r="F7275" s="27" t="s">
        <v>19</v>
      </c>
      <c r="G7275" s="27" t="s">
        <v>20</v>
      </c>
      <c r="H7275" s="29">
        <v>28</v>
      </c>
      <c r="I7275" s="27" t="s">
        <v>21</v>
      </c>
      <c r="J7275" s="37">
        <v>45921</v>
      </c>
      <c r="K7275" s="27" t="s">
        <v>22</v>
      </c>
    </row>
    <row r="7276" spans="1:11" x14ac:dyDescent="0.2">
      <c r="A7276" s="24" t="s">
        <v>17054</v>
      </c>
      <c r="B7276" s="24" t="s">
        <v>17055</v>
      </c>
      <c r="C7276" s="24" t="s">
        <v>17056</v>
      </c>
      <c r="D7276" s="24" t="s">
        <v>17</v>
      </c>
      <c r="E7276" s="24" t="s">
        <v>48</v>
      </c>
      <c r="F7276" s="24" t="s">
        <v>49</v>
      </c>
      <c r="G7276" s="24" t="s">
        <v>28</v>
      </c>
      <c r="H7276" s="26">
        <v>24</v>
      </c>
      <c r="I7276" s="24" t="s">
        <v>29</v>
      </c>
      <c r="J7276" s="36">
        <v>45910</v>
      </c>
      <c r="K7276" s="24" t="s">
        <v>22</v>
      </c>
    </row>
    <row r="7277" spans="1:11" x14ac:dyDescent="0.2">
      <c r="A7277" s="27" t="s">
        <v>17057</v>
      </c>
      <c r="B7277" s="27" t="s">
        <v>17058</v>
      </c>
      <c r="C7277" s="27" t="s">
        <v>5103</v>
      </c>
      <c r="D7277" s="27" t="s">
        <v>17</v>
      </c>
      <c r="E7277" s="27" t="s">
        <v>48</v>
      </c>
      <c r="F7277" s="27" t="s">
        <v>49</v>
      </c>
      <c r="G7277" s="27" t="s">
        <v>217</v>
      </c>
      <c r="H7277" s="29">
        <v>200</v>
      </c>
      <c r="I7277" s="27" t="s">
        <v>29</v>
      </c>
      <c r="J7277" s="37">
        <v>45901</v>
      </c>
      <c r="K7277" s="27" t="s">
        <v>22</v>
      </c>
    </row>
    <row r="7278" spans="1:11" x14ac:dyDescent="0.2">
      <c r="A7278" s="24" t="s">
        <v>17059</v>
      </c>
      <c r="B7278" s="24" t="s">
        <v>17060</v>
      </c>
      <c r="C7278" s="24" t="s">
        <v>844</v>
      </c>
      <c r="D7278" s="24" t="s">
        <v>17</v>
      </c>
      <c r="E7278" s="24" t="s">
        <v>48</v>
      </c>
      <c r="F7278" s="24" t="s">
        <v>49</v>
      </c>
      <c r="G7278" s="24" t="s">
        <v>217</v>
      </c>
      <c r="H7278" s="26">
        <v>40</v>
      </c>
      <c r="I7278" s="24" t="s">
        <v>29</v>
      </c>
      <c r="J7278" s="36">
        <v>45926</v>
      </c>
      <c r="K7278" s="24" t="s">
        <v>22</v>
      </c>
    </row>
    <row r="7279" spans="1:11" x14ac:dyDescent="0.2">
      <c r="A7279" s="27" t="s">
        <v>17061</v>
      </c>
      <c r="B7279" s="27" t="s">
        <v>17062</v>
      </c>
      <c r="C7279" s="27" t="s">
        <v>2779</v>
      </c>
      <c r="D7279" s="27" t="s">
        <v>17</v>
      </c>
      <c r="E7279" s="27" t="s">
        <v>42</v>
      </c>
      <c r="F7279" s="27" t="s">
        <v>43</v>
      </c>
      <c r="G7279" s="27" t="s">
        <v>28</v>
      </c>
      <c r="H7279" s="29">
        <v>500</v>
      </c>
      <c r="I7279" s="27" t="s">
        <v>29</v>
      </c>
      <c r="J7279" s="37">
        <v>45904</v>
      </c>
      <c r="K7279" s="27" t="s">
        <v>22</v>
      </c>
    </row>
    <row r="7280" spans="1:11" x14ac:dyDescent="0.2">
      <c r="A7280" s="24" t="s">
        <v>17063</v>
      </c>
      <c r="B7280" s="24" t="s">
        <v>17064</v>
      </c>
      <c r="C7280" s="24" t="s">
        <v>3713</v>
      </c>
      <c r="D7280" s="24" t="s">
        <v>17</v>
      </c>
      <c r="E7280" s="24" t="s">
        <v>18</v>
      </c>
      <c r="F7280" s="24" t="s">
        <v>19</v>
      </c>
      <c r="G7280" s="24" t="s">
        <v>20</v>
      </c>
      <c r="H7280" s="26">
        <v>16</v>
      </c>
      <c r="I7280" s="24" t="s">
        <v>21</v>
      </c>
      <c r="J7280" s="36">
        <v>45915</v>
      </c>
      <c r="K7280" s="24" t="s">
        <v>22</v>
      </c>
    </row>
    <row r="7281" spans="1:11" x14ac:dyDescent="0.2">
      <c r="A7281" s="27" t="s">
        <v>17065</v>
      </c>
      <c r="B7281" s="27" t="s">
        <v>17066</v>
      </c>
      <c r="C7281" s="27" t="s">
        <v>382</v>
      </c>
      <c r="D7281" s="27" t="s">
        <v>17</v>
      </c>
      <c r="E7281" s="27" t="s">
        <v>18</v>
      </c>
      <c r="F7281" s="27" t="s">
        <v>19</v>
      </c>
      <c r="G7281" s="27" t="s">
        <v>28</v>
      </c>
      <c r="H7281" s="29">
        <v>125</v>
      </c>
      <c r="I7281" s="27" t="s">
        <v>29</v>
      </c>
      <c r="J7281" s="37">
        <v>45904</v>
      </c>
      <c r="K7281" s="27" t="s">
        <v>22</v>
      </c>
    </row>
    <row r="7282" spans="1:11" x14ac:dyDescent="0.2">
      <c r="A7282" s="24" t="s">
        <v>17067</v>
      </c>
      <c r="B7282" s="24" t="s">
        <v>17068</v>
      </c>
      <c r="C7282" s="24" t="s">
        <v>7989</v>
      </c>
      <c r="D7282" s="24" t="s">
        <v>17</v>
      </c>
      <c r="E7282" s="24" t="s">
        <v>18</v>
      </c>
      <c r="F7282" s="24" t="s">
        <v>19</v>
      </c>
      <c r="G7282" s="24" t="s">
        <v>217</v>
      </c>
      <c r="H7282" s="26">
        <v>40</v>
      </c>
      <c r="I7282" s="24" t="s">
        <v>29</v>
      </c>
      <c r="J7282" s="36">
        <v>45901</v>
      </c>
      <c r="K7282" s="24" t="s">
        <v>22</v>
      </c>
    </row>
    <row r="7283" spans="1:11" x14ac:dyDescent="0.2">
      <c r="A7283" s="27" t="s">
        <v>17069</v>
      </c>
      <c r="B7283" s="27" t="s">
        <v>11575</v>
      </c>
      <c r="C7283" s="27" t="s">
        <v>3604</v>
      </c>
      <c r="D7283" s="27" t="s">
        <v>17</v>
      </c>
      <c r="E7283" s="27" t="s">
        <v>18</v>
      </c>
      <c r="F7283" s="27" t="s">
        <v>19</v>
      </c>
      <c r="G7283" s="27" t="s">
        <v>20</v>
      </c>
      <c r="H7283" s="29">
        <v>40</v>
      </c>
      <c r="I7283" s="27" t="s">
        <v>21</v>
      </c>
      <c r="J7283" s="37">
        <v>45910</v>
      </c>
      <c r="K7283" s="27" t="s">
        <v>22</v>
      </c>
    </row>
    <row r="7284" spans="1:11" x14ac:dyDescent="0.2">
      <c r="A7284" s="24" t="s">
        <v>17070</v>
      </c>
      <c r="B7284" s="24" t="s">
        <v>17071</v>
      </c>
      <c r="C7284" s="24" t="s">
        <v>97</v>
      </c>
      <c r="D7284" s="24" t="s">
        <v>17</v>
      </c>
      <c r="E7284" s="24" t="s">
        <v>48</v>
      </c>
      <c r="F7284" s="24" t="s">
        <v>49</v>
      </c>
      <c r="G7284" s="24" t="s">
        <v>28</v>
      </c>
      <c r="H7284" s="26">
        <v>55</v>
      </c>
      <c r="I7284" s="24" t="s">
        <v>29</v>
      </c>
      <c r="J7284" s="36">
        <v>45905</v>
      </c>
      <c r="K7284" s="24" t="s">
        <v>22</v>
      </c>
    </row>
    <row r="7285" spans="1:11" x14ac:dyDescent="0.2">
      <c r="A7285" s="27" t="s">
        <v>17072</v>
      </c>
      <c r="B7285" s="27" t="s">
        <v>17073</v>
      </c>
      <c r="C7285" s="27" t="s">
        <v>1008</v>
      </c>
      <c r="D7285" s="27" t="s">
        <v>17</v>
      </c>
      <c r="E7285" s="27" t="s">
        <v>42</v>
      </c>
      <c r="F7285" s="27" t="s">
        <v>43</v>
      </c>
      <c r="G7285" s="27" t="s">
        <v>28</v>
      </c>
      <c r="H7285" s="29">
        <v>424</v>
      </c>
      <c r="I7285" s="27" t="s">
        <v>29</v>
      </c>
      <c r="J7285" s="37">
        <v>45930</v>
      </c>
      <c r="K7285" s="27" t="s">
        <v>22</v>
      </c>
    </row>
    <row r="7286" spans="1:11" x14ac:dyDescent="0.2">
      <c r="A7286" s="24" t="s">
        <v>17074</v>
      </c>
      <c r="B7286" s="24" t="s">
        <v>17075</v>
      </c>
      <c r="C7286" s="24" t="s">
        <v>7365</v>
      </c>
      <c r="D7286" s="24" t="s">
        <v>17</v>
      </c>
      <c r="E7286" s="24" t="s">
        <v>18</v>
      </c>
      <c r="F7286" s="24" t="s">
        <v>19</v>
      </c>
      <c r="G7286" s="24" t="s">
        <v>217</v>
      </c>
      <c r="H7286" s="26">
        <v>75</v>
      </c>
      <c r="I7286" s="24" t="s">
        <v>29</v>
      </c>
      <c r="J7286" s="36">
        <v>45901</v>
      </c>
      <c r="K7286" s="24" t="s">
        <v>22</v>
      </c>
    </row>
    <row r="7287" spans="1:11" x14ac:dyDescent="0.2">
      <c r="A7287" s="27" t="s">
        <v>17076</v>
      </c>
      <c r="B7287" s="27" t="s">
        <v>17077</v>
      </c>
      <c r="C7287" s="27" t="s">
        <v>17078</v>
      </c>
      <c r="D7287" s="27" t="s">
        <v>17</v>
      </c>
      <c r="E7287" s="27" t="s">
        <v>48</v>
      </c>
      <c r="F7287" s="27" t="s">
        <v>49</v>
      </c>
      <c r="G7287" s="27" t="s">
        <v>28</v>
      </c>
      <c r="H7287" s="29">
        <v>102</v>
      </c>
      <c r="I7287" s="27" t="s">
        <v>29</v>
      </c>
      <c r="J7287" s="37">
        <v>45912</v>
      </c>
      <c r="K7287" s="27" t="s">
        <v>22</v>
      </c>
    </row>
    <row r="7288" spans="1:11" x14ac:dyDescent="0.2">
      <c r="A7288" s="24" t="s">
        <v>17079</v>
      </c>
      <c r="B7288" s="24" t="s">
        <v>17080</v>
      </c>
      <c r="C7288" s="24" t="s">
        <v>17081</v>
      </c>
      <c r="D7288" s="24" t="s">
        <v>17</v>
      </c>
      <c r="E7288" s="24" t="s">
        <v>33</v>
      </c>
      <c r="F7288" s="24" t="s">
        <v>34</v>
      </c>
      <c r="G7288" s="24" t="s">
        <v>217</v>
      </c>
      <c r="H7288" s="26">
        <v>30</v>
      </c>
      <c r="I7288" s="24" t="s">
        <v>29</v>
      </c>
      <c r="J7288" s="36">
        <v>45902</v>
      </c>
      <c r="K7288" s="24" t="s">
        <v>22</v>
      </c>
    </row>
    <row r="7289" spans="1:11" x14ac:dyDescent="0.2">
      <c r="A7289" s="27" t="s">
        <v>17082</v>
      </c>
      <c r="B7289" s="27" t="s">
        <v>17083</v>
      </c>
      <c r="C7289" s="27" t="s">
        <v>17084</v>
      </c>
      <c r="D7289" s="27" t="s">
        <v>17</v>
      </c>
      <c r="E7289" s="27" t="s">
        <v>163</v>
      </c>
      <c r="F7289" s="27" t="s">
        <v>164</v>
      </c>
      <c r="G7289" s="27" t="s">
        <v>217</v>
      </c>
      <c r="H7289" s="29">
        <v>46</v>
      </c>
      <c r="I7289" s="27" t="s">
        <v>29</v>
      </c>
      <c r="J7289" s="37">
        <v>45915</v>
      </c>
      <c r="K7289" s="27" t="s">
        <v>22</v>
      </c>
    </row>
    <row r="7290" spans="1:11" x14ac:dyDescent="0.2">
      <c r="A7290" s="24" t="s">
        <v>17085</v>
      </c>
      <c r="B7290" s="24" t="s">
        <v>17086</v>
      </c>
      <c r="C7290" s="24" t="s">
        <v>6501</v>
      </c>
      <c r="D7290" s="24" t="s">
        <v>17</v>
      </c>
      <c r="E7290" s="24" t="s">
        <v>18</v>
      </c>
      <c r="F7290" s="24" t="s">
        <v>19</v>
      </c>
      <c r="G7290" s="24" t="s">
        <v>28</v>
      </c>
      <c r="H7290" s="26">
        <v>8</v>
      </c>
      <c r="I7290" s="24" t="s">
        <v>29</v>
      </c>
      <c r="J7290" s="36">
        <v>45929</v>
      </c>
      <c r="K7290" s="24" t="s">
        <v>22</v>
      </c>
    </row>
    <row r="7291" spans="1:11" x14ac:dyDescent="0.2">
      <c r="A7291" s="27" t="s">
        <v>17087</v>
      </c>
      <c r="B7291" s="27" t="s">
        <v>17088</v>
      </c>
      <c r="C7291" s="27" t="s">
        <v>1663</v>
      </c>
      <c r="D7291" s="27" t="s">
        <v>17</v>
      </c>
      <c r="E7291" s="27" t="s">
        <v>48</v>
      </c>
      <c r="F7291" s="27" t="s">
        <v>49</v>
      </c>
      <c r="G7291" s="27" t="s">
        <v>28</v>
      </c>
      <c r="H7291" s="29">
        <v>60</v>
      </c>
      <c r="I7291" s="27" t="s">
        <v>29</v>
      </c>
      <c r="J7291" s="37">
        <v>45915</v>
      </c>
      <c r="K7291" s="27" t="s">
        <v>22</v>
      </c>
    </row>
    <row r="7292" spans="1:11" x14ac:dyDescent="0.2">
      <c r="A7292" s="24" t="s">
        <v>17089</v>
      </c>
      <c r="B7292" s="24" t="s">
        <v>17090</v>
      </c>
      <c r="C7292" s="24" t="s">
        <v>921</v>
      </c>
      <c r="D7292" s="24" t="s">
        <v>17</v>
      </c>
      <c r="E7292" s="24" t="s">
        <v>42</v>
      </c>
      <c r="F7292" s="24" t="s">
        <v>43</v>
      </c>
      <c r="G7292" s="24" t="s">
        <v>28</v>
      </c>
      <c r="H7292" s="26">
        <v>544</v>
      </c>
      <c r="I7292" s="24" t="s">
        <v>29</v>
      </c>
      <c r="J7292" s="36">
        <v>45915</v>
      </c>
      <c r="K7292" s="24" t="s">
        <v>22</v>
      </c>
    </row>
    <row r="7293" spans="1:11" x14ac:dyDescent="0.2">
      <c r="A7293" s="27" t="s">
        <v>17091</v>
      </c>
      <c r="B7293" s="27" t="s">
        <v>17092</v>
      </c>
      <c r="C7293" s="27" t="s">
        <v>208</v>
      </c>
      <c r="D7293" s="27" t="s">
        <v>17</v>
      </c>
      <c r="E7293" s="27" t="s">
        <v>42</v>
      </c>
      <c r="F7293" s="27" t="s">
        <v>43</v>
      </c>
      <c r="G7293" s="27" t="s">
        <v>28</v>
      </c>
      <c r="H7293" s="29">
        <v>1602</v>
      </c>
      <c r="I7293" s="27" t="s">
        <v>29</v>
      </c>
      <c r="J7293" s="37">
        <v>45926</v>
      </c>
      <c r="K7293" s="27" t="s">
        <v>22</v>
      </c>
    </row>
    <row r="7294" spans="1:11" x14ac:dyDescent="0.2">
      <c r="A7294" s="24" t="s">
        <v>17093</v>
      </c>
      <c r="B7294" s="24" t="s">
        <v>17094</v>
      </c>
      <c r="C7294" s="24" t="s">
        <v>71</v>
      </c>
      <c r="D7294" s="24" t="s">
        <v>17</v>
      </c>
      <c r="E7294" s="24" t="s">
        <v>48</v>
      </c>
      <c r="F7294" s="24" t="s">
        <v>49</v>
      </c>
      <c r="G7294" s="24" t="s">
        <v>217</v>
      </c>
      <c r="H7294" s="26">
        <v>120</v>
      </c>
      <c r="I7294" s="24" t="s">
        <v>29</v>
      </c>
      <c r="J7294" s="36">
        <v>45901</v>
      </c>
      <c r="K7294" s="24" t="s">
        <v>22</v>
      </c>
    </row>
    <row r="7295" spans="1:11" x14ac:dyDescent="0.2">
      <c r="A7295" s="27" t="s">
        <v>17095</v>
      </c>
      <c r="B7295" s="27" t="s">
        <v>17096</v>
      </c>
      <c r="C7295" s="27" t="s">
        <v>8646</v>
      </c>
      <c r="D7295" s="27" t="s">
        <v>17</v>
      </c>
      <c r="E7295" s="27" t="s">
        <v>48</v>
      </c>
      <c r="F7295" s="27" t="s">
        <v>49</v>
      </c>
      <c r="G7295" s="27" t="s">
        <v>28</v>
      </c>
      <c r="H7295" s="29">
        <v>80</v>
      </c>
      <c r="I7295" s="27" t="s">
        <v>29</v>
      </c>
      <c r="J7295" s="37">
        <v>45917</v>
      </c>
      <c r="K7295" s="27" t="s">
        <v>22</v>
      </c>
    </row>
    <row r="7296" spans="1:11" x14ac:dyDescent="0.2">
      <c r="A7296" s="24" t="s">
        <v>17097</v>
      </c>
      <c r="B7296" s="24" t="s">
        <v>17098</v>
      </c>
      <c r="C7296" s="24" t="s">
        <v>4948</v>
      </c>
      <c r="D7296" s="24" t="s">
        <v>17</v>
      </c>
      <c r="E7296" s="24" t="s">
        <v>48</v>
      </c>
      <c r="F7296" s="24" t="s">
        <v>49</v>
      </c>
      <c r="G7296" s="24" t="s">
        <v>28</v>
      </c>
      <c r="H7296" s="26">
        <v>60</v>
      </c>
      <c r="I7296" s="24" t="s">
        <v>29</v>
      </c>
      <c r="J7296" s="36">
        <v>45919</v>
      </c>
      <c r="K7296" s="24" t="s">
        <v>22</v>
      </c>
    </row>
    <row r="7297" spans="1:11" x14ac:dyDescent="0.2">
      <c r="A7297" s="27" t="s">
        <v>17099</v>
      </c>
      <c r="B7297" s="27" t="s">
        <v>17100</v>
      </c>
      <c r="C7297" s="27" t="s">
        <v>16700</v>
      </c>
      <c r="D7297" s="27" t="s">
        <v>17</v>
      </c>
      <c r="E7297" s="27" t="s">
        <v>18</v>
      </c>
      <c r="F7297" s="27" t="s">
        <v>19</v>
      </c>
      <c r="G7297" s="27" t="s">
        <v>217</v>
      </c>
      <c r="H7297" s="29">
        <v>16</v>
      </c>
      <c r="I7297" s="27" t="s">
        <v>29</v>
      </c>
      <c r="J7297" s="37">
        <v>45901</v>
      </c>
      <c r="K7297" s="27" t="s">
        <v>22</v>
      </c>
    </row>
    <row r="7298" spans="1:11" x14ac:dyDescent="0.2">
      <c r="A7298" s="24" t="s">
        <v>17101</v>
      </c>
      <c r="B7298" s="24" t="s">
        <v>17102</v>
      </c>
      <c r="C7298" s="24" t="s">
        <v>230</v>
      </c>
      <c r="D7298" s="24" t="s">
        <v>17</v>
      </c>
      <c r="E7298" s="24" t="s">
        <v>18</v>
      </c>
      <c r="F7298" s="24" t="s">
        <v>19</v>
      </c>
      <c r="G7298" s="24" t="s">
        <v>20</v>
      </c>
      <c r="H7298" s="26">
        <v>40</v>
      </c>
      <c r="I7298" s="24" t="s">
        <v>21</v>
      </c>
      <c r="J7298" s="36">
        <v>45917</v>
      </c>
      <c r="K7298" s="24" t="s">
        <v>22</v>
      </c>
    </row>
    <row r="7299" spans="1:11" x14ac:dyDescent="0.2">
      <c r="A7299" s="27" t="s">
        <v>17103</v>
      </c>
      <c r="B7299" s="27" t="s">
        <v>17104</v>
      </c>
      <c r="C7299" s="27" t="s">
        <v>134</v>
      </c>
      <c r="D7299" s="27" t="s">
        <v>17</v>
      </c>
      <c r="E7299" s="27" t="s">
        <v>48</v>
      </c>
      <c r="F7299" s="27" t="s">
        <v>49</v>
      </c>
      <c r="G7299" s="27" t="s">
        <v>28</v>
      </c>
      <c r="H7299" s="29">
        <v>76</v>
      </c>
      <c r="I7299" s="27" t="s">
        <v>29</v>
      </c>
      <c r="J7299" s="37">
        <v>45919</v>
      </c>
      <c r="K7299" s="27" t="s">
        <v>22</v>
      </c>
    </row>
    <row r="7300" spans="1:11" x14ac:dyDescent="0.2">
      <c r="A7300" s="24" t="s">
        <v>17105</v>
      </c>
      <c r="B7300" s="24" t="s">
        <v>17106</v>
      </c>
      <c r="C7300" s="24" t="s">
        <v>960</v>
      </c>
      <c r="D7300" s="24" t="s">
        <v>17</v>
      </c>
      <c r="E7300" s="24" t="s">
        <v>48</v>
      </c>
      <c r="F7300" s="24" t="s">
        <v>49</v>
      </c>
      <c r="G7300" s="24" t="s">
        <v>257</v>
      </c>
      <c r="H7300" s="26">
        <v>100</v>
      </c>
      <c r="I7300" s="24" t="s">
        <v>29</v>
      </c>
      <c r="J7300" s="36">
        <v>45901</v>
      </c>
      <c r="K7300" s="24" t="s">
        <v>22</v>
      </c>
    </row>
    <row r="7301" spans="1:11" x14ac:dyDescent="0.2">
      <c r="A7301" s="27" t="s">
        <v>17107</v>
      </c>
      <c r="B7301" s="27" t="s">
        <v>17108</v>
      </c>
      <c r="C7301" s="27" t="s">
        <v>71</v>
      </c>
      <c r="D7301" s="27" t="s">
        <v>17</v>
      </c>
      <c r="E7301" s="27" t="s">
        <v>18</v>
      </c>
      <c r="F7301" s="27" t="s">
        <v>19</v>
      </c>
      <c r="G7301" s="27" t="s">
        <v>217</v>
      </c>
      <c r="H7301" s="29">
        <v>78</v>
      </c>
      <c r="I7301" s="27" t="s">
        <v>29</v>
      </c>
      <c r="J7301" s="37">
        <v>45901</v>
      </c>
      <c r="K7301" s="27" t="s">
        <v>22</v>
      </c>
    </row>
    <row r="7302" spans="1:11" x14ac:dyDescent="0.2">
      <c r="A7302" s="24" t="s">
        <v>17109</v>
      </c>
      <c r="B7302" s="24" t="s">
        <v>17110</v>
      </c>
      <c r="C7302" s="24" t="s">
        <v>827</v>
      </c>
      <c r="D7302" s="24" t="s">
        <v>17</v>
      </c>
      <c r="E7302" s="24" t="s">
        <v>48</v>
      </c>
      <c r="F7302" s="24" t="s">
        <v>49</v>
      </c>
      <c r="G7302" s="24" t="s">
        <v>28</v>
      </c>
      <c r="H7302" s="26">
        <v>160</v>
      </c>
      <c r="I7302" s="24" t="s">
        <v>29</v>
      </c>
      <c r="J7302" s="36">
        <v>45919</v>
      </c>
      <c r="K7302" s="24" t="s">
        <v>22</v>
      </c>
    </row>
    <row r="7303" spans="1:11" x14ac:dyDescent="0.2">
      <c r="A7303" s="27" t="s">
        <v>17111</v>
      </c>
      <c r="B7303" s="27" t="s">
        <v>17112</v>
      </c>
      <c r="C7303" s="27" t="s">
        <v>6225</v>
      </c>
      <c r="D7303" s="27" t="s">
        <v>17</v>
      </c>
      <c r="E7303" s="27" t="s">
        <v>42</v>
      </c>
      <c r="F7303" s="27" t="s">
        <v>43</v>
      </c>
      <c r="G7303" s="27" t="s">
        <v>28</v>
      </c>
      <c r="H7303" s="29">
        <v>12</v>
      </c>
      <c r="I7303" s="27" t="s">
        <v>29</v>
      </c>
      <c r="J7303" s="37">
        <v>45902</v>
      </c>
      <c r="K7303" s="27" t="s">
        <v>22</v>
      </c>
    </row>
    <row r="7304" spans="1:11" x14ac:dyDescent="0.2">
      <c r="A7304" s="24" t="s">
        <v>17113</v>
      </c>
      <c r="B7304" s="24" t="s">
        <v>17114</v>
      </c>
      <c r="C7304" s="24" t="s">
        <v>827</v>
      </c>
      <c r="D7304" s="24" t="s">
        <v>17</v>
      </c>
      <c r="E7304" s="24" t="s">
        <v>48</v>
      </c>
      <c r="F7304" s="24" t="s">
        <v>49</v>
      </c>
      <c r="G7304" s="24" t="s">
        <v>217</v>
      </c>
      <c r="H7304" s="26">
        <v>60</v>
      </c>
      <c r="I7304" s="24" t="s">
        <v>29</v>
      </c>
      <c r="J7304" s="36">
        <v>45905</v>
      </c>
      <c r="K7304" s="24" t="s">
        <v>22</v>
      </c>
    </row>
    <row r="7305" spans="1:11" x14ac:dyDescent="0.2">
      <c r="A7305" s="27" t="s">
        <v>17115</v>
      </c>
      <c r="B7305" s="27" t="s">
        <v>17116</v>
      </c>
      <c r="C7305" s="27" t="s">
        <v>41</v>
      </c>
      <c r="D7305" s="27" t="s">
        <v>17</v>
      </c>
      <c r="E7305" s="27" t="s">
        <v>48</v>
      </c>
      <c r="F7305" s="27" t="s">
        <v>49</v>
      </c>
      <c r="G7305" s="27" t="s">
        <v>28</v>
      </c>
      <c r="H7305" s="29">
        <v>30</v>
      </c>
      <c r="I7305" s="27" t="s">
        <v>29</v>
      </c>
      <c r="J7305" s="37">
        <v>45919</v>
      </c>
      <c r="K7305" s="27" t="s">
        <v>22</v>
      </c>
    </row>
    <row r="7306" spans="1:11" x14ac:dyDescent="0.2">
      <c r="A7306" s="24" t="s">
        <v>17117</v>
      </c>
      <c r="B7306" s="24" t="s">
        <v>17118</v>
      </c>
      <c r="C7306" s="24" t="s">
        <v>595</v>
      </c>
      <c r="D7306" s="24" t="s">
        <v>17</v>
      </c>
      <c r="E7306" s="24" t="s">
        <v>81</v>
      </c>
      <c r="F7306" s="24" t="s">
        <v>82</v>
      </c>
      <c r="G7306" s="24" t="s">
        <v>28</v>
      </c>
      <c r="H7306" s="26">
        <v>495</v>
      </c>
      <c r="I7306" s="24" t="s">
        <v>29</v>
      </c>
      <c r="J7306" s="36">
        <v>45925</v>
      </c>
      <c r="K7306" s="24" t="s">
        <v>22</v>
      </c>
    </row>
    <row r="7307" spans="1:11" x14ac:dyDescent="0.2">
      <c r="A7307" s="27" t="s">
        <v>17119</v>
      </c>
      <c r="B7307" s="27" t="s">
        <v>17120</v>
      </c>
      <c r="C7307" s="27" t="s">
        <v>208</v>
      </c>
      <c r="D7307" s="27" t="s">
        <v>17</v>
      </c>
      <c r="E7307" s="27" t="s">
        <v>42</v>
      </c>
      <c r="F7307" s="27" t="s">
        <v>43</v>
      </c>
      <c r="G7307" s="27" t="s">
        <v>28</v>
      </c>
      <c r="H7307" s="29">
        <v>124</v>
      </c>
      <c r="I7307" s="27" t="s">
        <v>29</v>
      </c>
      <c r="J7307" s="37">
        <v>45926</v>
      </c>
      <c r="K7307" s="27" t="s">
        <v>22</v>
      </c>
    </row>
    <row r="7308" spans="1:11" x14ac:dyDescent="0.2">
      <c r="A7308" s="24" t="s">
        <v>17121</v>
      </c>
      <c r="B7308" s="24" t="s">
        <v>17122</v>
      </c>
      <c r="C7308" s="24" t="s">
        <v>2257</v>
      </c>
      <c r="D7308" s="24" t="s">
        <v>17</v>
      </c>
      <c r="E7308" s="24" t="s">
        <v>48</v>
      </c>
      <c r="F7308" s="24" t="s">
        <v>49</v>
      </c>
      <c r="G7308" s="24" t="s">
        <v>28</v>
      </c>
      <c r="H7308" s="26">
        <v>210</v>
      </c>
      <c r="I7308" s="24" t="s">
        <v>29</v>
      </c>
      <c r="J7308" s="36">
        <v>45930</v>
      </c>
      <c r="K7308" s="24" t="s">
        <v>22</v>
      </c>
    </row>
    <row r="7309" spans="1:11" x14ac:dyDescent="0.2">
      <c r="A7309" s="27" t="s">
        <v>17123</v>
      </c>
      <c r="B7309" s="27" t="s">
        <v>17124</v>
      </c>
      <c r="C7309" s="27" t="s">
        <v>17125</v>
      </c>
      <c r="D7309" s="27" t="s">
        <v>17</v>
      </c>
      <c r="E7309" s="27" t="s">
        <v>18</v>
      </c>
      <c r="F7309" s="27" t="s">
        <v>19</v>
      </c>
      <c r="G7309" s="27" t="s">
        <v>28</v>
      </c>
      <c r="H7309" s="29">
        <v>16</v>
      </c>
      <c r="I7309" s="27" t="s">
        <v>29</v>
      </c>
      <c r="J7309" s="37">
        <v>45903</v>
      </c>
      <c r="K7309" s="27" t="s">
        <v>22</v>
      </c>
    </row>
    <row r="7310" spans="1:11" x14ac:dyDescent="0.2">
      <c r="A7310" s="24" t="s">
        <v>17126</v>
      </c>
      <c r="B7310" s="24" t="s">
        <v>17127</v>
      </c>
      <c r="C7310" s="24" t="s">
        <v>197</v>
      </c>
      <c r="D7310" s="24" t="s">
        <v>17</v>
      </c>
      <c r="E7310" s="24" t="s">
        <v>18</v>
      </c>
      <c r="F7310" s="24" t="s">
        <v>19</v>
      </c>
      <c r="G7310" s="24" t="s">
        <v>44</v>
      </c>
      <c r="H7310" s="26">
        <v>12</v>
      </c>
      <c r="I7310" s="24" t="s">
        <v>29</v>
      </c>
      <c r="J7310" s="36">
        <v>45924</v>
      </c>
      <c r="K7310" s="24" t="s">
        <v>22</v>
      </c>
    </row>
    <row r="7311" spans="1:11" x14ac:dyDescent="0.2">
      <c r="A7311" s="27" t="s">
        <v>17128</v>
      </c>
      <c r="B7311" s="27" t="s">
        <v>17129</v>
      </c>
      <c r="C7311" s="27" t="s">
        <v>792</v>
      </c>
      <c r="D7311" s="27" t="s">
        <v>17</v>
      </c>
      <c r="E7311" s="27" t="s">
        <v>33</v>
      </c>
      <c r="F7311" s="27" t="s">
        <v>34</v>
      </c>
      <c r="G7311" s="27" t="s">
        <v>28</v>
      </c>
      <c r="H7311" s="29">
        <v>630</v>
      </c>
      <c r="I7311" s="27" t="s">
        <v>29</v>
      </c>
      <c r="J7311" s="37">
        <v>45926</v>
      </c>
      <c r="K7311" s="27" t="s">
        <v>22</v>
      </c>
    </row>
    <row r="7312" spans="1:11" x14ac:dyDescent="0.2">
      <c r="A7312" s="24" t="s">
        <v>17130</v>
      </c>
      <c r="B7312" s="24" t="s">
        <v>17131</v>
      </c>
      <c r="C7312" s="24" t="s">
        <v>309</v>
      </c>
      <c r="D7312" s="24" t="s">
        <v>17</v>
      </c>
      <c r="E7312" s="24" t="s">
        <v>18</v>
      </c>
      <c r="F7312" s="24" t="s">
        <v>19</v>
      </c>
      <c r="G7312" s="24" t="s">
        <v>28</v>
      </c>
      <c r="H7312" s="26">
        <v>233</v>
      </c>
      <c r="I7312" s="24" t="s">
        <v>29</v>
      </c>
      <c r="J7312" s="36">
        <v>45923</v>
      </c>
      <c r="K7312" s="24" t="s">
        <v>22</v>
      </c>
    </row>
    <row r="7313" spans="1:11" x14ac:dyDescent="0.2">
      <c r="A7313" s="27" t="s">
        <v>17132</v>
      </c>
      <c r="B7313" s="27" t="s">
        <v>17133</v>
      </c>
      <c r="C7313" s="27" t="s">
        <v>8470</v>
      </c>
      <c r="D7313" s="27" t="s">
        <v>17</v>
      </c>
      <c r="E7313" s="27" t="s">
        <v>81</v>
      </c>
      <c r="F7313" s="27" t="s">
        <v>82</v>
      </c>
      <c r="G7313" s="27" t="s">
        <v>28</v>
      </c>
      <c r="H7313" s="29">
        <v>300</v>
      </c>
      <c r="I7313" s="27" t="s">
        <v>29</v>
      </c>
      <c r="J7313" s="37">
        <v>45920</v>
      </c>
      <c r="K7313" s="27" t="s">
        <v>22</v>
      </c>
    </row>
    <row r="7314" spans="1:11" x14ac:dyDescent="0.2">
      <c r="A7314" s="24" t="s">
        <v>17134</v>
      </c>
      <c r="B7314" s="24" t="s">
        <v>17135</v>
      </c>
      <c r="C7314" s="24" t="s">
        <v>208</v>
      </c>
      <c r="D7314" s="24" t="s">
        <v>17</v>
      </c>
      <c r="E7314" s="24" t="s">
        <v>42</v>
      </c>
      <c r="F7314" s="24" t="s">
        <v>43</v>
      </c>
      <c r="G7314" s="24" t="s">
        <v>28</v>
      </c>
      <c r="H7314" s="26">
        <v>942</v>
      </c>
      <c r="I7314" s="24" t="s">
        <v>29</v>
      </c>
      <c r="J7314" s="36">
        <v>45917</v>
      </c>
      <c r="K7314" s="24" t="s">
        <v>22</v>
      </c>
    </row>
    <row r="7315" spans="1:11" x14ac:dyDescent="0.2">
      <c r="A7315" s="27" t="s">
        <v>17136</v>
      </c>
      <c r="B7315" s="27" t="s">
        <v>17137</v>
      </c>
      <c r="C7315" s="27" t="s">
        <v>301</v>
      </c>
      <c r="D7315" s="27" t="s">
        <v>17</v>
      </c>
      <c r="E7315" s="27" t="s">
        <v>42</v>
      </c>
      <c r="F7315" s="27" t="s">
        <v>43</v>
      </c>
      <c r="G7315" s="27" t="s">
        <v>28</v>
      </c>
      <c r="H7315" s="29">
        <v>220</v>
      </c>
      <c r="I7315" s="27" t="s">
        <v>29</v>
      </c>
      <c r="J7315" s="37">
        <v>45910</v>
      </c>
      <c r="K7315" s="27" t="s">
        <v>22</v>
      </c>
    </row>
    <row r="7316" spans="1:11" x14ac:dyDescent="0.2">
      <c r="A7316" s="24" t="s">
        <v>17138</v>
      </c>
      <c r="B7316" s="24" t="s">
        <v>17139</v>
      </c>
      <c r="C7316" s="24" t="s">
        <v>1663</v>
      </c>
      <c r="D7316" s="24" t="s">
        <v>17</v>
      </c>
      <c r="E7316" s="24" t="s">
        <v>48</v>
      </c>
      <c r="F7316" s="24" t="s">
        <v>49</v>
      </c>
      <c r="G7316" s="24" t="s">
        <v>28</v>
      </c>
      <c r="H7316" s="26">
        <v>60</v>
      </c>
      <c r="I7316" s="24" t="s">
        <v>29</v>
      </c>
      <c r="J7316" s="36">
        <v>45915</v>
      </c>
      <c r="K7316" s="24" t="s">
        <v>22</v>
      </c>
    </row>
    <row r="7317" spans="1:11" x14ac:dyDescent="0.2">
      <c r="A7317" s="27" t="s">
        <v>17140</v>
      </c>
      <c r="B7317" s="27" t="s">
        <v>17141</v>
      </c>
      <c r="C7317" s="27" t="s">
        <v>17142</v>
      </c>
      <c r="D7317" s="27" t="s">
        <v>17</v>
      </c>
      <c r="E7317" s="27" t="s">
        <v>18</v>
      </c>
      <c r="F7317" s="27" t="s">
        <v>19</v>
      </c>
      <c r="G7317" s="27" t="s">
        <v>28</v>
      </c>
      <c r="H7317" s="29">
        <v>40</v>
      </c>
      <c r="I7317" s="27" t="s">
        <v>29</v>
      </c>
      <c r="J7317" s="37">
        <v>45922</v>
      </c>
      <c r="K7317" s="27" t="s">
        <v>22</v>
      </c>
    </row>
    <row r="7318" spans="1:11" x14ac:dyDescent="0.2">
      <c r="A7318" s="24" t="s">
        <v>17143</v>
      </c>
      <c r="B7318" s="24" t="s">
        <v>17144</v>
      </c>
      <c r="C7318" s="24" t="s">
        <v>134</v>
      </c>
      <c r="D7318" s="24" t="s">
        <v>17</v>
      </c>
      <c r="E7318" s="24" t="s">
        <v>33</v>
      </c>
      <c r="F7318" s="24" t="s">
        <v>34</v>
      </c>
      <c r="G7318" s="24" t="s">
        <v>28</v>
      </c>
      <c r="H7318" s="26">
        <v>500</v>
      </c>
      <c r="I7318" s="24" t="s">
        <v>29</v>
      </c>
      <c r="J7318" s="36">
        <v>45911</v>
      </c>
      <c r="K7318" s="24" t="s">
        <v>22</v>
      </c>
    </row>
    <row r="7319" spans="1:11" x14ac:dyDescent="0.2">
      <c r="A7319" s="27" t="s">
        <v>17145</v>
      </c>
      <c r="B7319" s="27" t="s">
        <v>17146</v>
      </c>
      <c r="C7319" s="27" t="s">
        <v>134</v>
      </c>
      <c r="D7319" s="27" t="s">
        <v>17</v>
      </c>
      <c r="E7319" s="27" t="s">
        <v>42</v>
      </c>
      <c r="F7319" s="27" t="s">
        <v>43</v>
      </c>
      <c r="G7319" s="27" t="s">
        <v>28</v>
      </c>
      <c r="H7319" s="29">
        <v>3040</v>
      </c>
      <c r="I7319" s="27" t="s">
        <v>29</v>
      </c>
      <c r="J7319" s="37">
        <v>45922</v>
      </c>
      <c r="K7319" s="27" t="s">
        <v>22</v>
      </c>
    </row>
    <row r="7320" spans="1:11" x14ac:dyDescent="0.2">
      <c r="A7320" s="24" t="s">
        <v>17147</v>
      </c>
      <c r="B7320" s="24" t="s">
        <v>17148</v>
      </c>
      <c r="C7320" s="24" t="s">
        <v>3116</v>
      </c>
      <c r="D7320" s="24" t="s">
        <v>17</v>
      </c>
      <c r="E7320" s="24" t="s">
        <v>48</v>
      </c>
      <c r="F7320" s="24" t="s">
        <v>49</v>
      </c>
      <c r="G7320" s="24" t="s">
        <v>28</v>
      </c>
      <c r="H7320" s="26">
        <v>480</v>
      </c>
      <c r="I7320" s="24" t="s">
        <v>29</v>
      </c>
      <c r="J7320" s="36">
        <v>45911</v>
      </c>
      <c r="K7320" s="24" t="s">
        <v>22</v>
      </c>
    </row>
    <row r="7321" spans="1:11" x14ac:dyDescent="0.2">
      <c r="A7321" s="27" t="s">
        <v>17149</v>
      </c>
      <c r="B7321" s="27" t="s">
        <v>17150</v>
      </c>
      <c r="C7321" s="27" t="s">
        <v>6184</v>
      </c>
      <c r="D7321" s="27" t="s">
        <v>17</v>
      </c>
      <c r="E7321" s="27" t="s">
        <v>48</v>
      </c>
      <c r="F7321" s="27" t="s">
        <v>49</v>
      </c>
      <c r="G7321" s="27" t="s">
        <v>28</v>
      </c>
      <c r="H7321" s="29">
        <v>160</v>
      </c>
      <c r="I7321" s="27" t="s">
        <v>29</v>
      </c>
      <c r="J7321" s="37">
        <v>45912</v>
      </c>
      <c r="K7321" s="27" t="s">
        <v>22</v>
      </c>
    </row>
    <row r="7322" spans="1:11" x14ac:dyDescent="0.2">
      <c r="A7322" s="24" t="s">
        <v>17151</v>
      </c>
      <c r="B7322" s="24" t="s">
        <v>17152</v>
      </c>
      <c r="C7322" s="24" t="s">
        <v>97</v>
      </c>
      <c r="D7322" s="24" t="s">
        <v>17</v>
      </c>
      <c r="E7322" s="24" t="s">
        <v>26</v>
      </c>
      <c r="F7322" s="24" t="s">
        <v>27</v>
      </c>
      <c r="G7322" s="24" t="s">
        <v>44</v>
      </c>
      <c r="H7322" s="26">
        <v>405</v>
      </c>
      <c r="I7322" s="24" t="s">
        <v>21</v>
      </c>
      <c r="J7322" s="36">
        <v>45904</v>
      </c>
      <c r="K7322" s="24" t="s">
        <v>22</v>
      </c>
    </row>
    <row r="7323" spans="1:11" x14ac:dyDescent="0.2">
      <c r="A7323" s="27" t="s">
        <v>17153</v>
      </c>
      <c r="B7323" s="27" t="s">
        <v>17154</v>
      </c>
      <c r="C7323" s="27" t="s">
        <v>2331</v>
      </c>
      <c r="D7323" s="27" t="s">
        <v>17</v>
      </c>
      <c r="E7323" s="27" t="s">
        <v>26</v>
      </c>
      <c r="F7323" s="27" t="s">
        <v>27</v>
      </c>
      <c r="G7323" s="27" t="s">
        <v>28</v>
      </c>
      <c r="H7323" s="29">
        <v>420</v>
      </c>
      <c r="I7323" s="27" t="s">
        <v>29</v>
      </c>
      <c r="J7323" s="37">
        <v>45922</v>
      </c>
      <c r="K7323" s="27" t="s">
        <v>22</v>
      </c>
    </row>
    <row r="7324" spans="1:11" x14ac:dyDescent="0.2">
      <c r="A7324" s="24" t="s">
        <v>17155</v>
      </c>
      <c r="B7324" s="24" t="s">
        <v>17156</v>
      </c>
      <c r="C7324" s="24" t="s">
        <v>14588</v>
      </c>
      <c r="D7324" s="24" t="s">
        <v>17</v>
      </c>
      <c r="E7324" s="24" t="s">
        <v>18</v>
      </c>
      <c r="F7324" s="24" t="s">
        <v>19</v>
      </c>
      <c r="G7324" s="24" t="s">
        <v>28</v>
      </c>
      <c r="H7324" s="26">
        <v>44</v>
      </c>
      <c r="I7324" s="24" t="s">
        <v>29</v>
      </c>
      <c r="J7324" s="36">
        <v>45916</v>
      </c>
      <c r="K7324" s="24" t="s">
        <v>22</v>
      </c>
    </row>
    <row r="7325" spans="1:11" x14ac:dyDescent="0.2">
      <c r="A7325" s="27" t="s">
        <v>17157</v>
      </c>
      <c r="B7325" s="27" t="s">
        <v>17158</v>
      </c>
      <c r="C7325" s="27" t="s">
        <v>11377</v>
      </c>
      <c r="D7325" s="27" t="s">
        <v>17</v>
      </c>
      <c r="E7325" s="27" t="s">
        <v>18</v>
      </c>
      <c r="F7325" s="27" t="s">
        <v>19</v>
      </c>
      <c r="G7325" s="27" t="s">
        <v>20</v>
      </c>
      <c r="H7325" s="29">
        <v>40</v>
      </c>
      <c r="I7325" s="27" t="s">
        <v>21</v>
      </c>
      <c r="J7325" s="37">
        <v>45930</v>
      </c>
      <c r="K7325" s="27" t="s">
        <v>22</v>
      </c>
    </row>
    <row r="7326" spans="1:11" x14ac:dyDescent="0.2">
      <c r="A7326" s="24" t="s">
        <v>17159</v>
      </c>
      <c r="B7326" s="24" t="s">
        <v>17160</v>
      </c>
      <c r="C7326" s="24" t="s">
        <v>71</v>
      </c>
      <c r="D7326" s="24" t="s">
        <v>17</v>
      </c>
      <c r="E7326" s="24" t="s">
        <v>18</v>
      </c>
      <c r="F7326" s="24" t="s">
        <v>19</v>
      </c>
      <c r="G7326" s="24" t="s">
        <v>28</v>
      </c>
      <c r="H7326" s="26">
        <v>16</v>
      </c>
      <c r="I7326" s="24" t="s">
        <v>29</v>
      </c>
      <c r="J7326" s="36">
        <v>45913</v>
      </c>
      <c r="K7326" s="24" t="s">
        <v>22</v>
      </c>
    </row>
    <row r="7327" spans="1:11" x14ac:dyDescent="0.2">
      <c r="A7327" s="27" t="s">
        <v>17161</v>
      </c>
      <c r="B7327" s="27" t="s">
        <v>17162</v>
      </c>
      <c r="C7327" s="27" t="s">
        <v>2257</v>
      </c>
      <c r="D7327" s="27" t="s">
        <v>17</v>
      </c>
      <c r="E7327" s="27" t="s">
        <v>26</v>
      </c>
      <c r="F7327" s="27" t="s">
        <v>27</v>
      </c>
      <c r="G7327" s="27" t="s">
        <v>28</v>
      </c>
      <c r="H7327" s="29">
        <v>116</v>
      </c>
      <c r="I7327" s="27" t="s">
        <v>29</v>
      </c>
      <c r="J7327" s="37">
        <v>45918</v>
      </c>
      <c r="K7327" s="27" t="s">
        <v>22</v>
      </c>
    </row>
    <row r="7328" spans="1:11" x14ac:dyDescent="0.2">
      <c r="A7328" s="24" t="s">
        <v>17163</v>
      </c>
      <c r="B7328" s="24" t="s">
        <v>17164</v>
      </c>
      <c r="C7328" s="24" t="s">
        <v>4090</v>
      </c>
      <c r="D7328" s="24" t="s">
        <v>17</v>
      </c>
      <c r="E7328" s="24" t="s">
        <v>18</v>
      </c>
      <c r="F7328" s="24" t="s">
        <v>19</v>
      </c>
      <c r="G7328" s="24" t="s">
        <v>44</v>
      </c>
      <c r="H7328" s="26">
        <v>18</v>
      </c>
      <c r="I7328" s="24" t="s">
        <v>21</v>
      </c>
      <c r="J7328" s="36">
        <v>45911</v>
      </c>
      <c r="K7328" s="24" t="s">
        <v>22</v>
      </c>
    </row>
    <row r="7329" spans="1:11" x14ac:dyDescent="0.2">
      <c r="A7329" s="27" t="s">
        <v>17165</v>
      </c>
      <c r="B7329" s="27" t="s">
        <v>17166</v>
      </c>
      <c r="C7329" s="27" t="s">
        <v>91</v>
      </c>
      <c r="D7329" s="27" t="s">
        <v>17</v>
      </c>
      <c r="E7329" s="27" t="s">
        <v>26</v>
      </c>
      <c r="F7329" s="27" t="s">
        <v>27</v>
      </c>
      <c r="G7329" s="27" t="s">
        <v>28</v>
      </c>
      <c r="H7329" s="29">
        <v>48</v>
      </c>
      <c r="I7329" s="27" t="s">
        <v>29</v>
      </c>
      <c r="J7329" s="37">
        <v>45909</v>
      </c>
      <c r="K7329" s="27" t="s">
        <v>22</v>
      </c>
    </row>
    <row r="7330" spans="1:11" x14ac:dyDescent="0.2">
      <c r="A7330" s="24" t="s">
        <v>17167</v>
      </c>
      <c r="B7330" s="24" t="s">
        <v>17168</v>
      </c>
      <c r="C7330" s="24" t="s">
        <v>185</v>
      </c>
      <c r="D7330" s="24" t="s">
        <v>17</v>
      </c>
      <c r="E7330" s="24" t="s">
        <v>42</v>
      </c>
      <c r="F7330" s="24" t="s">
        <v>43</v>
      </c>
      <c r="G7330" s="24" t="s">
        <v>217</v>
      </c>
      <c r="H7330" s="26">
        <v>204</v>
      </c>
      <c r="I7330" s="24" t="s">
        <v>29</v>
      </c>
      <c r="J7330" s="36">
        <v>45930</v>
      </c>
      <c r="K7330" s="24" t="s">
        <v>22</v>
      </c>
    </row>
    <row r="7331" spans="1:11" x14ac:dyDescent="0.2">
      <c r="A7331" s="27" t="s">
        <v>17169</v>
      </c>
      <c r="B7331" s="27" t="s">
        <v>17170</v>
      </c>
      <c r="C7331" s="27" t="s">
        <v>1737</v>
      </c>
      <c r="D7331" s="27" t="s">
        <v>17</v>
      </c>
      <c r="E7331" s="27" t="s">
        <v>26</v>
      </c>
      <c r="F7331" s="27" t="s">
        <v>27</v>
      </c>
      <c r="G7331" s="27" t="s">
        <v>28</v>
      </c>
      <c r="H7331" s="29">
        <v>120</v>
      </c>
      <c r="I7331" s="27" t="s">
        <v>29</v>
      </c>
      <c r="J7331" s="37">
        <v>45923</v>
      </c>
      <c r="K7331" s="27" t="s">
        <v>22</v>
      </c>
    </row>
    <row r="7332" spans="1:11" x14ac:dyDescent="0.2">
      <c r="A7332" s="24" t="s">
        <v>17171</v>
      </c>
      <c r="B7332" s="24" t="s">
        <v>17172</v>
      </c>
      <c r="C7332" s="24" t="s">
        <v>618</v>
      </c>
      <c r="D7332" s="24" t="s">
        <v>17</v>
      </c>
      <c r="E7332" s="24" t="s">
        <v>18</v>
      </c>
      <c r="F7332" s="24" t="s">
        <v>19</v>
      </c>
      <c r="G7332" s="24" t="s">
        <v>28</v>
      </c>
      <c r="H7332" s="26">
        <v>18</v>
      </c>
      <c r="I7332" s="24" t="s">
        <v>29</v>
      </c>
      <c r="J7332" s="36">
        <v>45923</v>
      </c>
      <c r="K7332" s="24" t="s">
        <v>22</v>
      </c>
    </row>
    <row r="7333" spans="1:11" x14ac:dyDescent="0.2">
      <c r="A7333" s="27" t="s">
        <v>17173</v>
      </c>
      <c r="B7333" s="27" t="s">
        <v>17174</v>
      </c>
      <c r="C7333" s="27" t="s">
        <v>12063</v>
      </c>
      <c r="D7333" s="27" t="s">
        <v>17</v>
      </c>
      <c r="E7333" s="27" t="s">
        <v>48</v>
      </c>
      <c r="F7333" s="27" t="s">
        <v>49</v>
      </c>
      <c r="G7333" s="27" t="s">
        <v>28</v>
      </c>
      <c r="H7333" s="29">
        <v>60</v>
      </c>
      <c r="I7333" s="27" t="s">
        <v>29</v>
      </c>
      <c r="J7333" s="37">
        <v>45901</v>
      </c>
      <c r="K7333" s="27" t="s">
        <v>22</v>
      </c>
    </row>
    <row r="7334" spans="1:11" x14ac:dyDescent="0.2">
      <c r="A7334" s="24" t="s">
        <v>17175</v>
      </c>
      <c r="B7334" s="24" t="s">
        <v>17176</v>
      </c>
      <c r="C7334" s="24" t="s">
        <v>17177</v>
      </c>
      <c r="D7334" s="24" t="s">
        <v>17</v>
      </c>
      <c r="E7334" s="24" t="s">
        <v>26</v>
      </c>
      <c r="F7334" s="24" t="s">
        <v>27</v>
      </c>
      <c r="G7334" s="24" t="s">
        <v>28</v>
      </c>
      <c r="H7334" s="26">
        <v>120</v>
      </c>
      <c r="I7334" s="24" t="s">
        <v>29</v>
      </c>
      <c r="J7334" s="36">
        <v>45930</v>
      </c>
      <c r="K7334" s="24" t="s">
        <v>22</v>
      </c>
    </row>
    <row r="7335" spans="1:11" x14ac:dyDescent="0.2">
      <c r="A7335" s="27" t="s">
        <v>17178</v>
      </c>
      <c r="B7335" s="27" t="s">
        <v>17179</v>
      </c>
      <c r="C7335" s="27" t="s">
        <v>12073</v>
      </c>
      <c r="D7335" s="27" t="s">
        <v>17</v>
      </c>
      <c r="E7335" s="27" t="s">
        <v>18</v>
      </c>
      <c r="F7335" s="27" t="s">
        <v>19</v>
      </c>
      <c r="G7335" s="27" t="s">
        <v>28</v>
      </c>
      <c r="H7335" s="29">
        <v>26</v>
      </c>
      <c r="I7335" s="27" t="s">
        <v>29</v>
      </c>
      <c r="J7335" s="37">
        <v>45905</v>
      </c>
      <c r="K7335" s="27" t="s">
        <v>22</v>
      </c>
    </row>
    <row r="7336" spans="1:11" x14ac:dyDescent="0.2">
      <c r="A7336" s="24" t="s">
        <v>17180</v>
      </c>
      <c r="B7336" s="24" t="s">
        <v>17181</v>
      </c>
      <c r="C7336" s="24" t="s">
        <v>208</v>
      </c>
      <c r="D7336" s="24" t="s">
        <v>17</v>
      </c>
      <c r="E7336" s="24" t="s">
        <v>48</v>
      </c>
      <c r="F7336" s="24" t="s">
        <v>49</v>
      </c>
      <c r="G7336" s="24" t="s">
        <v>28</v>
      </c>
      <c r="H7336" s="26">
        <v>30</v>
      </c>
      <c r="I7336" s="24" t="s">
        <v>29</v>
      </c>
      <c r="J7336" s="36">
        <v>45902</v>
      </c>
      <c r="K7336" s="24" t="s">
        <v>22</v>
      </c>
    </row>
    <row r="7337" spans="1:11" x14ac:dyDescent="0.2">
      <c r="A7337" s="27" t="s">
        <v>17182</v>
      </c>
      <c r="B7337" s="27" t="s">
        <v>17183</v>
      </c>
      <c r="C7337" s="27" t="s">
        <v>17184</v>
      </c>
      <c r="D7337" s="27" t="s">
        <v>17</v>
      </c>
      <c r="E7337" s="27" t="s">
        <v>18</v>
      </c>
      <c r="F7337" s="27" t="s">
        <v>19</v>
      </c>
      <c r="G7337" s="27" t="s">
        <v>227</v>
      </c>
      <c r="H7337" s="29">
        <v>44</v>
      </c>
      <c r="I7337" s="27" t="s">
        <v>29</v>
      </c>
      <c r="J7337" s="37">
        <v>45906</v>
      </c>
      <c r="K7337" s="27" t="s">
        <v>22</v>
      </c>
    </row>
    <row r="7338" spans="1:11" x14ac:dyDescent="0.2">
      <c r="A7338" s="24" t="s">
        <v>17185</v>
      </c>
      <c r="B7338" s="24" t="s">
        <v>17186</v>
      </c>
      <c r="C7338" s="24" t="s">
        <v>16768</v>
      </c>
      <c r="D7338" s="24" t="s">
        <v>17</v>
      </c>
      <c r="E7338" s="24" t="s">
        <v>48</v>
      </c>
      <c r="F7338" s="24" t="s">
        <v>49</v>
      </c>
      <c r="G7338" s="24" t="s">
        <v>217</v>
      </c>
      <c r="H7338" s="26">
        <v>139</v>
      </c>
      <c r="I7338" s="24" t="s">
        <v>29</v>
      </c>
      <c r="J7338" s="36">
        <v>45901</v>
      </c>
      <c r="K7338" s="24" t="s">
        <v>22</v>
      </c>
    </row>
    <row r="7339" spans="1:11" x14ac:dyDescent="0.2">
      <c r="A7339" s="27" t="s">
        <v>17187</v>
      </c>
      <c r="B7339" s="27" t="s">
        <v>17188</v>
      </c>
      <c r="C7339" s="27" t="s">
        <v>55</v>
      </c>
      <c r="D7339" s="27" t="s">
        <v>17</v>
      </c>
      <c r="E7339" s="27" t="s">
        <v>18</v>
      </c>
      <c r="F7339" s="27" t="s">
        <v>19</v>
      </c>
      <c r="G7339" s="27" t="s">
        <v>20</v>
      </c>
      <c r="H7339" s="29">
        <v>18</v>
      </c>
      <c r="I7339" s="27" t="s">
        <v>21</v>
      </c>
      <c r="J7339" s="37">
        <v>45919</v>
      </c>
      <c r="K7339" s="27" t="s">
        <v>22</v>
      </c>
    </row>
    <row r="7340" spans="1:11" x14ac:dyDescent="0.2">
      <c r="A7340" s="24" t="s">
        <v>17189</v>
      </c>
      <c r="B7340" s="24" t="s">
        <v>17190</v>
      </c>
      <c r="C7340" s="24" t="s">
        <v>17191</v>
      </c>
      <c r="D7340" s="24" t="s">
        <v>17</v>
      </c>
      <c r="E7340" s="24" t="s">
        <v>42</v>
      </c>
      <c r="F7340" s="24" t="s">
        <v>43</v>
      </c>
      <c r="G7340" s="24" t="s">
        <v>28</v>
      </c>
      <c r="H7340" s="26">
        <v>412</v>
      </c>
      <c r="I7340" s="24" t="s">
        <v>29</v>
      </c>
      <c r="J7340" s="36">
        <v>45902</v>
      </c>
      <c r="K7340" s="24" t="s">
        <v>22</v>
      </c>
    </row>
    <row r="7341" spans="1:11" x14ac:dyDescent="0.2">
      <c r="A7341" s="27" t="s">
        <v>17192</v>
      </c>
      <c r="B7341" s="27" t="s">
        <v>17193</v>
      </c>
      <c r="C7341" s="27" t="s">
        <v>13508</v>
      </c>
      <c r="D7341" s="27" t="s">
        <v>17</v>
      </c>
      <c r="E7341" s="27" t="s">
        <v>163</v>
      </c>
      <c r="F7341" s="27" t="s">
        <v>164</v>
      </c>
      <c r="G7341" s="27" t="s">
        <v>217</v>
      </c>
      <c r="H7341" s="29">
        <v>12</v>
      </c>
      <c r="I7341" s="27" t="s">
        <v>29</v>
      </c>
      <c r="J7341" s="37">
        <v>45915</v>
      </c>
      <c r="K7341" s="27" t="s">
        <v>22</v>
      </c>
    </row>
    <row r="7342" spans="1:11" x14ac:dyDescent="0.2">
      <c r="A7342" s="24" t="s">
        <v>17194</v>
      </c>
      <c r="B7342" s="24" t="s">
        <v>17195</v>
      </c>
      <c r="C7342" s="24" t="s">
        <v>17196</v>
      </c>
      <c r="D7342" s="24" t="s">
        <v>17</v>
      </c>
      <c r="E7342" s="24" t="s">
        <v>26</v>
      </c>
      <c r="F7342" s="24" t="s">
        <v>27</v>
      </c>
      <c r="G7342" s="24" t="s">
        <v>28</v>
      </c>
      <c r="H7342" s="26">
        <v>310</v>
      </c>
      <c r="I7342" s="24" t="s">
        <v>29</v>
      </c>
      <c r="J7342" s="36">
        <v>45923</v>
      </c>
      <c r="K7342" s="24" t="s">
        <v>22</v>
      </c>
    </row>
    <row r="7343" spans="1:11" x14ac:dyDescent="0.2">
      <c r="A7343" s="27" t="s">
        <v>17197</v>
      </c>
      <c r="B7343" s="27" t="s">
        <v>17198</v>
      </c>
      <c r="C7343" s="27" t="s">
        <v>213</v>
      </c>
      <c r="D7343" s="27" t="s">
        <v>17</v>
      </c>
      <c r="E7343" s="27" t="s">
        <v>42</v>
      </c>
      <c r="F7343" s="27" t="s">
        <v>43</v>
      </c>
      <c r="G7343" s="27" t="s">
        <v>28</v>
      </c>
      <c r="H7343" s="29">
        <v>1000</v>
      </c>
      <c r="I7343" s="27" t="s">
        <v>29</v>
      </c>
      <c r="J7343" s="37">
        <v>45928</v>
      </c>
      <c r="K7343" s="27" t="s">
        <v>22</v>
      </c>
    </row>
    <row r="7344" spans="1:11" x14ac:dyDescent="0.2">
      <c r="A7344" s="24" t="s">
        <v>17199</v>
      </c>
      <c r="B7344" s="24" t="s">
        <v>17200</v>
      </c>
      <c r="C7344" s="24" t="s">
        <v>8646</v>
      </c>
      <c r="D7344" s="24" t="s">
        <v>17</v>
      </c>
      <c r="E7344" s="24" t="s">
        <v>48</v>
      </c>
      <c r="F7344" s="24" t="s">
        <v>49</v>
      </c>
      <c r="G7344" s="24" t="s">
        <v>28</v>
      </c>
      <c r="H7344" s="26">
        <v>15</v>
      </c>
      <c r="I7344" s="24" t="s">
        <v>29</v>
      </c>
      <c r="J7344" s="36">
        <v>45917</v>
      </c>
      <c r="K7344" s="24" t="s">
        <v>22</v>
      </c>
    </row>
    <row r="7345" spans="1:11" x14ac:dyDescent="0.2">
      <c r="A7345" s="27" t="s">
        <v>17201</v>
      </c>
      <c r="B7345" s="27" t="s">
        <v>17202</v>
      </c>
      <c r="C7345" s="27" t="s">
        <v>17203</v>
      </c>
      <c r="D7345" s="27" t="s">
        <v>17</v>
      </c>
      <c r="E7345" s="27" t="s">
        <v>18</v>
      </c>
      <c r="F7345" s="27" t="s">
        <v>19</v>
      </c>
      <c r="G7345" s="27" t="s">
        <v>28</v>
      </c>
      <c r="H7345" s="29">
        <v>6</v>
      </c>
      <c r="I7345" s="27" t="s">
        <v>29</v>
      </c>
      <c r="J7345" s="37">
        <v>45959</v>
      </c>
      <c r="K7345" s="27" t="s">
        <v>22</v>
      </c>
    </row>
    <row r="7346" spans="1:11" x14ac:dyDescent="0.2">
      <c r="A7346" s="24" t="s">
        <v>17204</v>
      </c>
      <c r="B7346" s="24" t="s">
        <v>17205</v>
      </c>
      <c r="C7346" s="24" t="s">
        <v>3071</v>
      </c>
      <c r="D7346" s="24" t="s">
        <v>17</v>
      </c>
      <c r="E7346" s="24" t="s">
        <v>18</v>
      </c>
      <c r="F7346" s="24" t="s">
        <v>19</v>
      </c>
      <c r="G7346" s="24" t="s">
        <v>28</v>
      </c>
      <c r="H7346" s="26">
        <v>47</v>
      </c>
      <c r="I7346" s="24" t="s">
        <v>29</v>
      </c>
      <c r="J7346" s="36">
        <v>45951</v>
      </c>
      <c r="K7346" s="24" t="s">
        <v>22</v>
      </c>
    </row>
    <row r="7347" spans="1:11" x14ac:dyDescent="0.2">
      <c r="A7347" s="27" t="s">
        <v>17206</v>
      </c>
      <c r="B7347" s="27" t="s">
        <v>17207</v>
      </c>
      <c r="C7347" s="27" t="s">
        <v>3856</v>
      </c>
      <c r="D7347" s="27" t="s">
        <v>17</v>
      </c>
      <c r="E7347" s="27" t="s">
        <v>48</v>
      </c>
      <c r="F7347" s="27" t="s">
        <v>49</v>
      </c>
      <c r="G7347" s="27" t="s">
        <v>28</v>
      </c>
      <c r="H7347" s="29">
        <v>80</v>
      </c>
      <c r="I7347" s="27" t="s">
        <v>29</v>
      </c>
      <c r="J7347" s="37">
        <v>45960</v>
      </c>
      <c r="K7347" s="27" t="s">
        <v>22</v>
      </c>
    </row>
    <row r="7348" spans="1:11" x14ac:dyDescent="0.2">
      <c r="A7348" s="24" t="s">
        <v>17208</v>
      </c>
      <c r="B7348" s="24" t="s">
        <v>17209</v>
      </c>
      <c r="C7348" s="24" t="s">
        <v>1053</v>
      </c>
      <c r="D7348" s="24" t="s">
        <v>17</v>
      </c>
      <c r="E7348" s="24" t="s">
        <v>26</v>
      </c>
      <c r="F7348" s="24" t="s">
        <v>27</v>
      </c>
      <c r="G7348" s="24" t="s">
        <v>28</v>
      </c>
      <c r="H7348" s="26">
        <v>62</v>
      </c>
      <c r="I7348" s="24" t="s">
        <v>29</v>
      </c>
      <c r="J7348" s="36">
        <v>45937</v>
      </c>
      <c r="K7348" s="24" t="s">
        <v>22</v>
      </c>
    </row>
    <row r="7349" spans="1:11" x14ac:dyDescent="0.2">
      <c r="A7349" s="27" t="s">
        <v>17210</v>
      </c>
      <c r="B7349" s="27" t="s">
        <v>17211</v>
      </c>
      <c r="C7349" s="27" t="s">
        <v>4761</v>
      </c>
      <c r="D7349" s="27" t="s">
        <v>17</v>
      </c>
      <c r="E7349" s="27" t="s">
        <v>18</v>
      </c>
      <c r="F7349" s="27" t="s">
        <v>19</v>
      </c>
      <c r="G7349" s="27" t="s">
        <v>28</v>
      </c>
      <c r="H7349" s="29">
        <v>30</v>
      </c>
      <c r="I7349" s="27" t="s">
        <v>29</v>
      </c>
      <c r="J7349" s="37">
        <v>45957</v>
      </c>
      <c r="K7349" s="27" t="s">
        <v>22</v>
      </c>
    </row>
    <row r="7350" spans="1:11" x14ac:dyDescent="0.2">
      <c r="A7350" s="24" t="s">
        <v>17212</v>
      </c>
      <c r="B7350" s="24" t="s">
        <v>17213</v>
      </c>
      <c r="C7350" s="24" t="s">
        <v>844</v>
      </c>
      <c r="D7350" s="24" t="s">
        <v>17</v>
      </c>
      <c r="E7350" s="24" t="s">
        <v>18</v>
      </c>
      <c r="F7350" s="24" t="s">
        <v>19</v>
      </c>
      <c r="G7350" s="24" t="s">
        <v>28</v>
      </c>
      <c r="H7350" s="26">
        <v>90</v>
      </c>
      <c r="I7350" s="24" t="s">
        <v>29</v>
      </c>
      <c r="J7350" s="36">
        <v>45951</v>
      </c>
      <c r="K7350" s="24" t="s">
        <v>22</v>
      </c>
    </row>
    <row r="7351" spans="1:11" x14ac:dyDescent="0.2">
      <c r="A7351" s="27" t="s">
        <v>17214</v>
      </c>
      <c r="B7351" s="27" t="s">
        <v>17215</v>
      </c>
      <c r="C7351" s="27" t="s">
        <v>687</v>
      </c>
      <c r="D7351" s="27" t="s">
        <v>17</v>
      </c>
      <c r="E7351" s="27" t="s">
        <v>48</v>
      </c>
      <c r="F7351" s="27" t="s">
        <v>49</v>
      </c>
      <c r="G7351" s="27" t="s">
        <v>28</v>
      </c>
      <c r="H7351" s="29">
        <v>220</v>
      </c>
      <c r="I7351" s="27" t="s">
        <v>29</v>
      </c>
      <c r="J7351" s="37">
        <v>45931</v>
      </c>
      <c r="K7351" s="27" t="s">
        <v>22</v>
      </c>
    </row>
    <row r="7352" spans="1:11" x14ac:dyDescent="0.2">
      <c r="A7352" s="24" t="s">
        <v>17216</v>
      </c>
      <c r="B7352" s="24" t="s">
        <v>17217</v>
      </c>
      <c r="C7352" s="24" t="s">
        <v>13202</v>
      </c>
      <c r="D7352" s="24" t="s">
        <v>17</v>
      </c>
      <c r="E7352" s="24" t="s">
        <v>48</v>
      </c>
      <c r="F7352" s="24" t="s">
        <v>49</v>
      </c>
      <c r="G7352" s="24" t="s">
        <v>44</v>
      </c>
      <c r="H7352" s="26">
        <v>80</v>
      </c>
      <c r="I7352" s="24" t="s">
        <v>29</v>
      </c>
      <c r="J7352" s="36">
        <v>45932</v>
      </c>
      <c r="K7352" s="24" t="s">
        <v>22</v>
      </c>
    </row>
    <row r="7353" spans="1:11" x14ac:dyDescent="0.2">
      <c r="A7353" s="27" t="s">
        <v>17218</v>
      </c>
      <c r="B7353" s="27" t="s">
        <v>17219</v>
      </c>
      <c r="C7353" s="27" t="s">
        <v>14809</v>
      </c>
      <c r="D7353" s="27" t="s">
        <v>17</v>
      </c>
      <c r="E7353" s="27" t="s">
        <v>48</v>
      </c>
      <c r="F7353" s="27" t="s">
        <v>49</v>
      </c>
      <c r="G7353" s="27" t="s">
        <v>217</v>
      </c>
      <c r="H7353" s="29">
        <v>36</v>
      </c>
      <c r="I7353" s="27" t="s">
        <v>29</v>
      </c>
      <c r="J7353" s="37">
        <v>45931</v>
      </c>
      <c r="K7353" s="27" t="s">
        <v>22</v>
      </c>
    </row>
    <row r="7354" spans="1:11" x14ac:dyDescent="0.2">
      <c r="A7354" s="24" t="s">
        <v>17220</v>
      </c>
      <c r="B7354" s="24" t="s">
        <v>17221</v>
      </c>
      <c r="C7354" s="24" t="s">
        <v>3281</v>
      </c>
      <c r="D7354" s="24" t="s">
        <v>17</v>
      </c>
      <c r="E7354" s="24" t="s">
        <v>18</v>
      </c>
      <c r="F7354" s="24" t="s">
        <v>19</v>
      </c>
      <c r="G7354" s="24" t="s">
        <v>44</v>
      </c>
      <c r="H7354" s="26">
        <v>20</v>
      </c>
      <c r="I7354" s="24" t="s">
        <v>29</v>
      </c>
      <c r="J7354" s="36">
        <v>45959</v>
      </c>
      <c r="K7354" s="24" t="s">
        <v>22</v>
      </c>
    </row>
    <row r="7355" spans="1:11" x14ac:dyDescent="0.2">
      <c r="A7355" s="27" t="s">
        <v>17222</v>
      </c>
      <c r="B7355" s="27" t="s">
        <v>17223</v>
      </c>
      <c r="C7355" s="27" t="s">
        <v>17224</v>
      </c>
      <c r="D7355" s="27" t="s">
        <v>17</v>
      </c>
      <c r="E7355" s="27" t="s">
        <v>18</v>
      </c>
      <c r="F7355" s="27" t="s">
        <v>19</v>
      </c>
      <c r="G7355" s="27" t="s">
        <v>28</v>
      </c>
      <c r="H7355" s="29">
        <v>69</v>
      </c>
      <c r="I7355" s="27" t="s">
        <v>29</v>
      </c>
      <c r="J7355" s="37">
        <v>45958</v>
      </c>
      <c r="K7355" s="27" t="s">
        <v>22</v>
      </c>
    </row>
    <row r="7356" spans="1:11" x14ac:dyDescent="0.2">
      <c r="A7356" s="24" t="s">
        <v>17225</v>
      </c>
      <c r="B7356" s="24" t="s">
        <v>17226</v>
      </c>
      <c r="C7356" s="24" t="s">
        <v>8382</v>
      </c>
      <c r="D7356" s="24" t="s">
        <v>17</v>
      </c>
      <c r="E7356" s="24" t="s">
        <v>48</v>
      </c>
      <c r="F7356" s="24" t="s">
        <v>49</v>
      </c>
      <c r="G7356" s="24" t="s">
        <v>28</v>
      </c>
      <c r="H7356" s="26">
        <v>60</v>
      </c>
      <c r="I7356" s="24" t="s">
        <v>29</v>
      </c>
      <c r="J7356" s="36">
        <v>45944</v>
      </c>
      <c r="K7356" s="24" t="s">
        <v>22</v>
      </c>
    </row>
    <row r="7357" spans="1:11" x14ac:dyDescent="0.2">
      <c r="A7357" s="27" t="s">
        <v>17227</v>
      </c>
      <c r="B7357" s="27" t="s">
        <v>17228</v>
      </c>
      <c r="C7357" s="27" t="s">
        <v>526</v>
      </c>
      <c r="D7357" s="27" t="s">
        <v>17</v>
      </c>
      <c r="E7357" s="27" t="s">
        <v>42</v>
      </c>
      <c r="F7357" s="27" t="s">
        <v>43</v>
      </c>
      <c r="G7357" s="27" t="s">
        <v>28</v>
      </c>
      <c r="H7357" s="29">
        <v>4500</v>
      </c>
      <c r="I7357" s="27" t="s">
        <v>29</v>
      </c>
      <c r="J7357" s="37">
        <v>45945</v>
      </c>
      <c r="K7357" s="27" t="s">
        <v>22</v>
      </c>
    </row>
    <row r="7358" spans="1:11" x14ac:dyDescent="0.2">
      <c r="A7358" s="24" t="s">
        <v>17229</v>
      </c>
      <c r="B7358" s="24" t="s">
        <v>17230</v>
      </c>
      <c r="C7358" s="24" t="s">
        <v>15947</v>
      </c>
      <c r="D7358" s="24" t="s">
        <v>17</v>
      </c>
      <c r="E7358" s="24" t="s">
        <v>26</v>
      </c>
      <c r="F7358" s="24" t="s">
        <v>27</v>
      </c>
      <c r="G7358" s="24" t="s">
        <v>217</v>
      </c>
      <c r="H7358" s="26">
        <v>116</v>
      </c>
      <c r="I7358" s="24" t="s">
        <v>29</v>
      </c>
      <c r="J7358" s="36">
        <v>45931</v>
      </c>
      <c r="K7358" s="24" t="s">
        <v>22</v>
      </c>
    </row>
    <row r="7359" spans="1:11" x14ac:dyDescent="0.2">
      <c r="A7359" s="27" t="s">
        <v>17231</v>
      </c>
      <c r="B7359" s="27" t="s">
        <v>17232</v>
      </c>
      <c r="C7359" s="27" t="s">
        <v>437</v>
      </c>
      <c r="D7359" s="27" t="s">
        <v>17</v>
      </c>
      <c r="E7359" s="27" t="s">
        <v>18</v>
      </c>
      <c r="F7359" s="27" t="s">
        <v>19</v>
      </c>
      <c r="G7359" s="27" t="s">
        <v>44</v>
      </c>
      <c r="H7359" s="29">
        <v>348</v>
      </c>
      <c r="I7359" s="27" t="s">
        <v>21</v>
      </c>
      <c r="J7359" s="37">
        <v>45940</v>
      </c>
      <c r="K7359" s="27" t="s">
        <v>22</v>
      </c>
    </row>
    <row r="7360" spans="1:11" x14ac:dyDescent="0.2">
      <c r="A7360" s="24" t="s">
        <v>17233</v>
      </c>
      <c r="B7360" s="24" t="s">
        <v>17234</v>
      </c>
      <c r="C7360" s="24" t="s">
        <v>146</v>
      </c>
      <c r="D7360" s="24" t="s">
        <v>17</v>
      </c>
      <c r="E7360" s="24" t="s">
        <v>42</v>
      </c>
      <c r="F7360" s="24" t="s">
        <v>43</v>
      </c>
      <c r="G7360" s="24" t="s">
        <v>28</v>
      </c>
      <c r="H7360" s="26">
        <v>1196</v>
      </c>
      <c r="I7360" s="24" t="s">
        <v>29</v>
      </c>
      <c r="J7360" s="36">
        <v>45950</v>
      </c>
      <c r="K7360" s="24" t="s">
        <v>22</v>
      </c>
    </row>
    <row r="7361" spans="1:11" x14ac:dyDescent="0.2">
      <c r="A7361" s="27" t="s">
        <v>17235</v>
      </c>
      <c r="B7361" s="27" t="s">
        <v>17236</v>
      </c>
      <c r="C7361" s="27" t="s">
        <v>17237</v>
      </c>
      <c r="D7361" s="27" t="s">
        <v>17</v>
      </c>
      <c r="E7361" s="27" t="s">
        <v>18</v>
      </c>
      <c r="F7361" s="27" t="s">
        <v>19</v>
      </c>
      <c r="G7361" s="27" t="s">
        <v>28</v>
      </c>
      <c r="H7361" s="29">
        <v>48</v>
      </c>
      <c r="I7361" s="27" t="s">
        <v>29</v>
      </c>
      <c r="J7361" s="37">
        <v>45940</v>
      </c>
      <c r="K7361" s="27" t="s">
        <v>22</v>
      </c>
    </row>
    <row r="7362" spans="1:11" x14ac:dyDescent="0.2">
      <c r="A7362" s="24" t="s">
        <v>17238</v>
      </c>
      <c r="B7362" s="24" t="s">
        <v>17239</v>
      </c>
      <c r="C7362" s="24" t="s">
        <v>213</v>
      </c>
      <c r="D7362" s="24" t="s">
        <v>17</v>
      </c>
      <c r="E7362" s="24" t="s">
        <v>18</v>
      </c>
      <c r="F7362" s="24" t="s">
        <v>19</v>
      </c>
      <c r="G7362" s="24" t="s">
        <v>44</v>
      </c>
      <c r="H7362" s="26">
        <v>16</v>
      </c>
      <c r="I7362" s="24" t="s">
        <v>21</v>
      </c>
      <c r="J7362" s="36">
        <v>45933</v>
      </c>
      <c r="K7362" s="24" t="s">
        <v>22</v>
      </c>
    </row>
    <row r="7363" spans="1:11" x14ac:dyDescent="0.2">
      <c r="A7363" s="27" t="s">
        <v>17240</v>
      </c>
      <c r="B7363" s="27" t="s">
        <v>17241</v>
      </c>
      <c r="C7363" s="27" t="s">
        <v>2535</v>
      </c>
      <c r="D7363" s="27" t="s">
        <v>17</v>
      </c>
      <c r="E7363" s="27" t="s">
        <v>81</v>
      </c>
      <c r="F7363" s="27" t="s">
        <v>82</v>
      </c>
      <c r="G7363" s="27" t="s">
        <v>28</v>
      </c>
      <c r="H7363" s="29">
        <v>20</v>
      </c>
      <c r="I7363" s="27" t="s">
        <v>29</v>
      </c>
      <c r="J7363" s="37">
        <v>45937</v>
      </c>
      <c r="K7363" s="27" t="s">
        <v>22</v>
      </c>
    </row>
    <row r="7364" spans="1:11" x14ac:dyDescent="0.2">
      <c r="A7364" s="24" t="s">
        <v>17242</v>
      </c>
      <c r="B7364" s="24" t="s">
        <v>17243</v>
      </c>
      <c r="C7364" s="24" t="s">
        <v>11719</v>
      </c>
      <c r="D7364" s="24" t="s">
        <v>17</v>
      </c>
      <c r="E7364" s="24" t="s">
        <v>26</v>
      </c>
      <c r="F7364" s="24" t="s">
        <v>27</v>
      </c>
      <c r="G7364" s="24" t="s">
        <v>217</v>
      </c>
      <c r="H7364" s="26">
        <v>60</v>
      </c>
      <c r="I7364" s="24" t="s">
        <v>29</v>
      </c>
      <c r="J7364" s="36">
        <v>45946</v>
      </c>
      <c r="K7364" s="24" t="s">
        <v>22</v>
      </c>
    </row>
    <row r="7365" spans="1:11" x14ac:dyDescent="0.2">
      <c r="A7365" s="27" t="s">
        <v>17244</v>
      </c>
      <c r="B7365" s="27" t="s">
        <v>17245</v>
      </c>
      <c r="C7365" s="27" t="s">
        <v>208</v>
      </c>
      <c r="D7365" s="27" t="s">
        <v>17</v>
      </c>
      <c r="E7365" s="27" t="s">
        <v>42</v>
      </c>
      <c r="F7365" s="27" t="s">
        <v>43</v>
      </c>
      <c r="G7365" s="27" t="s">
        <v>44</v>
      </c>
      <c r="H7365" s="29">
        <v>4</v>
      </c>
      <c r="I7365" s="27" t="s">
        <v>29</v>
      </c>
      <c r="J7365" s="37">
        <v>45945</v>
      </c>
      <c r="K7365" s="27" t="s">
        <v>22</v>
      </c>
    </row>
    <row r="7366" spans="1:11" x14ac:dyDescent="0.2">
      <c r="A7366" s="24" t="s">
        <v>17246</v>
      </c>
      <c r="B7366" s="24" t="s">
        <v>17247</v>
      </c>
      <c r="C7366" s="24" t="s">
        <v>992</v>
      </c>
      <c r="D7366" s="24" t="s">
        <v>17</v>
      </c>
      <c r="E7366" s="24" t="s">
        <v>42</v>
      </c>
      <c r="F7366" s="24" t="s">
        <v>43</v>
      </c>
      <c r="G7366" s="24" t="s">
        <v>28</v>
      </c>
      <c r="H7366" s="26">
        <v>32</v>
      </c>
      <c r="I7366" s="24" t="s">
        <v>29</v>
      </c>
      <c r="J7366" s="36">
        <v>45946</v>
      </c>
      <c r="K7366" s="24" t="s">
        <v>22</v>
      </c>
    </row>
    <row r="7367" spans="1:11" x14ac:dyDescent="0.2">
      <c r="A7367" s="27" t="s">
        <v>17248</v>
      </c>
      <c r="B7367" s="27" t="s">
        <v>17249</v>
      </c>
      <c r="C7367" s="27" t="s">
        <v>9445</v>
      </c>
      <c r="D7367" s="27" t="s">
        <v>17</v>
      </c>
      <c r="E7367" s="27" t="s">
        <v>18</v>
      </c>
      <c r="F7367" s="27" t="s">
        <v>19</v>
      </c>
      <c r="G7367" s="27" t="s">
        <v>28</v>
      </c>
      <c r="H7367" s="29">
        <v>62</v>
      </c>
      <c r="I7367" s="27" t="s">
        <v>29</v>
      </c>
      <c r="J7367" s="37">
        <v>45931</v>
      </c>
      <c r="K7367" s="27" t="s">
        <v>22</v>
      </c>
    </row>
    <row r="7368" spans="1:11" x14ac:dyDescent="0.2">
      <c r="A7368" s="24" t="s">
        <v>17250</v>
      </c>
      <c r="B7368" s="24" t="s">
        <v>17251</v>
      </c>
      <c r="C7368" s="24" t="s">
        <v>17252</v>
      </c>
      <c r="D7368" s="24" t="s">
        <v>17</v>
      </c>
      <c r="E7368" s="24" t="s">
        <v>42</v>
      </c>
      <c r="F7368" s="24" t="s">
        <v>43</v>
      </c>
      <c r="G7368" s="24" t="s">
        <v>217</v>
      </c>
      <c r="H7368" s="26">
        <v>214</v>
      </c>
      <c r="I7368" s="24" t="s">
        <v>29</v>
      </c>
      <c r="J7368" s="36">
        <v>45931</v>
      </c>
      <c r="K7368" s="24" t="s">
        <v>22</v>
      </c>
    </row>
    <row r="7369" spans="1:11" x14ac:dyDescent="0.2">
      <c r="A7369" s="27" t="s">
        <v>17253</v>
      </c>
      <c r="B7369" s="27" t="s">
        <v>17254</v>
      </c>
      <c r="C7369" s="27" t="s">
        <v>17255</v>
      </c>
      <c r="D7369" s="27" t="s">
        <v>17</v>
      </c>
      <c r="E7369" s="27" t="s">
        <v>42</v>
      </c>
      <c r="F7369" s="27" t="s">
        <v>43</v>
      </c>
      <c r="G7369" s="27" t="s">
        <v>28</v>
      </c>
      <c r="H7369" s="29">
        <v>400</v>
      </c>
      <c r="I7369" s="27" t="s">
        <v>29</v>
      </c>
      <c r="J7369" s="37">
        <v>45958</v>
      </c>
      <c r="K7369" s="27" t="s">
        <v>22</v>
      </c>
    </row>
    <row r="7370" spans="1:11" x14ac:dyDescent="0.2">
      <c r="A7370" s="24" t="s">
        <v>17256</v>
      </c>
      <c r="B7370" s="24" t="s">
        <v>17257</v>
      </c>
      <c r="C7370" s="24" t="s">
        <v>1895</v>
      </c>
      <c r="D7370" s="24" t="s">
        <v>17</v>
      </c>
      <c r="E7370" s="24" t="s">
        <v>18</v>
      </c>
      <c r="F7370" s="24" t="s">
        <v>19</v>
      </c>
      <c r="G7370" s="24" t="s">
        <v>28</v>
      </c>
      <c r="H7370" s="26">
        <v>160</v>
      </c>
      <c r="I7370" s="24" t="s">
        <v>29</v>
      </c>
      <c r="J7370" s="36">
        <v>45961</v>
      </c>
      <c r="K7370" s="24" t="s">
        <v>22</v>
      </c>
    </row>
    <row r="7371" spans="1:11" x14ac:dyDescent="0.2">
      <c r="A7371" s="27" t="s">
        <v>17258</v>
      </c>
      <c r="B7371" s="27" t="s">
        <v>17259</v>
      </c>
      <c r="C7371" s="27" t="s">
        <v>1518</v>
      </c>
      <c r="D7371" s="27" t="s">
        <v>17</v>
      </c>
      <c r="E7371" s="27" t="s">
        <v>26</v>
      </c>
      <c r="F7371" s="27" t="s">
        <v>27</v>
      </c>
      <c r="G7371" s="27" t="s">
        <v>28</v>
      </c>
      <c r="H7371" s="29">
        <v>260</v>
      </c>
      <c r="I7371" s="27" t="s">
        <v>29</v>
      </c>
      <c r="J7371" s="37">
        <v>45959</v>
      </c>
      <c r="K7371" s="27" t="s">
        <v>22</v>
      </c>
    </row>
    <row r="7372" spans="1:11" x14ac:dyDescent="0.2">
      <c r="A7372" s="24" t="s">
        <v>17260</v>
      </c>
      <c r="B7372" s="24" t="s">
        <v>17261</v>
      </c>
      <c r="C7372" s="24" t="s">
        <v>10855</v>
      </c>
      <c r="D7372" s="24" t="s">
        <v>17</v>
      </c>
      <c r="E7372" s="24" t="s">
        <v>18</v>
      </c>
      <c r="F7372" s="24" t="s">
        <v>19</v>
      </c>
      <c r="G7372" s="24" t="s">
        <v>20</v>
      </c>
      <c r="H7372" s="26">
        <v>21</v>
      </c>
      <c r="I7372" s="24" t="s">
        <v>21</v>
      </c>
      <c r="J7372" s="36">
        <v>45958</v>
      </c>
      <c r="K7372" s="24" t="s">
        <v>22</v>
      </c>
    </row>
    <row r="7373" spans="1:11" x14ac:dyDescent="0.2">
      <c r="A7373" s="27" t="s">
        <v>17262</v>
      </c>
      <c r="B7373" s="27" t="s">
        <v>17263</v>
      </c>
      <c r="C7373" s="27" t="s">
        <v>17264</v>
      </c>
      <c r="D7373" s="27" t="s">
        <v>17</v>
      </c>
      <c r="E7373" s="27" t="s">
        <v>18</v>
      </c>
      <c r="F7373" s="27" t="s">
        <v>19</v>
      </c>
      <c r="G7373" s="27" t="s">
        <v>217</v>
      </c>
      <c r="H7373" s="29">
        <v>15</v>
      </c>
      <c r="I7373" s="27" t="s">
        <v>29</v>
      </c>
      <c r="J7373" s="37">
        <v>45945</v>
      </c>
      <c r="K7373" s="27" t="s">
        <v>22</v>
      </c>
    </row>
    <row r="7374" spans="1:11" x14ac:dyDescent="0.2">
      <c r="A7374" s="24" t="s">
        <v>17265</v>
      </c>
      <c r="B7374" s="24" t="s">
        <v>17266</v>
      </c>
      <c r="C7374" s="24" t="s">
        <v>260</v>
      </c>
      <c r="D7374" s="24" t="s">
        <v>17</v>
      </c>
      <c r="E7374" s="24" t="s">
        <v>42</v>
      </c>
      <c r="F7374" s="24" t="s">
        <v>43</v>
      </c>
      <c r="G7374" s="24" t="s">
        <v>20</v>
      </c>
      <c r="H7374" s="26">
        <v>254</v>
      </c>
      <c r="I7374" s="24" t="s">
        <v>21</v>
      </c>
      <c r="J7374" s="36">
        <v>45953</v>
      </c>
      <c r="K7374" s="24" t="s">
        <v>22</v>
      </c>
    </row>
    <row r="7375" spans="1:11" x14ac:dyDescent="0.2">
      <c r="A7375" s="27" t="s">
        <v>17267</v>
      </c>
      <c r="B7375" s="27" t="s">
        <v>17268</v>
      </c>
      <c r="C7375" s="27" t="s">
        <v>7578</v>
      </c>
      <c r="D7375" s="27" t="s">
        <v>17</v>
      </c>
      <c r="E7375" s="27" t="s">
        <v>48</v>
      </c>
      <c r="F7375" s="27" t="s">
        <v>49</v>
      </c>
      <c r="G7375" s="27" t="s">
        <v>28</v>
      </c>
      <c r="H7375" s="29">
        <v>24</v>
      </c>
      <c r="I7375" s="27" t="s">
        <v>29</v>
      </c>
      <c r="J7375" s="37">
        <v>45943</v>
      </c>
      <c r="K7375" s="27" t="s">
        <v>22</v>
      </c>
    </row>
    <row r="7376" spans="1:11" x14ac:dyDescent="0.2">
      <c r="A7376" s="24" t="s">
        <v>17269</v>
      </c>
      <c r="B7376" s="24" t="s">
        <v>17270</v>
      </c>
      <c r="C7376" s="24" t="s">
        <v>937</v>
      </c>
      <c r="D7376" s="24" t="s">
        <v>17</v>
      </c>
      <c r="E7376" s="24" t="s">
        <v>42</v>
      </c>
      <c r="F7376" s="24" t="s">
        <v>43</v>
      </c>
      <c r="G7376" s="24" t="s">
        <v>217</v>
      </c>
      <c r="H7376" s="26">
        <v>96</v>
      </c>
      <c r="I7376" s="24" t="s">
        <v>29</v>
      </c>
      <c r="J7376" s="36">
        <v>45931</v>
      </c>
      <c r="K7376" s="24" t="s">
        <v>22</v>
      </c>
    </row>
    <row r="7377" spans="1:11" x14ac:dyDescent="0.2">
      <c r="A7377" s="27" t="s">
        <v>17271</v>
      </c>
      <c r="B7377" s="27" t="s">
        <v>17272</v>
      </c>
      <c r="C7377" s="27" t="s">
        <v>2811</v>
      </c>
      <c r="D7377" s="27" t="s">
        <v>17</v>
      </c>
      <c r="E7377" s="27" t="s">
        <v>18</v>
      </c>
      <c r="F7377" s="27" t="s">
        <v>19</v>
      </c>
      <c r="G7377" s="27" t="s">
        <v>227</v>
      </c>
      <c r="H7377" s="29">
        <v>144</v>
      </c>
      <c r="I7377" s="27" t="s">
        <v>29</v>
      </c>
      <c r="J7377" s="37">
        <v>45943</v>
      </c>
      <c r="K7377" s="27" t="s">
        <v>22</v>
      </c>
    </row>
    <row r="7378" spans="1:11" x14ac:dyDescent="0.2">
      <c r="A7378" s="24" t="s">
        <v>17273</v>
      </c>
      <c r="B7378" s="24" t="s">
        <v>17274</v>
      </c>
      <c r="C7378" s="24" t="s">
        <v>17275</v>
      </c>
      <c r="D7378" s="24" t="s">
        <v>17</v>
      </c>
      <c r="E7378" s="24" t="s">
        <v>26</v>
      </c>
      <c r="F7378" s="24" t="s">
        <v>27</v>
      </c>
      <c r="G7378" s="24" t="s">
        <v>217</v>
      </c>
      <c r="H7378" s="26">
        <v>115</v>
      </c>
      <c r="I7378" s="24" t="s">
        <v>29</v>
      </c>
      <c r="J7378" s="36">
        <v>45940</v>
      </c>
      <c r="K7378" s="24" t="s">
        <v>22</v>
      </c>
    </row>
    <row r="7379" spans="1:11" x14ac:dyDescent="0.2">
      <c r="A7379" s="27" t="s">
        <v>17276</v>
      </c>
      <c r="B7379" s="27" t="s">
        <v>17277</v>
      </c>
      <c r="C7379" s="27" t="s">
        <v>17278</v>
      </c>
      <c r="D7379" s="27" t="s">
        <v>17</v>
      </c>
      <c r="E7379" s="27" t="s">
        <v>18</v>
      </c>
      <c r="F7379" s="27" t="s">
        <v>19</v>
      </c>
      <c r="G7379" s="27" t="s">
        <v>28</v>
      </c>
      <c r="H7379" s="29">
        <v>24</v>
      </c>
      <c r="I7379" s="27" t="s">
        <v>29</v>
      </c>
      <c r="J7379" s="37">
        <v>45936</v>
      </c>
      <c r="K7379" s="27" t="s">
        <v>22</v>
      </c>
    </row>
    <row r="7380" spans="1:11" x14ac:dyDescent="0.2">
      <c r="A7380" s="24" t="s">
        <v>17279</v>
      </c>
      <c r="B7380" s="24" t="s">
        <v>17280</v>
      </c>
      <c r="C7380" s="24" t="s">
        <v>4350</v>
      </c>
      <c r="D7380" s="24" t="s">
        <v>17</v>
      </c>
      <c r="E7380" s="24" t="s">
        <v>48</v>
      </c>
      <c r="F7380" s="24" t="s">
        <v>49</v>
      </c>
      <c r="G7380" s="24" t="s">
        <v>20</v>
      </c>
      <c r="H7380" s="26">
        <v>33</v>
      </c>
      <c r="I7380" s="24" t="s">
        <v>21</v>
      </c>
      <c r="J7380" s="36">
        <v>45936</v>
      </c>
      <c r="K7380" s="24" t="s">
        <v>22</v>
      </c>
    </row>
    <row r="7381" spans="1:11" x14ac:dyDescent="0.2">
      <c r="A7381" s="27" t="s">
        <v>17281</v>
      </c>
      <c r="B7381" s="27" t="s">
        <v>17282</v>
      </c>
      <c r="C7381" s="27" t="s">
        <v>6436</v>
      </c>
      <c r="D7381" s="27" t="s">
        <v>17</v>
      </c>
      <c r="E7381" s="27" t="s">
        <v>42</v>
      </c>
      <c r="F7381" s="27" t="s">
        <v>43</v>
      </c>
      <c r="G7381" s="27" t="s">
        <v>28</v>
      </c>
      <c r="H7381" s="29">
        <v>532</v>
      </c>
      <c r="I7381" s="27" t="s">
        <v>29</v>
      </c>
      <c r="J7381" s="37">
        <v>45946</v>
      </c>
      <c r="K7381" s="27" t="s">
        <v>22</v>
      </c>
    </row>
    <row r="7382" spans="1:11" x14ac:dyDescent="0.2">
      <c r="A7382" s="24" t="s">
        <v>17283</v>
      </c>
      <c r="B7382" s="24" t="s">
        <v>17284</v>
      </c>
      <c r="C7382" s="24" t="s">
        <v>6308</v>
      </c>
      <c r="D7382" s="24" t="s">
        <v>17</v>
      </c>
      <c r="E7382" s="24" t="s">
        <v>48</v>
      </c>
      <c r="F7382" s="24" t="s">
        <v>49</v>
      </c>
      <c r="G7382" s="24" t="s">
        <v>28</v>
      </c>
      <c r="H7382" s="26">
        <v>78</v>
      </c>
      <c r="I7382" s="24" t="s">
        <v>29</v>
      </c>
      <c r="J7382" s="36">
        <v>45935</v>
      </c>
      <c r="K7382" s="24" t="s">
        <v>22</v>
      </c>
    </row>
    <row r="7383" spans="1:11" x14ac:dyDescent="0.2">
      <c r="A7383" s="27" t="s">
        <v>17285</v>
      </c>
      <c r="B7383" s="27" t="s">
        <v>17286</v>
      </c>
      <c r="C7383" s="27" t="s">
        <v>295</v>
      </c>
      <c r="D7383" s="27" t="s">
        <v>17</v>
      </c>
      <c r="E7383" s="27" t="s">
        <v>18</v>
      </c>
      <c r="F7383" s="27" t="s">
        <v>19</v>
      </c>
      <c r="G7383" s="27" t="s">
        <v>28</v>
      </c>
      <c r="H7383" s="29">
        <v>142</v>
      </c>
      <c r="I7383" s="27" t="s">
        <v>29</v>
      </c>
      <c r="J7383" s="37">
        <v>45937</v>
      </c>
      <c r="K7383" s="27" t="s">
        <v>22</v>
      </c>
    </row>
    <row r="7384" spans="1:11" x14ac:dyDescent="0.2">
      <c r="A7384" s="24" t="s">
        <v>17287</v>
      </c>
      <c r="B7384" s="24" t="s">
        <v>17288</v>
      </c>
      <c r="C7384" s="24" t="s">
        <v>85</v>
      </c>
      <c r="D7384" s="24" t="s">
        <v>17</v>
      </c>
      <c r="E7384" s="24" t="s">
        <v>42</v>
      </c>
      <c r="F7384" s="24" t="s">
        <v>43</v>
      </c>
      <c r="G7384" s="24" t="s">
        <v>28</v>
      </c>
      <c r="H7384" s="26">
        <v>395</v>
      </c>
      <c r="I7384" s="24" t="s">
        <v>29</v>
      </c>
      <c r="J7384" s="36">
        <v>45954</v>
      </c>
      <c r="K7384" s="24" t="s">
        <v>22</v>
      </c>
    </row>
    <row r="7385" spans="1:11" x14ac:dyDescent="0.2">
      <c r="A7385" s="27" t="s">
        <v>17289</v>
      </c>
      <c r="B7385" s="27" t="s">
        <v>17290</v>
      </c>
      <c r="C7385" s="27" t="s">
        <v>2705</v>
      </c>
      <c r="D7385" s="27" t="s">
        <v>17</v>
      </c>
      <c r="E7385" s="27" t="s">
        <v>26</v>
      </c>
      <c r="F7385" s="27" t="s">
        <v>27</v>
      </c>
      <c r="G7385" s="27" t="s">
        <v>217</v>
      </c>
      <c r="H7385" s="29">
        <v>15</v>
      </c>
      <c r="I7385" s="27" t="s">
        <v>29</v>
      </c>
      <c r="J7385" s="37">
        <v>45931</v>
      </c>
      <c r="K7385" s="27" t="s">
        <v>22</v>
      </c>
    </row>
    <row r="7386" spans="1:11" x14ac:dyDescent="0.2">
      <c r="A7386" s="24" t="s">
        <v>17291</v>
      </c>
      <c r="B7386" s="24" t="s">
        <v>17292</v>
      </c>
      <c r="C7386" s="24" t="s">
        <v>2048</v>
      </c>
      <c r="D7386" s="24" t="s">
        <v>17</v>
      </c>
      <c r="E7386" s="24" t="s">
        <v>18</v>
      </c>
      <c r="F7386" s="24" t="s">
        <v>19</v>
      </c>
      <c r="G7386" s="24" t="s">
        <v>28</v>
      </c>
      <c r="H7386" s="26">
        <v>102</v>
      </c>
      <c r="I7386" s="24" t="s">
        <v>29</v>
      </c>
      <c r="J7386" s="36">
        <v>45952</v>
      </c>
      <c r="K7386" s="24" t="s">
        <v>22</v>
      </c>
    </row>
    <row r="7387" spans="1:11" x14ac:dyDescent="0.2">
      <c r="A7387" s="27" t="s">
        <v>17293</v>
      </c>
      <c r="B7387" s="27" t="s">
        <v>17294</v>
      </c>
      <c r="C7387" s="27" t="s">
        <v>85</v>
      </c>
      <c r="D7387" s="27" t="s">
        <v>17</v>
      </c>
      <c r="E7387" s="27" t="s">
        <v>48</v>
      </c>
      <c r="F7387" s="27" t="s">
        <v>49</v>
      </c>
      <c r="G7387" s="27" t="s">
        <v>28</v>
      </c>
      <c r="H7387" s="29">
        <v>125</v>
      </c>
      <c r="I7387" s="27" t="s">
        <v>29</v>
      </c>
      <c r="J7387" s="37">
        <v>45959</v>
      </c>
      <c r="K7387" s="27" t="s">
        <v>22</v>
      </c>
    </row>
    <row r="7388" spans="1:11" x14ac:dyDescent="0.2">
      <c r="A7388" s="24" t="s">
        <v>17295</v>
      </c>
      <c r="B7388" s="24" t="s">
        <v>17296</v>
      </c>
      <c r="C7388" s="24" t="s">
        <v>2179</v>
      </c>
      <c r="D7388" s="24" t="s">
        <v>17</v>
      </c>
      <c r="E7388" s="24" t="s">
        <v>18</v>
      </c>
      <c r="F7388" s="24" t="s">
        <v>19</v>
      </c>
      <c r="G7388" s="24" t="s">
        <v>28</v>
      </c>
      <c r="H7388" s="26">
        <v>21</v>
      </c>
      <c r="I7388" s="24" t="s">
        <v>29</v>
      </c>
      <c r="J7388" s="36">
        <v>45957</v>
      </c>
      <c r="K7388" s="24" t="s">
        <v>22</v>
      </c>
    </row>
    <row r="7389" spans="1:11" x14ac:dyDescent="0.2">
      <c r="A7389" s="27" t="s">
        <v>17297</v>
      </c>
      <c r="B7389" s="27" t="s">
        <v>17298</v>
      </c>
      <c r="C7389" s="27" t="s">
        <v>17299</v>
      </c>
      <c r="D7389" s="27" t="s">
        <v>17</v>
      </c>
      <c r="E7389" s="27" t="s">
        <v>18</v>
      </c>
      <c r="F7389" s="27" t="s">
        <v>19</v>
      </c>
      <c r="G7389" s="27" t="s">
        <v>28</v>
      </c>
      <c r="H7389" s="29">
        <v>84</v>
      </c>
      <c r="I7389" s="27" t="s">
        <v>29</v>
      </c>
      <c r="J7389" s="37">
        <v>45960</v>
      </c>
      <c r="K7389" s="27" t="s">
        <v>22</v>
      </c>
    </row>
    <row r="7390" spans="1:11" x14ac:dyDescent="0.2">
      <c r="A7390" s="24" t="s">
        <v>17300</v>
      </c>
      <c r="B7390" s="24" t="s">
        <v>17301</v>
      </c>
      <c r="C7390" s="24" t="s">
        <v>17302</v>
      </c>
      <c r="D7390" s="24" t="s">
        <v>17</v>
      </c>
      <c r="E7390" s="24" t="s">
        <v>26</v>
      </c>
      <c r="F7390" s="24" t="s">
        <v>27</v>
      </c>
      <c r="G7390" s="24" t="s">
        <v>227</v>
      </c>
      <c r="H7390" s="26">
        <v>120</v>
      </c>
      <c r="I7390" s="24" t="s">
        <v>29</v>
      </c>
      <c r="J7390" s="36">
        <v>45953</v>
      </c>
      <c r="K7390" s="24" t="s">
        <v>22</v>
      </c>
    </row>
    <row r="7391" spans="1:11" x14ac:dyDescent="0.2">
      <c r="A7391" s="27" t="s">
        <v>17303</v>
      </c>
      <c r="B7391" s="27" t="s">
        <v>17304</v>
      </c>
      <c r="C7391" s="27" t="s">
        <v>17305</v>
      </c>
      <c r="D7391" s="27" t="s">
        <v>17</v>
      </c>
      <c r="E7391" s="27" t="s">
        <v>26</v>
      </c>
      <c r="F7391" s="27" t="s">
        <v>27</v>
      </c>
      <c r="G7391" s="27" t="s">
        <v>217</v>
      </c>
      <c r="H7391" s="29">
        <v>24</v>
      </c>
      <c r="I7391" s="27" t="s">
        <v>29</v>
      </c>
      <c r="J7391" s="37">
        <v>45931</v>
      </c>
      <c r="K7391" s="27" t="s">
        <v>22</v>
      </c>
    </row>
    <row r="7392" spans="1:11" x14ac:dyDescent="0.2">
      <c r="A7392" s="24" t="s">
        <v>17306</v>
      </c>
      <c r="B7392" s="24" t="s">
        <v>17307</v>
      </c>
      <c r="C7392" s="24" t="s">
        <v>6054</v>
      </c>
      <c r="D7392" s="24" t="s">
        <v>17</v>
      </c>
      <c r="E7392" s="24" t="s">
        <v>48</v>
      </c>
      <c r="F7392" s="24" t="s">
        <v>49</v>
      </c>
      <c r="G7392" s="24" t="s">
        <v>28</v>
      </c>
      <c r="H7392" s="26">
        <v>72</v>
      </c>
      <c r="I7392" s="24" t="s">
        <v>29</v>
      </c>
      <c r="J7392" s="36">
        <v>45950</v>
      </c>
      <c r="K7392" s="24" t="s">
        <v>22</v>
      </c>
    </row>
    <row r="7393" spans="1:11" x14ac:dyDescent="0.2">
      <c r="A7393" s="27" t="s">
        <v>17308</v>
      </c>
      <c r="B7393" s="27" t="s">
        <v>17309</v>
      </c>
      <c r="C7393" s="27" t="s">
        <v>9241</v>
      </c>
      <c r="D7393" s="27" t="s">
        <v>17</v>
      </c>
      <c r="E7393" s="27" t="s">
        <v>42</v>
      </c>
      <c r="F7393" s="27" t="s">
        <v>43</v>
      </c>
      <c r="G7393" s="27" t="s">
        <v>227</v>
      </c>
      <c r="H7393" s="29">
        <v>400</v>
      </c>
      <c r="I7393" s="27" t="s">
        <v>29</v>
      </c>
      <c r="J7393" s="37">
        <v>45960</v>
      </c>
      <c r="K7393" s="27" t="s">
        <v>22</v>
      </c>
    </row>
    <row r="7394" spans="1:11" x14ac:dyDescent="0.2">
      <c r="A7394" s="24" t="s">
        <v>17310</v>
      </c>
      <c r="B7394" s="24" t="s">
        <v>17311</v>
      </c>
      <c r="C7394" s="24" t="s">
        <v>17312</v>
      </c>
      <c r="D7394" s="24" t="s">
        <v>17</v>
      </c>
      <c r="E7394" s="24" t="s">
        <v>42</v>
      </c>
      <c r="F7394" s="24" t="s">
        <v>43</v>
      </c>
      <c r="G7394" s="24" t="s">
        <v>28</v>
      </c>
      <c r="H7394" s="26">
        <v>260</v>
      </c>
      <c r="I7394" s="24" t="s">
        <v>29</v>
      </c>
      <c r="J7394" s="36">
        <v>45944</v>
      </c>
      <c r="K7394" s="24" t="s">
        <v>22</v>
      </c>
    </row>
    <row r="7395" spans="1:11" x14ac:dyDescent="0.2">
      <c r="A7395" s="27" t="s">
        <v>17313</v>
      </c>
      <c r="B7395" s="27" t="s">
        <v>17314</v>
      </c>
      <c r="C7395" s="27" t="s">
        <v>213</v>
      </c>
      <c r="D7395" s="27" t="s">
        <v>17</v>
      </c>
      <c r="E7395" s="27" t="s">
        <v>18</v>
      </c>
      <c r="F7395" s="27" t="s">
        <v>19</v>
      </c>
      <c r="G7395" s="27" t="s">
        <v>28</v>
      </c>
      <c r="H7395" s="29">
        <v>72</v>
      </c>
      <c r="I7395" s="27" t="s">
        <v>29</v>
      </c>
      <c r="J7395" s="37">
        <v>45938</v>
      </c>
      <c r="K7395" s="27" t="s">
        <v>22</v>
      </c>
    </row>
    <row r="7396" spans="1:11" x14ac:dyDescent="0.2">
      <c r="A7396" s="24" t="s">
        <v>17315</v>
      </c>
      <c r="B7396" s="24" t="s">
        <v>17316</v>
      </c>
      <c r="C7396" s="24" t="s">
        <v>4329</v>
      </c>
      <c r="D7396" s="24" t="s">
        <v>17</v>
      </c>
      <c r="E7396" s="24" t="s">
        <v>26</v>
      </c>
      <c r="F7396" s="24" t="s">
        <v>27</v>
      </c>
      <c r="G7396" s="24" t="s">
        <v>28</v>
      </c>
      <c r="H7396" s="26">
        <v>235</v>
      </c>
      <c r="I7396" s="24" t="s">
        <v>29</v>
      </c>
      <c r="J7396" s="36">
        <v>45931</v>
      </c>
      <c r="K7396" s="24" t="s">
        <v>22</v>
      </c>
    </row>
    <row r="7397" spans="1:11" x14ac:dyDescent="0.2">
      <c r="A7397" s="27" t="s">
        <v>17317</v>
      </c>
      <c r="B7397" s="27" t="s">
        <v>17318</v>
      </c>
      <c r="C7397" s="27" t="s">
        <v>301</v>
      </c>
      <c r="D7397" s="27" t="s">
        <v>17</v>
      </c>
      <c r="E7397" s="27" t="s">
        <v>42</v>
      </c>
      <c r="F7397" s="27" t="s">
        <v>43</v>
      </c>
      <c r="G7397" s="27" t="s">
        <v>28</v>
      </c>
      <c r="H7397" s="29">
        <v>882</v>
      </c>
      <c r="I7397" s="27" t="s">
        <v>29</v>
      </c>
      <c r="J7397" s="37">
        <v>45931</v>
      </c>
      <c r="K7397" s="27" t="s">
        <v>22</v>
      </c>
    </row>
    <row r="7398" spans="1:11" x14ac:dyDescent="0.2">
      <c r="A7398" s="24" t="s">
        <v>17319</v>
      </c>
      <c r="B7398" s="24" t="s">
        <v>17320</v>
      </c>
      <c r="C7398" s="24" t="s">
        <v>4269</v>
      </c>
      <c r="D7398" s="24" t="s">
        <v>17</v>
      </c>
      <c r="E7398" s="24" t="s">
        <v>18</v>
      </c>
      <c r="F7398" s="24" t="s">
        <v>19</v>
      </c>
      <c r="G7398" s="24" t="s">
        <v>20</v>
      </c>
      <c r="H7398" s="26">
        <v>63</v>
      </c>
      <c r="I7398" s="24" t="s">
        <v>21</v>
      </c>
      <c r="J7398" s="36">
        <v>45948</v>
      </c>
      <c r="K7398" s="24" t="s">
        <v>22</v>
      </c>
    </row>
    <row r="7399" spans="1:11" x14ac:dyDescent="0.2">
      <c r="A7399" s="27" t="s">
        <v>17321</v>
      </c>
      <c r="B7399" s="27" t="s">
        <v>17322</v>
      </c>
      <c r="C7399" s="27" t="s">
        <v>5315</v>
      </c>
      <c r="D7399" s="27" t="s">
        <v>17</v>
      </c>
      <c r="E7399" s="27" t="s">
        <v>18</v>
      </c>
      <c r="F7399" s="27" t="s">
        <v>19</v>
      </c>
      <c r="G7399" s="27" t="s">
        <v>20</v>
      </c>
      <c r="H7399" s="29">
        <v>32</v>
      </c>
      <c r="I7399" s="27" t="s">
        <v>21</v>
      </c>
      <c r="J7399" s="37">
        <v>45937</v>
      </c>
      <c r="K7399" s="27" t="s">
        <v>22</v>
      </c>
    </row>
    <row r="7400" spans="1:11" x14ac:dyDescent="0.2">
      <c r="A7400" s="24" t="s">
        <v>17323</v>
      </c>
      <c r="B7400" s="24" t="s">
        <v>17324</v>
      </c>
      <c r="C7400" s="24" t="s">
        <v>17325</v>
      </c>
      <c r="D7400" s="24" t="s">
        <v>17</v>
      </c>
      <c r="E7400" s="24" t="s">
        <v>42</v>
      </c>
      <c r="F7400" s="24" t="s">
        <v>43</v>
      </c>
      <c r="G7400" s="24" t="s">
        <v>28</v>
      </c>
      <c r="H7400" s="26">
        <v>5</v>
      </c>
      <c r="I7400" s="24" t="s">
        <v>29</v>
      </c>
      <c r="J7400" s="36">
        <v>45952</v>
      </c>
      <c r="K7400" s="24" t="s">
        <v>22</v>
      </c>
    </row>
    <row r="7401" spans="1:11" x14ac:dyDescent="0.2">
      <c r="A7401" s="27" t="s">
        <v>17326</v>
      </c>
      <c r="B7401" s="27" t="s">
        <v>17327</v>
      </c>
      <c r="C7401" s="27" t="s">
        <v>3692</v>
      </c>
      <c r="D7401" s="27" t="s">
        <v>17</v>
      </c>
      <c r="E7401" s="27" t="s">
        <v>18</v>
      </c>
      <c r="F7401" s="27" t="s">
        <v>19</v>
      </c>
      <c r="G7401" s="27" t="s">
        <v>28</v>
      </c>
      <c r="H7401" s="29">
        <v>10</v>
      </c>
      <c r="I7401" s="27" t="s">
        <v>29</v>
      </c>
      <c r="J7401" s="37">
        <v>45952</v>
      </c>
      <c r="K7401" s="27" t="s">
        <v>22</v>
      </c>
    </row>
    <row r="7402" spans="1:11" x14ac:dyDescent="0.2">
      <c r="A7402" s="24" t="s">
        <v>17328</v>
      </c>
      <c r="B7402" s="24" t="s">
        <v>17329</v>
      </c>
      <c r="C7402" s="24" t="s">
        <v>17330</v>
      </c>
      <c r="D7402" s="24" t="s">
        <v>17</v>
      </c>
      <c r="E7402" s="24" t="s">
        <v>18</v>
      </c>
      <c r="F7402" s="24" t="s">
        <v>19</v>
      </c>
      <c r="G7402" s="24" t="s">
        <v>217</v>
      </c>
      <c r="H7402" s="26">
        <v>18</v>
      </c>
      <c r="I7402" s="24" t="s">
        <v>29</v>
      </c>
      <c r="J7402" s="36">
        <v>45931</v>
      </c>
      <c r="K7402" s="24" t="s">
        <v>22</v>
      </c>
    </row>
    <row r="7403" spans="1:11" x14ac:dyDescent="0.2">
      <c r="A7403" s="27" t="s">
        <v>17331</v>
      </c>
      <c r="B7403" s="27" t="s">
        <v>17332</v>
      </c>
      <c r="C7403" s="27" t="s">
        <v>17333</v>
      </c>
      <c r="D7403" s="27" t="s">
        <v>17</v>
      </c>
      <c r="E7403" s="27" t="s">
        <v>18</v>
      </c>
      <c r="F7403" s="27" t="s">
        <v>19</v>
      </c>
      <c r="G7403" s="27" t="s">
        <v>28</v>
      </c>
      <c r="H7403" s="29">
        <v>21</v>
      </c>
      <c r="I7403" s="27" t="s">
        <v>29</v>
      </c>
      <c r="J7403" s="37">
        <v>45936</v>
      </c>
      <c r="K7403" s="27" t="s">
        <v>22</v>
      </c>
    </row>
    <row r="7404" spans="1:11" x14ac:dyDescent="0.2">
      <c r="A7404" s="24" t="s">
        <v>17334</v>
      </c>
      <c r="B7404" s="24" t="s">
        <v>17335</v>
      </c>
      <c r="C7404" s="24" t="s">
        <v>827</v>
      </c>
      <c r="D7404" s="24" t="s">
        <v>17</v>
      </c>
      <c r="E7404" s="24" t="s">
        <v>18</v>
      </c>
      <c r="F7404" s="24" t="s">
        <v>19</v>
      </c>
      <c r="G7404" s="24" t="s">
        <v>28</v>
      </c>
      <c r="H7404" s="26">
        <v>200</v>
      </c>
      <c r="I7404" s="24" t="s">
        <v>29</v>
      </c>
      <c r="J7404" s="36">
        <v>45952</v>
      </c>
      <c r="K7404" s="24" t="s">
        <v>22</v>
      </c>
    </row>
    <row r="7405" spans="1:11" x14ac:dyDescent="0.2">
      <c r="A7405" s="27" t="s">
        <v>17336</v>
      </c>
      <c r="B7405" s="27" t="s">
        <v>17337</v>
      </c>
      <c r="C7405" s="27" t="s">
        <v>17338</v>
      </c>
      <c r="D7405" s="27" t="s">
        <v>17</v>
      </c>
      <c r="E7405" s="27" t="s">
        <v>48</v>
      </c>
      <c r="F7405" s="27" t="s">
        <v>49</v>
      </c>
      <c r="G7405" s="27" t="s">
        <v>217</v>
      </c>
      <c r="H7405" s="29">
        <v>90</v>
      </c>
      <c r="I7405" s="27" t="s">
        <v>29</v>
      </c>
      <c r="J7405" s="37">
        <v>45931</v>
      </c>
      <c r="K7405" s="27" t="s">
        <v>22</v>
      </c>
    </row>
    <row r="7406" spans="1:11" x14ac:dyDescent="0.2">
      <c r="A7406" s="24" t="s">
        <v>17339</v>
      </c>
      <c r="B7406" s="24" t="s">
        <v>17340</v>
      </c>
      <c r="C7406" s="24" t="s">
        <v>6066</v>
      </c>
      <c r="D7406" s="24" t="s">
        <v>17</v>
      </c>
      <c r="E7406" s="24" t="s">
        <v>18</v>
      </c>
      <c r="F7406" s="24" t="s">
        <v>19</v>
      </c>
      <c r="G7406" s="24" t="s">
        <v>28</v>
      </c>
      <c r="H7406" s="26">
        <v>40</v>
      </c>
      <c r="I7406" s="24" t="s">
        <v>29</v>
      </c>
      <c r="J7406" s="36">
        <v>45958</v>
      </c>
      <c r="K7406" s="24" t="s">
        <v>22</v>
      </c>
    </row>
    <row r="7407" spans="1:11" x14ac:dyDescent="0.2">
      <c r="A7407" s="27" t="s">
        <v>17341</v>
      </c>
      <c r="B7407" s="27" t="s">
        <v>17342</v>
      </c>
      <c r="C7407" s="27" t="s">
        <v>41</v>
      </c>
      <c r="D7407" s="27" t="s">
        <v>17</v>
      </c>
      <c r="E7407" s="27" t="s">
        <v>81</v>
      </c>
      <c r="F7407" s="27" t="s">
        <v>82</v>
      </c>
      <c r="G7407" s="27" t="s">
        <v>28</v>
      </c>
      <c r="H7407" s="29">
        <v>200</v>
      </c>
      <c r="I7407" s="27" t="s">
        <v>29</v>
      </c>
      <c r="J7407" s="37">
        <v>45931</v>
      </c>
      <c r="K7407" s="27" t="s">
        <v>22</v>
      </c>
    </row>
    <row r="7408" spans="1:11" x14ac:dyDescent="0.2">
      <c r="A7408" s="24" t="s">
        <v>17343</v>
      </c>
      <c r="B7408" s="24" t="s">
        <v>17344</v>
      </c>
      <c r="C7408" s="24" t="s">
        <v>1766</v>
      </c>
      <c r="D7408" s="24" t="s">
        <v>17</v>
      </c>
      <c r="E7408" s="24" t="s">
        <v>48</v>
      </c>
      <c r="F7408" s="24" t="s">
        <v>49</v>
      </c>
      <c r="G7408" s="24" t="s">
        <v>28</v>
      </c>
      <c r="H7408" s="26">
        <v>45</v>
      </c>
      <c r="I7408" s="24" t="s">
        <v>29</v>
      </c>
      <c r="J7408" s="36">
        <v>45960</v>
      </c>
      <c r="K7408" s="24" t="s">
        <v>22</v>
      </c>
    </row>
    <row r="7409" spans="1:11" x14ac:dyDescent="0.2">
      <c r="A7409" s="27" t="s">
        <v>17345</v>
      </c>
      <c r="B7409" s="27" t="s">
        <v>17346</v>
      </c>
      <c r="C7409" s="27" t="s">
        <v>792</v>
      </c>
      <c r="D7409" s="27" t="s">
        <v>17</v>
      </c>
      <c r="E7409" s="27" t="s">
        <v>18</v>
      </c>
      <c r="F7409" s="27" t="s">
        <v>19</v>
      </c>
      <c r="G7409" s="27" t="s">
        <v>28</v>
      </c>
      <c r="H7409" s="29">
        <v>70</v>
      </c>
      <c r="I7409" s="27" t="s">
        <v>29</v>
      </c>
      <c r="J7409" s="37">
        <v>45939</v>
      </c>
      <c r="K7409" s="27" t="s">
        <v>22</v>
      </c>
    </row>
    <row r="7410" spans="1:11" x14ac:dyDescent="0.2">
      <c r="A7410" s="24" t="s">
        <v>17347</v>
      </c>
      <c r="B7410" s="24" t="s">
        <v>17348</v>
      </c>
      <c r="C7410" s="24" t="s">
        <v>68</v>
      </c>
      <c r="D7410" s="24" t="s">
        <v>17</v>
      </c>
      <c r="E7410" s="24" t="s">
        <v>18</v>
      </c>
      <c r="F7410" s="24" t="s">
        <v>19</v>
      </c>
      <c r="G7410" s="24" t="s">
        <v>28</v>
      </c>
      <c r="H7410" s="26">
        <v>42</v>
      </c>
      <c r="I7410" s="24" t="s">
        <v>29</v>
      </c>
      <c r="J7410" s="36">
        <v>45960</v>
      </c>
      <c r="K7410" s="24" t="s">
        <v>22</v>
      </c>
    </row>
    <row r="7411" spans="1:11" x14ac:dyDescent="0.2">
      <c r="A7411" s="27" t="s">
        <v>17349</v>
      </c>
      <c r="B7411" s="27" t="s">
        <v>17350</v>
      </c>
      <c r="C7411" s="27" t="s">
        <v>423</v>
      </c>
      <c r="D7411" s="27" t="s">
        <v>17</v>
      </c>
      <c r="E7411" s="27" t="s">
        <v>18</v>
      </c>
      <c r="F7411" s="27" t="s">
        <v>19</v>
      </c>
      <c r="G7411" s="27" t="s">
        <v>28</v>
      </c>
      <c r="H7411" s="29">
        <v>60</v>
      </c>
      <c r="I7411" s="27" t="s">
        <v>29</v>
      </c>
      <c r="J7411" s="37">
        <v>45946</v>
      </c>
      <c r="K7411" s="27" t="s">
        <v>22</v>
      </c>
    </row>
    <row r="7412" spans="1:11" x14ac:dyDescent="0.2">
      <c r="A7412" s="24" t="s">
        <v>17351</v>
      </c>
      <c r="B7412" s="24" t="s">
        <v>17352</v>
      </c>
      <c r="C7412" s="24" t="s">
        <v>9491</v>
      </c>
      <c r="D7412" s="24" t="s">
        <v>17</v>
      </c>
      <c r="E7412" s="24" t="s">
        <v>42</v>
      </c>
      <c r="F7412" s="24" t="s">
        <v>43</v>
      </c>
      <c r="G7412" s="24" t="s">
        <v>28</v>
      </c>
      <c r="H7412" s="26">
        <v>300</v>
      </c>
      <c r="I7412" s="24" t="s">
        <v>29</v>
      </c>
      <c r="J7412" s="36">
        <v>45947</v>
      </c>
      <c r="K7412" s="24" t="s">
        <v>22</v>
      </c>
    </row>
    <row r="7413" spans="1:11" x14ac:dyDescent="0.2">
      <c r="A7413" s="27" t="s">
        <v>17353</v>
      </c>
      <c r="B7413" s="27" t="s">
        <v>17354</v>
      </c>
      <c r="C7413" s="27" t="s">
        <v>17355</v>
      </c>
      <c r="D7413" s="27" t="s">
        <v>17</v>
      </c>
      <c r="E7413" s="27" t="s">
        <v>26</v>
      </c>
      <c r="F7413" s="27" t="s">
        <v>27</v>
      </c>
      <c r="G7413" s="27" t="s">
        <v>217</v>
      </c>
      <c r="H7413" s="29">
        <v>30</v>
      </c>
      <c r="I7413" s="27" t="s">
        <v>29</v>
      </c>
      <c r="J7413" s="37">
        <v>45952</v>
      </c>
      <c r="K7413" s="27" t="s">
        <v>22</v>
      </c>
    </row>
    <row r="7414" spans="1:11" x14ac:dyDescent="0.2">
      <c r="A7414" s="24" t="s">
        <v>17356</v>
      </c>
      <c r="B7414" s="24" t="s">
        <v>17357</v>
      </c>
      <c r="C7414" s="24" t="s">
        <v>2257</v>
      </c>
      <c r="D7414" s="24" t="s">
        <v>17</v>
      </c>
      <c r="E7414" s="24" t="s">
        <v>26</v>
      </c>
      <c r="F7414" s="24" t="s">
        <v>27</v>
      </c>
      <c r="G7414" s="24" t="s">
        <v>28</v>
      </c>
      <c r="H7414" s="26">
        <v>200</v>
      </c>
      <c r="I7414" s="24" t="s">
        <v>29</v>
      </c>
      <c r="J7414" s="36">
        <v>45931</v>
      </c>
      <c r="K7414" s="24" t="s">
        <v>22</v>
      </c>
    </row>
    <row r="7415" spans="1:11" x14ac:dyDescent="0.2">
      <c r="A7415" s="27" t="s">
        <v>17358</v>
      </c>
      <c r="B7415" s="27" t="s">
        <v>17359</v>
      </c>
      <c r="C7415" s="27" t="s">
        <v>5388</v>
      </c>
      <c r="D7415" s="27" t="s">
        <v>17</v>
      </c>
      <c r="E7415" s="27" t="s">
        <v>42</v>
      </c>
      <c r="F7415" s="27" t="s">
        <v>43</v>
      </c>
      <c r="G7415" s="27" t="s">
        <v>28</v>
      </c>
      <c r="H7415" s="29">
        <v>25000</v>
      </c>
      <c r="I7415" s="27" t="s">
        <v>29</v>
      </c>
      <c r="J7415" s="37">
        <v>45952</v>
      </c>
      <c r="K7415" s="27" t="s">
        <v>22</v>
      </c>
    </row>
    <row r="7416" spans="1:11" x14ac:dyDescent="0.2">
      <c r="A7416" s="24" t="s">
        <v>17360</v>
      </c>
      <c r="B7416" s="24" t="s">
        <v>17361</v>
      </c>
      <c r="C7416" s="24" t="s">
        <v>5824</v>
      </c>
      <c r="D7416" s="24" t="s">
        <v>17</v>
      </c>
      <c r="E7416" s="24" t="s">
        <v>42</v>
      </c>
      <c r="F7416" s="24" t="s">
        <v>43</v>
      </c>
      <c r="G7416" s="24" t="s">
        <v>28</v>
      </c>
      <c r="H7416" s="26">
        <v>406</v>
      </c>
      <c r="I7416" s="24" t="s">
        <v>29</v>
      </c>
      <c r="J7416" s="36">
        <v>45952</v>
      </c>
      <c r="K7416" s="24" t="s">
        <v>22</v>
      </c>
    </row>
    <row r="7417" spans="1:11" x14ac:dyDescent="0.2">
      <c r="A7417" s="27" t="s">
        <v>17362</v>
      </c>
      <c r="B7417" s="27" t="s">
        <v>17363</v>
      </c>
      <c r="C7417" s="27" t="s">
        <v>10283</v>
      </c>
      <c r="D7417" s="27" t="s">
        <v>17</v>
      </c>
      <c r="E7417" s="27" t="s">
        <v>48</v>
      </c>
      <c r="F7417" s="27" t="s">
        <v>49</v>
      </c>
      <c r="G7417" s="27" t="s">
        <v>28</v>
      </c>
      <c r="H7417" s="29">
        <v>80</v>
      </c>
      <c r="I7417" s="27" t="s">
        <v>29</v>
      </c>
      <c r="J7417" s="37">
        <v>45941</v>
      </c>
      <c r="K7417" s="27" t="s">
        <v>22</v>
      </c>
    </row>
    <row r="7418" spans="1:11" x14ac:dyDescent="0.2">
      <c r="A7418" s="24" t="s">
        <v>17364</v>
      </c>
      <c r="B7418" s="24" t="s">
        <v>17365</v>
      </c>
      <c r="C7418" s="24" t="s">
        <v>6794</v>
      </c>
      <c r="D7418" s="24" t="s">
        <v>17</v>
      </c>
      <c r="E7418" s="24" t="s">
        <v>18</v>
      </c>
      <c r="F7418" s="24" t="s">
        <v>19</v>
      </c>
      <c r="G7418" s="24" t="s">
        <v>28</v>
      </c>
      <c r="H7418" s="26">
        <v>85</v>
      </c>
      <c r="I7418" s="24" t="s">
        <v>29</v>
      </c>
      <c r="J7418" s="36">
        <v>45946</v>
      </c>
      <c r="K7418" s="24" t="s">
        <v>22</v>
      </c>
    </row>
    <row r="7419" spans="1:11" x14ac:dyDescent="0.2">
      <c r="A7419" s="27" t="s">
        <v>17366</v>
      </c>
      <c r="B7419" s="27" t="s">
        <v>17367</v>
      </c>
      <c r="C7419" s="27" t="s">
        <v>208</v>
      </c>
      <c r="D7419" s="27" t="s">
        <v>17</v>
      </c>
      <c r="E7419" s="27" t="s">
        <v>42</v>
      </c>
      <c r="F7419" s="27" t="s">
        <v>43</v>
      </c>
      <c r="G7419" s="27" t="s">
        <v>28</v>
      </c>
      <c r="H7419" s="29">
        <v>980</v>
      </c>
      <c r="I7419" s="27" t="s">
        <v>29</v>
      </c>
      <c r="J7419" s="37">
        <v>45938</v>
      </c>
      <c r="K7419" s="27" t="s">
        <v>22</v>
      </c>
    </row>
    <row r="7420" spans="1:11" x14ac:dyDescent="0.2">
      <c r="A7420" s="24" t="s">
        <v>17368</v>
      </c>
      <c r="B7420" s="24" t="s">
        <v>17369</v>
      </c>
      <c r="C7420" s="24" t="s">
        <v>55</v>
      </c>
      <c r="D7420" s="24" t="s">
        <v>17</v>
      </c>
      <c r="E7420" s="24" t="s">
        <v>42</v>
      </c>
      <c r="F7420" s="24" t="s">
        <v>43</v>
      </c>
      <c r="G7420" s="24" t="s">
        <v>28</v>
      </c>
      <c r="H7420" s="26">
        <v>300</v>
      </c>
      <c r="I7420" s="24" t="s">
        <v>29</v>
      </c>
      <c r="J7420" s="36">
        <v>45939</v>
      </c>
      <c r="K7420" s="24" t="s">
        <v>22</v>
      </c>
    </row>
    <row r="7421" spans="1:11" x14ac:dyDescent="0.2">
      <c r="A7421" s="27" t="s">
        <v>17370</v>
      </c>
      <c r="B7421" s="27" t="s">
        <v>17371</v>
      </c>
      <c r="C7421" s="27" t="s">
        <v>5901</v>
      </c>
      <c r="D7421" s="27" t="s">
        <v>17</v>
      </c>
      <c r="E7421" s="27" t="s">
        <v>26</v>
      </c>
      <c r="F7421" s="27" t="s">
        <v>27</v>
      </c>
      <c r="G7421" s="27" t="s">
        <v>28</v>
      </c>
      <c r="H7421" s="29">
        <v>12</v>
      </c>
      <c r="I7421" s="27" t="s">
        <v>29</v>
      </c>
      <c r="J7421" s="37">
        <v>45953</v>
      </c>
      <c r="K7421" s="27" t="s">
        <v>22</v>
      </c>
    </row>
    <row r="7422" spans="1:11" x14ac:dyDescent="0.2">
      <c r="A7422" s="24" t="s">
        <v>17372</v>
      </c>
      <c r="B7422" s="24" t="s">
        <v>17373</v>
      </c>
      <c r="C7422" s="24" t="s">
        <v>6649</v>
      </c>
      <c r="D7422" s="24" t="s">
        <v>17</v>
      </c>
      <c r="E7422" s="24" t="s">
        <v>48</v>
      </c>
      <c r="F7422" s="24" t="s">
        <v>49</v>
      </c>
      <c r="G7422" s="24" t="s">
        <v>217</v>
      </c>
      <c r="H7422" s="26">
        <v>18</v>
      </c>
      <c r="I7422" s="24" t="s">
        <v>29</v>
      </c>
      <c r="J7422" s="36">
        <v>45931</v>
      </c>
      <c r="K7422" s="24" t="s">
        <v>22</v>
      </c>
    </row>
    <row r="7423" spans="1:11" x14ac:dyDescent="0.2">
      <c r="A7423" s="27" t="s">
        <v>17374</v>
      </c>
      <c r="B7423" s="27" t="s">
        <v>17375</v>
      </c>
      <c r="C7423" s="27" t="s">
        <v>17376</v>
      </c>
      <c r="D7423" s="27" t="s">
        <v>17</v>
      </c>
      <c r="E7423" s="27" t="s">
        <v>18</v>
      </c>
      <c r="F7423" s="27" t="s">
        <v>19</v>
      </c>
      <c r="G7423" s="27" t="s">
        <v>28</v>
      </c>
      <c r="H7423" s="29">
        <v>27</v>
      </c>
      <c r="I7423" s="27" t="s">
        <v>29</v>
      </c>
      <c r="J7423" s="37">
        <v>45944</v>
      </c>
      <c r="K7423" s="27" t="s">
        <v>22</v>
      </c>
    </row>
    <row r="7424" spans="1:11" x14ac:dyDescent="0.2">
      <c r="A7424" s="24" t="s">
        <v>17377</v>
      </c>
      <c r="B7424" s="24" t="s">
        <v>17378</v>
      </c>
      <c r="C7424" s="24" t="s">
        <v>8993</v>
      </c>
      <c r="D7424" s="24" t="s">
        <v>17</v>
      </c>
      <c r="E7424" s="24" t="s">
        <v>18</v>
      </c>
      <c r="F7424" s="24" t="s">
        <v>19</v>
      </c>
      <c r="G7424" s="24" t="s">
        <v>28</v>
      </c>
      <c r="H7424" s="26">
        <v>60</v>
      </c>
      <c r="I7424" s="24" t="s">
        <v>29</v>
      </c>
      <c r="J7424" s="36">
        <v>45939</v>
      </c>
      <c r="K7424" s="24" t="s">
        <v>22</v>
      </c>
    </row>
    <row r="7425" spans="1:11" x14ac:dyDescent="0.2">
      <c r="A7425" s="27" t="s">
        <v>17379</v>
      </c>
      <c r="B7425" s="27" t="s">
        <v>17380</v>
      </c>
      <c r="C7425" s="27" t="s">
        <v>68</v>
      </c>
      <c r="D7425" s="27" t="s">
        <v>17</v>
      </c>
      <c r="E7425" s="27" t="s">
        <v>48</v>
      </c>
      <c r="F7425" s="27" t="s">
        <v>49</v>
      </c>
      <c r="G7425" s="27" t="s">
        <v>20</v>
      </c>
      <c r="H7425" s="29">
        <v>70</v>
      </c>
      <c r="I7425" s="27" t="s">
        <v>21</v>
      </c>
      <c r="J7425" s="37">
        <v>45960</v>
      </c>
      <c r="K7425" s="27" t="s">
        <v>22</v>
      </c>
    </row>
    <row r="7426" spans="1:11" x14ac:dyDescent="0.2">
      <c r="A7426" s="24" t="s">
        <v>17381</v>
      </c>
      <c r="B7426" s="24" t="s">
        <v>17382</v>
      </c>
      <c r="C7426" s="24" t="s">
        <v>10650</v>
      </c>
      <c r="D7426" s="24" t="s">
        <v>17</v>
      </c>
      <c r="E7426" s="24" t="s">
        <v>18</v>
      </c>
      <c r="F7426" s="24" t="s">
        <v>19</v>
      </c>
      <c r="G7426" s="24" t="s">
        <v>28</v>
      </c>
      <c r="H7426" s="26">
        <v>72</v>
      </c>
      <c r="I7426" s="24" t="s">
        <v>29</v>
      </c>
      <c r="J7426" s="36">
        <v>45952</v>
      </c>
      <c r="K7426" s="24" t="s">
        <v>22</v>
      </c>
    </row>
    <row r="7427" spans="1:11" x14ac:dyDescent="0.2">
      <c r="A7427" s="27" t="s">
        <v>17383</v>
      </c>
      <c r="B7427" s="27" t="s">
        <v>17384</v>
      </c>
      <c r="C7427" s="27" t="s">
        <v>3692</v>
      </c>
      <c r="D7427" s="27" t="s">
        <v>17</v>
      </c>
      <c r="E7427" s="27" t="s">
        <v>42</v>
      </c>
      <c r="F7427" s="27" t="s">
        <v>43</v>
      </c>
      <c r="G7427" s="27" t="s">
        <v>28</v>
      </c>
      <c r="H7427" s="29">
        <v>80</v>
      </c>
      <c r="I7427" s="27" t="s">
        <v>29</v>
      </c>
      <c r="J7427" s="37">
        <v>45952</v>
      </c>
      <c r="K7427" s="27" t="s">
        <v>22</v>
      </c>
    </row>
    <row r="7428" spans="1:11" x14ac:dyDescent="0.2">
      <c r="A7428" s="24" t="s">
        <v>17385</v>
      </c>
      <c r="B7428" s="24" t="s">
        <v>17386</v>
      </c>
      <c r="C7428" s="24" t="s">
        <v>17302</v>
      </c>
      <c r="D7428" s="24" t="s">
        <v>17</v>
      </c>
      <c r="E7428" s="24" t="s">
        <v>48</v>
      </c>
      <c r="F7428" s="24" t="s">
        <v>49</v>
      </c>
      <c r="G7428" s="24" t="s">
        <v>227</v>
      </c>
      <c r="H7428" s="26">
        <v>400</v>
      </c>
      <c r="I7428" s="24" t="s">
        <v>29</v>
      </c>
      <c r="J7428" s="36">
        <v>45936</v>
      </c>
      <c r="K7428" s="24" t="s">
        <v>22</v>
      </c>
    </row>
    <row r="7429" spans="1:11" x14ac:dyDescent="0.2">
      <c r="A7429" s="27" t="s">
        <v>17387</v>
      </c>
      <c r="B7429" s="27" t="s">
        <v>17388</v>
      </c>
      <c r="C7429" s="27" t="s">
        <v>17389</v>
      </c>
      <c r="D7429" s="27" t="s">
        <v>17</v>
      </c>
      <c r="E7429" s="27" t="s">
        <v>48</v>
      </c>
      <c r="F7429" s="27" t="s">
        <v>49</v>
      </c>
      <c r="G7429" s="27" t="s">
        <v>28</v>
      </c>
      <c r="H7429" s="29">
        <v>324</v>
      </c>
      <c r="I7429" s="27" t="s">
        <v>29</v>
      </c>
      <c r="J7429" s="37">
        <v>45958</v>
      </c>
      <c r="K7429" s="27" t="s">
        <v>22</v>
      </c>
    </row>
    <row r="7430" spans="1:11" x14ac:dyDescent="0.2">
      <c r="A7430" s="24" t="s">
        <v>17390</v>
      </c>
      <c r="B7430" s="24" t="s">
        <v>17391</v>
      </c>
      <c r="C7430" s="24" t="s">
        <v>792</v>
      </c>
      <c r="D7430" s="24" t="s">
        <v>17</v>
      </c>
      <c r="E7430" s="24" t="s">
        <v>18</v>
      </c>
      <c r="F7430" s="24" t="s">
        <v>19</v>
      </c>
      <c r="G7430" s="24" t="s">
        <v>20</v>
      </c>
      <c r="H7430" s="26">
        <v>58</v>
      </c>
      <c r="I7430" s="24" t="s">
        <v>21</v>
      </c>
      <c r="J7430" s="36">
        <v>45937</v>
      </c>
      <c r="K7430" s="24" t="s">
        <v>22</v>
      </c>
    </row>
    <row r="7431" spans="1:11" x14ac:dyDescent="0.2">
      <c r="A7431" s="27" t="s">
        <v>17392</v>
      </c>
      <c r="B7431" s="27" t="s">
        <v>17393</v>
      </c>
      <c r="C7431" s="27" t="s">
        <v>16398</v>
      </c>
      <c r="D7431" s="27" t="s">
        <v>17</v>
      </c>
      <c r="E7431" s="27" t="s">
        <v>48</v>
      </c>
      <c r="F7431" s="27" t="s">
        <v>49</v>
      </c>
      <c r="G7431" s="27" t="s">
        <v>28</v>
      </c>
      <c r="H7431" s="29">
        <v>131</v>
      </c>
      <c r="I7431" s="27" t="s">
        <v>29</v>
      </c>
      <c r="J7431" s="37">
        <v>45937</v>
      </c>
      <c r="K7431" s="27" t="s">
        <v>22</v>
      </c>
    </row>
    <row r="7432" spans="1:11" x14ac:dyDescent="0.2">
      <c r="A7432" s="24" t="s">
        <v>17394</v>
      </c>
      <c r="B7432" s="24" t="s">
        <v>17395</v>
      </c>
      <c r="C7432" s="24" t="s">
        <v>251</v>
      </c>
      <c r="D7432" s="24" t="s">
        <v>17</v>
      </c>
      <c r="E7432" s="24" t="s">
        <v>42</v>
      </c>
      <c r="F7432" s="24" t="s">
        <v>43</v>
      </c>
      <c r="G7432" s="24" t="s">
        <v>28</v>
      </c>
      <c r="H7432" s="26">
        <v>12</v>
      </c>
      <c r="I7432" s="24" t="s">
        <v>29</v>
      </c>
      <c r="J7432" s="36">
        <v>45958</v>
      </c>
      <c r="K7432" s="24" t="s">
        <v>22</v>
      </c>
    </row>
    <row r="7433" spans="1:11" x14ac:dyDescent="0.2">
      <c r="A7433" s="27" t="s">
        <v>17396</v>
      </c>
      <c r="B7433" s="27" t="s">
        <v>17397</v>
      </c>
      <c r="C7433" s="27" t="s">
        <v>1931</v>
      </c>
      <c r="D7433" s="27" t="s">
        <v>17</v>
      </c>
      <c r="E7433" s="27" t="s">
        <v>81</v>
      </c>
      <c r="F7433" s="27" t="s">
        <v>82</v>
      </c>
      <c r="G7433" s="27" t="s">
        <v>28</v>
      </c>
      <c r="H7433" s="29">
        <v>18</v>
      </c>
      <c r="I7433" s="27" t="s">
        <v>29</v>
      </c>
      <c r="J7433" s="37">
        <v>45947</v>
      </c>
      <c r="K7433" s="27" t="s">
        <v>22</v>
      </c>
    </row>
    <row r="7434" spans="1:11" x14ac:dyDescent="0.2">
      <c r="A7434" s="24" t="s">
        <v>17398</v>
      </c>
      <c r="B7434" s="24" t="s">
        <v>17399</v>
      </c>
      <c r="C7434" s="24" t="s">
        <v>5367</v>
      </c>
      <c r="D7434" s="24" t="s">
        <v>17</v>
      </c>
      <c r="E7434" s="24" t="s">
        <v>18</v>
      </c>
      <c r="F7434" s="24" t="s">
        <v>19</v>
      </c>
      <c r="G7434" s="24" t="s">
        <v>217</v>
      </c>
      <c r="H7434" s="26">
        <v>104</v>
      </c>
      <c r="I7434" s="24" t="s">
        <v>29</v>
      </c>
      <c r="J7434" s="36">
        <v>45931</v>
      </c>
      <c r="K7434" s="24" t="s">
        <v>22</v>
      </c>
    </row>
    <row r="7435" spans="1:11" x14ac:dyDescent="0.2">
      <c r="A7435" s="27" t="s">
        <v>17400</v>
      </c>
      <c r="B7435" s="27" t="s">
        <v>17401</v>
      </c>
      <c r="C7435" s="27" t="s">
        <v>17402</v>
      </c>
      <c r="D7435" s="27" t="s">
        <v>17</v>
      </c>
      <c r="E7435" s="27" t="s">
        <v>26</v>
      </c>
      <c r="F7435" s="27" t="s">
        <v>27</v>
      </c>
      <c r="G7435" s="27" t="s">
        <v>28</v>
      </c>
      <c r="H7435" s="29">
        <v>27</v>
      </c>
      <c r="I7435" s="27" t="s">
        <v>29</v>
      </c>
      <c r="J7435" s="37">
        <v>45931</v>
      </c>
      <c r="K7435" s="27" t="s">
        <v>22</v>
      </c>
    </row>
    <row r="7436" spans="1:11" x14ac:dyDescent="0.2">
      <c r="A7436" s="24" t="s">
        <v>17403</v>
      </c>
      <c r="B7436" s="24" t="s">
        <v>17404</v>
      </c>
      <c r="C7436" s="24" t="s">
        <v>17405</v>
      </c>
      <c r="D7436" s="24" t="s">
        <v>17</v>
      </c>
      <c r="E7436" s="24" t="s">
        <v>26</v>
      </c>
      <c r="F7436" s="24" t="s">
        <v>27</v>
      </c>
      <c r="G7436" s="24" t="s">
        <v>28</v>
      </c>
      <c r="H7436" s="26">
        <v>12</v>
      </c>
      <c r="I7436" s="24" t="s">
        <v>29</v>
      </c>
      <c r="J7436" s="36">
        <v>45959</v>
      </c>
      <c r="K7436" s="24" t="s">
        <v>22</v>
      </c>
    </row>
    <row r="7437" spans="1:11" x14ac:dyDescent="0.2">
      <c r="A7437" s="27" t="s">
        <v>17406</v>
      </c>
      <c r="B7437" s="27" t="s">
        <v>17407</v>
      </c>
      <c r="C7437" s="27" t="s">
        <v>97</v>
      </c>
      <c r="D7437" s="27" t="s">
        <v>17</v>
      </c>
      <c r="E7437" s="27" t="s">
        <v>42</v>
      </c>
      <c r="F7437" s="27" t="s">
        <v>43</v>
      </c>
      <c r="G7437" s="27" t="s">
        <v>28</v>
      </c>
      <c r="H7437" s="29">
        <v>400</v>
      </c>
      <c r="I7437" s="27" t="s">
        <v>29</v>
      </c>
      <c r="J7437" s="37">
        <v>45961</v>
      </c>
      <c r="K7437" s="27" t="s">
        <v>22</v>
      </c>
    </row>
    <row r="7438" spans="1:11" x14ac:dyDescent="0.2">
      <c r="A7438" s="24" t="s">
        <v>17408</v>
      </c>
      <c r="B7438" s="24" t="s">
        <v>17409</v>
      </c>
      <c r="C7438" s="24" t="s">
        <v>17410</v>
      </c>
      <c r="D7438" s="24" t="s">
        <v>17</v>
      </c>
      <c r="E7438" s="24" t="s">
        <v>18</v>
      </c>
      <c r="F7438" s="24" t="s">
        <v>19</v>
      </c>
      <c r="G7438" s="24" t="s">
        <v>20</v>
      </c>
      <c r="H7438" s="26">
        <v>28</v>
      </c>
      <c r="I7438" s="24" t="s">
        <v>21</v>
      </c>
      <c r="J7438" s="36">
        <v>45937</v>
      </c>
      <c r="K7438" s="24" t="s">
        <v>22</v>
      </c>
    </row>
    <row r="7439" spans="1:11" x14ac:dyDescent="0.2">
      <c r="A7439" s="27" t="s">
        <v>17411</v>
      </c>
      <c r="B7439" s="27" t="s">
        <v>17412</v>
      </c>
      <c r="C7439" s="27" t="s">
        <v>134</v>
      </c>
      <c r="D7439" s="27" t="s">
        <v>17</v>
      </c>
      <c r="E7439" s="27" t="s">
        <v>26</v>
      </c>
      <c r="F7439" s="27" t="s">
        <v>27</v>
      </c>
      <c r="G7439" s="27" t="s">
        <v>28</v>
      </c>
      <c r="H7439" s="29">
        <v>315</v>
      </c>
      <c r="I7439" s="27" t="s">
        <v>29</v>
      </c>
      <c r="J7439" s="37">
        <v>45945</v>
      </c>
      <c r="K7439" s="27" t="s">
        <v>22</v>
      </c>
    </row>
    <row r="7440" spans="1:11" x14ac:dyDescent="0.2">
      <c r="A7440" s="24" t="s">
        <v>17413</v>
      </c>
      <c r="B7440" s="24" t="s">
        <v>17414</v>
      </c>
      <c r="C7440" s="24" t="s">
        <v>17415</v>
      </c>
      <c r="D7440" s="24" t="s">
        <v>17</v>
      </c>
      <c r="E7440" s="24" t="s">
        <v>26</v>
      </c>
      <c r="F7440" s="24" t="s">
        <v>27</v>
      </c>
      <c r="G7440" s="24" t="s">
        <v>217</v>
      </c>
      <c r="H7440" s="26">
        <v>146</v>
      </c>
      <c r="I7440" s="24" t="s">
        <v>29</v>
      </c>
      <c r="J7440" s="36">
        <v>45960</v>
      </c>
      <c r="K7440" s="24" t="s">
        <v>22</v>
      </c>
    </row>
    <row r="7441" spans="1:11" x14ac:dyDescent="0.2">
      <c r="A7441" s="27" t="s">
        <v>17416</v>
      </c>
      <c r="B7441" s="27" t="s">
        <v>17417</v>
      </c>
      <c r="C7441" s="27" t="s">
        <v>1853</v>
      </c>
      <c r="D7441" s="27" t="s">
        <v>17</v>
      </c>
      <c r="E7441" s="27" t="s">
        <v>42</v>
      </c>
      <c r="F7441" s="27" t="s">
        <v>43</v>
      </c>
      <c r="G7441" s="27" t="s">
        <v>28</v>
      </c>
      <c r="H7441" s="29">
        <v>210</v>
      </c>
      <c r="I7441" s="27" t="s">
        <v>29</v>
      </c>
      <c r="J7441" s="37">
        <v>45960</v>
      </c>
      <c r="K7441" s="27" t="s">
        <v>22</v>
      </c>
    </row>
    <row r="7442" spans="1:11" x14ac:dyDescent="0.2">
      <c r="A7442" s="24" t="s">
        <v>17418</v>
      </c>
      <c r="B7442" s="24" t="s">
        <v>17419</v>
      </c>
      <c r="C7442" s="24" t="s">
        <v>388</v>
      </c>
      <c r="D7442" s="24" t="s">
        <v>17</v>
      </c>
      <c r="E7442" s="24" t="s">
        <v>42</v>
      </c>
      <c r="F7442" s="24" t="s">
        <v>43</v>
      </c>
      <c r="G7442" s="24" t="s">
        <v>20</v>
      </c>
      <c r="H7442" s="26">
        <v>130</v>
      </c>
      <c r="I7442" s="24" t="s">
        <v>21</v>
      </c>
      <c r="J7442" s="36">
        <v>45944</v>
      </c>
      <c r="K7442" s="24" t="s">
        <v>22</v>
      </c>
    </row>
    <row r="7443" spans="1:11" x14ac:dyDescent="0.2">
      <c r="A7443" s="27" t="s">
        <v>17420</v>
      </c>
      <c r="B7443" s="27" t="s">
        <v>17421</v>
      </c>
      <c r="C7443" s="27" t="s">
        <v>4128</v>
      </c>
      <c r="D7443" s="27" t="s">
        <v>17</v>
      </c>
      <c r="E7443" s="27" t="s">
        <v>18</v>
      </c>
      <c r="F7443" s="27" t="s">
        <v>19</v>
      </c>
      <c r="G7443" s="27" t="s">
        <v>28</v>
      </c>
      <c r="H7443" s="29">
        <v>56</v>
      </c>
      <c r="I7443" s="27" t="s">
        <v>29</v>
      </c>
      <c r="J7443" s="37">
        <v>45961</v>
      </c>
      <c r="K7443" s="27" t="s">
        <v>22</v>
      </c>
    </row>
    <row r="7444" spans="1:11" x14ac:dyDescent="0.2">
      <c r="A7444" s="24" t="s">
        <v>17422</v>
      </c>
      <c r="B7444" s="24" t="s">
        <v>17423</v>
      </c>
      <c r="C7444" s="24" t="s">
        <v>17424</v>
      </c>
      <c r="D7444" s="24" t="s">
        <v>17</v>
      </c>
      <c r="E7444" s="24" t="s">
        <v>48</v>
      </c>
      <c r="F7444" s="24" t="s">
        <v>49</v>
      </c>
      <c r="G7444" s="24" t="s">
        <v>28</v>
      </c>
      <c r="H7444" s="26">
        <v>280</v>
      </c>
      <c r="I7444" s="24" t="s">
        <v>29</v>
      </c>
      <c r="J7444" s="36">
        <v>45961</v>
      </c>
      <c r="K7444" s="24" t="s">
        <v>22</v>
      </c>
    </row>
    <row r="7445" spans="1:11" x14ac:dyDescent="0.2">
      <c r="A7445" s="27" t="s">
        <v>17425</v>
      </c>
      <c r="B7445" s="27" t="s">
        <v>17426</v>
      </c>
      <c r="C7445" s="27" t="s">
        <v>6410</v>
      </c>
      <c r="D7445" s="27" t="s">
        <v>17</v>
      </c>
      <c r="E7445" s="27" t="s">
        <v>18</v>
      </c>
      <c r="F7445" s="27" t="s">
        <v>19</v>
      </c>
      <c r="G7445" s="27" t="s">
        <v>28</v>
      </c>
      <c r="H7445" s="29">
        <v>288</v>
      </c>
      <c r="I7445" s="27" t="s">
        <v>29</v>
      </c>
      <c r="J7445" s="37">
        <v>45950</v>
      </c>
      <c r="K7445" s="27" t="s">
        <v>22</v>
      </c>
    </row>
    <row r="7446" spans="1:11" x14ac:dyDescent="0.2">
      <c r="A7446" s="24" t="s">
        <v>17427</v>
      </c>
      <c r="B7446" s="24" t="s">
        <v>17428</v>
      </c>
      <c r="C7446" s="24" t="s">
        <v>71</v>
      </c>
      <c r="D7446" s="24" t="s">
        <v>17</v>
      </c>
      <c r="E7446" s="24" t="s">
        <v>26</v>
      </c>
      <c r="F7446" s="24" t="s">
        <v>27</v>
      </c>
      <c r="G7446" s="24" t="s">
        <v>217</v>
      </c>
      <c r="H7446" s="26">
        <v>50</v>
      </c>
      <c r="I7446" s="24" t="s">
        <v>29</v>
      </c>
      <c r="J7446" s="36">
        <v>45931</v>
      </c>
      <c r="K7446" s="24" t="s">
        <v>22</v>
      </c>
    </row>
    <row r="7447" spans="1:11" x14ac:dyDescent="0.2">
      <c r="A7447" s="27" t="s">
        <v>17429</v>
      </c>
      <c r="B7447" s="27" t="s">
        <v>17430</v>
      </c>
      <c r="C7447" s="27" t="s">
        <v>17431</v>
      </c>
      <c r="D7447" s="27" t="s">
        <v>17</v>
      </c>
      <c r="E7447" s="27" t="s">
        <v>18</v>
      </c>
      <c r="F7447" s="27" t="s">
        <v>19</v>
      </c>
      <c r="G7447" s="27" t="s">
        <v>20</v>
      </c>
      <c r="H7447" s="29">
        <v>16</v>
      </c>
      <c r="I7447" s="27" t="s">
        <v>21</v>
      </c>
      <c r="J7447" s="37">
        <v>45933</v>
      </c>
      <c r="K7447" s="27" t="s">
        <v>22</v>
      </c>
    </row>
    <row r="7448" spans="1:11" x14ac:dyDescent="0.2">
      <c r="A7448" s="24" t="s">
        <v>17432</v>
      </c>
      <c r="B7448" s="24" t="s">
        <v>17433</v>
      </c>
      <c r="C7448" s="24" t="s">
        <v>6622</v>
      </c>
      <c r="D7448" s="24" t="s">
        <v>17</v>
      </c>
      <c r="E7448" s="24" t="s">
        <v>18</v>
      </c>
      <c r="F7448" s="24" t="s">
        <v>19</v>
      </c>
      <c r="G7448" s="24" t="s">
        <v>28</v>
      </c>
      <c r="H7448" s="26">
        <v>56</v>
      </c>
      <c r="I7448" s="24" t="s">
        <v>29</v>
      </c>
      <c r="J7448" s="36">
        <v>45943</v>
      </c>
      <c r="K7448" s="24" t="s">
        <v>22</v>
      </c>
    </row>
    <row r="7449" spans="1:11" x14ac:dyDescent="0.2">
      <c r="A7449" s="27" t="s">
        <v>17434</v>
      </c>
      <c r="B7449" s="27" t="s">
        <v>17435</v>
      </c>
      <c r="C7449" s="27" t="s">
        <v>1307</v>
      </c>
      <c r="D7449" s="27" t="s">
        <v>17</v>
      </c>
      <c r="E7449" s="27" t="s">
        <v>48</v>
      </c>
      <c r="F7449" s="27" t="s">
        <v>49</v>
      </c>
      <c r="G7449" s="27" t="s">
        <v>28</v>
      </c>
      <c r="H7449" s="29">
        <v>66</v>
      </c>
      <c r="I7449" s="27" t="s">
        <v>29</v>
      </c>
      <c r="J7449" s="37">
        <v>45947</v>
      </c>
      <c r="K7449" s="27" t="s">
        <v>22</v>
      </c>
    </row>
    <row r="7450" spans="1:11" x14ac:dyDescent="0.2">
      <c r="A7450" s="24" t="s">
        <v>17436</v>
      </c>
      <c r="B7450" s="24" t="s">
        <v>17437</v>
      </c>
      <c r="C7450" s="24" t="s">
        <v>146</v>
      </c>
      <c r="D7450" s="24" t="s">
        <v>17</v>
      </c>
      <c r="E7450" s="24" t="s">
        <v>42</v>
      </c>
      <c r="F7450" s="24" t="s">
        <v>43</v>
      </c>
      <c r="G7450" s="24" t="s">
        <v>28</v>
      </c>
      <c r="H7450" s="26">
        <v>750</v>
      </c>
      <c r="I7450" s="24" t="s">
        <v>29</v>
      </c>
      <c r="J7450" s="36">
        <v>45959</v>
      </c>
      <c r="K7450" s="24" t="s">
        <v>22</v>
      </c>
    </row>
    <row r="7451" spans="1:11" x14ac:dyDescent="0.2">
      <c r="A7451" s="27" t="s">
        <v>17438</v>
      </c>
      <c r="B7451" s="27" t="s">
        <v>17439</v>
      </c>
      <c r="C7451" s="27" t="s">
        <v>17440</v>
      </c>
      <c r="D7451" s="27" t="s">
        <v>17</v>
      </c>
      <c r="E7451" s="27" t="s">
        <v>48</v>
      </c>
      <c r="F7451" s="27" t="s">
        <v>49</v>
      </c>
      <c r="G7451" s="27" t="s">
        <v>217</v>
      </c>
      <c r="H7451" s="29">
        <v>65</v>
      </c>
      <c r="I7451" s="27" t="s">
        <v>29</v>
      </c>
      <c r="J7451" s="37">
        <v>45931</v>
      </c>
      <c r="K7451" s="27" t="s">
        <v>22</v>
      </c>
    </row>
    <row r="7452" spans="1:11" x14ac:dyDescent="0.2">
      <c r="A7452" s="24" t="s">
        <v>17441</v>
      </c>
      <c r="B7452" s="24" t="s">
        <v>17442</v>
      </c>
      <c r="C7452" s="24" t="s">
        <v>55</v>
      </c>
      <c r="D7452" s="24" t="s">
        <v>17</v>
      </c>
      <c r="E7452" s="24" t="s">
        <v>48</v>
      </c>
      <c r="F7452" s="24" t="s">
        <v>49</v>
      </c>
      <c r="G7452" s="24" t="s">
        <v>28</v>
      </c>
      <c r="H7452" s="26">
        <v>182</v>
      </c>
      <c r="I7452" s="24" t="s">
        <v>29</v>
      </c>
      <c r="J7452" s="36">
        <v>45938</v>
      </c>
      <c r="K7452" s="24" t="s">
        <v>22</v>
      </c>
    </row>
    <row r="7453" spans="1:11" x14ac:dyDescent="0.2">
      <c r="A7453" s="27" t="s">
        <v>17443</v>
      </c>
      <c r="B7453" s="27" t="s">
        <v>17444</v>
      </c>
      <c r="C7453" s="27" t="s">
        <v>7335</v>
      </c>
      <c r="D7453" s="27" t="s">
        <v>17</v>
      </c>
      <c r="E7453" s="27" t="s">
        <v>48</v>
      </c>
      <c r="F7453" s="27" t="s">
        <v>49</v>
      </c>
      <c r="G7453" s="27" t="s">
        <v>44</v>
      </c>
      <c r="H7453" s="29">
        <v>400</v>
      </c>
      <c r="I7453" s="27" t="s">
        <v>29</v>
      </c>
      <c r="J7453" s="37">
        <v>45959</v>
      </c>
      <c r="K7453" s="27" t="s">
        <v>22</v>
      </c>
    </row>
    <row r="7454" spans="1:11" x14ac:dyDescent="0.2">
      <c r="A7454" s="24" t="s">
        <v>17445</v>
      </c>
      <c r="B7454" s="24" t="s">
        <v>17446</v>
      </c>
      <c r="C7454" s="24" t="s">
        <v>708</v>
      </c>
      <c r="D7454" s="24" t="s">
        <v>17</v>
      </c>
      <c r="E7454" s="24" t="s">
        <v>48</v>
      </c>
      <c r="F7454" s="24" t="s">
        <v>49</v>
      </c>
      <c r="G7454" s="24" t="s">
        <v>28</v>
      </c>
      <c r="H7454" s="26">
        <v>1200</v>
      </c>
      <c r="I7454" s="24" t="s">
        <v>29</v>
      </c>
      <c r="J7454" s="36">
        <v>45950</v>
      </c>
      <c r="K7454" s="24" t="s">
        <v>22</v>
      </c>
    </row>
    <row r="7455" spans="1:11" x14ac:dyDescent="0.2">
      <c r="A7455" s="27" t="s">
        <v>17447</v>
      </c>
      <c r="B7455" s="27" t="s">
        <v>17448</v>
      </c>
      <c r="C7455" s="27" t="s">
        <v>7356</v>
      </c>
      <c r="D7455" s="27" t="s">
        <v>17</v>
      </c>
      <c r="E7455" s="27" t="s">
        <v>18</v>
      </c>
      <c r="F7455" s="27" t="s">
        <v>19</v>
      </c>
      <c r="G7455" s="27" t="s">
        <v>28</v>
      </c>
      <c r="H7455" s="29">
        <v>36</v>
      </c>
      <c r="I7455" s="27" t="s">
        <v>29</v>
      </c>
      <c r="J7455" s="37">
        <v>45931</v>
      </c>
      <c r="K7455" s="27" t="s">
        <v>22</v>
      </c>
    </row>
    <row r="7456" spans="1:11" x14ac:dyDescent="0.2">
      <c r="A7456" s="24" t="s">
        <v>17449</v>
      </c>
      <c r="B7456" s="24" t="s">
        <v>17450</v>
      </c>
      <c r="C7456" s="24" t="s">
        <v>213</v>
      </c>
      <c r="D7456" s="24" t="s">
        <v>17</v>
      </c>
      <c r="E7456" s="24" t="s">
        <v>18</v>
      </c>
      <c r="F7456" s="24" t="s">
        <v>19</v>
      </c>
      <c r="G7456" s="24" t="s">
        <v>20</v>
      </c>
      <c r="H7456" s="26">
        <v>8</v>
      </c>
      <c r="I7456" s="24" t="s">
        <v>21</v>
      </c>
      <c r="J7456" s="36">
        <v>45943</v>
      </c>
      <c r="K7456" s="24" t="s">
        <v>22</v>
      </c>
    </row>
    <row r="7457" spans="1:11" x14ac:dyDescent="0.2">
      <c r="A7457" s="27" t="s">
        <v>17451</v>
      </c>
      <c r="B7457" s="27" t="s">
        <v>17452</v>
      </c>
      <c r="C7457" s="27" t="s">
        <v>827</v>
      </c>
      <c r="D7457" s="27" t="s">
        <v>17</v>
      </c>
      <c r="E7457" s="27" t="s">
        <v>48</v>
      </c>
      <c r="F7457" s="27" t="s">
        <v>49</v>
      </c>
      <c r="G7457" s="27" t="s">
        <v>28</v>
      </c>
      <c r="H7457" s="29">
        <v>180</v>
      </c>
      <c r="I7457" s="27" t="s">
        <v>29</v>
      </c>
      <c r="J7457" s="37">
        <v>45959</v>
      </c>
      <c r="K7457" s="27" t="s">
        <v>22</v>
      </c>
    </row>
    <row r="7458" spans="1:11" x14ac:dyDescent="0.2">
      <c r="A7458" s="24" t="s">
        <v>17453</v>
      </c>
      <c r="B7458" s="24" t="s">
        <v>17454</v>
      </c>
      <c r="C7458" s="24" t="s">
        <v>1088</v>
      </c>
      <c r="D7458" s="24" t="s">
        <v>17</v>
      </c>
      <c r="E7458" s="24" t="s">
        <v>18</v>
      </c>
      <c r="F7458" s="24" t="s">
        <v>19</v>
      </c>
      <c r="G7458" s="24" t="s">
        <v>28</v>
      </c>
      <c r="H7458" s="26">
        <v>50</v>
      </c>
      <c r="I7458" s="24" t="s">
        <v>29</v>
      </c>
      <c r="J7458" s="36">
        <v>45945</v>
      </c>
      <c r="K7458" s="24" t="s">
        <v>22</v>
      </c>
    </row>
    <row r="7459" spans="1:11" x14ac:dyDescent="0.2">
      <c r="A7459" s="27" t="s">
        <v>17455</v>
      </c>
      <c r="B7459" s="27" t="s">
        <v>17456</v>
      </c>
      <c r="C7459" s="27" t="s">
        <v>16374</v>
      </c>
      <c r="D7459" s="27" t="s">
        <v>17</v>
      </c>
      <c r="E7459" s="27" t="s">
        <v>42</v>
      </c>
      <c r="F7459" s="27" t="s">
        <v>43</v>
      </c>
      <c r="G7459" s="27" t="s">
        <v>28</v>
      </c>
      <c r="H7459" s="29">
        <v>200</v>
      </c>
      <c r="I7459" s="27" t="s">
        <v>29</v>
      </c>
      <c r="J7459" s="37">
        <v>45959</v>
      </c>
      <c r="K7459" s="27" t="s">
        <v>22</v>
      </c>
    </row>
    <row r="7460" spans="1:11" x14ac:dyDescent="0.2">
      <c r="A7460" s="24" t="s">
        <v>17457</v>
      </c>
      <c r="B7460" s="24" t="s">
        <v>17458</v>
      </c>
      <c r="C7460" s="24" t="s">
        <v>1769</v>
      </c>
      <c r="D7460" s="24" t="s">
        <v>17</v>
      </c>
      <c r="E7460" s="24" t="s">
        <v>163</v>
      </c>
      <c r="F7460" s="24" t="s">
        <v>164</v>
      </c>
      <c r="G7460" s="24" t="s">
        <v>28</v>
      </c>
      <c r="H7460" s="26">
        <v>15</v>
      </c>
      <c r="I7460" s="24" t="s">
        <v>29</v>
      </c>
      <c r="J7460" s="36">
        <v>45945</v>
      </c>
      <c r="K7460" s="24" t="s">
        <v>22</v>
      </c>
    </row>
    <row r="7461" spans="1:11" x14ac:dyDescent="0.2">
      <c r="A7461" s="27" t="s">
        <v>17459</v>
      </c>
      <c r="B7461" s="27" t="s">
        <v>17460</v>
      </c>
      <c r="C7461" s="27" t="s">
        <v>213</v>
      </c>
      <c r="D7461" s="27" t="s">
        <v>17</v>
      </c>
      <c r="E7461" s="27" t="s">
        <v>33</v>
      </c>
      <c r="F7461" s="27" t="s">
        <v>34</v>
      </c>
      <c r="G7461" s="27" t="s">
        <v>28</v>
      </c>
      <c r="H7461" s="29">
        <v>982</v>
      </c>
      <c r="I7461" s="27" t="s">
        <v>29</v>
      </c>
      <c r="J7461" s="37">
        <v>45933</v>
      </c>
      <c r="K7461" s="27" t="s">
        <v>22</v>
      </c>
    </row>
    <row r="7462" spans="1:11" x14ac:dyDescent="0.2">
      <c r="A7462" s="24" t="s">
        <v>17461</v>
      </c>
      <c r="B7462" s="24" t="s">
        <v>17462</v>
      </c>
      <c r="C7462" s="24" t="s">
        <v>12619</v>
      </c>
      <c r="D7462" s="24" t="s">
        <v>17</v>
      </c>
      <c r="E7462" s="24" t="s">
        <v>81</v>
      </c>
      <c r="F7462" s="24" t="s">
        <v>82</v>
      </c>
      <c r="G7462" s="24" t="s">
        <v>28</v>
      </c>
      <c r="H7462" s="26">
        <v>165</v>
      </c>
      <c r="I7462" s="24" t="s">
        <v>29</v>
      </c>
      <c r="J7462" s="36">
        <v>45947</v>
      </c>
      <c r="K7462" s="24" t="s">
        <v>22</v>
      </c>
    </row>
    <row r="7463" spans="1:11" x14ac:dyDescent="0.2">
      <c r="A7463" s="27" t="s">
        <v>17463</v>
      </c>
      <c r="B7463" s="27" t="s">
        <v>17464</v>
      </c>
      <c r="C7463" s="27" t="s">
        <v>2484</v>
      </c>
      <c r="D7463" s="27" t="s">
        <v>17</v>
      </c>
      <c r="E7463" s="27" t="s">
        <v>18</v>
      </c>
      <c r="F7463" s="27" t="s">
        <v>19</v>
      </c>
      <c r="G7463" s="27" t="s">
        <v>20</v>
      </c>
      <c r="H7463" s="29">
        <v>14</v>
      </c>
      <c r="I7463" s="27" t="s">
        <v>21</v>
      </c>
      <c r="J7463" s="37">
        <v>45953</v>
      </c>
      <c r="K7463" s="27" t="s">
        <v>22</v>
      </c>
    </row>
    <row r="7464" spans="1:11" x14ac:dyDescent="0.2">
      <c r="A7464" s="24" t="s">
        <v>17465</v>
      </c>
      <c r="B7464" s="24" t="s">
        <v>17466</v>
      </c>
      <c r="C7464" s="24" t="s">
        <v>5505</v>
      </c>
      <c r="D7464" s="24" t="s">
        <v>17</v>
      </c>
      <c r="E7464" s="24" t="s">
        <v>48</v>
      </c>
      <c r="F7464" s="24" t="s">
        <v>49</v>
      </c>
      <c r="G7464" s="24" t="s">
        <v>28</v>
      </c>
      <c r="H7464" s="26">
        <v>30</v>
      </c>
      <c r="I7464" s="24" t="s">
        <v>29</v>
      </c>
      <c r="J7464" s="36">
        <v>45945</v>
      </c>
      <c r="K7464" s="24" t="s">
        <v>22</v>
      </c>
    </row>
    <row r="7465" spans="1:11" x14ac:dyDescent="0.2">
      <c r="A7465" s="27" t="s">
        <v>17467</v>
      </c>
      <c r="B7465" s="27" t="s">
        <v>17468</v>
      </c>
      <c r="C7465" s="27" t="s">
        <v>526</v>
      </c>
      <c r="D7465" s="27" t="s">
        <v>17</v>
      </c>
      <c r="E7465" s="27" t="s">
        <v>48</v>
      </c>
      <c r="F7465" s="27" t="s">
        <v>49</v>
      </c>
      <c r="G7465" s="27" t="s">
        <v>28</v>
      </c>
      <c r="H7465" s="29">
        <v>100</v>
      </c>
      <c r="I7465" s="27" t="s">
        <v>29</v>
      </c>
      <c r="J7465" s="37">
        <v>45943</v>
      </c>
      <c r="K7465" s="27" t="s">
        <v>22</v>
      </c>
    </row>
    <row r="7466" spans="1:11" x14ac:dyDescent="0.2">
      <c r="A7466" s="24" t="s">
        <v>17469</v>
      </c>
      <c r="B7466" s="24" t="s">
        <v>17470</v>
      </c>
      <c r="C7466" s="24" t="s">
        <v>1083</v>
      </c>
      <c r="D7466" s="24" t="s">
        <v>17</v>
      </c>
      <c r="E7466" s="24" t="s">
        <v>48</v>
      </c>
      <c r="F7466" s="24" t="s">
        <v>49</v>
      </c>
      <c r="G7466" s="24" t="s">
        <v>28</v>
      </c>
      <c r="H7466" s="26">
        <v>423</v>
      </c>
      <c r="I7466" s="24" t="s">
        <v>29</v>
      </c>
      <c r="J7466" s="36">
        <v>45954</v>
      </c>
      <c r="K7466" s="24" t="s">
        <v>22</v>
      </c>
    </row>
    <row r="7467" spans="1:11" x14ac:dyDescent="0.2">
      <c r="A7467" s="27" t="s">
        <v>17471</v>
      </c>
      <c r="B7467" s="27" t="s">
        <v>17472</v>
      </c>
      <c r="C7467" s="27" t="s">
        <v>2048</v>
      </c>
      <c r="D7467" s="27" t="s">
        <v>17</v>
      </c>
      <c r="E7467" s="27" t="s">
        <v>18</v>
      </c>
      <c r="F7467" s="27" t="s">
        <v>19</v>
      </c>
      <c r="G7467" s="27" t="s">
        <v>217</v>
      </c>
      <c r="H7467" s="29">
        <v>48</v>
      </c>
      <c r="I7467" s="27" t="s">
        <v>29</v>
      </c>
      <c r="J7467" s="37">
        <v>45960</v>
      </c>
      <c r="K7467" s="27" t="s">
        <v>22</v>
      </c>
    </row>
    <row r="7468" spans="1:11" x14ac:dyDescent="0.2">
      <c r="A7468" s="24" t="s">
        <v>17473</v>
      </c>
      <c r="B7468" s="24" t="s">
        <v>17474</v>
      </c>
      <c r="C7468" s="24" t="s">
        <v>7994</v>
      </c>
      <c r="D7468" s="24" t="s">
        <v>17</v>
      </c>
      <c r="E7468" s="24" t="s">
        <v>18</v>
      </c>
      <c r="F7468" s="24" t="s">
        <v>19</v>
      </c>
      <c r="G7468" s="24" t="s">
        <v>28</v>
      </c>
      <c r="H7468" s="26">
        <v>86</v>
      </c>
      <c r="I7468" s="24" t="s">
        <v>29</v>
      </c>
      <c r="J7468" s="36">
        <v>45935</v>
      </c>
      <c r="K7468" s="24" t="s">
        <v>22</v>
      </c>
    </row>
    <row r="7469" spans="1:11" x14ac:dyDescent="0.2">
      <c r="A7469" s="27" t="s">
        <v>17475</v>
      </c>
      <c r="B7469" s="27" t="s">
        <v>17476</v>
      </c>
      <c r="C7469" s="27" t="s">
        <v>6277</v>
      </c>
      <c r="D7469" s="27" t="s">
        <v>17</v>
      </c>
      <c r="E7469" s="27" t="s">
        <v>81</v>
      </c>
      <c r="F7469" s="27" t="s">
        <v>82</v>
      </c>
      <c r="G7469" s="27" t="s">
        <v>28</v>
      </c>
      <c r="H7469" s="29">
        <v>30</v>
      </c>
      <c r="I7469" s="27" t="s">
        <v>29</v>
      </c>
      <c r="J7469" s="37">
        <v>45951</v>
      </c>
      <c r="K7469" s="27" t="s">
        <v>22</v>
      </c>
    </row>
    <row r="7470" spans="1:11" x14ac:dyDescent="0.2">
      <c r="A7470" s="24" t="s">
        <v>17477</v>
      </c>
      <c r="B7470" s="24" t="s">
        <v>17478</v>
      </c>
      <c r="C7470" s="24" t="s">
        <v>251</v>
      </c>
      <c r="D7470" s="24" t="s">
        <v>17</v>
      </c>
      <c r="E7470" s="24" t="s">
        <v>48</v>
      </c>
      <c r="F7470" s="24" t="s">
        <v>49</v>
      </c>
      <c r="G7470" s="24" t="s">
        <v>28</v>
      </c>
      <c r="H7470" s="26">
        <v>165</v>
      </c>
      <c r="I7470" s="24" t="s">
        <v>29</v>
      </c>
      <c r="J7470" s="36">
        <v>45958</v>
      </c>
      <c r="K7470" s="24" t="s">
        <v>22</v>
      </c>
    </row>
    <row r="7471" spans="1:11" x14ac:dyDescent="0.2">
      <c r="A7471" s="27" t="s">
        <v>17479</v>
      </c>
      <c r="B7471" s="27" t="s">
        <v>17480</v>
      </c>
      <c r="C7471" s="27" t="s">
        <v>5556</v>
      </c>
      <c r="D7471" s="27" t="s">
        <v>17</v>
      </c>
      <c r="E7471" s="27" t="s">
        <v>48</v>
      </c>
      <c r="F7471" s="27" t="s">
        <v>49</v>
      </c>
      <c r="G7471" s="27" t="s">
        <v>217</v>
      </c>
      <c r="H7471" s="29">
        <v>180</v>
      </c>
      <c r="I7471" s="27" t="s">
        <v>29</v>
      </c>
      <c r="J7471" s="37">
        <v>45931</v>
      </c>
      <c r="K7471" s="27" t="s">
        <v>22</v>
      </c>
    </row>
    <row r="7472" spans="1:11" x14ac:dyDescent="0.2">
      <c r="A7472" s="24" t="s">
        <v>17481</v>
      </c>
      <c r="B7472" s="24" t="s">
        <v>17482</v>
      </c>
      <c r="C7472" s="24" t="s">
        <v>16410</v>
      </c>
      <c r="D7472" s="24" t="s">
        <v>17</v>
      </c>
      <c r="E7472" s="24" t="s">
        <v>18</v>
      </c>
      <c r="F7472" s="24" t="s">
        <v>19</v>
      </c>
      <c r="G7472" s="24" t="s">
        <v>217</v>
      </c>
      <c r="H7472" s="26">
        <v>20</v>
      </c>
      <c r="I7472" s="24" t="s">
        <v>29</v>
      </c>
      <c r="J7472" s="36">
        <v>45961</v>
      </c>
      <c r="K7472" s="24" t="s">
        <v>22</v>
      </c>
    </row>
    <row r="7473" spans="1:11" x14ac:dyDescent="0.2">
      <c r="A7473" s="27" t="s">
        <v>17483</v>
      </c>
      <c r="B7473" s="27" t="s">
        <v>17484</v>
      </c>
      <c r="C7473" s="27" t="s">
        <v>17485</v>
      </c>
      <c r="D7473" s="27" t="s">
        <v>17</v>
      </c>
      <c r="E7473" s="27" t="s">
        <v>48</v>
      </c>
      <c r="F7473" s="27" t="s">
        <v>49</v>
      </c>
      <c r="G7473" s="27" t="s">
        <v>28</v>
      </c>
      <c r="H7473" s="29">
        <v>87</v>
      </c>
      <c r="I7473" s="27" t="s">
        <v>29</v>
      </c>
      <c r="J7473" s="37">
        <v>45931</v>
      </c>
      <c r="K7473" s="27" t="s">
        <v>22</v>
      </c>
    </row>
    <row r="7474" spans="1:11" x14ac:dyDescent="0.2">
      <c r="A7474" s="24" t="s">
        <v>17486</v>
      </c>
      <c r="B7474" s="24" t="s">
        <v>17487</v>
      </c>
      <c r="C7474" s="24" t="s">
        <v>17488</v>
      </c>
      <c r="D7474" s="24" t="s">
        <v>17</v>
      </c>
      <c r="E7474" s="24" t="s">
        <v>48</v>
      </c>
      <c r="F7474" s="24" t="s">
        <v>49</v>
      </c>
      <c r="G7474" s="24" t="s">
        <v>217</v>
      </c>
      <c r="H7474" s="26">
        <v>45</v>
      </c>
      <c r="I7474" s="24" t="s">
        <v>29</v>
      </c>
      <c r="J7474" s="36">
        <v>45931</v>
      </c>
      <c r="K7474" s="24" t="s">
        <v>22</v>
      </c>
    </row>
    <row r="7475" spans="1:11" x14ac:dyDescent="0.2">
      <c r="A7475" s="27" t="s">
        <v>17489</v>
      </c>
      <c r="B7475" s="27" t="s">
        <v>17490</v>
      </c>
      <c r="C7475" s="27" t="s">
        <v>197</v>
      </c>
      <c r="D7475" s="27" t="s">
        <v>17</v>
      </c>
      <c r="E7475" s="27" t="s">
        <v>18</v>
      </c>
      <c r="F7475" s="27" t="s">
        <v>19</v>
      </c>
      <c r="G7475" s="27" t="s">
        <v>28</v>
      </c>
      <c r="H7475" s="29">
        <v>25</v>
      </c>
      <c r="I7475" s="27" t="s">
        <v>29</v>
      </c>
      <c r="J7475" s="37">
        <v>45946</v>
      </c>
      <c r="K7475" s="27" t="s">
        <v>22</v>
      </c>
    </row>
    <row r="7476" spans="1:11" x14ac:dyDescent="0.2">
      <c r="A7476" s="24" t="s">
        <v>17491</v>
      </c>
      <c r="B7476" s="24" t="s">
        <v>17492</v>
      </c>
      <c r="C7476" s="24" t="s">
        <v>17493</v>
      </c>
      <c r="D7476" s="24" t="s">
        <v>17</v>
      </c>
      <c r="E7476" s="24" t="s">
        <v>48</v>
      </c>
      <c r="F7476" s="24" t="s">
        <v>49</v>
      </c>
      <c r="G7476" s="24" t="s">
        <v>28</v>
      </c>
      <c r="H7476" s="26">
        <v>120</v>
      </c>
      <c r="I7476" s="24" t="s">
        <v>29</v>
      </c>
      <c r="J7476" s="36">
        <v>45931</v>
      </c>
      <c r="K7476" s="24" t="s">
        <v>22</v>
      </c>
    </row>
    <row r="7477" spans="1:11" x14ac:dyDescent="0.2">
      <c r="A7477" s="27" t="s">
        <v>17494</v>
      </c>
      <c r="B7477" s="27" t="s">
        <v>17495</v>
      </c>
      <c r="C7477" s="27" t="s">
        <v>17496</v>
      </c>
      <c r="D7477" s="27" t="s">
        <v>17</v>
      </c>
      <c r="E7477" s="27" t="s">
        <v>48</v>
      </c>
      <c r="F7477" s="27" t="s">
        <v>49</v>
      </c>
      <c r="G7477" s="27" t="s">
        <v>28</v>
      </c>
      <c r="H7477" s="29">
        <v>165</v>
      </c>
      <c r="I7477" s="27" t="s">
        <v>29</v>
      </c>
      <c r="J7477" s="37">
        <v>45936</v>
      </c>
      <c r="K7477" s="27" t="s">
        <v>22</v>
      </c>
    </row>
    <row r="7478" spans="1:11" x14ac:dyDescent="0.2">
      <c r="A7478" s="24" t="s">
        <v>17497</v>
      </c>
      <c r="B7478" s="24" t="s">
        <v>17498</v>
      </c>
      <c r="C7478" s="24" t="s">
        <v>2669</v>
      </c>
      <c r="D7478" s="24" t="s">
        <v>17</v>
      </c>
      <c r="E7478" s="24" t="s">
        <v>48</v>
      </c>
      <c r="F7478" s="24" t="s">
        <v>49</v>
      </c>
      <c r="G7478" s="24" t="s">
        <v>28</v>
      </c>
      <c r="H7478" s="26">
        <v>270</v>
      </c>
      <c r="I7478" s="24" t="s">
        <v>29</v>
      </c>
      <c r="J7478" s="36">
        <v>45959</v>
      </c>
      <c r="K7478" s="24" t="s">
        <v>22</v>
      </c>
    </row>
    <row r="7479" spans="1:11" x14ac:dyDescent="0.2">
      <c r="A7479" s="27" t="s">
        <v>17499</v>
      </c>
      <c r="B7479" s="27" t="s">
        <v>17500</v>
      </c>
      <c r="C7479" s="27" t="s">
        <v>251</v>
      </c>
      <c r="D7479" s="27" t="s">
        <v>17</v>
      </c>
      <c r="E7479" s="27" t="s">
        <v>48</v>
      </c>
      <c r="F7479" s="27" t="s">
        <v>49</v>
      </c>
      <c r="G7479" s="27" t="s">
        <v>28</v>
      </c>
      <c r="H7479" s="29">
        <v>104</v>
      </c>
      <c r="I7479" s="27" t="s">
        <v>29</v>
      </c>
      <c r="J7479" s="37">
        <v>45939</v>
      </c>
      <c r="K7479" s="27" t="s">
        <v>22</v>
      </c>
    </row>
    <row r="7480" spans="1:11" x14ac:dyDescent="0.2">
      <c r="A7480" s="24" t="s">
        <v>17501</v>
      </c>
      <c r="B7480" s="24" t="s">
        <v>17502</v>
      </c>
      <c r="C7480" s="24" t="s">
        <v>8104</v>
      </c>
      <c r="D7480" s="24" t="s">
        <v>17</v>
      </c>
      <c r="E7480" s="24" t="s">
        <v>42</v>
      </c>
      <c r="F7480" s="24" t="s">
        <v>43</v>
      </c>
      <c r="G7480" s="24" t="s">
        <v>28</v>
      </c>
      <c r="H7480" s="26">
        <v>168</v>
      </c>
      <c r="I7480" s="24" t="s">
        <v>29</v>
      </c>
      <c r="J7480" s="36">
        <v>45943</v>
      </c>
      <c r="K7480" s="24" t="s">
        <v>22</v>
      </c>
    </row>
    <row r="7481" spans="1:11" x14ac:dyDescent="0.2">
      <c r="A7481" s="27" t="s">
        <v>17503</v>
      </c>
      <c r="B7481" s="27" t="s">
        <v>17504</v>
      </c>
      <c r="C7481" s="27" t="s">
        <v>12185</v>
      </c>
      <c r="D7481" s="27" t="s">
        <v>17</v>
      </c>
      <c r="E7481" s="27" t="s">
        <v>18</v>
      </c>
      <c r="F7481" s="27" t="s">
        <v>19</v>
      </c>
      <c r="G7481" s="27" t="s">
        <v>28</v>
      </c>
      <c r="H7481" s="29">
        <v>32</v>
      </c>
      <c r="I7481" s="27" t="s">
        <v>29</v>
      </c>
      <c r="J7481" s="37">
        <v>45953</v>
      </c>
      <c r="K7481" s="27" t="s">
        <v>22</v>
      </c>
    </row>
    <row r="7482" spans="1:11" x14ac:dyDescent="0.2">
      <c r="A7482" s="24" t="s">
        <v>17505</v>
      </c>
      <c r="B7482" s="24" t="s">
        <v>17506</v>
      </c>
      <c r="C7482" s="24" t="s">
        <v>322</v>
      </c>
      <c r="D7482" s="24" t="s">
        <v>17</v>
      </c>
      <c r="E7482" s="24" t="s">
        <v>42</v>
      </c>
      <c r="F7482" s="24" t="s">
        <v>43</v>
      </c>
      <c r="G7482" s="24" t="s">
        <v>217</v>
      </c>
      <c r="H7482" s="26">
        <v>152</v>
      </c>
      <c r="I7482" s="24" t="s">
        <v>29</v>
      </c>
      <c r="J7482" s="36">
        <v>45931</v>
      </c>
      <c r="K7482" s="24" t="s">
        <v>22</v>
      </c>
    </row>
    <row r="7483" spans="1:11" x14ac:dyDescent="0.2">
      <c r="A7483" s="27" t="s">
        <v>17507</v>
      </c>
      <c r="B7483" s="27" t="s">
        <v>17508</v>
      </c>
      <c r="C7483" s="27" t="s">
        <v>3048</v>
      </c>
      <c r="D7483" s="27" t="s">
        <v>17</v>
      </c>
      <c r="E7483" s="27" t="s">
        <v>18</v>
      </c>
      <c r="F7483" s="27" t="s">
        <v>19</v>
      </c>
      <c r="G7483" s="27" t="s">
        <v>20</v>
      </c>
      <c r="H7483" s="29">
        <v>54</v>
      </c>
      <c r="I7483" s="27" t="s">
        <v>21</v>
      </c>
      <c r="J7483" s="37">
        <v>45958</v>
      </c>
      <c r="K7483" s="27" t="s">
        <v>22</v>
      </c>
    </row>
    <row r="7484" spans="1:11" x14ac:dyDescent="0.2">
      <c r="A7484" s="24" t="s">
        <v>17509</v>
      </c>
      <c r="B7484" s="24" t="s">
        <v>17510</v>
      </c>
      <c r="C7484" s="24" t="s">
        <v>4012</v>
      </c>
      <c r="D7484" s="24" t="s">
        <v>17</v>
      </c>
      <c r="E7484" s="24" t="s">
        <v>48</v>
      </c>
      <c r="F7484" s="24" t="s">
        <v>49</v>
      </c>
      <c r="G7484" s="24" t="s">
        <v>28</v>
      </c>
      <c r="H7484" s="26">
        <v>204</v>
      </c>
      <c r="I7484" s="24" t="s">
        <v>29</v>
      </c>
      <c r="J7484" s="36">
        <v>45959</v>
      </c>
      <c r="K7484" s="24" t="s">
        <v>22</v>
      </c>
    </row>
    <row r="7485" spans="1:11" x14ac:dyDescent="0.2">
      <c r="A7485" s="27" t="s">
        <v>17511</v>
      </c>
      <c r="B7485" s="27" t="s">
        <v>17512</v>
      </c>
      <c r="C7485" s="27" t="s">
        <v>437</v>
      </c>
      <c r="D7485" s="27" t="s">
        <v>17</v>
      </c>
      <c r="E7485" s="27" t="s">
        <v>18</v>
      </c>
      <c r="F7485" s="27" t="s">
        <v>19</v>
      </c>
      <c r="G7485" s="27" t="s">
        <v>44</v>
      </c>
      <c r="H7485" s="29">
        <v>81</v>
      </c>
      <c r="I7485" s="27" t="s">
        <v>21</v>
      </c>
      <c r="J7485" s="37">
        <v>45952</v>
      </c>
      <c r="K7485" s="27" t="s">
        <v>22</v>
      </c>
    </row>
    <row r="7486" spans="1:11" x14ac:dyDescent="0.2">
      <c r="A7486" s="24" t="s">
        <v>17513</v>
      </c>
      <c r="B7486" s="24" t="s">
        <v>17514</v>
      </c>
      <c r="C7486" s="24" t="s">
        <v>15459</v>
      </c>
      <c r="D7486" s="24" t="s">
        <v>17</v>
      </c>
      <c r="E7486" s="24" t="s">
        <v>48</v>
      </c>
      <c r="F7486" s="24" t="s">
        <v>49</v>
      </c>
      <c r="G7486" s="24" t="s">
        <v>217</v>
      </c>
      <c r="H7486" s="26">
        <v>210</v>
      </c>
      <c r="I7486" s="24" t="s">
        <v>29</v>
      </c>
      <c r="J7486" s="36">
        <v>45945</v>
      </c>
      <c r="K7486" s="24" t="s">
        <v>22</v>
      </c>
    </row>
    <row r="7487" spans="1:11" x14ac:dyDescent="0.2">
      <c r="A7487" s="27" t="s">
        <v>17515</v>
      </c>
      <c r="B7487" s="27" t="s">
        <v>17516</v>
      </c>
      <c r="C7487" s="27" t="s">
        <v>134</v>
      </c>
      <c r="D7487" s="27" t="s">
        <v>17</v>
      </c>
      <c r="E7487" s="27" t="s">
        <v>42</v>
      </c>
      <c r="F7487" s="27" t="s">
        <v>43</v>
      </c>
      <c r="G7487" s="27" t="s">
        <v>28</v>
      </c>
      <c r="H7487" s="29">
        <v>424</v>
      </c>
      <c r="I7487" s="27" t="s">
        <v>29</v>
      </c>
      <c r="J7487" s="37">
        <v>45938</v>
      </c>
      <c r="K7487" s="27" t="s">
        <v>22</v>
      </c>
    </row>
    <row r="7488" spans="1:11" x14ac:dyDescent="0.2">
      <c r="A7488" s="24" t="s">
        <v>17517</v>
      </c>
      <c r="B7488" s="24" t="s">
        <v>17518</v>
      </c>
      <c r="C7488" s="24" t="s">
        <v>3504</v>
      </c>
      <c r="D7488" s="24" t="s">
        <v>17</v>
      </c>
      <c r="E7488" s="24" t="s">
        <v>42</v>
      </c>
      <c r="F7488" s="24" t="s">
        <v>43</v>
      </c>
      <c r="G7488" s="24" t="s">
        <v>28</v>
      </c>
      <c r="H7488" s="26">
        <v>150</v>
      </c>
      <c r="I7488" s="24" t="s">
        <v>29</v>
      </c>
      <c r="J7488" s="36">
        <v>45943</v>
      </c>
      <c r="K7488" s="24" t="s">
        <v>22</v>
      </c>
    </row>
    <row r="7489" spans="1:11" x14ac:dyDescent="0.2">
      <c r="A7489" s="27" t="s">
        <v>17519</v>
      </c>
      <c r="B7489" s="27" t="s">
        <v>17520</v>
      </c>
      <c r="C7489" s="27" t="s">
        <v>7989</v>
      </c>
      <c r="D7489" s="27" t="s">
        <v>17</v>
      </c>
      <c r="E7489" s="27" t="s">
        <v>18</v>
      </c>
      <c r="F7489" s="27" t="s">
        <v>19</v>
      </c>
      <c r="G7489" s="27" t="s">
        <v>217</v>
      </c>
      <c r="H7489" s="29">
        <v>40</v>
      </c>
      <c r="I7489" s="27" t="s">
        <v>29</v>
      </c>
      <c r="J7489" s="37">
        <v>45931</v>
      </c>
      <c r="K7489" s="27" t="s">
        <v>22</v>
      </c>
    </row>
    <row r="7490" spans="1:11" x14ac:dyDescent="0.2">
      <c r="A7490" s="24" t="s">
        <v>17521</v>
      </c>
      <c r="B7490" s="24" t="s">
        <v>17522</v>
      </c>
      <c r="C7490" s="24" t="s">
        <v>15046</v>
      </c>
      <c r="D7490" s="24" t="s">
        <v>17</v>
      </c>
      <c r="E7490" s="24" t="s">
        <v>48</v>
      </c>
      <c r="F7490" s="24" t="s">
        <v>49</v>
      </c>
      <c r="G7490" s="24" t="s">
        <v>28</v>
      </c>
      <c r="H7490" s="26">
        <v>96</v>
      </c>
      <c r="I7490" s="24" t="s">
        <v>29</v>
      </c>
      <c r="J7490" s="36">
        <v>45961</v>
      </c>
      <c r="K7490" s="24" t="s">
        <v>22</v>
      </c>
    </row>
    <row r="7491" spans="1:11" x14ac:dyDescent="0.2">
      <c r="A7491" s="27" t="s">
        <v>17523</v>
      </c>
      <c r="B7491" s="27" t="s">
        <v>17524</v>
      </c>
      <c r="C7491" s="27" t="s">
        <v>5398</v>
      </c>
      <c r="D7491" s="27" t="s">
        <v>17</v>
      </c>
      <c r="E7491" s="27" t="s">
        <v>48</v>
      </c>
      <c r="F7491" s="27" t="s">
        <v>49</v>
      </c>
      <c r="G7491" s="27" t="s">
        <v>28</v>
      </c>
      <c r="H7491" s="29">
        <v>120</v>
      </c>
      <c r="I7491" s="27" t="s">
        <v>29</v>
      </c>
      <c r="J7491" s="37">
        <v>45961</v>
      </c>
      <c r="K7491" s="27" t="s">
        <v>22</v>
      </c>
    </row>
    <row r="7492" spans="1:11" x14ac:dyDescent="0.2">
      <c r="A7492" s="24" t="s">
        <v>17525</v>
      </c>
      <c r="B7492" s="24" t="s">
        <v>17526</v>
      </c>
      <c r="C7492" s="24" t="s">
        <v>388</v>
      </c>
      <c r="D7492" s="24" t="s">
        <v>17</v>
      </c>
      <c r="E7492" s="24" t="s">
        <v>42</v>
      </c>
      <c r="F7492" s="24" t="s">
        <v>43</v>
      </c>
      <c r="G7492" s="24" t="s">
        <v>20</v>
      </c>
      <c r="H7492" s="26">
        <v>180</v>
      </c>
      <c r="I7492" s="24" t="s">
        <v>21</v>
      </c>
      <c r="J7492" s="36">
        <v>45961</v>
      </c>
      <c r="K7492" s="24" t="s">
        <v>22</v>
      </c>
    </row>
    <row r="7493" spans="1:11" x14ac:dyDescent="0.2">
      <c r="A7493" s="27" t="s">
        <v>17527</v>
      </c>
      <c r="B7493" s="27" t="s">
        <v>17528</v>
      </c>
      <c r="C7493" s="27" t="s">
        <v>17264</v>
      </c>
      <c r="D7493" s="27" t="s">
        <v>17</v>
      </c>
      <c r="E7493" s="27" t="s">
        <v>18</v>
      </c>
      <c r="F7493" s="27" t="s">
        <v>19</v>
      </c>
      <c r="G7493" s="27" t="s">
        <v>217</v>
      </c>
      <c r="H7493" s="29">
        <v>5</v>
      </c>
      <c r="I7493" s="27" t="s">
        <v>29</v>
      </c>
      <c r="J7493" s="37">
        <v>45945</v>
      </c>
      <c r="K7493" s="27" t="s">
        <v>22</v>
      </c>
    </row>
    <row r="7494" spans="1:11" x14ac:dyDescent="0.2">
      <c r="A7494" s="24" t="s">
        <v>17529</v>
      </c>
      <c r="B7494" s="24" t="s">
        <v>17530</v>
      </c>
      <c r="C7494" s="24" t="s">
        <v>14459</v>
      </c>
      <c r="D7494" s="24" t="s">
        <v>17</v>
      </c>
      <c r="E7494" s="24" t="s">
        <v>42</v>
      </c>
      <c r="F7494" s="24" t="s">
        <v>43</v>
      </c>
      <c r="G7494" s="24" t="s">
        <v>20</v>
      </c>
      <c r="H7494" s="26">
        <v>44</v>
      </c>
      <c r="I7494" s="24" t="s">
        <v>21</v>
      </c>
      <c r="J7494" s="36">
        <v>45954</v>
      </c>
      <c r="K7494" s="24" t="s">
        <v>22</v>
      </c>
    </row>
    <row r="7495" spans="1:11" x14ac:dyDescent="0.2">
      <c r="A7495" s="27" t="s">
        <v>17531</v>
      </c>
      <c r="B7495" s="27" t="s">
        <v>17532</v>
      </c>
      <c r="C7495" s="27" t="s">
        <v>17533</v>
      </c>
      <c r="D7495" s="27" t="s">
        <v>17</v>
      </c>
      <c r="E7495" s="27" t="s">
        <v>18</v>
      </c>
      <c r="F7495" s="27" t="s">
        <v>19</v>
      </c>
      <c r="G7495" s="27" t="s">
        <v>28</v>
      </c>
      <c r="H7495" s="29">
        <v>15</v>
      </c>
      <c r="I7495" s="27" t="s">
        <v>29</v>
      </c>
      <c r="J7495" s="37">
        <v>45931</v>
      </c>
      <c r="K7495" s="27" t="s">
        <v>22</v>
      </c>
    </row>
    <row r="7496" spans="1:11" x14ac:dyDescent="0.2">
      <c r="A7496" s="24" t="s">
        <v>17534</v>
      </c>
      <c r="B7496" s="24" t="s">
        <v>17535</v>
      </c>
      <c r="C7496" s="24" t="s">
        <v>526</v>
      </c>
      <c r="D7496" s="24" t="s">
        <v>17</v>
      </c>
      <c r="E7496" s="24" t="s">
        <v>48</v>
      </c>
      <c r="F7496" s="24" t="s">
        <v>49</v>
      </c>
      <c r="G7496" s="24" t="s">
        <v>28</v>
      </c>
      <c r="H7496" s="26">
        <v>531</v>
      </c>
      <c r="I7496" s="24" t="s">
        <v>29</v>
      </c>
      <c r="J7496" s="36">
        <v>45952</v>
      </c>
      <c r="K7496" s="24" t="s">
        <v>22</v>
      </c>
    </row>
    <row r="7497" spans="1:11" x14ac:dyDescent="0.2">
      <c r="A7497" s="27" t="s">
        <v>17536</v>
      </c>
      <c r="B7497" s="27" t="s">
        <v>17537</v>
      </c>
      <c r="C7497" s="27" t="s">
        <v>526</v>
      </c>
      <c r="D7497" s="27" t="s">
        <v>17</v>
      </c>
      <c r="E7497" s="27" t="s">
        <v>42</v>
      </c>
      <c r="F7497" s="27" t="s">
        <v>43</v>
      </c>
      <c r="G7497" s="27" t="s">
        <v>28</v>
      </c>
      <c r="H7497" s="29">
        <v>1100</v>
      </c>
      <c r="I7497" s="27" t="s">
        <v>29</v>
      </c>
      <c r="J7497" s="37">
        <v>45945</v>
      </c>
      <c r="K7497" s="27" t="s">
        <v>22</v>
      </c>
    </row>
    <row r="7498" spans="1:11" x14ac:dyDescent="0.2">
      <c r="A7498" s="24" t="s">
        <v>17538</v>
      </c>
      <c r="B7498" s="24" t="s">
        <v>17539</v>
      </c>
      <c r="C7498" s="24" t="s">
        <v>146</v>
      </c>
      <c r="D7498" s="24" t="s">
        <v>17</v>
      </c>
      <c r="E7498" s="24" t="s">
        <v>42</v>
      </c>
      <c r="F7498" s="24" t="s">
        <v>43</v>
      </c>
      <c r="G7498" s="24" t="s">
        <v>28</v>
      </c>
      <c r="H7498" s="26">
        <v>1200</v>
      </c>
      <c r="I7498" s="24" t="s">
        <v>29</v>
      </c>
      <c r="J7498" s="36">
        <v>45953</v>
      </c>
      <c r="K7498" s="24" t="s">
        <v>22</v>
      </c>
    </row>
    <row r="7499" spans="1:11" x14ac:dyDescent="0.2">
      <c r="A7499" s="27" t="s">
        <v>17540</v>
      </c>
      <c r="B7499" s="27" t="s">
        <v>17541</v>
      </c>
      <c r="C7499" s="27" t="s">
        <v>17542</v>
      </c>
      <c r="D7499" s="27" t="s">
        <v>17</v>
      </c>
      <c r="E7499" s="27" t="s">
        <v>26</v>
      </c>
      <c r="F7499" s="27" t="s">
        <v>27</v>
      </c>
      <c r="G7499" s="27" t="s">
        <v>28</v>
      </c>
      <c r="H7499" s="29">
        <v>208</v>
      </c>
      <c r="I7499" s="27" t="s">
        <v>29</v>
      </c>
      <c r="J7499" s="37">
        <v>45944</v>
      </c>
      <c r="K7499" s="27" t="s">
        <v>22</v>
      </c>
    </row>
    <row r="7500" spans="1:11" x14ac:dyDescent="0.2">
      <c r="A7500" s="24" t="s">
        <v>17543</v>
      </c>
      <c r="B7500" s="24" t="s">
        <v>17544</v>
      </c>
      <c r="C7500" s="24" t="s">
        <v>91</v>
      </c>
      <c r="D7500" s="24" t="s">
        <v>17</v>
      </c>
      <c r="E7500" s="24" t="s">
        <v>42</v>
      </c>
      <c r="F7500" s="24" t="s">
        <v>43</v>
      </c>
      <c r="G7500" s="24" t="s">
        <v>217</v>
      </c>
      <c r="H7500" s="26">
        <v>252</v>
      </c>
      <c r="I7500" s="24" t="s">
        <v>29</v>
      </c>
      <c r="J7500" s="36">
        <v>45931</v>
      </c>
      <c r="K7500" s="24" t="s">
        <v>22</v>
      </c>
    </row>
    <row r="7501" spans="1:11" x14ac:dyDescent="0.2">
      <c r="A7501" s="27" t="s">
        <v>17545</v>
      </c>
      <c r="B7501" s="27" t="s">
        <v>17546</v>
      </c>
      <c r="C7501" s="27" t="s">
        <v>17547</v>
      </c>
      <c r="D7501" s="27" t="s">
        <v>17</v>
      </c>
      <c r="E7501" s="27" t="s">
        <v>48</v>
      </c>
      <c r="F7501" s="27" t="s">
        <v>49</v>
      </c>
      <c r="G7501" s="27" t="s">
        <v>28</v>
      </c>
      <c r="H7501" s="29">
        <v>50</v>
      </c>
      <c r="I7501" s="27" t="s">
        <v>29</v>
      </c>
      <c r="J7501" s="37">
        <v>45959</v>
      </c>
      <c r="K7501" s="27" t="s">
        <v>22</v>
      </c>
    </row>
    <row r="7502" spans="1:11" x14ac:dyDescent="0.2">
      <c r="A7502" s="24" t="s">
        <v>17548</v>
      </c>
      <c r="B7502" s="24" t="s">
        <v>17549</v>
      </c>
      <c r="C7502" s="24" t="s">
        <v>537</v>
      </c>
      <c r="D7502" s="24" t="s">
        <v>17</v>
      </c>
      <c r="E7502" s="24" t="s">
        <v>18</v>
      </c>
      <c r="F7502" s="24" t="s">
        <v>19</v>
      </c>
      <c r="G7502" s="24" t="s">
        <v>217</v>
      </c>
      <c r="H7502" s="26">
        <v>150</v>
      </c>
      <c r="I7502" s="24" t="s">
        <v>29</v>
      </c>
      <c r="J7502" s="36">
        <v>45950</v>
      </c>
      <c r="K7502" s="24" t="s">
        <v>22</v>
      </c>
    </row>
    <row r="7503" spans="1:11" x14ac:dyDescent="0.2">
      <c r="A7503" s="27" t="s">
        <v>17550</v>
      </c>
      <c r="B7503" s="27" t="s">
        <v>17551</v>
      </c>
      <c r="C7503" s="27" t="s">
        <v>2507</v>
      </c>
      <c r="D7503" s="27" t="s">
        <v>17</v>
      </c>
      <c r="E7503" s="27" t="s">
        <v>48</v>
      </c>
      <c r="F7503" s="27" t="s">
        <v>49</v>
      </c>
      <c r="G7503" s="27" t="s">
        <v>28</v>
      </c>
      <c r="H7503" s="29">
        <v>240</v>
      </c>
      <c r="I7503" s="27" t="s">
        <v>29</v>
      </c>
      <c r="J7503" s="37">
        <v>45954</v>
      </c>
      <c r="K7503" s="27" t="s">
        <v>22</v>
      </c>
    </row>
    <row r="7504" spans="1:11" x14ac:dyDescent="0.2">
      <c r="A7504" s="24" t="s">
        <v>17552</v>
      </c>
      <c r="B7504" s="24" t="s">
        <v>17553</v>
      </c>
      <c r="C7504" s="24" t="s">
        <v>17554</v>
      </c>
      <c r="D7504" s="24" t="s">
        <v>17</v>
      </c>
      <c r="E7504" s="24" t="s">
        <v>26</v>
      </c>
      <c r="F7504" s="24" t="s">
        <v>27</v>
      </c>
      <c r="G7504" s="24" t="s">
        <v>28</v>
      </c>
      <c r="H7504" s="26">
        <v>270</v>
      </c>
      <c r="I7504" s="24" t="s">
        <v>29</v>
      </c>
      <c r="J7504" s="36">
        <v>45931</v>
      </c>
      <c r="K7504" s="24" t="s">
        <v>22</v>
      </c>
    </row>
    <row r="7505" spans="1:11" x14ac:dyDescent="0.2">
      <c r="A7505" s="27" t="s">
        <v>17555</v>
      </c>
      <c r="B7505" s="27" t="s">
        <v>17556</v>
      </c>
      <c r="C7505" s="27" t="s">
        <v>687</v>
      </c>
      <c r="D7505" s="27" t="s">
        <v>17</v>
      </c>
      <c r="E7505" s="27" t="s">
        <v>18</v>
      </c>
      <c r="F7505" s="27" t="s">
        <v>19</v>
      </c>
      <c r="G7505" s="27" t="s">
        <v>28</v>
      </c>
      <c r="H7505" s="29">
        <v>20</v>
      </c>
      <c r="I7505" s="27" t="s">
        <v>29</v>
      </c>
      <c r="J7505" s="37">
        <v>45953</v>
      </c>
      <c r="K7505" s="27" t="s">
        <v>22</v>
      </c>
    </row>
    <row r="7506" spans="1:11" x14ac:dyDescent="0.2">
      <c r="A7506" s="24" t="s">
        <v>17557</v>
      </c>
      <c r="B7506" s="24" t="s">
        <v>17558</v>
      </c>
      <c r="C7506" s="24" t="s">
        <v>526</v>
      </c>
      <c r="D7506" s="24" t="s">
        <v>17</v>
      </c>
      <c r="E7506" s="24" t="s">
        <v>48</v>
      </c>
      <c r="F7506" s="24" t="s">
        <v>49</v>
      </c>
      <c r="G7506" s="24" t="s">
        <v>28</v>
      </c>
      <c r="H7506" s="26">
        <v>200</v>
      </c>
      <c r="I7506" s="24" t="s">
        <v>29</v>
      </c>
      <c r="J7506" s="36">
        <v>45946</v>
      </c>
      <c r="K7506" s="24" t="s">
        <v>22</v>
      </c>
    </row>
    <row r="7507" spans="1:11" x14ac:dyDescent="0.2">
      <c r="A7507" s="27" t="s">
        <v>17559</v>
      </c>
      <c r="B7507" s="27" t="s">
        <v>17560</v>
      </c>
      <c r="C7507" s="27" t="s">
        <v>2257</v>
      </c>
      <c r="D7507" s="27" t="s">
        <v>17</v>
      </c>
      <c r="E7507" s="27" t="s">
        <v>26</v>
      </c>
      <c r="F7507" s="27" t="s">
        <v>27</v>
      </c>
      <c r="G7507" s="27" t="s">
        <v>28</v>
      </c>
      <c r="H7507" s="29">
        <v>200</v>
      </c>
      <c r="I7507" s="27" t="s">
        <v>29</v>
      </c>
      <c r="J7507" s="37">
        <v>45931</v>
      </c>
      <c r="K7507" s="27" t="s">
        <v>22</v>
      </c>
    </row>
    <row r="7508" spans="1:11" x14ac:dyDescent="0.2">
      <c r="A7508" s="24" t="s">
        <v>17561</v>
      </c>
      <c r="B7508" s="24" t="s">
        <v>17562</v>
      </c>
      <c r="C7508" s="24" t="s">
        <v>526</v>
      </c>
      <c r="D7508" s="24" t="s">
        <v>17</v>
      </c>
      <c r="E7508" s="24" t="s">
        <v>18</v>
      </c>
      <c r="F7508" s="24" t="s">
        <v>19</v>
      </c>
      <c r="G7508" s="24" t="s">
        <v>28</v>
      </c>
      <c r="H7508" s="26">
        <v>32</v>
      </c>
      <c r="I7508" s="24" t="s">
        <v>29</v>
      </c>
      <c r="J7508" s="36">
        <v>45950</v>
      </c>
      <c r="K7508" s="24" t="s">
        <v>22</v>
      </c>
    </row>
    <row r="7509" spans="1:11" x14ac:dyDescent="0.2">
      <c r="A7509" s="27" t="s">
        <v>17563</v>
      </c>
      <c r="B7509" s="27" t="s">
        <v>17564</v>
      </c>
      <c r="C7509" s="27" t="s">
        <v>68</v>
      </c>
      <c r="D7509" s="27" t="s">
        <v>17</v>
      </c>
      <c r="E7509" s="27" t="s">
        <v>48</v>
      </c>
      <c r="F7509" s="27" t="s">
        <v>49</v>
      </c>
      <c r="G7509" s="27" t="s">
        <v>28</v>
      </c>
      <c r="H7509" s="29">
        <v>60</v>
      </c>
      <c r="I7509" s="27" t="s">
        <v>29</v>
      </c>
      <c r="J7509" s="37">
        <v>45941</v>
      </c>
      <c r="K7509" s="27" t="s">
        <v>22</v>
      </c>
    </row>
    <row r="7510" spans="1:11" x14ac:dyDescent="0.2">
      <c r="A7510" s="24" t="s">
        <v>17565</v>
      </c>
      <c r="B7510" s="24" t="s">
        <v>17566</v>
      </c>
      <c r="C7510" s="24" t="s">
        <v>7226</v>
      </c>
      <c r="D7510" s="24" t="s">
        <v>17</v>
      </c>
      <c r="E7510" s="24" t="s">
        <v>26</v>
      </c>
      <c r="F7510" s="24" t="s">
        <v>27</v>
      </c>
      <c r="G7510" s="24" t="s">
        <v>217</v>
      </c>
      <c r="H7510" s="26">
        <v>100</v>
      </c>
      <c r="I7510" s="24" t="s">
        <v>29</v>
      </c>
      <c r="J7510" s="36">
        <v>45931</v>
      </c>
      <c r="K7510" s="24" t="s">
        <v>22</v>
      </c>
    </row>
    <row r="7511" spans="1:11" x14ac:dyDescent="0.2">
      <c r="A7511" s="27" t="s">
        <v>17567</v>
      </c>
      <c r="B7511" s="27" t="s">
        <v>17568</v>
      </c>
      <c r="C7511" s="27" t="s">
        <v>687</v>
      </c>
      <c r="D7511" s="27" t="s">
        <v>17</v>
      </c>
      <c r="E7511" s="27" t="s">
        <v>18</v>
      </c>
      <c r="F7511" s="27" t="s">
        <v>19</v>
      </c>
      <c r="G7511" s="27" t="s">
        <v>28</v>
      </c>
      <c r="H7511" s="29">
        <v>36</v>
      </c>
      <c r="I7511" s="27" t="s">
        <v>29</v>
      </c>
      <c r="J7511" s="37">
        <v>45953</v>
      </c>
      <c r="K7511" s="27" t="s">
        <v>22</v>
      </c>
    </row>
    <row r="7512" spans="1:11" x14ac:dyDescent="0.2">
      <c r="A7512" s="24" t="s">
        <v>17569</v>
      </c>
      <c r="B7512" s="24" t="s">
        <v>17570</v>
      </c>
      <c r="C7512" s="24" t="s">
        <v>112</v>
      </c>
      <c r="D7512" s="24" t="s">
        <v>17</v>
      </c>
      <c r="E7512" s="24" t="s">
        <v>18</v>
      </c>
      <c r="F7512" s="24" t="s">
        <v>19</v>
      </c>
      <c r="G7512" s="24" t="s">
        <v>20</v>
      </c>
      <c r="H7512" s="26">
        <v>43</v>
      </c>
      <c r="I7512" s="24" t="s">
        <v>21</v>
      </c>
      <c r="J7512" s="36">
        <v>45944</v>
      </c>
      <c r="K7512" s="24" t="s">
        <v>22</v>
      </c>
    </row>
    <row r="7513" spans="1:11" x14ac:dyDescent="0.2">
      <c r="A7513" s="27" t="s">
        <v>17571</v>
      </c>
      <c r="B7513" s="27" t="s">
        <v>17572</v>
      </c>
      <c r="C7513" s="27" t="s">
        <v>251</v>
      </c>
      <c r="D7513" s="27" t="s">
        <v>17</v>
      </c>
      <c r="E7513" s="27" t="s">
        <v>18</v>
      </c>
      <c r="F7513" s="27" t="s">
        <v>19</v>
      </c>
      <c r="G7513" s="27" t="s">
        <v>28</v>
      </c>
      <c r="H7513" s="29">
        <v>116</v>
      </c>
      <c r="I7513" s="27" t="s">
        <v>29</v>
      </c>
      <c r="J7513" s="37">
        <v>45946</v>
      </c>
      <c r="K7513" s="27" t="s">
        <v>22</v>
      </c>
    </row>
    <row r="7514" spans="1:11" x14ac:dyDescent="0.2">
      <c r="A7514" s="24" t="s">
        <v>17573</v>
      </c>
      <c r="B7514" s="24" t="s">
        <v>17574</v>
      </c>
      <c r="C7514" s="24" t="s">
        <v>1766</v>
      </c>
      <c r="D7514" s="24" t="s">
        <v>17</v>
      </c>
      <c r="E7514" s="24" t="s">
        <v>18</v>
      </c>
      <c r="F7514" s="24" t="s">
        <v>19</v>
      </c>
      <c r="G7514" s="24" t="s">
        <v>28</v>
      </c>
      <c r="H7514" s="26">
        <v>40</v>
      </c>
      <c r="I7514" s="24" t="s">
        <v>29</v>
      </c>
      <c r="J7514" s="36">
        <v>45946</v>
      </c>
      <c r="K7514" s="24" t="s">
        <v>22</v>
      </c>
    </row>
    <row r="7515" spans="1:11" x14ac:dyDescent="0.2">
      <c r="A7515" s="27" t="s">
        <v>17575</v>
      </c>
      <c r="B7515" s="27" t="s">
        <v>17576</v>
      </c>
      <c r="C7515" s="27" t="s">
        <v>71</v>
      </c>
      <c r="D7515" s="27" t="s">
        <v>17</v>
      </c>
      <c r="E7515" s="27" t="s">
        <v>26</v>
      </c>
      <c r="F7515" s="27" t="s">
        <v>27</v>
      </c>
      <c r="G7515" s="27" t="s">
        <v>28</v>
      </c>
      <c r="H7515" s="29">
        <v>444</v>
      </c>
      <c r="I7515" s="27" t="s">
        <v>29</v>
      </c>
      <c r="J7515" s="37">
        <v>45954</v>
      </c>
      <c r="K7515" s="27" t="s">
        <v>22</v>
      </c>
    </row>
    <row r="7516" spans="1:11" x14ac:dyDescent="0.2">
      <c r="A7516" s="24" t="s">
        <v>17577</v>
      </c>
      <c r="B7516" s="24" t="s">
        <v>17578</v>
      </c>
      <c r="C7516" s="24" t="s">
        <v>1346</v>
      </c>
      <c r="D7516" s="24" t="s">
        <v>17</v>
      </c>
      <c r="E7516" s="24" t="s">
        <v>48</v>
      </c>
      <c r="F7516" s="24" t="s">
        <v>49</v>
      </c>
      <c r="G7516" s="24" t="s">
        <v>217</v>
      </c>
      <c r="H7516" s="26">
        <v>86</v>
      </c>
      <c r="I7516" s="24" t="s">
        <v>29</v>
      </c>
      <c r="J7516" s="36">
        <v>45955</v>
      </c>
      <c r="K7516" s="24" t="s">
        <v>22</v>
      </c>
    </row>
    <row r="7517" spans="1:11" x14ac:dyDescent="0.2">
      <c r="A7517" s="27" t="s">
        <v>17579</v>
      </c>
      <c r="B7517" s="27" t="s">
        <v>17580</v>
      </c>
      <c r="C7517" s="27" t="s">
        <v>1307</v>
      </c>
      <c r="D7517" s="27" t="s">
        <v>17</v>
      </c>
      <c r="E7517" s="27" t="s">
        <v>33</v>
      </c>
      <c r="F7517" s="27" t="s">
        <v>34</v>
      </c>
      <c r="G7517" s="27" t="s">
        <v>28</v>
      </c>
      <c r="H7517" s="29">
        <v>360</v>
      </c>
      <c r="I7517" s="27" t="s">
        <v>29</v>
      </c>
      <c r="J7517" s="37">
        <v>45954</v>
      </c>
      <c r="K7517" s="27" t="s">
        <v>22</v>
      </c>
    </row>
    <row r="7518" spans="1:11" x14ac:dyDescent="0.2">
      <c r="A7518" s="24" t="s">
        <v>17581</v>
      </c>
      <c r="B7518" s="24" t="s">
        <v>17582</v>
      </c>
      <c r="C7518" s="24" t="s">
        <v>6924</v>
      </c>
      <c r="D7518" s="24" t="s">
        <v>17</v>
      </c>
      <c r="E7518" s="24" t="s">
        <v>18</v>
      </c>
      <c r="F7518" s="24" t="s">
        <v>19</v>
      </c>
      <c r="G7518" s="24" t="s">
        <v>28</v>
      </c>
      <c r="H7518" s="26">
        <v>100</v>
      </c>
      <c r="I7518" s="24" t="s">
        <v>29</v>
      </c>
      <c r="J7518" s="36">
        <v>45951</v>
      </c>
      <c r="K7518" s="24" t="s">
        <v>22</v>
      </c>
    </row>
    <row r="7519" spans="1:11" x14ac:dyDescent="0.2">
      <c r="A7519" s="27" t="s">
        <v>17583</v>
      </c>
      <c r="B7519" s="27" t="s">
        <v>17584</v>
      </c>
      <c r="C7519" s="27" t="s">
        <v>423</v>
      </c>
      <c r="D7519" s="27" t="s">
        <v>17</v>
      </c>
      <c r="E7519" s="27" t="s">
        <v>18</v>
      </c>
      <c r="F7519" s="27" t="s">
        <v>19</v>
      </c>
      <c r="G7519" s="27" t="s">
        <v>20</v>
      </c>
      <c r="H7519" s="29">
        <v>30</v>
      </c>
      <c r="I7519" s="27" t="s">
        <v>21</v>
      </c>
      <c r="J7519" s="37">
        <v>45960</v>
      </c>
      <c r="K7519" s="27" t="s">
        <v>22</v>
      </c>
    </row>
    <row r="7520" spans="1:11" x14ac:dyDescent="0.2">
      <c r="A7520" s="24" t="s">
        <v>17585</v>
      </c>
      <c r="B7520" s="24" t="s">
        <v>17586</v>
      </c>
      <c r="C7520" s="24" t="s">
        <v>1886</v>
      </c>
      <c r="D7520" s="24" t="s">
        <v>17</v>
      </c>
      <c r="E7520" s="24" t="s">
        <v>48</v>
      </c>
      <c r="F7520" s="24" t="s">
        <v>49</v>
      </c>
      <c r="G7520" s="24" t="s">
        <v>44</v>
      </c>
      <c r="H7520" s="26">
        <v>840</v>
      </c>
      <c r="I7520" s="24" t="s">
        <v>29</v>
      </c>
      <c r="J7520" s="36">
        <v>45953</v>
      </c>
      <c r="K7520" s="24" t="s">
        <v>22</v>
      </c>
    </row>
    <row r="7521" spans="1:11" x14ac:dyDescent="0.2">
      <c r="A7521" s="27" t="s">
        <v>17587</v>
      </c>
      <c r="B7521" s="27" t="s">
        <v>17588</v>
      </c>
      <c r="C7521" s="27" t="s">
        <v>792</v>
      </c>
      <c r="D7521" s="27" t="s">
        <v>17</v>
      </c>
      <c r="E7521" s="27" t="s">
        <v>42</v>
      </c>
      <c r="F7521" s="27" t="s">
        <v>43</v>
      </c>
      <c r="G7521" s="27" t="s">
        <v>28</v>
      </c>
      <c r="H7521" s="29">
        <v>686</v>
      </c>
      <c r="I7521" s="27" t="s">
        <v>29</v>
      </c>
      <c r="J7521" s="37">
        <v>45954</v>
      </c>
      <c r="K7521" s="27" t="s">
        <v>22</v>
      </c>
    </row>
    <row r="7522" spans="1:11" x14ac:dyDescent="0.2">
      <c r="A7522" s="24" t="s">
        <v>17589</v>
      </c>
      <c r="B7522" s="24" t="s">
        <v>17590</v>
      </c>
      <c r="C7522" s="24" t="s">
        <v>3199</v>
      </c>
      <c r="D7522" s="24" t="s">
        <v>17</v>
      </c>
      <c r="E7522" s="24" t="s">
        <v>18</v>
      </c>
      <c r="F7522" s="24" t="s">
        <v>19</v>
      </c>
      <c r="G7522" s="24" t="s">
        <v>28</v>
      </c>
      <c r="H7522" s="26">
        <v>12</v>
      </c>
      <c r="I7522" s="24" t="s">
        <v>29</v>
      </c>
      <c r="J7522" s="36">
        <v>45943</v>
      </c>
      <c r="K7522" s="24" t="s">
        <v>22</v>
      </c>
    </row>
    <row r="7523" spans="1:11" x14ac:dyDescent="0.2">
      <c r="A7523" s="27" t="s">
        <v>17591</v>
      </c>
      <c r="B7523" s="27" t="s">
        <v>17592</v>
      </c>
      <c r="C7523" s="27" t="s">
        <v>17593</v>
      </c>
      <c r="D7523" s="27" t="s">
        <v>17</v>
      </c>
      <c r="E7523" s="27" t="s">
        <v>18</v>
      </c>
      <c r="F7523" s="27" t="s">
        <v>19</v>
      </c>
      <c r="G7523" s="27" t="s">
        <v>28</v>
      </c>
      <c r="H7523" s="29">
        <v>150</v>
      </c>
      <c r="I7523" s="27" t="s">
        <v>29</v>
      </c>
      <c r="J7523" s="37">
        <v>45960</v>
      </c>
      <c r="K7523" s="27" t="s">
        <v>22</v>
      </c>
    </row>
    <row r="7524" spans="1:11" x14ac:dyDescent="0.2">
      <c r="A7524" s="24" t="s">
        <v>17594</v>
      </c>
      <c r="B7524" s="24" t="s">
        <v>17595</v>
      </c>
      <c r="C7524" s="24" t="s">
        <v>17596</v>
      </c>
      <c r="D7524" s="24" t="s">
        <v>17</v>
      </c>
      <c r="E7524" s="24" t="s">
        <v>18</v>
      </c>
      <c r="F7524" s="24" t="s">
        <v>19</v>
      </c>
      <c r="G7524" s="24" t="s">
        <v>28</v>
      </c>
      <c r="H7524" s="26">
        <v>30</v>
      </c>
      <c r="I7524" s="24" t="s">
        <v>29</v>
      </c>
      <c r="J7524" s="36">
        <v>45954</v>
      </c>
      <c r="K7524" s="24" t="s">
        <v>22</v>
      </c>
    </row>
    <row r="7525" spans="1:11" x14ac:dyDescent="0.2">
      <c r="A7525" s="27" t="s">
        <v>17597</v>
      </c>
      <c r="B7525" s="27" t="s">
        <v>17598</v>
      </c>
      <c r="C7525" s="27" t="s">
        <v>146</v>
      </c>
      <c r="D7525" s="27" t="s">
        <v>17</v>
      </c>
      <c r="E7525" s="27" t="s">
        <v>26</v>
      </c>
      <c r="F7525" s="27" t="s">
        <v>27</v>
      </c>
      <c r="G7525" s="27" t="s">
        <v>28</v>
      </c>
      <c r="H7525" s="29">
        <v>47</v>
      </c>
      <c r="I7525" s="27" t="s">
        <v>29</v>
      </c>
      <c r="J7525" s="37">
        <v>45950</v>
      </c>
      <c r="K7525" s="27" t="s">
        <v>22</v>
      </c>
    </row>
    <row r="7526" spans="1:11" x14ac:dyDescent="0.2">
      <c r="A7526" s="24" t="s">
        <v>17599</v>
      </c>
      <c r="B7526" s="24" t="s">
        <v>17600</v>
      </c>
      <c r="C7526" s="24" t="s">
        <v>2725</v>
      </c>
      <c r="D7526" s="24" t="s">
        <v>17</v>
      </c>
      <c r="E7526" s="24" t="s">
        <v>48</v>
      </c>
      <c r="F7526" s="24" t="s">
        <v>49</v>
      </c>
      <c r="G7526" s="24" t="s">
        <v>28</v>
      </c>
      <c r="H7526" s="26">
        <v>50</v>
      </c>
      <c r="I7526" s="24" t="s">
        <v>29</v>
      </c>
      <c r="J7526" s="36">
        <v>45950</v>
      </c>
      <c r="K7526" s="24" t="s">
        <v>22</v>
      </c>
    </row>
    <row r="7527" spans="1:11" x14ac:dyDescent="0.2">
      <c r="A7527" s="27" t="s">
        <v>17601</v>
      </c>
      <c r="B7527" s="27" t="s">
        <v>17602</v>
      </c>
      <c r="C7527" s="27" t="s">
        <v>1425</v>
      </c>
      <c r="D7527" s="27" t="s">
        <v>17</v>
      </c>
      <c r="E7527" s="27" t="s">
        <v>18</v>
      </c>
      <c r="F7527" s="27" t="s">
        <v>19</v>
      </c>
      <c r="G7527" s="27" t="s">
        <v>28</v>
      </c>
      <c r="H7527" s="29">
        <v>328</v>
      </c>
      <c r="I7527" s="27" t="s">
        <v>29</v>
      </c>
      <c r="J7527" s="37">
        <v>45957</v>
      </c>
      <c r="K7527" s="27" t="s">
        <v>22</v>
      </c>
    </row>
    <row r="7528" spans="1:11" x14ac:dyDescent="0.2">
      <c r="A7528" s="24" t="s">
        <v>17603</v>
      </c>
      <c r="B7528" s="24" t="s">
        <v>17604</v>
      </c>
      <c r="C7528" s="24" t="s">
        <v>3531</v>
      </c>
      <c r="D7528" s="24" t="s">
        <v>17</v>
      </c>
      <c r="E7528" s="24" t="s">
        <v>18</v>
      </c>
      <c r="F7528" s="24" t="s">
        <v>19</v>
      </c>
      <c r="G7528" s="24" t="s">
        <v>20</v>
      </c>
      <c r="H7528" s="26">
        <v>20</v>
      </c>
      <c r="I7528" s="24" t="s">
        <v>21</v>
      </c>
      <c r="J7528" s="36">
        <v>45961</v>
      </c>
      <c r="K7528" s="24" t="s">
        <v>22</v>
      </c>
    </row>
    <row r="7529" spans="1:11" x14ac:dyDescent="0.2">
      <c r="A7529" s="27" t="s">
        <v>17605</v>
      </c>
      <c r="B7529" s="27" t="s">
        <v>17606</v>
      </c>
      <c r="C7529" s="27" t="s">
        <v>423</v>
      </c>
      <c r="D7529" s="27" t="s">
        <v>17</v>
      </c>
      <c r="E7529" s="27" t="s">
        <v>18</v>
      </c>
      <c r="F7529" s="27" t="s">
        <v>19</v>
      </c>
      <c r="G7529" s="27" t="s">
        <v>20</v>
      </c>
      <c r="H7529" s="29">
        <v>30</v>
      </c>
      <c r="I7529" s="27" t="s">
        <v>21</v>
      </c>
      <c r="J7529" s="37">
        <v>45958</v>
      </c>
      <c r="K7529" s="27" t="s">
        <v>22</v>
      </c>
    </row>
    <row r="7530" spans="1:11" x14ac:dyDescent="0.2">
      <c r="A7530" s="24" t="s">
        <v>17607</v>
      </c>
      <c r="B7530" s="24" t="s">
        <v>17608</v>
      </c>
      <c r="C7530" s="24" t="s">
        <v>208</v>
      </c>
      <c r="D7530" s="24" t="s">
        <v>17</v>
      </c>
      <c r="E7530" s="24" t="s">
        <v>48</v>
      </c>
      <c r="F7530" s="24" t="s">
        <v>49</v>
      </c>
      <c r="G7530" s="24" t="s">
        <v>28</v>
      </c>
      <c r="H7530" s="26">
        <v>54</v>
      </c>
      <c r="I7530" s="24" t="s">
        <v>29</v>
      </c>
      <c r="J7530" s="36">
        <v>45944</v>
      </c>
      <c r="K7530" s="24" t="s">
        <v>22</v>
      </c>
    </row>
    <row r="7531" spans="1:11" x14ac:dyDescent="0.2">
      <c r="A7531" s="27" t="s">
        <v>17609</v>
      </c>
      <c r="B7531" s="27" t="s">
        <v>17610</v>
      </c>
      <c r="C7531" s="27" t="s">
        <v>7188</v>
      </c>
      <c r="D7531" s="27" t="s">
        <v>17</v>
      </c>
      <c r="E7531" s="27" t="s">
        <v>18</v>
      </c>
      <c r="F7531" s="27" t="s">
        <v>19</v>
      </c>
      <c r="G7531" s="27" t="s">
        <v>28</v>
      </c>
      <c r="H7531" s="29">
        <v>9</v>
      </c>
      <c r="I7531" s="27" t="s">
        <v>29</v>
      </c>
      <c r="J7531" s="37">
        <v>45932</v>
      </c>
      <c r="K7531" s="27" t="s">
        <v>22</v>
      </c>
    </row>
    <row r="7532" spans="1:11" x14ac:dyDescent="0.2">
      <c r="A7532" s="24" t="s">
        <v>17611</v>
      </c>
      <c r="B7532" s="24" t="s">
        <v>17612</v>
      </c>
      <c r="C7532" s="24" t="s">
        <v>55</v>
      </c>
      <c r="D7532" s="24" t="s">
        <v>17</v>
      </c>
      <c r="E7532" s="24" t="s">
        <v>42</v>
      </c>
      <c r="F7532" s="24" t="s">
        <v>43</v>
      </c>
      <c r="G7532" s="24" t="s">
        <v>28</v>
      </c>
      <c r="H7532" s="26">
        <v>675</v>
      </c>
      <c r="I7532" s="24" t="s">
        <v>29</v>
      </c>
      <c r="J7532" s="36">
        <v>45938</v>
      </c>
      <c r="K7532" s="24" t="s">
        <v>22</v>
      </c>
    </row>
    <row r="7533" spans="1:11" x14ac:dyDescent="0.2">
      <c r="A7533" s="27" t="s">
        <v>17613</v>
      </c>
      <c r="B7533" s="27" t="s">
        <v>17614</v>
      </c>
      <c r="C7533" s="27" t="s">
        <v>17615</v>
      </c>
      <c r="D7533" s="27" t="s">
        <v>17</v>
      </c>
      <c r="E7533" s="27" t="s">
        <v>26</v>
      </c>
      <c r="F7533" s="27" t="s">
        <v>27</v>
      </c>
      <c r="G7533" s="27" t="s">
        <v>217</v>
      </c>
      <c r="H7533" s="29">
        <v>20</v>
      </c>
      <c r="I7533" s="27" t="s">
        <v>29</v>
      </c>
      <c r="J7533" s="37">
        <v>45931</v>
      </c>
      <c r="K7533" s="27" t="s">
        <v>22</v>
      </c>
    </row>
    <row r="7534" spans="1:11" x14ac:dyDescent="0.2">
      <c r="A7534" s="24" t="s">
        <v>17616</v>
      </c>
      <c r="B7534" s="24" t="s">
        <v>17617</v>
      </c>
      <c r="C7534" s="24" t="s">
        <v>7864</v>
      </c>
      <c r="D7534" s="24" t="s">
        <v>17</v>
      </c>
      <c r="E7534" s="24" t="s">
        <v>18</v>
      </c>
      <c r="F7534" s="24" t="s">
        <v>19</v>
      </c>
      <c r="G7534" s="24" t="s">
        <v>28</v>
      </c>
      <c r="H7534" s="26">
        <v>60</v>
      </c>
      <c r="I7534" s="24" t="s">
        <v>29</v>
      </c>
      <c r="J7534" s="36">
        <v>45939</v>
      </c>
      <c r="K7534" s="24" t="s">
        <v>22</v>
      </c>
    </row>
    <row r="7535" spans="1:11" x14ac:dyDescent="0.2">
      <c r="A7535" s="27" t="s">
        <v>17618</v>
      </c>
      <c r="B7535" s="27" t="s">
        <v>17619</v>
      </c>
      <c r="C7535" s="27" t="s">
        <v>388</v>
      </c>
      <c r="D7535" s="27" t="s">
        <v>17</v>
      </c>
      <c r="E7535" s="27" t="s">
        <v>42</v>
      </c>
      <c r="F7535" s="27" t="s">
        <v>43</v>
      </c>
      <c r="G7535" s="27" t="s">
        <v>20</v>
      </c>
      <c r="H7535" s="29">
        <v>36</v>
      </c>
      <c r="I7535" s="27" t="s">
        <v>21</v>
      </c>
      <c r="J7535" s="37">
        <v>45939</v>
      </c>
      <c r="K7535" s="27" t="s">
        <v>22</v>
      </c>
    </row>
    <row r="7536" spans="1:11" x14ac:dyDescent="0.2">
      <c r="A7536" s="24" t="s">
        <v>17620</v>
      </c>
      <c r="B7536" s="24" t="s">
        <v>17621</v>
      </c>
      <c r="C7536" s="24" t="s">
        <v>17622</v>
      </c>
      <c r="D7536" s="24" t="s">
        <v>17</v>
      </c>
      <c r="E7536" s="24" t="s">
        <v>18</v>
      </c>
      <c r="F7536" s="24" t="s">
        <v>19</v>
      </c>
      <c r="G7536" s="24" t="s">
        <v>28</v>
      </c>
      <c r="H7536" s="26">
        <v>40</v>
      </c>
      <c r="I7536" s="24" t="s">
        <v>29</v>
      </c>
      <c r="J7536" s="36">
        <v>45931</v>
      </c>
      <c r="K7536" s="24" t="s">
        <v>22</v>
      </c>
    </row>
    <row r="7537" spans="1:11" x14ac:dyDescent="0.2">
      <c r="A7537" s="27" t="s">
        <v>17623</v>
      </c>
      <c r="B7537" s="27" t="s">
        <v>17624</v>
      </c>
      <c r="C7537" s="27" t="s">
        <v>17625</v>
      </c>
      <c r="D7537" s="27" t="s">
        <v>17</v>
      </c>
      <c r="E7537" s="27" t="s">
        <v>26</v>
      </c>
      <c r="F7537" s="27" t="s">
        <v>27</v>
      </c>
      <c r="G7537" s="27" t="s">
        <v>116</v>
      </c>
      <c r="H7537" s="29">
        <v>0</v>
      </c>
      <c r="I7537" s="27" t="s">
        <v>21</v>
      </c>
      <c r="J7537" s="37">
        <v>45931</v>
      </c>
      <c r="K7537" s="27" t="s">
        <v>22</v>
      </c>
    </row>
    <row r="7538" spans="1:11" x14ac:dyDescent="0.2">
      <c r="A7538" s="24" t="s">
        <v>17626</v>
      </c>
      <c r="B7538" s="24" t="s">
        <v>17627</v>
      </c>
      <c r="C7538" s="24" t="s">
        <v>17628</v>
      </c>
      <c r="D7538" s="24" t="s">
        <v>17</v>
      </c>
      <c r="E7538" s="24" t="s">
        <v>42</v>
      </c>
      <c r="F7538" s="24" t="s">
        <v>43</v>
      </c>
      <c r="G7538" s="24" t="s">
        <v>28</v>
      </c>
      <c r="H7538" s="26">
        <v>60</v>
      </c>
      <c r="I7538" s="24" t="s">
        <v>29</v>
      </c>
      <c r="J7538" s="36">
        <v>45945</v>
      </c>
      <c r="K7538" s="24" t="s">
        <v>22</v>
      </c>
    </row>
    <row r="7539" spans="1:11" x14ac:dyDescent="0.2">
      <c r="A7539" s="27" t="s">
        <v>17629</v>
      </c>
      <c r="B7539" s="27" t="s">
        <v>17630</v>
      </c>
      <c r="C7539" s="27" t="s">
        <v>518</v>
      </c>
      <c r="D7539" s="27" t="s">
        <v>17</v>
      </c>
      <c r="E7539" s="27" t="s">
        <v>18</v>
      </c>
      <c r="F7539" s="27" t="s">
        <v>19</v>
      </c>
      <c r="G7539" s="27" t="s">
        <v>217</v>
      </c>
      <c r="H7539" s="29">
        <v>36</v>
      </c>
      <c r="I7539" s="27" t="s">
        <v>29</v>
      </c>
      <c r="J7539" s="37">
        <v>45940</v>
      </c>
      <c r="K7539" s="27" t="s">
        <v>22</v>
      </c>
    </row>
    <row r="7540" spans="1:11" x14ac:dyDescent="0.2">
      <c r="A7540" s="24" t="s">
        <v>17631</v>
      </c>
      <c r="B7540" s="24" t="s">
        <v>17632</v>
      </c>
      <c r="C7540" s="24" t="s">
        <v>526</v>
      </c>
      <c r="D7540" s="24" t="s">
        <v>17</v>
      </c>
      <c r="E7540" s="24" t="s">
        <v>18</v>
      </c>
      <c r="F7540" s="24" t="s">
        <v>19</v>
      </c>
      <c r="G7540" s="24" t="s">
        <v>28</v>
      </c>
      <c r="H7540" s="26">
        <v>120</v>
      </c>
      <c r="I7540" s="24" t="s">
        <v>29</v>
      </c>
      <c r="J7540" s="36">
        <v>45957</v>
      </c>
      <c r="K7540" s="24" t="s">
        <v>22</v>
      </c>
    </row>
    <row r="7541" spans="1:11" x14ac:dyDescent="0.2">
      <c r="A7541" s="27" t="s">
        <v>17633</v>
      </c>
      <c r="B7541" s="27" t="s">
        <v>17634</v>
      </c>
      <c r="C7541" s="27" t="s">
        <v>97</v>
      </c>
      <c r="D7541" s="27" t="s">
        <v>17</v>
      </c>
      <c r="E7541" s="27" t="s">
        <v>26</v>
      </c>
      <c r="F7541" s="27" t="s">
        <v>27</v>
      </c>
      <c r="G7541" s="27" t="s">
        <v>28</v>
      </c>
      <c r="H7541" s="29">
        <v>177</v>
      </c>
      <c r="I7541" s="27" t="s">
        <v>29</v>
      </c>
      <c r="J7541" s="37">
        <v>45931</v>
      </c>
      <c r="K7541" s="27" t="s">
        <v>22</v>
      </c>
    </row>
    <row r="7542" spans="1:11" x14ac:dyDescent="0.2">
      <c r="A7542" s="24" t="s">
        <v>17635</v>
      </c>
      <c r="B7542" s="24" t="s">
        <v>17636</v>
      </c>
      <c r="C7542" s="24" t="s">
        <v>621</v>
      </c>
      <c r="D7542" s="24" t="s">
        <v>17</v>
      </c>
      <c r="E7542" s="24" t="s">
        <v>48</v>
      </c>
      <c r="F7542" s="24" t="s">
        <v>49</v>
      </c>
      <c r="G7542" s="24" t="s">
        <v>28</v>
      </c>
      <c r="H7542" s="26">
        <v>300</v>
      </c>
      <c r="I7542" s="24" t="s">
        <v>29</v>
      </c>
      <c r="J7542" s="36">
        <v>45954</v>
      </c>
      <c r="K7542" s="24" t="s">
        <v>22</v>
      </c>
    </row>
    <row r="7543" spans="1:11" x14ac:dyDescent="0.2">
      <c r="A7543" s="27" t="s">
        <v>17637</v>
      </c>
      <c r="B7543" s="27" t="s">
        <v>17638</v>
      </c>
      <c r="C7543" s="27" t="s">
        <v>2461</v>
      </c>
      <c r="D7543" s="27" t="s">
        <v>17</v>
      </c>
      <c r="E7543" s="27" t="s">
        <v>26</v>
      </c>
      <c r="F7543" s="27" t="s">
        <v>27</v>
      </c>
      <c r="G7543" s="27" t="s">
        <v>28</v>
      </c>
      <c r="H7543" s="29">
        <v>126</v>
      </c>
      <c r="I7543" s="27" t="s">
        <v>29</v>
      </c>
      <c r="J7543" s="37">
        <v>45951</v>
      </c>
      <c r="K7543" s="27" t="s">
        <v>22</v>
      </c>
    </row>
    <row r="7544" spans="1:11" x14ac:dyDescent="0.2">
      <c r="A7544" s="24" t="s">
        <v>17639</v>
      </c>
      <c r="B7544" s="24" t="s">
        <v>17640</v>
      </c>
      <c r="C7544" s="24" t="s">
        <v>6014</v>
      </c>
      <c r="D7544" s="24" t="s">
        <v>17</v>
      </c>
      <c r="E7544" s="24" t="s">
        <v>18</v>
      </c>
      <c r="F7544" s="24" t="s">
        <v>19</v>
      </c>
      <c r="G7544" s="24" t="s">
        <v>28</v>
      </c>
      <c r="H7544" s="26">
        <v>12</v>
      </c>
      <c r="I7544" s="24" t="s">
        <v>29</v>
      </c>
      <c r="J7544" s="36">
        <v>45931</v>
      </c>
      <c r="K7544" s="24" t="s">
        <v>22</v>
      </c>
    </row>
    <row r="7545" spans="1:11" x14ac:dyDescent="0.2">
      <c r="A7545" s="27" t="s">
        <v>17641</v>
      </c>
      <c r="B7545" s="27" t="s">
        <v>17642</v>
      </c>
      <c r="C7545" s="27" t="s">
        <v>4462</v>
      </c>
      <c r="D7545" s="27" t="s">
        <v>17</v>
      </c>
      <c r="E7545" s="27" t="s">
        <v>26</v>
      </c>
      <c r="F7545" s="27" t="s">
        <v>27</v>
      </c>
      <c r="G7545" s="27" t="s">
        <v>28</v>
      </c>
      <c r="H7545" s="29">
        <v>12</v>
      </c>
      <c r="I7545" s="27" t="s">
        <v>29</v>
      </c>
      <c r="J7545" s="37">
        <v>45931</v>
      </c>
      <c r="K7545" s="27" t="s">
        <v>22</v>
      </c>
    </row>
    <row r="7546" spans="1:11" x14ac:dyDescent="0.2">
      <c r="A7546" s="24" t="s">
        <v>17643</v>
      </c>
      <c r="B7546" s="24" t="s">
        <v>17644</v>
      </c>
      <c r="C7546" s="24" t="s">
        <v>526</v>
      </c>
      <c r="D7546" s="24" t="s">
        <v>17</v>
      </c>
      <c r="E7546" s="24" t="s">
        <v>18</v>
      </c>
      <c r="F7546" s="24" t="s">
        <v>19</v>
      </c>
      <c r="G7546" s="24" t="s">
        <v>28</v>
      </c>
      <c r="H7546" s="26">
        <v>241</v>
      </c>
      <c r="I7546" s="24" t="s">
        <v>29</v>
      </c>
      <c r="J7546" s="36">
        <v>45952</v>
      </c>
      <c r="K7546" s="24" t="s">
        <v>22</v>
      </c>
    </row>
    <row r="7547" spans="1:11" x14ac:dyDescent="0.2">
      <c r="A7547" s="27" t="s">
        <v>17645</v>
      </c>
      <c r="B7547" s="27" t="s">
        <v>17646</v>
      </c>
      <c r="C7547" s="27" t="s">
        <v>15805</v>
      </c>
      <c r="D7547" s="27" t="s">
        <v>17</v>
      </c>
      <c r="E7547" s="27" t="s">
        <v>42</v>
      </c>
      <c r="F7547" s="27" t="s">
        <v>43</v>
      </c>
      <c r="G7547" s="27" t="s">
        <v>217</v>
      </c>
      <c r="H7547" s="29">
        <v>472</v>
      </c>
      <c r="I7547" s="27" t="s">
        <v>29</v>
      </c>
      <c r="J7547" s="37">
        <v>45939</v>
      </c>
      <c r="K7547" s="27" t="s">
        <v>22</v>
      </c>
    </row>
    <row r="7548" spans="1:11" x14ac:dyDescent="0.2">
      <c r="A7548" s="24" t="s">
        <v>17647</v>
      </c>
      <c r="B7548" s="24" t="s">
        <v>17648</v>
      </c>
      <c r="C7548" s="24" t="s">
        <v>1199</v>
      </c>
      <c r="D7548" s="24" t="s">
        <v>17</v>
      </c>
      <c r="E7548" s="24" t="s">
        <v>42</v>
      </c>
      <c r="F7548" s="24" t="s">
        <v>43</v>
      </c>
      <c r="G7548" s="24" t="s">
        <v>28</v>
      </c>
      <c r="H7548" s="26">
        <v>460</v>
      </c>
      <c r="I7548" s="24" t="s">
        <v>29</v>
      </c>
      <c r="J7548" s="36">
        <v>45952</v>
      </c>
      <c r="K7548" s="24" t="s">
        <v>22</v>
      </c>
    </row>
    <row r="7549" spans="1:11" x14ac:dyDescent="0.2">
      <c r="A7549" s="27" t="s">
        <v>17649</v>
      </c>
      <c r="B7549" s="27" t="s">
        <v>17650</v>
      </c>
      <c r="C7549" s="27" t="s">
        <v>526</v>
      </c>
      <c r="D7549" s="27" t="s">
        <v>17</v>
      </c>
      <c r="E7549" s="27" t="s">
        <v>42</v>
      </c>
      <c r="F7549" s="27" t="s">
        <v>43</v>
      </c>
      <c r="G7549" s="27" t="s">
        <v>28</v>
      </c>
      <c r="H7549" s="29">
        <v>1100</v>
      </c>
      <c r="I7549" s="27" t="s">
        <v>29</v>
      </c>
      <c r="J7549" s="37">
        <v>45946</v>
      </c>
      <c r="K7549" s="27" t="s">
        <v>22</v>
      </c>
    </row>
    <row r="7550" spans="1:11" x14ac:dyDescent="0.2">
      <c r="A7550" s="24" t="s">
        <v>17651</v>
      </c>
      <c r="B7550" s="24" t="s">
        <v>17652</v>
      </c>
      <c r="C7550" s="24" t="s">
        <v>17653</v>
      </c>
      <c r="D7550" s="24" t="s">
        <v>17</v>
      </c>
      <c r="E7550" s="24" t="s">
        <v>48</v>
      </c>
      <c r="F7550" s="24" t="s">
        <v>49</v>
      </c>
      <c r="G7550" s="24" t="s">
        <v>217</v>
      </c>
      <c r="H7550" s="26">
        <v>255</v>
      </c>
      <c r="I7550" s="24" t="s">
        <v>29</v>
      </c>
      <c r="J7550" s="36">
        <v>45931</v>
      </c>
      <c r="K7550" s="24" t="s">
        <v>22</v>
      </c>
    </row>
    <row r="7551" spans="1:11" x14ac:dyDescent="0.2">
      <c r="A7551" s="27" t="s">
        <v>17654</v>
      </c>
      <c r="B7551" s="27" t="s">
        <v>17655</v>
      </c>
      <c r="C7551" s="27" t="s">
        <v>687</v>
      </c>
      <c r="D7551" s="27" t="s">
        <v>17</v>
      </c>
      <c r="E7551" s="27" t="s">
        <v>42</v>
      </c>
      <c r="F7551" s="27" t="s">
        <v>43</v>
      </c>
      <c r="G7551" s="27" t="s">
        <v>28</v>
      </c>
      <c r="H7551" s="29">
        <v>1280</v>
      </c>
      <c r="I7551" s="27" t="s">
        <v>29</v>
      </c>
      <c r="J7551" s="37">
        <v>45932</v>
      </c>
      <c r="K7551" s="27" t="s">
        <v>22</v>
      </c>
    </row>
    <row r="7552" spans="1:11" x14ac:dyDescent="0.2">
      <c r="A7552" s="24" t="s">
        <v>17656</v>
      </c>
      <c r="B7552" s="24" t="s">
        <v>17657</v>
      </c>
      <c r="C7552" s="24" t="s">
        <v>17658</v>
      </c>
      <c r="D7552" s="24" t="s">
        <v>17</v>
      </c>
      <c r="E7552" s="24" t="s">
        <v>48</v>
      </c>
      <c r="F7552" s="24" t="s">
        <v>49</v>
      </c>
      <c r="G7552" s="24" t="s">
        <v>217</v>
      </c>
      <c r="H7552" s="26">
        <v>48</v>
      </c>
      <c r="I7552" s="24" t="s">
        <v>29</v>
      </c>
      <c r="J7552" s="36">
        <v>45942</v>
      </c>
      <c r="K7552" s="24" t="s">
        <v>22</v>
      </c>
    </row>
    <row r="7553" spans="1:11" x14ac:dyDescent="0.2">
      <c r="A7553" s="27" t="s">
        <v>17659</v>
      </c>
      <c r="B7553" s="27" t="s">
        <v>17660</v>
      </c>
      <c r="C7553" s="27" t="s">
        <v>1883</v>
      </c>
      <c r="D7553" s="27" t="s">
        <v>17</v>
      </c>
      <c r="E7553" s="27" t="s">
        <v>42</v>
      </c>
      <c r="F7553" s="27" t="s">
        <v>43</v>
      </c>
      <c r="G7553" s="27" t="s">
        <v>28</v>
      </c>
      <c r="H7553" s="29">
        <v>825</v>
      </c>
      <c r="I7553" s="27" t="s">
        <v>29</v>
      </c>
      <c r="J7553" s="37">
        <v>45944</v>
      </c>
      <c r="K7553" s="27" t="s">
        <v>22</v>
      </c>
    </row>
    <row r="7554" spans="1:11" x14ac:dyDescent="0.2">
      <c r="A7554" s="24" t="s">
        <v>17661</v>
      </c>
      <c r="B7554" s="24" t="s">
        <v>17662</v>
      </c>
      <c r="C7554" s="24" t="s">
        <v>301</v>
      </c>
      <c r="D7554" s="24" t="s">
        <v>17</v>
      </c>
      <c r="E7554" s="24" t="s">
        <v>18</v>
      </c>
      <c r="F7554" s="24" t="s">
        <v>19</v>
      </c>
      <c r="G7554" s="24" t="s">
        <v>28</v>
      </c>
      <c r="H7554" s="26">
        <v>360</v>
      </c>
      <c r="I7554" s="24" t="s">
        <v>29</v>
      </c>
      <c r="J7554" s="36">
        <v>45940</v>
      </c>
      <c r="K7554" s="24" t="s">
        <v>22</v>
      </c>
    </row>
    <row r="7555" spans="1:11" x14ac:dyDescent="0.2">
      <c r="A7555" s="27" t="s">
        <v>17663</v>
      </c>
      <c r="B7555" s="27" t="s">
        <v>17664</v>
      </c>
      <c r="C7555" s="27" t="s">
        <v>2494</v>
      </c>
      <c r="D7555" s="27" t="s">
        <v>17</v>
      </c>
      <c r="E7555" s="27" t="s">
        <v>163</v>
      </c>
      <c r="F7555" s="27" t="s">
        <v>164</v>
      </c>
      <c r="G7555" s="27" t="s">
        <v>217</v>
      </c>
      <c r="H7555" s="29">
        <v>12</v>
      </c>
      <c r="I7555" s="27" t="s">
        <v>29</v>
      </c>
      <c r="J7555" s="37">
        <v>45940</v>
      </c>
      <c r="K7555" s="27" t="s">
        <v>22</v>
      </c>
    </row>
    <row r="7556" spans="1:11" x14ac:dyDescent="0.2">
      <c r="A7556" s="24" t="s">
        <v>17665</v>
      </c>
      <c r="B7556" s="24" t="s">
        <v>17666</v>
      </c>
      <c r="C7556" s="24" t="s">
        <v>134</v>
      </c>
      <c r="D7556" s="24" t="s">
        <v>17</v>
      </c>
      <c r="E7556" s="24" t="s">
        <v>33</v>
      </c>
      <c r="F7556" s="24" t="s">
        <v>34</v>
      </c>
      <c r="G7556" s="24" t="s">
        <v>28</v>
      </c>
      <c r="H7556" s="26">
        <v>470</v>
      </c>
      <c r="I7556" s="24" t="s">
        <v>29</v>
      </c>
      <c r="J7556" s="36">
        <v>45953</v>
      </c>
      <c r="K7556" s="24" t="s">
        <v>22</v>
      </c>
    </row>
    <row r="7557" spans="1:11" x14ac:dyDescent="0.2">
      <c r="A7557" s="27" t="s">
        <v>17667</v>
      </c>
      <c r="B7557" s="27" t="s">
        <v>17668</v>
      </c>
      <c r="C7557" s="27" t="s">
        <v>526</v>
      </c>
      <c r="D7557" s="27" t="s">
        <v>17</v>
      </c>
      <c r="E7557" s="27" t="s">
        <v>42</v>
      </c>
      <c r="F7557" s="27" t="s">
        <v>43</v>
      </c>
      <c r="G7557" s="27" t="s">
        <v>28</v>
      </c>
      <c r="H7557" s="29">
        <v>1205</v>
      </c>
      <c r="I7557" s="27" t="s">
        <v>29</v>
      </c>
      <c r="J7557" s="37">
        <v>45961</v>
      </c>
      <c r="K7557" s="27" t="s">
        <v>22</v>
      </c>
    </row>
    <row r="7558" spans="1:11" x14ac:dyDescent="0.2">
      <c r="A7558" s="24" t="s">
        <v>17669</v>
      </c>
      <c r="B7558" s="24" t="s">
        <v>17670</v>
      </c>
      <c r="C7558" s="24" t="s">
        <v>68</v>
      </c>
      <c r="D7558" s="24" t="s">
        <v>17</v>
      </c>
      <c r="E7558" s="24" t="s">
        <v>18</v>
      </c>
      <c r="F7558" s="24" t="s">
        <v>19</v>
      </c>
      <c r="G7558" s="24" t="s">
        <v>28</v>
      </c>
      <c r="H7558" s="26">
        <v>120</v>
      </c>
      <c r="I7558" s="24" t="s">
        <v>29</v>
      </c>
      <c r="J7558" s="36">
        <v>45946</v>
      </c>
      <c r="K7558" s="24" t="s">
        <v>22</v>
      </c>
    </row>
    <row r="7559" spans="1:11" x14ac:dyDescent="0.2">
      <c r="A7559" s="27" t="s">
        <v>17671</v>
      </c>
      <c r="B7559" s="27" t="s">
        <v>17672</v>
      </c>
      <c r="C7559" s="27" t="s">
        <v>41</v>
      </c>
      <c r="D7559" s="27" t="s">
        <v>17</v>
      </c>
      <c r="E7559" s="27" t="s">
        <v>26</v>
      </c>
      <c r="F7559" s="27" t="s">
        <v>27</v>
      </c>
      <c r="G7559" s="27" t="s">
        <v>28</v>
      </c>
      <c r="H7559" s="29">
        <v>6</v>
      </c>
      <c r="I7559" s="27" t="s">
        <v>29</v>
      </c>
      <c r="J7559" s="37">
        <v>45954</v>
      </c>
      <c r="K7559" s="27" t="s">
        <v>22</v>
      </c>
    </row>
    <row r="7560" spans="1:11" x14ac:dyDescent="0.2">
      <c r="A7560" s="24" t="s">
        <v>17673</v>
      </c>
      <c r="B7560" s="24" t="s">
        <v>17674</v>
      </c>
      <c r="C7560" s="24" t="s">
        <v>71</v>
      </c>
      <c r="D7560" s="24" t="s">
        <v>17</v>
      </c>
      <c r="E7560" s="24" t="s">
        <v>26</v>
      </c>
      <c r="F7560" s="24" t="s">
        <v>27</v>
      </c>
      <c r="G7560" s="24" t="s">
        <v>217</v>
      </c>
      <c r="H7560" s="26">
        <v>212</v>
      </c>
      <c r="I7560" s="24" t="s">
        <v>29</v>
      </c>
      <c r="J7560" s="36">
        <v>45931</v>
      </c>
      <c r="K7560" s="24" t="s">
        <v>22</v>
      </c>
    </row>
    <row r="7561" spans="1:11" x14ac:dyDescent="0.2">
      <c r="A7561" s="27" t="s">
        <v>17675</v>
      </c>
      <c r="B7561" s="27" t="s">
        <v>17676</v>
      </c>
      <c r="C7561" s="27" t="s">
        <v>526</v>
      </c>
      <c r="D7561" s="27" t="s">
        <v>17</v>
      </c>
      <c r="E7561" s="27" t="s">
        <v>42</v>
      </c>
      <c r="F7561" s="27" t="s">
        <v>43</v>
      </c>
      <c r="G7561" s="27" t="s">
        <v>28</v>
      </c>
      <c r="H7561" s="29">
        <v>1080</v>
      </c>
      <c r="I7561" s="27" t="s">
        <v>29</v>
      </c>
      <c r="J7561" s="37">
        <v>45952</v>
      </c>
      <c r="K7561" s="27" t="s">
        <v>22</v>
      </c>
    </row>
    <row r="7562" spans="1:11" x14ac:dyDescent="0.2">
      <c r="A7562" s="24" t="s">
        <v>17677</v>
      </c>
      <c r="B7562" s="24" t="s">
        <v>17678</v>
      </c>
      <c r="C7562" s="24" t="s">
        <v>106</v>
      </c>
      <c r="D7562" s="24" t="s">
        <v>17</v>
      </c>
      <c r="E7562" s="24" t="s">
        <v>18</v>
      </c>
      <c r="F7562" s="24" t="s">
        <v>19</v>
      </c>
      <c r="G7562" s="24" t="s">
        <v>20</v>
      </c>
      <c r="H7562" s="26">
        <v>14</v>
      </c>
      <c r="I7562" s="24" t="s">
        <v>21</v>
      </c>
      <c r="J7562" s="36">
        <v>45938</v>
      </c>
      <c r="K7562" s="24" t="s">
        <v>22</v>
      </c>
    </row>
    <row r="7563" spans="1:11" x14ac:dyDescent="0.2">
      <c r="A7563" s="27" t="s">
        <v>17679</v>
      </c>
      <c r="B7563" s="27" t="s">
        <v>17680</v>
      </c>
      <c r="C7563" s="27" t="s">
        <v>1147</v>
      </c>
      <c r="D7563" s="27" t="s">
        <v>17</v>
      </c>
      <c r="E7563" s="27" t="s">
        <v>48</v>
      </c>
      <c r="F7563" s="27" t="s">
        <v>49</v>
      </c>
      <c r="G7563" s="27" t="s">
        <v>44</v>
      </c>
      <c r="H7563" s="29">
        <v>203</v>
      </c>
      <c r="I7563" s="27" t="s">
        <v>21</v>
      </c>
      <c r="J7563" s="37">
        <v>45951</v>
      </c>
      <c r="K7563" s="27" t="s">
        <v>22</v>
      </c>
    </row>
    <row r="7564" spans="1:11" x14ac:dyDescent="0.2">
      <c r="A7564" s="24" t="s">
        <v>17681</v>
      </c>
      <c r="B7564" s="24" t="s">
        <v>17682</v>
      </c>
      <c r="C7564" s="24" t="s">
        <v>14120</v>
      </c>
      <c r="D7564" s="24" t="s">
        <v>17</v>
      </c>
      <c r="E7564" s="24" t="s">
        <v>18</v>
      </c>
      <c r="F7564" s="24" t="s">
        <v>19</v>
      </c>
      <c r="G7564" s="24" t="s">
        <v>116</v>
      </c>
      <c r="H7564" s="26">
        <v>0</v>
      </c>
      <c r="I7564" s="24" t="s">
        <v>21</v>
      </c>
      <c r="J7564" s="36">
        <v>45931</v>
      </c>
      <c r="K7564" s="24" t="s">
        <v>22</v>
      </c>
    </row>
    <row r="7565" spans="1:11" x14ac:dyDescent="0.2">
      <c r="A7565" s="27" t="s">
        <v>17683</v>
      </c>
      <c r="B7565" s="27" t="s">
        <v>17684</v>
      </c>
      <c r="C7565" s="27" t="s">
        <v>17685</v>
      </c>
      <c r="D7565" s="27" t="s">
        <v>17</v>
      </c>
      <c r="E7565" s="27" t="s">
        <v>18</v>
      </c>
      <c r="F7565" s="27" t="s">
        <v>19</v>
      </c>
      <c r="G7565" s="27" t="s">
        <v>28</v>
      </c>
      <c r="H7565" s="29">
        <v>72</v>
      </c>
      <c r="I7565" s="27" t="s">
        <v>29</v>
      </c>
      <c r="J7565" s="37">
        <v>45936</v>
      </c>
      <c r="K7565" s="27" t="s">
        <v>22</v>
      </c>
    </row>
    <row r="7566" spans="1:11" x14ac:dyDescent="0.2">
      <c r="A7566" s="24" t="s">
        <v>17686</v>
      </c>
      <c r="B7566" s="24" t="s">
        <v>17687</v>
      </c>
      <c r="C7566" s="24" t="s">
        <v>17688</v>
      </c>
      <c r="D7566" s="24" t="s">
        <v>17</v>
      </c>
      <c r="E7566" s="24" t="s">
        <v>18</v>
      </c>
      <c r="F7566" s="24" t="s">
        <v>19</v>
      </c>
      <c r="G7566" s="24" t="s">
        <v>28</v>
      </c>
      <c r="H7566" s="26">
        <v>30</v>
      </c>
      <c r="I7566" s="24" t="s">
        <v>29</v>
      </c>
      <c r="J7566" s="36">
        <v>45931</v>
      </c>
      <c r="K7566" s="24" t="s">
        <v>22</v>
      </c>
    </row>
    <row r="7567" spans="1:11" x14ac:dyDescent="0.2">
      <c r="A7567" s="27" t="s">
        <v>17689</v>
      </c>
      <c r="B7567" s="27" t="s">
        <v>17690</v>
      </c>
      <c r="C7567" s="27" t="s">
        <v>17255</v>
      </c>
      <c r="D7567" s="27" t="s">
        <v>17</v>
      </c>
      <c r="E7567" s="27" t="s">
        <v>42</v>
      </c>
      <c r="F7567" s="27" t="s">
        <v>43</v>
      </c>
      <c r="G7567" s="27" t="s">
        <v>28</v>
      </c>
      <c r="H7567" s="29">
        <v>400</v>
      </c>
      <c r="I7567" s="27" t="s">
        <v>29</v>
      </c>
      <c r="J7567" s="37">
        <v>45945</v>
      </c>
      <c r="K7567" s="27" t="s">
        <v>22</v>
      </c>
    </row>
    <row r="7568" spans="1:11" x14ac:dyDescent="0.2">
      <c r="A7568" s="24" t="s">
        <v>17691</v>
      </c>
      <c r="B7568" s="24" t="s">
        <v>17692</v>
      </c>
      <c r="C7568" s="24" t="s">
        <v>9031</v>
      </c>
      <c r="D7568" s="24" t="s">
        <v>17</v>
      </c>
      <c r="E7568" s="24" t="s">
        <v>42</v>
      </c>
      <c r="F7568" s="24" t="s">
        <v>43</v>
      </c>
      <c r="G7568" s="24" t="s">
        <v>28</v>
      </c>
      <c r="H7568" s="26">
        <v>264</v>
      </c>
      <c r="I7568" s="24" t="s">
        <v>29</v>
      </c>
      <c r="J7568" s="36">
        <v>45933</v>
      </c>
      <c r="K7568" s="24" t="s">
        <v>22</v>
      </c>
    </row>
    <row r="7569" spans="1:11" x14ac:dyDescent="0.2">
      <c r="A7569" s="27" t="s">
        <v>17693</v>
      </c>
      <c r="B7569" s="27" t="s">
        <v>17694</v>
      </c>
      <c r="C7569" s="27" t="s">
        <v>17695</v>
      </c>
      <c r="D7569" s="27" t="s">
        <v>17</v>
      </c>
      <c r="E7569" s="27" t="s">
        <v>33</v>
      </c>
      <c r="F7569" s="27" t="s">
        <v>34</v>
      </c>
      <c r="G7569" s="27" t="s">
        <v>28</v>
      </c>
      <c r="H7569" s="29">
        <v>118</v>
      </c>
      <c r="I7569" s="27" t="s">
        <v>29</v>
      </c>
      <c r="J7569" s="37">
        <v>45931</v>
      </c>
      <c r="K7569" s="27" t="s">
        <v>22</v>
      </c>
    </row>
    <row r="7570" spans="1:11" x14ac:dyDescent="0.2">
      <c r="A7570" s="24" t="s">
        <v>17696</v>
      </c>
      <c r="B7570" s="24" t="s">
        <v>17697</v>
      </c>
      <c r="C7570" s="24" t="s">
        <v>301</v>
      </c>
      <c r="D7570" s="24" t="s">
        <v>17</v>
      </c>
      <c r="E7570" s="24" t="s">
        <v>33</v>
      </c>
      <c r="F7570" s="24" t="s">
        <v>34</v>
      </c>
      <c r="G7570" s="24" t="s">
        <v>28</v>
      </c>
      <c r="H7570" s="26">
        <v>1092</v>
      </c>
      <c r="I7570" s="24" t="s">
        <v>29</v>
      </c>
      <c r="J7570" s="36">
        <v>45933</v>
      </c>
      <c r="K7570" s="24" t="s">
        <v>22</v>
      </c>
    </row>
    <row r="7571" spans="1:11" x14ac:dyDescent="0.2">
      <c r="A7571" s="27" t="s">
        <v>17698</v>
      </c>
      <c r="B7571" s="27" t="s">
        <v>17699</v>
      </c>
      <c r="C7571" s="27" t="s">
        <v>17700</v>
      </c>
      <c r="D7571" s="27" t="s">
        <v>17</v>
      </c>
      <c r="E7571" s="27" t="s">
        <v>48</v>
      </c>
      <c r="F7571" s="27" t="s">
        <v>49</v>
      </c>
      <c r="G7571" s="27" t="s">
        <v>28</v>
      </c>
      <c r="H7571" s="29">
        <v>190</v>
      </c>
      <c r="I7571" s="27" t="s">
        <v>29</v>
      </c>
      <c r="J7571" s="37">
        <v>45945</v>
      </c>
      <c r="K7571" s="27" t="s">
        <v>22</v>
      </c>
    </row>
    <row r="7572" spans="1:11" x14ac:dyDescent="0.2">
      <c r="A7572" s="24" t="s">
        <v>17701</v>
      </c>
      <c r="B7572" s="24" t="s">
        <v>17702</v>
      </c>
      <c r="C7572" s="24" t="s">
        <v>17703</v>
      </c>
      <c r="D7572" s="24" t="s">
        <v>17</v>
      </c>
      <c r="E7572" s="24" t="s">
        <v>42</v>
      </c>
      <c r="F7572" s="24" t="s">
        <v>43</v>
      </c>
      <c r="G7572" s="24" t="s">
        <v>28</v>
      </c>
      <c r="H7572" s="26">
        <v>300</v>
      </c>
      <c r="I7572" s="24" t="s">
        <v>29</v>
      </c>
      <c r="J7572" s="36">
        <v>45931</v>
      </c>
      <c r="K7572" s="24" t="s">
        <v>22</v>
      </c>
    </row>
    <row r="7573" spans="1:11" x14ac:dyDescent="0.2">
      <c r="A7573" s="27" t="s">
        <v>17704</v>
      </c>
      <c r="B7573" s="27" t="s">
        <v>17705</v>
      </c>
      <c r="C7573" s="27" t="s">
        <v>13923</v>
      </c>
      <c r="D7573" s="27" t="s">
        <v>17</v>
      </c>
      <c r="E7573" s="27" t="s">
        <v>26</v>
      </c>
      <c r="F7573" s="27" t="s">
        <v>27</v>
      </c>
      <c r="G7573" s="27" t="s">
        <v>28</v>
      </c>
      <c r="H7573" s="29">
        <v>355</v>
      </c>
      <c r="I7573" s="27" t="s">
        <v>29</v>
      </c>
      <c r="J7573" s="37">
        <v>45932</v>
      </c>
      <c r="K7573" s="27" t="s">
        <v>22</v>
      </c>
    </row>
    <row r="7574" spans="1:11" x14ac:dyDescent="0.2">
      <c r="A7574" s="24" t="s">
        <v>17706</v>
      </c>
      <c r="B7574" s="24" t="s">
        <v>17707</v>
      </c>
      <c r="C7574" s="24" t="s">
        <v>690</v>
      </c>
      <c r="D7574" s="24" t="s">
        <v>17</v>
      </c>
      <c r="E7574" s="24" t="s">
        <v>48</v>
      </c>
      <c r="F7574" s="24" t="s">
        <v>49</v>
      </c>
      <c r="G7574" s="24" t="s">
        <v>28</v>
      </c>
      <c r="H7574" s="26">
        <v>160</v>
      </c>
      <c r="I7574" s="24" t="s">
        <v>29</v>
      </c>
      <c r="J7574" s="36">
        <v>45931</v>
      </c>
      <c r="K7574" s="24" t="s">
        <v>22</v>
      </c>
    </row>
    <row r="7575" spans="1:11" x14ac:dyDescent="0.2">
      <c r="A7575" s="27" t="s">
        <v>17708</v>
      </c>
      <c r="B7575" s="27" t="s">
        <v>17709</v>
      </c>
      <c r="C7575" s="27" t="s">
        <v>423</v>
      </c>
      <c r="D7575" s="27" t="s">
        <v>17</v>
      </c>
      <c r="E7575" s="27" t="s">
        <v>18</v>
      </c>
      <c r="F7575" s="27" t="s">
        <v>19</v>
      </c>
      <c r="G7575" s="27" t="s">
        <v>20</v>
      </c>
      <c r="H7575" s="29">
        <v>31</v>
      </c>
      <c r="I7575" s="27" t="s">
        <v>21</v>
      </c>
      <c r="J7575" s="37">
        <v>45954</v>
      </c>
      <c r="K7575" s="27" t="s">
        <v>22</v>
      </c>
    </row>
    <row r="7576" spans="1:11" x14ac:dyDescent="0.2">
      <c r="A7576" s="24" t="s">
        <v>17710</v>
      </c>
      <c r="B7576" s="24" t="s">
        <v>17711</v>
      </c>
      <c r="C7576" s="24" t="s">
        <v>17712</v>
      </c>
      <c r="D7576" s="24" t="s">
        <v>17</v>
      </c>
      <c r="E7576" s="24" t="s">
        <v>18</v>
      </c>
      <c r="F7576" s="24" t="s">
        <v>19</v>
      </c>
      <c r="G7576" s="24" t="s">
        <v>44</v>
      </c>
      <c r="H7576" s="26">
        <v>30</v>
      </c>
      <c r="I7576" s="24" t="s">
        <v>21</v>
      </c>
      <c r="J7576" s="36">
        <v>45944</v>
      </c>
      <c r="K7576" s="24" t="s">
        <v>22</v>
      </c>
    </row>
    <row r="7577" spans="1:11" x14ac:dyDescent="0.2">
      <c r="A7577" s="27" t="s">
        <v>17713</v>
      </c>
      <c r="B7577" s="27" t="s">
        <v>17714</v>
      </c>
      <c r="C7577" s="27" t="s">
        <v>1033</v>
      </c>
      <c r="D7577" s="27" t="s">
        <v>17</v>
      </c>
      <c r="E7577" s="27" t="s">
        <v>48</v>
      </c>
      <c r="F7577" s="27" t="s">
        <v>49</v>
      </c>
      <c r="G7577" s="27" t="s">
        <v>28</v>
      </c>
      <c r="H7577" s="29">
        <v>60</v>
      </c>
      <c r="I7577" s="27" t="s">
        <v>29</v>
      </c>
      <c r="J7577" s="37">
        <v>45953</v>
      </c>
      <c r="K7577" s="27" t="s">
        <v>22</v>
      </c>
    </row>
    <row r="7578" spans="1:11" x14ac:dyDescent="0.2">
      <c r="A7578" s="24" t="s">
        <v>17715</v>
      </c>
      <c r="B7578" s="24" t="s">
        <v>17716</v>
      </c>
      <c r="C7578" s="24" t="s">
        <v>10434</v>
      </c>
      <c r="D7578" s="24" t="s">
        <v>17</v>
      </c>
      <c r="E7578" s="24" t="s">
        <v>42</v>
      </c>
      <c r="F7578" s="24" t="s">
        <v>43</v>
      </c>
      <c r="G7578" s="24" t="s">
        <v>227</v>
      </c>
      <c r="H7578" s="26">
        <v>145</v>
      </c>
      <c r="I7578" s="24" t="s">
        <v>29</v>
      </c>
      <c r="J7578" s="36">
        <v>45931</v>
      </c>
      <c r="K7578" s="24" t="s">
        <v>22</v>
      </c>
    </row>
    <row r="7579" spans="1:11" x14ac:dyDescent="0.2">
      <c r="A7579" s="27" t="s">
        <v>17717</v>
      </c>
      <c r="B7579" s="27" t="s">
        <v>17718</v>
      </c>
      <c r="C7579" s="27" t="s">
        <v>85</v>
      </c>
      <c r="D7579" s="27" t="s">
        <v>17</v>
      </c>
      <c r="E7579" s="27" t="s">
        <v>18</v>
      </c>
      <c r="F7579" s="27" t="s">
        <v>19</v>
      </c>
      <c r="G7579" s="27" t="s">
        <v>217</v>
      </c>
      <c r="H7579" s="29">
        <v>8</v>
      </c>
      <c r="I7579" s="27" t="s">
        <v>29</v>
      </c>
      <c r="J7579" s="37">
        <v>45944</v>
      </c>
      <c r="K7579" s="27" t="s">
        <v>22</v>
      </c>
    </row>
    <row r="7580" spans="1:11" x14ac:dyDescent="0.2">
      <c r="A7580" s="24" t="s">
        <v>17719</v>
      </c>
      <c r="B7580" s="24" t="s">
        <v>17720</v>
      </c>
      <c r="C7580" s="24" t="s">
        <v>16429</v>
      </c>
      <c r="D7580" s="24" t="s">
        <v>17</v>
      </c>
      <c r="E7580" s="24" t="s">
        <v>18</v>
      </c>
      <c r="F7580" s="24" t="s">
        <v>19</v>
      </c>
      <c r="G7580" s="24" t="s">
        <v>28</v>
      </c>
      <c r="H7580" s="26">
        <v>80</v>
      </c>
      <c r="I7580" s="24" t="s">
        <v>29</v>
      </c>
      <c r="J7580" s="36">
        <v>45953</v>
      </c>
      <c r="K7580" s="24" t="s">
        <v>22</v>
      </c>
    </row>
    <row r="7581" spans="1:11" x14ac:dyDescent="0.2">
      <c r="A7581" s="27" t="s">
        <v>17721</v>
      </c>
      <c r="B7581" s="27" t="s">
        <v>17722</v>
      </c>
      <c r="C7581" s="27" t="s">
        <v>17723</v>
      </c>
      <c r="D7581" s="27" t="s">
        <v>17</v>
      </c>
      <c r="E7581" s="27" t="s">
        <v>26</v>
      </c>
      <c r="F7581" s="27" t="s">
        <v>27</v>
      </c>
      <c r="G7581" s="27" t="s">
        <v>28</v>
      </c>
      <c r="H7581" s="29">
        <v>54</v>
      </c>
      <c r="I7581" s="27" t="s">
        <v>29</v>
      </c>
      <c r="J7581" s="37">
        <v>45937</v>
      </c>
      <c r="K7581" s="27" t="s">
        <v>22</v>
      </c>
    </row>
    <row r="7582" spans="1:11" x14ac:dyDescent="0.2">
      <c r="A7582" s="24" t="s">
        <v>17724</v>
      </c>
      <c r="B7582" s="24" t="s">
        <v>17725</v>
      </c>
      <c r="C7582" s="24" t="s">
        <v>17726</v>
      </c>
      <c r="D7582" s="24" t="s">
        <v>17</v>
      </c>
      <c r="E7582" s="24" t="s">
        <v>18</v>
      </c>
      <c r="F7582" s="24" t="s">
        <v>19</v>
      </c>
      <c r="G7582" s="24" t="s">
        <v>28</v>
      </c>
      <c r="H7582" s="26">
        <v>149</v>
      </c>
      <c r="I7582" s="24" t="s">
        <v>29</v>
      </c>
      <c r="J7582" s="36">
        <v>45960</v>
      </c>
      <c r="K7582" s="24" t="s">
        <v>22</v>
      </c>
    </row>
    <row r="7583" spans="1:11" x14ac:dyDescent="0.2">
      <c r="A7583" s="27" t="s">
        <v>17727</v>
      </c>
      <c r="B7583" s="27" t="s">
        <v>17728</v>
      </c>
      <c r="C7583" s="27" t="s">
        <v>208</v>
      </c>
      <c r="D7583" s="27" t="s">
        <v>17</v>
      </c>
      <c r="E7583" s="27" t="s">
        <v>26</v>
      </c>
      <c r="F7583" s="27" t="s">
        <v>27</v>
      </c>
      <c r="G7583" s="27" t="s">
        <v>28</v>
      </c>
      <c r="H7583" s="29">
        <v>104</v>
      </c>
      <c r="I7583" s="27" t="s">
        <v>29</v>
      </c>
      <c r="J7583" s="37">
        <v>45939</v>
      </c>
      <c r="K7583" s="27" t="s">
        <v>22</v>
      </c>
    </row>
    <row r="7584" spans="1:11" x14ac:dyDescent="0.2">
      <c r="A7584" s="24" t="s">
        <v>17729</v>
      </c>
      <c r="B7584" s="24" t="s">
        <v>17730</v>
      </c>
      <c r="C7584" s="24" t="s">
        <v>4925</v>
      </c>
      <c r="D7584" s="24" t="s">
        <v>17</v>
      </c>
      <c r="E7584" s="24" t="s">
        <v>81</v>
      </c>
      <c r="F7584" s="24" t="s">
        <v>82</v>
      </c>
      <c r="G7584" s="24" t="s">
        <v>28</v>
      </c>
      <c r="H7584" s="26">
        <v>178</v>
      </c>
      <c r="I7584" s="24" t="s">
        <v>29</v>
      </c>
      <c r="J7584" s="36">
        <v>45959</v>
      </c>
      <c r="K7584" s="24" t="s">
        <v>22</v>
      </c>
    </row>
    <row r="7585" spans="1:11" x14ac:dyDescent="0.2">
      <c r="A7585" s="27" t="s">
        <v>17731</v>
      </c>
      <c r="B7585" s="27" t="s">
        <v>17732</v>
      </c>
      <c r="C7585" s="27" t="s">
        <v>146</v>
      </c>
      <c r="D7585" s="27" t="s">
        <v>17</v>
      </c>
      <c r="E7585" s="27" t="s">
        <v>48</v>
      </c>
      <c r="F7585" s="27" t="s">
        <v>49</v>
      </c>
      <c r="G7585" s="27" t="s">
        <v>28</v>
      </c>
      <c r="H7585" s="29">
        <v>960</v>
      </c>
      <c r="I7585" s="27" t="s">
        <v>29</v>
      </c>
      <c r="J7585" s="37">
        <v>45937</v>
      </c>
      <c r="K7585" s="27" t="s">
        <v>22</v>
      </c>
    </row>
    <row r="7586" spans="1:11" x14ac:dyDescent="0.2">
      <c r="A7586" s="24" t="s">
        <v>17733</v>
      </c>
      <c r="B7586" s="24" t="s">
        <v>17734</v>
      </c>
      <c r="C7586" s="24" t="s">
        <v>340</v>
      </c>
      <c r="D7586" s="24" t="s">
        <v>17</v>
      </c>
      <c r="E7586" s="24" t="s">
        <v>18</v>
      </c>
      <c r="F7586" s="24" t="s">
        <v>19</v>
      </c>
      <c r="G7586" s="24" t="s">
        <v>28</v>
      </c>
      <c r="H7586" s="26">
        <v>77</v>
      </c>
      <c r="I7586" s="24" t="s">
        <v>29</v>
      </c>
      <c r="J7586" s="36">
        <v>45940</v>
      </c>
      <c r="K7586" s="24" t="s">
        <v>22</v>
      </c>
    </row>
    <row r="7587" spans="1:11" x14ac:dyDescent="0.2">
      <c r="A7587" s="27" t="s">
        <v>17735</v>
      </c>
      <c r="B7587" s="27" t="s">
        <v>17736</v>
      </c>
      <c r="C7587" s="27" t="s">
        <v>4253</v>
      </c>
      <c r="D7587" s="27" t="s">
        <v>17</v>
      </c>
      <c r="E7587" s="27" t="s">
        <v>42</v>
      </c>
      <c r="F7587" s="27" t="s">
        <v>43</v>
      </c>
      <c r="G7587" s="27" t="s">
        <v>28</v>
      </c>
      <c r="H7587" s="29">
        <v>460</v>
      </c>
      <c r="I7587" s="27" t="s">
        <v>29</v>
      </c>
      <c r="J7587" s="37">
        <v>45931</v>
      </c>
      <c r="K7587" s="27" t="s">
        <v>22</v>
      </c>
    </row>
    <row r="7588" spans="1:11" x14ac:dyDescent="0.2">
      <c r="A7588" s="24" t="s">
        <v>17737</v>
      </c>
      <c r="B7588" s="24" t="s">
        <v>17738</v>
      </c>
      <c r="C7588" s="24" t="s">
        <v>68</v>
      </c>
      <c r="D7588" s="24" t="s">
        <v>17</v>
      </c>
      <c r="E7588" s="24" t="s">
        <v>48</v>
      </c>
      <c r="F7588" s="24" t="s">
        <v>49</v>
      </c>
      <c r="G7588" s="24" t="s">
        <v>28</v>
      </c>
      <c r="H7588" s="26">
        <v>200</v>
      </c>
      <c r="I7588" s="24" t="s">
        <v>29</v>
      </c>
      <c r="J7588" s="36">
        <v>45939</v>
      </c>
      <c r="K7588" s="24" t="s">
        <v>22</v>
      </c>
    </row>
    <row r="7589" spans="1:11" x14ac:dyDescent="0.2">
      <c r="A7589" s="27" t="s">
        <v>17739</v>
      </c>
      <c r="B7589" s="27" t="s">
        <v>17740</v>
      </c>
      <c r="C7589" s="27" t="s">
        <v>7864</v>
      </c>
      <c r="D7589" s="27" t="s">
        <v>17</v>
      </c>
      <c r="E7589" s="27" t="s">
        <v>18</v>
      </c>
      <c r="F7589" s="27" t="s">
        <v>19</v>
      </c>
      <c r="G7589" s="27" t="s">
        <v>28</v>
      </c>
      <c r="H7589" s="29">
        <v>75</v>
      </c>
      <c r="I7589" s="27" t="s">
        <v>29</v>
      </c>
      <c r="J7589" s="37">
        <v>45951</v>
      </c>
      <c r="K7589" s="27" t="s">
        <v>22</v>
      </c>
    </row>
    <row r="7590" spans="1:11" x14ac:dyDescent="0.2">
      <c r="A7590" s="24" t="s">
        <v>17741</v>
      </c>
      <c r="B7590" s="24" t="s">
        <v>17742</v>
      </c>
      <c r="C7590" s="24" t="s">
        <v>331</v>
      </c>
      <c r="D7590" s="24" t="s">
        <v>17</v>
      </c>
      <c r="E7590" s="24" t="s">
        <v>18</v>
      </c>
      <c r="F7590" s="24" t="s">
        <v>19</v>
      </c>
      <c r="G7590" s="24" t="s">
        <v>28</v>
      </c>
      <c r="H7590" s="26">
        <v>120</v>
      </c>
      <c r="I7590" s="24" t="s">
        <v>29</v>
      </c>
      <c r="J7590" s="36">
        <v>45931</v>
      </c>
      <c r="K7590" s="24" t="s">
        <v>22</v>
      </c>
    </row>
    <row r="7591" spans="1:11" x14ac:dyDescent="0.2">
      <c r="A7591" s="27" t="s">
        <v>17743</v>
      </c>
      <c r="B7591" s="27" t="s">
        <v>17744</v>
      </c>
      <c r="C7591" s="27" t="s">
        <v>349</v>
      </c>
      <c r="D7591" s="27" t="s">
        <v>17</v>
      </c>
      <c r="E7591" s="27" t="s">
        <v>42</v>
      </c>
      <c r="F7591" s="27" t="s">
        <v>43</v>
      </c>
      <c r="G7591" s="27" t="s">
        <v>28</v>
      </c>
      <c r="H7591" s="29">
        <v>134</v>
      </c>
      <c r="I7591" s="27" t="s">
        <v>29</v>
      </c>
      <c r="J7591" s="37">
        <v>45957</v>
      </c>
      <c r="K7591" s="27" t="s">
        <v>22</v>
      </c>
    </row>
    <row r="7592" spans="1:11" x14ac:dyDescent="0.2">
      <c r="A7592" s="24" t="s">
        <v>17745</v>
      </c>
      <c r="B7592" s="24" t="s">
        <v>17746</v>
      </c>
      <c r="C7592" s="24" t="s">
        <v>16670</v>
      </c>
      <c r="D7592" s="24" t="s">
        <v>17</v>
      </c>
      <c r="E7592" s="24" t="s">
        <v>48</v>
      </c>
      <c r="F7592" s="24" t="s">
        <v>49</v>
      </c>
      <c r="G7592" s="24" t="s">
        <v>217</v>
      </c>
      <c r="H7592" s="26">
        <v>330</v>
      </c>
      <c r="I7592" s="24" t="s">
        <v>29</v>
      </c>
      <c r="J7592" s="36">
        <v>45931</v>
      </c>
      <c r="K7592" s="24" t="s">
        <v>22</v>
      </c>
    </row>
    <row r="7593" spans="1:11" x14ac:dyDescent="0.2">
      <c r="A7593" s="27" t="s">
        <v>17747</v>
      </c>
      <c r="B7593" s="27" t="s">
        <v>17748</v>
      </c>
      <c r="C7593" s="27" t="s">
        <v>17749</v>
      </c>
      <c r="D7593" s="27" t="s">
        <v>17</v>
      </c>
      <c r="E7593" s="27" t="s">
        <v>26</v>
      </c>
      <c r="F7593" s="27" t="s">
        <v>27</v>
      </c>
      <c r="G7593" s="27" t="s">
        <v>28</v>
      </c>
      <c r="H7593" s="29">
        <v>50</v>
      </c>
      <c r="I7593" s="27" t="s">
        <v>29</v>
      </c>
      <c r="J7593" s="37">
        <v>45959</v>
      </c>
      <c r="K7593" s="27" t="s">
        <v>22</v>
      </c>
    </row>
    <row r="7594" spans="1:11" x14ac:dyDescent="0.2">
      <c r="A7594" s="24" t="s">
        <v>17750</v>
      </c>
      <c r="B7594" s="24" t="s">
        <v>17751</v>
      </c>
      <c r="C7594" s="24" t="s">
        <v>6098</v>
      </c>
      <c r="D7594" s="24" t="s">
        <v>17</v>
      </c>
      <c r="E7594" s="24" t="s">
        <v>18</v>
      </c>
      <c r="F7594" s="24" t="s">
        <v>19</v>
      </c>
      <c r="G7594" s="24" t="s">
        <v>28</v>
      </c>
      <c r="H7594" s="26">
        <v>122</v>
      </c>
      <c r="I7594" s="24" t="s">
        <v>29</v>
      </c>
      <c r="J7594" s="36">
        <v>45938</v>
      </c>
      <c r="K7594" s="24" t="s">
        <v>22</v>
      </c>
    </row>
    <row r="7595" spans="1:11" x14ac:dyDescent="0.2">
      <c r="A7595" s="27" t="s">
        <v>17752</v>
      </c>
      <c r="B7595" s="27" t="s">
        <v>17753</v>
      </c>
      <c r="C7595" s="27" t="s">
        <v>4253</v>
      </c>
      <c r="D7595" s="27" t="s">
        <v>17</v>
      </c>
      <c r="E7595" s="27" t="s">
        <v>48</v>
      </c>
      <c r="F7595" s="27" t="s">
        <v>49</v>
      </c>
      <c r="G7595" s="27" t="s">
        <v>217</v>
      </c>
      <c r="H7595" s="29">
        <v>20</v>
      </c>
      <c r="I7595" s="27" t="s">
        <v>29</v>
      </c>
      <c r="J7595" s="37">
        <v>45931</v>
      </c>
      <c r="K7595" s="27" t="s">
        <v>22</v>
      </c>
    </row>
    <row r="7596" spans="1:11" x14ac:dyDescent="0.2">
      <c r="A7596" s="24" t="s">
        <v>17754</v>
      </c>
      <c r="B7596" s="24" t="s">
        <v>17755</v>
      </c>
      <c r="C7596" s="24" t="s">
        <v>6425</v>
      </c>
      <c r="D7596" s="24" t="s">
        <v>17</v>
      </c>
      <c r="E7596" s="24" t="s">
        <v>48</v>
      </c>
      <c r="F7596" s="24" t="s">
        <v>49</v>
      </c>
      <c r="G7596" s="24" t="s">
        <v>28</v>
      </c>
      <c r="H7596" s="26">
        <v>100</v>
      </c>
      <c r="I7596" s="24" t="s">
        <v>29</v>
      </c>
      <c r="J7596" s="36">
        <v>45945</v>
      </c>
      <c r="K7596" s="24" t="s">
        <v>22</v>
      </c>
    </row>
    <row r="7597" spans="1:11" x14ac:dyDescent="0.2">
      <c r="A7597" s="27" t="s">
        <v>17756</v>
      </c>
      <c r="B7597" s="27" t="s">
        <v>17757</v>
      </c>
      <c r="C7597" s="27" t="s">
        <v>2669</v>
      </c>
      <c r="D7597" s="27" t="s">
        <v>17</v>
      </c>
      <c r="E7597" s="27" t="s">
        <v>18</v>
      </c>
      <c r="F7597" s="27" t="s">
        <v>19</v>
      </c>
      <c r="G7597" s="27" t="s">
        <v>28</v>
      </c>
      <c r="H7597" s="29">
        <v>16</v>
      </c>
      <c r="I7597" s="27" t="s">
        <v>29</v>
      </c>
      <c r="J7597" s="37">
        <v>45938</v>
      </c>
      <c r="K7597" s="27" t="s">
        <v>22</v>
      </c>
    </row>
    <row r="7598" spans="1:11" x14ac:dyDescent="0.2">
      <c r="A7598" s="24" t="s">
        <v>17758</v>
      </c>
      <c r="B7598" s="24" t="s">
        <v>17759</v>
      </c>
      <c r="C7598" s="24" t="s">
        <v>801</v>
      </c>
      <c r="D7598" s="24" t="s">
        <v>17</v>
      </c>
      <c r="E7598" s="24" t="s">
        <v>18</v>
      </c>
      <c r="F7598" s="24" t="s">
        <v>19</v>
      </c>
      <c r="G7598" s="24" t="s">
        <v>28</v>
      </c>
      <c r="H7598" s="26">
        <v>312</v>
      </c>
      <c r="I7598" s="24" t="s">
        <v>29</v>
      </c>
      <c r="J7598" s="36">
        <v>45947</v>
      </c>
      <c r="K7598" s="24" t="s">
        <v>22</v>
      </c>
    </row>
    <row r="7599" spans="1:11" x14ac:dyDescent="0.2">
      <c r="A7599" s="27" t="s">
        <v>17760</v>
      </c>
      <c r="B7599" s="27" t="s">
        <v>17761</v>
      </c>
      <c r="C7599" s="27" t="s">
        <v>7223</v>
      </c>
      <c r="D7599" s="27" t="s">
        <v>17</v>
      </c>
      <c r="E7599" s="27" t="s">
        <v>26</v>
      </c>
      <c r="F7599" s="27" t="s">
        <v>27</v>
      </c>
      <c r="G7599" s="27" t="s">
        <v>217</v>
      </c>
      <c r="H7599" s="29">
        <v>25</v>
      </c>
      <c r="I7599" s="27" t="s">
        <v>29</v>
      </c>
      <c r="J7599" s="37">
        <v>45960</v>
      </c>
      <c r="K7599" s="27" t="s">
        <v>22</v>
      </c>
    </row>
    <row r="7600" spans="1:11" x14ac:dyDescent="0.2">
      <c r="A7600" s="24" t="s">
        <v>17762</v>
      </c>
      <c r="B7600" s="24" t="s">
        <v>17763</v>
      </c>
      <c r="C7600" s="24" t="s">
        <v>251</v>
      </c>
      <c r="D7600" s="24" t="s">
        <v>17</v>
      </c>
      <c r="E7600" s="24" t="s">
        <v>42</v>
      </c>
      <c r="F7600" s="24" t="s">
        <v>43</v>
      </c>
      <c r="G7600" s="24" t="s">
        <v>28</v>
      </c>
      <c r="H7600" s="26">
        <v>300</v>
      </c>
      <c r="I7600" s="24" t="s">
        <v>29</v>
      </c>
      <c r="J7600" s="36">
        <v>45933</v>
      </c>
      <c r="K7600" s="24" t="s">
        <v>22</v>
      </c>
    </row>
    <row r="7601" spans="1:11" x14ac:dyDescent="0.2">
      <c r="A7601" s="27" t="s">
        <v>17764</v>
      </c>
      <c r="B7601" s="27" t="s">
        <v>17765</v>
      </c>
      <c r="C7601" s="27" t="s">
        <v>2331</v>
      </c>
      <c r="D7601" s="27" t="s">
        <v>17</v>
      </c>
      <c r="E7601" s="27" t="s">
        <v>42</v>
      </c>
      <c r="F7601" s="27" t="s">
        <v>43</v>
      </c>
      <c r="G7601" s="27" t="s">
        <v>28</v>
      </c>
      <c r="H7601" s="29">
        <v>558</v>
      </c>
      <c r="I7601" s="27" t="s">
        <v>29</v>
      </c>
      <c r="J7601" s="37">
        <v>45960</v>
      </c>
      <c r="K7601" s="27" t="s">
        <v>22</v>
      </c>
    </row>
    <row r="7602" spans="1:11" x14ac:dyDescent="0.2">
      <c r="A7602" s="24" t="s">
        <v>17766</v>
      </c>
      <c r="B7602" s="24" t="s">
        <v>17767</v>
      </c>
      <c r="C7602" s="24" t="s">
        <v>1083</v>
      </c>
      <c r="D7602" s="24" t="s">
        <v>17</v>
      </c>
      <c r="E7602" s="24" t="s">
        <v>48</v>
      </c>
      <c r="F7602" s="24" t="s">
        <v>49</v>
      </c>
      <c r="G7602" s="24" t="s">
        <v>28</v>
      </c>
      <c r="H7602" s="26">
        <v>228</v>
      </c>
      <c r="I7602" s="24" t="s">
        <v>29</v>
      </c>
      <c r="J7602" s="36">
        <v>45954</v>
      </c>
      <c r="K7602" s="24" t="s">
        <v>22</v>
      </c>
    </row>
    <row r="7603" spans="1:11" x14ac:dyDescent="0.2">
      <c r="A7603" s="27" t="s">
        <v>17768</v>
      </c>
      <c r="B7603" s="27" t="s">
        <v>17769</v>
      </c>
      <c r="C7603" s="27" t="s">
        <v>1093</v>
      </c>
      <c r="D7603" s="27" t="s">
        <v>17</v>
      </c>
      <c r="E7603" s="27" t="s">
        <v>42</v>
      </c>
      <c r="F7603" s="27" t="s">
        <v>43</v>
      </c>
      <c r="G7603" s="27" t="s">
        <v>28</v>
      </c>
      <c r="H7603" s="29">
        <v>120</v>
      </c>
      <c r="I7603" s="27" t="s">
        <v>29</v>
      </c>
      <c r="J7603" s="37">
        <v>45957</v>
      </c>
      <c r="K7603" s="27" t="s">
        <v>22</v>
      </c>
    </row>
    <row r="7604" spans="1:11" x14ac:dyDescent="0.2">
      <c r="A7604" s="24" t="s">
        <v>17770</v>
      </c>
      <c r="B7604" s="24" t="s">
        <v>17771</v>
      </c>
      <c r="C7604" s="24" t="s">
        <v>1147</v>
      </c>
      <c r="D7604" s="24" t="s">
        <v>17</v>
      </c>
      <c r="E7604" s="24" t="s">
        <v>48</v>
      </c>
      <c r="F7604" s="24" t="s">
        <v>49</v>
      </c>
      <c r="G7604" s="24" t="s">
        <v>28</v>
      </c>
      <c r="H7604" s="26">
        <v>208</v>
      </c>
      <c r="I7604" s="24" t="s">
        <v>29</v>
      </c>
      <c r="J7604" s="36">
        <v>45961</v>
      </c>
      <c r="K7604" s="24" t="s">
        <v>22</v>
      </c>
    </row>
    <row r="7605" spans="1:11" x14ac:dyDescent="0.2">
      <c r="A7605" s="27" t="s">
        <v>17772</v>
      </c>
      <c r="B7605" s="27" t="s">
        <v>17773</v>
      </c>
      <c r="C7605" s="27" t="s">
        <v>17774</v>
      </c>
      <c r="D7605" s="27" t="s">
        <v>17</v>
      </c>
      <c r="E7605" s="27" t="s">
        <v>48</v>
      </c>
      <c r="F7605" s="27" t="s">
        <v>49</v>
      </c>
      <c r="G7605" s="27" t="s">
        <v>28</v>
      </c>
      <c r="H7605" s="29">
        <v>45</v>
      </c>
      <c r="I7605" s="27" t="s">
        <v>29</v>
      </c>
      <c r="J7605" s="37">
        <v>45960</v>
      </c>
      <c r="K7605" s="27" t="s">
        <v>22</v>
      </c>
    </row>
    <row r="7606" spans="1:11" x14ac:dyDescent="0.2">
      <c r="A7606" s="24" t="s">
        <v>17775</v>
      </c>
      <c r="B7606" s="24" t="s">
        <v>17776</v>
      </c>
      <c r="C7606" s="24" t="s">
        <v>203</v>
      </c>
      <c r="D7606" s="24" t="s">
        <v>17</v>
      </c>
      <c r="E7606" s="24" t="s">
        <v>18</v>
      </c>
      <c r="F7606" s="24" t="s">
        <v>19</v>
      </c>
      <c r="G7606" s="24" t="s">
        <v>28</v>
      </c>
      <c r="H7606" s="26">
        <v>32</v>
      </c>
      <c r="I7606" s="24" t="s">
        <v>29</v>
      </c>
      <c r="J7606" s="36">
        <v>45931</v>
      </c>
      <c r="K7606" s="24" t="s">
        <v>22</v>
      </c>
    </row>
    <row r="7607" spans="1:11" x14ac:dyDescent="0.2">
      <c r="A7607" s="27" t="s">
        <v>17777</v>
      </c>
      <c r="B7607" s="27" t="s">
        <v>17778</v>
      </c>
      <c r="C7607" s="27" t="s">
        <v>801</v>
      </c>
      <c r="D7607" s="27" t="s">
        <v>17</v>
      </c>
      <c r="E7607" s="27" t="s">
        <v>18</v>
      </c>
      <c r="F7607" s="27" t="s">
        <v>19</v>
      </c>
      <c r="G7607" s="27" t="s">
        <v>28</v>
      </c>
      <c r="H7607" s="29">
        <v>60</v>
      </c>
      <c r="I7607" s="27" t="s">
        <v>29</v>
      </c>
      <c r="J7607" s="37">
        <v>45945</v>
      </c>
      <c r="K7607" s="27" t="s">
        <v>22</v>
      </c>
    </row>
    <row r="7608" spans="1:11" x14ac:dyDescent="0.2">
      <c r="A7608" s="24" t="s">
        <v>17779</v>
      </c>
      <c r="B7608" s="24" t="s">
        <v>17780</v>
      </c>
      <c r="C7608" s="24" t="s">
        <v>1147</v>
      </c>
      <c r="D7608" s="24" t="s">
        <v>17</v>
      </c>
      <c r="E7608" s="24" t="s">
        <v>18</v>
      </c>
      <c r="F7608" s="24" t="s">
        <v>19</v>
      </c>
      <c r="G7608" s="24" t="s">
        <v>28</v>
      </c>
      <c r="H7608" s="26">
        <v>168</v>
      </c>
      <c r="I7608" s="24" t="s">
        <v>29</v>
      </c>
      <c r="J7608" s="36">
        <v>45945</v>
      </c>
      <c r="K7608" s="24" t="s">
        <v>22</v>
      </c>
    </row>
    <row r="7609" spans="1:11" x14ac:dyDescent="0.2">
      <c r="A7609" s="27" t="s">
        <v>17781</v>
      </c>
      <c r="B7609" s="27" t="s">
        <v>17782</v>
      </c>
      <c r="C7609" s="27" t="s">
        <v>213</v>
      </c>
      <c r="D7609" s="27" t="s">
        <v>17</v>
      </c>
      <c r="E7609" s="27" t="s">
        <v>48</v>
      </c>
      <c r="F7609" s="27" t="s">
        <v>49</v>
      </c>
      <c r="G7609" s="27" t="s">
        <v>28</v>
      </c>
      <c r="H7609" s="29">
        <v>200</v>
      </c>
      <c r="I7609" s="27" t="s">
        <v>29</v>
      </c>
      <c r="J7609" s="37">
        <v>45960</v>
      </c>
      <c r="K7609" s="27" t="s">
        <v>22</v>
      </c>
    </row>
    <row r="7610" spans="1:11" x14ac:dyDescent="0.2">
      <c r="A7610" s="24" t="s">
        <v>17783</v>
      </c>
      <c r="B7610" s="24" t="s">
        <v>17784</v>
      </c>
      <c r="C7610" s="24" t="s">
        <v>17785</v>
      </c>
      <c r="D7610" s="24" t="s">
        <v>17</v>
      </c>
      <c r="E7610" s="24" t="s">
        <v>18</v>
      </c>
      <c r="F7610" s="24" t="s">
        <v>19</v>
      </c>
      <c r="G7610" s="24" t="s">
        <v>28</v>
      </c>
      <c r="H7610" s="26">
        <v>15</v>
      </c>
      <c r="I7610" s="24" t="s">
        <v>29</v>
      </c>
      <c r="J7610" s="36">
        <v>45951</v>
      </c>
      <c r="K7610" s="24" t="s">
        <v>22</v>
      </c>
    </row>
    <row r="7611" spans="1:11" x14ac:dyDescent="0.2">
      <c r="A7611" s="27" t="s">
        <v>17786</v>
      </c>
      <c r="B7611" s="27" t="s">
        <v>17787</v>
      </c>
      <c r="C7611" s="27" t="s">
        <v>14417</v>
      </c>
      <c r="D7611" s="27" t="s">
        <v>17</v>
      </c>
      <c r="E7611" s="27" t="s">
        <v>48</v>
      </c>
      <c r="F7611" s="27" t="s">
        <v>49</v>
      </c>
      <c r="G7611" s="27" t="s">
        <v>28</v>
      </c>
      <c r="H7611" s="29">
        <v>140</v>
      </c>
      <c r="I7611" s="27" t="s">
        <v>29</v>
      </c>
      <c r="J7611" s="37">
        <v>45950</v>
      </c>
      <c r="K7611" s="27" t="s">
        <v>22</v>
      </c>
    </row>
    <row r="7612" spans="1:11" x14ac:dyDescent="0.2">
      <c r="A7612" s="24" t="s">
        <v>17788</v>
      </c>
      <c r="B7612" s="24" t="s">
        <v>17789</v>
      </c>
      <c r="C7612" s="24" t="s">
        <v>8733</v>
      </c>
      <c r="D7612" s="24" t="s">
        <v>17</v>
      </c>
      <c r="E7612" s="24" t="s">
        <v>18</v>
      </c>
      <c r="F7612" s="24" t="s">
        <v>19</v>
      </c>
      <c r="G7612" s="24" t="s">
        <v>44</v>
      </c>
      <c r="H7612" s="26">
        <v>6</v>
      </c>
      <c r="I7612" s="24" t="s">
        <v>29</v>
      </c>
      <c r="J7612" s="36">
        <v>45947</v>
      </c>
      <c r="K7612" s="24" t="s">
        <v>22</v>
      </c>
    </row>
    <row r="7613" spans="1:11" x14ac:dyDescent="0.2">
      <c r="A7613" s="27" t="s">
        <v>17790</v>
      </c>
      <c r="B7613" s="27" t="s">
        <v>17791</v>
      </c>
      <c r="C7613" s="27" t="s">
        <v>17792</v>
      </c>
      <c r="D7613" s="27" t="s">
        <v>17</v>
      </c>
      <c r="E7613" s="27" t="s">
        <v>81</v>
      </c>
      <c r="F7613" s="27" t="s">
        <v>82</v>
      </c>
      <c r="G7613" s="27" t="s">
        <v>28</v>
      </c>
      <c r="H7613" s="29">
        <v>240</v>
      </c>
      <c r="I7613" s="27" t="s">
        <v>29</v>
      </c>
      <c r="J7613" s="37">
        <v>45951</v>
      </c>
      <c r="K7613" s="27" t="s">
        <v>22</v>
      </c>
    </row>
    <row r="7614" spans="1:11" x14ac:dyDescent="0.2">
      <c r="A7614" s="24" t="s">
        <v>17793</v>
      </c>
      <c r="B7614" s="24" t="s">
        <v>17794</v>
      </c>
      <c r="C7614" s="24" t="s">
        <v>2494</v>
      </c>
      <c r="D7614" s="24" t="s">
        <v>17</v>
      </c>
      <c r="E7614" s="24" t="s">
        <v>163</v>
      </c>
      <c r="F7614" s="24" t="s">
        <v>164</v>
      </c>
      <c r="G7614" s="24" t="s">
        <v>217</v>
      </c>
      <c r="H7614" s="26">
        <v>12</v>
      </c>
      <c r="I7614" s="24" t="s">
        <v>29</v>
      </c>
      <c r="J7614" s="36">
        <v>45940</v>
      </c>
      <c r="K7614" s="24" t="s">
        <v>22</v>
      </c>
    </row>
    <row r="7615" spans="1:11" x14ac:dyDescent="0.2">
      <c r="A7615" s="27" t="s">
        <v>17795</v>
      </c>
      <c r="B7615" s="27" t="s">
        <v>17796</v>
      </c>
      <c r="C7615" s="27" t="s">
        <v>1307</v>
      </c>
      <c r="D7615" s="27" t="s">
        <v>17</v>
      </c>
      <c r="E7615" s="27" t="s">
        <v>18</v>
      </c>
      <c r="F7615" s="27" t="s">
        <v>19</v>
      </c>
      <c r="G7615" s="27" t="s">
        <v>20</v>
      </c>
      <c r="H7615" s="29">
        <v>16</v>
      </c>
      <c r="I7615" s="27" t="s">
        <v>21</v>
      </c>
      <c r="J7615" s="37">
        <v>45939</v>
      </c>
      <c r="K7615" s="27" t="s">
        <v>22</v>
      </c>
    </row>
    <row r="7616" spans="1:11" x14ac:dyDescent="0.2">
      <c r="A7616" s="24" t="s">
        <v>17797</v>
      </c>
      <c r="B7616" s="24" t="s">
        <v>17798</v>
      </c>
      <c r="C7616" s="24" t="s">
        <v>801</v>
      </c>
      <c r="D7616" s="24" t="s">
        <v>17</v>
      </c>
      <c r="E7616" s="24" t="s">
        <v>26</v>
      </c>
      <c r="F7616" s="24" t="s">
        <v>27</v>
      </c>
      <c r="G7616" s="24" t="s">
        <v>28</v>
      </c>
      <c r="H7616" s="26">
        <v>285</v>
      </c>
      <c r="I7616" s="24" t="s">
        <v>29</v>
      </c>
      <c r="J7616" s="36">
        <v>45937</v>
      </c>
      <c r="K7616" s="24" t="s">
        <v>22</v>
      </c>
    </row>
    <row r="7617" spans="1:11" x14ac:dyDescent="0.2">
      <c r="A7617" s="27" t="s">
        <v>17799</v>
      </c>
      <c r="B7617" s="27" t="s">
        <v>17800</v>
      </c>
      <c r="C7617" s="27" t="s">
        <v>388</v>
      </c>
      <c r="D7617" s="27" t="s">
        <v>17</v>
      </c>
      <c r="E7617" s="27" t="s">
        <v>81</v>
      </c>
      <c r="F7617" s="27" t="s">
        <v>82</v>
      </c>
      <c r="G7617" s="27" t="s">
        <v>217</v>
      </c>
      <c r="H7617" s="29">
        <v>20</v>
      </c>
      <c r="I7617" s="27" t="s">
        <v>29</v>
      </c>
      <c r="J7617" s="37">
        <v>45931</v>
      </c>
      <c r="K7617" s="27" t="s">
        <v>22</v>
      </c>
    </row>
    <row r="7618" spans="1:11" x14ac:dyDescent="0.2">
      <c r="A7618" s="24" t="s">
        <v>17801</v>
      </c>
      <c r="B7618" s="24" t="s">
        <v>17802</v>
      </c>
      <c r="C7618" s="24" t="s">
        <v>1110</v>
      </c>
      <c r="D7618" s="24" t="s">
        <v>17</v>
      </c>
      <c r="E7618" s="24" t="s">
        <v>42</v>
      </c>
      <c r="F7618" s="24" t="s">
        <v>43</v>
      </c>
      <c r="G7618" s="24" t="s">
        <v>28</v>
      </c>
      <c r="H7618" s="26">
        <v>600</v>
      </c>
      <c r="I7618" s="24" t="s">
        <v>29</v>
      </c>
      <c r="J7618" s="36">
        <v>45954</v>
      </c>
      <c r="K7618" s="24" t="s">
        <v>22</v>
      </c>
    </row>
    <row r="7619" spans="1:11" x14ac:dyDescent="0.2">
      <c r="A7619" s="27" t="s">
        <v>17803</v>
      </c>
      <c r="B7619" s="27" t="s">
        <v>17804</v>
      </c>
      <c r="C7619" s="27" t="s">
        <v>1441</v>
      </c>
      <c r="D7619" s="27" t="s">
        <v>17</v>
      </c>
      <c r="E7619" s="27" t="s">
        <v>18</v>
      </c>
      <c r="F7619" s="27" t="s">
        <v>19</v>
      </c>
      <c r="G7619" s="27" t="s">
        <v>28</v>
      </c>
      <c r="H7619" s="29">
        <v>76</v>
      </c>
      <c r="I7619" s="27" t="s">
        <v>29</v>
      </c>
      <c r="J7619" s="37">
        <v>45946</v>
      </c>
      <c r="K7619" s="27" t="s">
        <v>22</v>
      </c>
    </row>
    <row r="7620" spans="1:11" x14ac:dyDescent="0.2">
      <c r="A7620" s="24" t="s">
        <v>17805</v>
      </c>
      <c r="B7620" s="24" t="s">
        <v>17806</v>
      </c>
      <c r="C7620" s="24" t="s">
        <v>85</v>
      </c>
      <c r="D7620" s="24" t="s">
        <v>17</v>
      </c>
      <c r="E7620" s="24" t="s">
        <v>18</v>
      </c>
      <c r="F7620" s="24" t="s">
        <v>19</v>
      </c>
      <c r="G7620" s="24" t="s">
        <v>28</v>
      </c>
      <c r="H7620" s="26">
        <v>32</v>
      </c>
      <c r="I7620" s="24" t="s">
        <v>29</v>
      </c>
      <c r="J7620" s="36">
        <v>45938</v>
      </c>
      <c r="K7620" s="24" t="s">
        <v>22</v>
      </c>
    </row>
    <row r="7621" spans="1:11" x14ac:dyDescent="0.2">
      <c r="A7621" s="27" t="s">
        <v>17807</v>
      </c>
      <c r="B7621" s="27" t="s">
        <v>17808</v>
      </c>
      <c r="C7621" s="27" t="s">
        <v>17809</v>
      </c>
      <c r="D7621" s="27" t="s">
        <v>17</v>
      </c>
      <c r="E7621" s="27" t="s">
        <v>163</v>
      </c>
      <c r="F7621" s="27" t="s">
        <v>164</v>
      </c>
      <c r="G7621" s="27" t="s">
        <v>28</v>
      </c>
      <c r="H7621" s="29">
        <v>73</v>
      </c>
      <c r="I7621" s="27" t="s">
        <v>29</v>
      </c>
      <c r="J7621" s="37">
        <v>45933</v>
      </c>
      <c r="K7621" s="27" t="s">
        <v>22</v>
      </c>
    </row>
    <row r="7622" spans="1:11" x14ac:dyDescent="0.2">
      <c r="A7622" s="24" t="s">
        <v>17810</v>
      </c>
      <c r="B7622" s="24" t="s">
        <v>17811</v>
      </c>
      <c r="C7622" s="24" t="s">
        <v>1729</v>
      </c>
      <c r="D7622" s="24" t="s">
        <v>17</v>
      </c>
      <c r="E7622" s="24" t="s">
        <v>18</v>
      </c>
      <c r="F7622" s="24" t="s">
        <v>19</v>
      </c>
      <c r="G7622" s="24" t="s">
        <v>20</v>
      </c>
      <c r="H7622" s="26">
        <v>59</v>
      </c>
      <c r="I7622" s="24" t="s">
        <v>21</v>
      </c>
      <c r="J7622" s="36">
        <v>45943</v>
      </c>
      <c r="K7622" s="24" t="s">
        <v>22</v>
      </c>
    </row>
    <row r="7623" spans="1:11" x14ac:dyDescent="0.2">
      <c r="A7623" s="27" t="s">
        <v>17812</v>
      </c>
      <c r="B7623" s="27" t="s">
        <v>17813</v>
      </c>
      <c r="C7623" s="27" t="s">
        <v>13705</v>
      </c>
      <c r="D7623" s="27" t="s">
        <v>17</v>
      </c>
      <c r="E7623" s="27" t="s">
        <v>18</v>
      </c>
      <c r="F7623" s="27" t="s">
        <v>19</v>
      </c>
      <c r="G7623" s="27" t="s">
        <v>217</v>
      </c>
      <c r="H7623" s="29">
        <v>30</v>
      </c>
      <c r="I7623" s="27" t="s">
        <v>29</v>
      </c>
      <c r="J7623" s="37">
        <v>45931</v>
      </c>
      <c r="K7623" s="27" t="s">
        <v>22</v>
      </c>
    </row>
    <row r="7624" spans="1:11" x14ac:dyDescent="0.2">
      <c r="A7624" s="24" t="s">
        <v>17814</v>
      </c>
      <c r="B7624" s="24" t="s">
        <v>17815</v>
      </c>
      <c r="C7624" s="24" t="s">
        <v>17302</v>
      </c>
      <c r="D7624" s="24" t="s">
        <v>17</v>
      </c>
      <c r="E7624" s="24" t="s">
        <v>163</v>
      </c>
      <c r="F7624" s="24" t="s">
        <v>164</v>
      </c>
      <c r="G7624" s="24" t="s">
        <v>227</v>
      </c>
      <c r="H7624" s="26">
        <v>200</v>
      </c>
      <c r="I7624" s="24" t="s">
        <v>29</v>
      </c>
      <c r="J7624" s="36">
        <v>45931</v>
      </c>
      <c r="K7624" s="24" t="s">
        <v>22</v>
      </c>
    </row>
    <row r="7625" spans="1:11" x14ac:dyDescent="0.2">
      <c r="A7625" s="27" t="s">
        <v>17816</v>
      </c>
      <c r="B7625" s="27" t="s">
        <v>17817</v>
      </c>
      <c r="C7625" s="27" t="s">
        <v>17695</v>
      </c>
      <c r="D7625" s="27" t="s">
        <v>17</v>
      </c>
      <c r="E7625" s="27" t="s">
        <v>18</v>
      </c>
      <c r="F7625" s="27" t="s">
        <v>19</v>
      </c>
      <c r="G7625" s="27" t="s">
        <v>28</v>
      </c>
      <c r="H7625" s="29">
        <v>9</v>
      </c>
      <c r="I7625" s="27" t="s">
        <v>29</v>
      </c>
      <c r="J7625" s="37">
        <v>45931</v>
      </c>
      <c r="K7625" s="27" t="s">
        <v>22</v>
      </c>
    </row>
    <row r="7626" spans="1:11" x14ac:dyDescent="0.2">
      <c r="A7626" s="24" t="s">
        <v>17818</v>
      </c>
      <c r="B7626" s="24" t="s">
        <v>17819</v>
      </c>
      <c r="C7626" s="24" t="s">
        <v>115</v>
      </c>
      <c r="D7626" s="24" t="s">
        <v>17</v>
      </c>
      <c r="E7626" s="24" t="s">
        <v>42</v>
      </c>
      <c r="F7626" s="24" t="s">
        <v>43</v>
      </c>
      <c r="G7626" s="24" t="s">
        <v>28</v>
      </c>
      <c r="H7626" s="26">
        <v>20</v>
      </c>
      <c r="I7626" s="24" t="s">
        <v>29</v>
      </c>
      <c r="J7626" s="36">
        <v>45943</v>
      </c>
      <c r="K7626" s="24" t="s">
        <v>22</v>
      </c>
    </row>
    <row r="7627" spans="1:11" x14ac:dyDescent="0.2">
      <c r="A7627" s="27" t="s">
        <v>17820</v>
      </c>
      <c r="B7627" s="27" t="s">
        <v>17821</v>
      </c>
      <c r="C7627" s="27" t="s">
        <v>7287</v>
      </c>
      <c r="D7627" s="27" t="s">
        <v>17</v>
      </c>
      <c r="E7627" s="27" t="s">
        <v>42</v>
      </c>
      <c r="F7627" s="27" t="s">
        <v>43</v>
      </c>
      <c r="G7627" s="27" t="s">
        <v>217</v>
      </c>
      <c r="H7627" s="29">
        <v>152</v>
      </c>
      <c r="I7627" s="27" t="s">
        <v>29</v>
      </c>
      <c r="J7627" s="37">
        <v>45960</v>
      </c>
      <c r="K7627" s="27" t="s">
        <v>22</v>
      </c>
    </row>
    <row r="7628" spans="1:11" x14ac:dyDescent="0.2">
      <c r="A7628" s="24" t="s">
        <v>17822</v>
      </c>
      <c r="B7628" s="24" t="s">
        <v>17823</v>
      </c>
      <c r="C7628" s="24" t="s">
        <v>134</v>
      </c>
      <c r="D7628" s="24" t="s">
        <v>17</v>
      </c>
      <c r="E7628" s="24" t="s">
        <v>18</v>
      </c>
      <c r="F7628" s="24" t="s">
        <v>19</v>
      </c>
      <c r="G7628" s="24" t="s">
        <v>28</v>
      </c>
      <c r="H7628" s="26">
        <v>32</v>
      </c>
      <c r="I7628" s="24" t="s">
        <v>29</v>
      </c>
      <c r="J7628" s="36">
        <v>45945</v>
      </c>
      <c r="K7628" s="24" t="s">
        <v>22</v>
      </c>
    </row>
    <row r="7629" spans="1:11" x14ac:dyDescent="0.2">
      <c r="A7629" s="27" t="s">
        <v>17824</v>
      </c>
      <c r="B7629" s="27" t="s">
        <v>17825</v>
      </c>
      <c r="C7629" s="27" t="s">
        <v>586</v>
      </c>
      <c r="D7629" s="27" t="s">
        <v>17</v>
      </c>
      <c r="E7629" s="27" t="s">
        <v>48</v>
      </c>
      <c r="F7629" s="27" t="s">
        <v>49</v>
      </c>
      <c r="G7629" s="27" t="s">
        <v>28</v>
      </c>
      <c r="H7629" s="29">
        <v>120</v>
      </c>
      <c r="I7629" s="27" t="s">
        <v>29</v>
      </c>
      <c r="J7629" s="37">
        <v>45957</v>
      </c>
      <c r="K7629" s="27" t="s">
        <v>22</v>
      </c>
    </row>
    <row r="7630" spans="1:11" x14ac:dyDescent="0.2">
      <c r="A7630" s="24" t="s">
        <v>17826</v>
      </c>
      <c r="B7630" s="24" t="s">
        <v>17827</v>
      </c>
      <c r="C7630" s="24" t="s">
        <v>9460</v>
      </c>
      <c r="D7630" s="24" t="s">
        <v>17</v>
      </c>
      <c r="E7630" s="24" t="s">
        <v>18</v>
      </c>
      <c r="F7630" s="24" t="s">
        <v>19</v>
      </c>
      <c r="G7630" s="24" t="s">
        <v>217</v>
      </c>
      <c r="H7630" s="26">
        <v>24</v>
      </c>
      <c r="I7630" s="24" t="s">
        <v>29</v>
      </c>
      <c r="J7630" s="36">
        <v>45931</v>
      </c>
      <c r="K7630" s="24" t="s">
        <v>22</v>
      </c>
    </row>
    <row r="7631" spans="1:11" x14ac:dyDescent="0.2">
      <c r="A7631" s="27" t="s">
        <v>17828</v>
      </c>
      <c r="B7631" s="27" t="s">
        <v>17829</v>
      </c>
      <c r="C7631" s="27" t="s">
        <v>17830</v>
      </c>
      <c r="D7631" s="27" t="s">
        <v>17</v>
      </c>
      <c r="E7631" s="27" t="s">
        <v>26</v>
      </c>
      <c r="F7631" s="27" t="s">
        <v>27</v>
      </c>
      <c r="G7631" s="27" t="s">
        <v>28</v>
      </c>
      <c r="H7631" s="29">
        <v>18</v>
      </c>
      <c r="I7631" s="27" t="s">
        <v>29</v>
      </c>
      <c r="J7631" s="37">
        <v>45931</v>
      </c>
      <c r="K7631" s="27" t="s">
        <v>22</v>
      </c>
    </row>
    <row r="7632" spans="1:11" x14ac:dyDescent="0.2">
      <c r="A7632" s="24" t="s">
        <v>17831</v>
      </c>
      <c r="B7632" s="24" t="s">
        <v>17832</v>
      </c>
      <c r="C7632" s="24" t="s">
        <v>1110</v>
      </c>
      <c r="D7632" s="24" t="s">
        <v>17</v>
      </c>
      <c r="E7632" s="24" t="s">
        <v>48</v>
      </c>
      <c r="F7632" s="24" t="s">
        <v>49</v>
      </c>
      <c r="G7632" s="24" t="s">
        <v>28</v>
      </c>
      <c r="H7632" s="26">
        <v>12</v>
      </c>
      <c r="I7632" s="24" t="s">
        <v>29</v>
      </c>
      <c r="J7632" s="36">
        <v>45936</v>
      </c>
      <c r="K7632" s="24" t="s">
        <v>22</v>
      </c>
    </row>
    <row r="7633" spans="1:11" x14ac:dyDescent="0.2">
      <c r="A7633" s="27" t="s">
        <v>17833</v>
      </c>
      <c r="B7633" s="27" t="s">
        <v>17834</v>
      </c>
      <c r="C7633" s="27" t="s">
        <v>7226</v>
      </c>
      <c r="D7633" s="27" t="s">
        <v>17</v>
      </c>
      <c r="E7633" s="27" t="s">
        <v>42</v>
      </c>
      <c r="F7633" s="27" t="s">
        <v>43</v>
      </c>
      <c r="G7633" s="27" t="s">
        <v>217</v>
      </c>
      <c r="H7633" s="29">
        <v>140</v>
      </c>
      <c r="I7633" s="27" t="s">
        <v>29</v>
      </c>
      <c r="J7633" s="37">
        <v>45940</v>
      </c>
      <c r="K7633" s="27" t="s">
        <v>22</v>
      </c>
    </row>
    <row r="7634" spans="1:11" x14ac:dyDescent="0.2">
      <c r="A7634" s="24" t="s">
        <v>17835</v>
      </c>
      <c r="B7634" s="24" t="s">
        <v>17836</v>
      </c>
      <c r="C7634" s="24" t="s">
        <v>6656</v>
      </c>
      <c r="D7634" s="24" t="s">
        <v>17</v>
      </c>
      <c r="E7634" s="24" t="s">
        <v>18</v>
      </c>
      <c r="F7634" s="24" t="s">
        <v>19</v>
      </c>
      <c r="G7634" s="24" t="s">
        <v>227</v>
      </c>
      <c r="H7634" s="26">
        <v>118</v>
      </c>
      <c r="I7634" s="24" t="s">
        <v>29</v>
      </c>
      <c r="J7634" s="36">
        <v>45949</v>
      </c>
      <c r="K7634" s="24" t="s">
        <v>22</v>
      </c>
    </row>
    <row r="7635" spans="1:11" x14ac:dyDescent="0.2">
      <c r="A7635" s="27" t="s">
        <v>17837</v>
      </c>
      <c r="B7635" s="27" t="s">
        <v>17838</v>
      </c>
      <c r="C7635" s="27" t="s">
        <v>2469</v>
      </c>
      <c r="D7635" s="27" t="s">
        <v>17</v>
      </c>
      <c r="E7635" s="27" t="s">
        <v>18</v>
      </c>
      <c r="F7635" s="27" t="s">
        <v>19</v>
      </c>
      <c r="G7635" s="27" t="s">
        <v>20</v>
      </c>
      <c r="H7635" s="29">
        <v>54</v>
      </c>
      <c r="I7635" s="27" t="s">
        <v>21</v>
      </c>
      <c r="J7635" s="37">
        <v>45943</v>
      </c>
      <c r="K7635" s="27" t="s">
        <v>22</v>
      </c>
    </row>
    <row r="7636" spans="1:11" x14ac:dyDescent="0.2">
      <c r="A7636" s="24" t="s">
        <v>17839</v>
      </c>
      <c r="B7636" s="24" t="s">
        <v>17840</v>
      </c>
      <c r="C7636" s="24" t="s">
        <v>6768</v>
      </c>
      <c r="D7636" s="24" t="s">
        <v>17</v>
      </c>
      <c r="E7636" s="24" t="s">
        <v>26</v>
      </c>
      <c r="F7636" s="24" t="s">
        <v>27</v>
      </c>
      <c r="G7636" s="24" t="s">
        <v>28</v>
      </c>
      <c r="H7636" s="26">
        <v>48</v>
      </c>
      <c r="I7636" s="24" t="s">
        <v>29</v>
      </c>
      <c r="J7636" s="36">
        <v>45947</v>
      </c>
      <c r="K7636" s="24" t="s">
        <v>22</v>
      </c>
    </row>
    <row r="7637" spans="1:11" x14ac:dyDescent="0.2">
      <c r="A7637" s="27" t="s">
        <v>17841</v>
      </c>
      <c r="B7637" s="27" t="s">
        <v>17842</v>
      </c>
      <c r="C7637" s="27" t="s">
        <v>12611</v>
      </c>
      <c r="D7637" s="27" t="s">
        <v>17</v>
      </c>
      <c r="E7637" s="27" t="s">
        <v>42</v>
      </c>
      <c r="F7637" s="27" t="s">
        <v>43</v>
      </c>
      <c r="G7637" s="27" t="s">
        <v>217</v>
      </c>
      <c r="H7637" s="29">
        <v>156</v>
      </c>
      <c r="I7637" s="27" t="s">
        <v>29</v>
      </c>
      <c r="J7637" s="37">
        <v>45931</v>
      </c>
      <c r="K7637" s="27" t="s">
        <v>22</v>
      </c>
    </row>
    <row r="7638" spans="1:11" x14ac:dyDescent="0.2">
      <c r="A7638" s="24" t="s">
        <v>17843</v>
      </c>
      <c r="B7638" s="24" t="s">
        <v>17844</v>
      </c>
      <c r="C7638" s="24" t="s">
        <v>17845</v>
      </c>
      <c r="D7638" s="24" t="s">
        <v>17</v>
      </c>
      <c r="E7638" s="24" t="s">
        <v>18</v>
      </c>
      <c r="F7638" s="24" t="s">
        <v>19</v>
      </c>
      <c r="G7638" s="24" t="s">
        <v>28</v>
      </c>
      <c r="H7638" s="26">
        <v>15</v>
      </c>
      <c r="I7638" s="24" t="s">
        <v>29</v>
      </c>
      <c r="J7638" s="36">
        <v>45931</v>
      </c>
      <c r="K7638" s="24" t="s">
        <v>22</v>
      </c>
    </row>
    <row r="7639" spans="1:11" x14ac:dyDescent="0.2">
      <c r="A7639" s="27" t="s">
        <v>17846</v>
      </c>
      <c r="B7639" s="27" t="s">
        <v>17847</v>
      </c>
      <c r="C7639" s="27" t="s">
        <v>14166</v>
      </c>
      <c r="D7639" s="27" t="s">
        <v>17</v>
      </c>
      <c r="E7639" s="27" t="s">
        <v>163</v>
      </c>
      <c r="F7639" s="27" t="s">
        <v>164</v>
      </c>
      <c r="G7639" s="27" t="s">
        <v>28</v>
      </c>
      <c r="H7639" s="29">
        <v>36</v>
      </c>
      <c r="I7639" s="27" t="s">
        <v>29</v>
      </c>
      <c r="J7639" s="37">
        <v>45944</v>
      </c>
      <c r="K7639" s="27" t="s">
        <v>22</v>
      </c>
    </row>
    <row r="7640" spans="1:11" x14ac:dyDescent="0.2">
      <c r="A7640" s="24" t="s">
        <v>17848</v>
      </c>
      <c r="B7640" s="24" t="s">
        <v>17849</v>
      </c>
      <c r="C7640" s="24" t="s">
        <v>602</v>
      </c>
      <c r="D7640" s="24" t="s">
        <v>17</v>
      </c>
      <c r="E7640" s="24" t="s">
        <v>18</v>
      </c>
      <c r="F7640" s="24" t="s">
        <v>19</v>
      </c>
      <c r="G7640" s="24" t="s">
        <v>28</v>
      </c>
      <c r="H7640" s="26">
        <v>225</v>
      </c>
      <c r="I7640" s="24" t="s">
        <v>29</v>
      </c>
      <c r="J7640" s="36">
        <v>45953</v>
      </c>
      <c r="K7640" s="24" t="s">
        <v>22</v>
      </c>
    </row>
    <row r="7641" spans="1:11" x14ac:dyDescent="0.2">
      <c r="A7641" s="27" t="s">
        <v>17850</v>
      </c>
      <c r="B7641" s="27" t="s">
        <v>17851</v>
      </c>
      <c r="C7641" s="27" t="s">
        <v>17852</v>
      </c>
      <c r="D7641" s="27" t="s">
        <v>17</v>
      </c>
      <c r="E7641" s="27" t="s">
        <v>48</v>
      </c>
      <c r="F7641" s="27" t="s">
        <v>49</v>
      </c>
      <c r="G7641" s="27" t="s">
        <v>28</v>
      </c>
      <c r="H7641" s="29">
        <v>78</v>
      </c>
      <c r="I7641" s="27" t="s">
        <v>29</v>
      </c>
      <c r="J7641" s="37">
        <v>45934</v>
      </c>
      <c r="K7641" s="27" t="s">
        <v>22</v>
      </c>
    </row>
    <row r="7642" spans="1:11" x14ac:dyDescent="0.2">
      <c r="A7642" s="24" t="s">
        <v>17853</v>
      </c>
      <c r="B7642" s="24" t="s">
        <v>17854</v>
      </c>
      <c r="C7642" s="24" t="s">
        <v>301</v>
      </c>
      <c r="D7642" s="24" t="s">
        <v>17</v>
      </c>
      <c r="E7642" s="24" t="s">
        <v>48</v>
      </c>
      <c r="F7642" s="24" t="s">
        <v>49</v>
      </c>
      <c r="G7642" s="24" t="s">
        <v>28</v>
      </c>
      <c r="H7642" s="26">
        <v>60</v>
      </c>
      <c r="I7642" s="24" t="s">
        <v>29</v>
      </c>
      <c r="J7642" s="36">
        <v>45933</v>
      </c>
      <c r="K7642" s="24" t="s">
        <v>22</v>
      </c>
    </row>
    <row r="7643" spans="1:11" x14ac:dyDescent="0.2">
      <c r="A7643" s="27" t="s">
        <v>17855</v>
      </c>
      <c r="B7643" s="27" t="s">
        <v>17856</v>
      </c>
      <c r="C7643" s="27" t="s">
        <v>251</v>
      </c>
      <c r="D7643" s="27" t="s">
        <v>17</v>
      </c>
      <c r="E7643" s="27" t="s">
        <v>26</v>
      </c>
      <c r="F7643" s="27" t="s">
        <v>27</v>
      </c>
      <c r="G7643" s="27" t="s">
        <v>28</v>
      </c>
      <c r="H7643" s="29">
        <v>188</v>
      </c>
      <c r="I7643" s="27" t="s">
        <v>29</v>
      </c>
      <c r="J7643" s="37">
        <v>45945</v>
      </c>
      <c r="K7643" s="27" t="s">
        <v>22</v>
      </c>
    </row>
    <row r="7644" spans="1:11" x14ac:dyDescent="0.2">
      <c r="A7644" s="24" t="s">
        <v>17857</v>
      </c>
      <c r="B7644" s="24" t="s">
        <v>17858</v>
      </c>
      <c r="C7644" s="24" t="s">
        <v>17859</v>
      </c>
      <c r="D7644" s="24" t="s">
        <v>17</v>
      </c>
      <c r="E7644" s="24" t="s">
        <v>18</v>
      </c>
      <c r="F7644" s="24" t="s">
        <v>19</v>
      </c>
      <c r="G7644" s="24" t="s">
        <v>217</v>
      </c>
      <c r="H7644" s="26">
        <v>20</v>
      </c>
      <c r="I7644" s="24" t="s">
        <v>29</v>
      </c>
      <c r="J7644" s="36">
        <v>45931</v>
      </c>
      <c r="K7644" s="24" t="s">
        <v>22</v>
      </c>
    </row>
    <row r="7645" spans="1:11" x14ac:dyDescent="0.2">
      <c r="A7645" s="27" t="s">
        <v>17860</v>
      </c>
      <c r="B7645" s="27" t="s">
        <v>17861</v>
      </c>
      <c r="C7645" s="27" t="s">
        <v>6436</v>
      </c>
      <c r="D7645" s="27" t="s">
        <v>17</v>
      </c>
      <c r="E7645" s="27" t="s">
        <v>42</v>
      </c>
      <c r="F7645" s="27" t="s">
        <v>43</v>
      </c>
      <c r="G7645" s="27" t="s">
        <v>28</v>
      </c>
      <c r="H7645" s="29">
        <v>120</v>
      </c>
      <c r="I7645" s="27" t="s">
        <v>29</v>
      </c>
      <c r="J7645" s="37">
        <v>45950</v>
      </c>
      <c r="K7645" s="27" t="s">
        <v>22</v>
      </c>
    </row>
    <row r="7646" spans="1:11" x14ac:dyDescent="0.2">
      <c r="A7646" s="24" t="s">
        <v>17862</v>
      </c>
      <c r="B7646" s="24" t="s">
        <v>17863</v>
      </c>
      <c r="C7646" s="24" t="s">
        <v>10053</v>
      </c>
      <c r="D7646" s="24" t="s">
        <v>17</v>
      </c>
      <c r="E7646" s="24" t="s">
        <v>18</v>
      </c>
      <c r="F7646" s="24" t="s">
        <v>19</v>
      </c>
      <c r="G7646" s="24" t="s">
        <v>28</v>
      </c>
      <c r="H7646" s="26">
        <v>48</v>
      </c>
      <c r="I7646" s="24" t="s">
        <v>29</v>
      </c>
      <c r="J7646" s="36">
        <v>45931</v>
      </c>
      <c r="K7646" s="24" t="s">
        <v>22</v>
      </c>
    </row>
    <row r="7647" spans="1:11" x14ac:dyDescent="0.2">
      <c r="A7647" s="27" t="s">
        <v>17864</v>
      </c>
      <c r="B7647" s="27" t="s">
        <v>17865</v>
      </c>
      <c r="C7647" s="27" t="s">
        <v>1886</v>
      </c>
      <c r="D7647" s="27" t="s">
        <v>17</v>
      </c>
      <c r="E7647" s="27" t="s">
        <v>48</v>
      </c>
      <c r="F7647" s="27" t="s">
        <v>49</v>
      </c>
      <c r="G7647" s="27" t="s">
        <v>44</v>
      </c>
      <c r="H7647" s="29">
        <v>700</v>
      </c>
      <c r="I7647" s="27" t="s">
        <v>29</v>
      </c>
      <c r="J7647" s="37">
        <v>45951</v>
      </c>
      <c r="K7647" s="27" t="s">
        <v>22</v>
      </c>
    </row>
    <row r="7648" spans="1:11" x14ac:dyDescent="0.2">
      <c r="A7648" s="24" t="s">
        <v>17866</v>
      </c>
      <c r="B7648" s="24" t="s">
        <v>17867</v>
      </c>
      <c r="C7648" s="24" t="s">
        <v>5086</v>
      </c>
      <c r="D7648" s="24" t="s">
        <v>17</v>
      </c>
      <c r="E7648" s="24" t="s">
        <v>48</v>
      </c>
      <c r="F7648" s="24" t="s">
        <v>49</v>
      </c>
      <c r="G7648" s="24" t="s">
        <v>28</v>
      </c>
      <c r="H7648" s="26">
        <v>60</v>
      </c>
      <c r="I7648" s="24" t="s">
        <v>29</v>
      </c>
      <c r="J7648" s="36">
        <v>45943</v>
      </c>
      <c r="K7648" s="24" t="s">
        <v>22</v>
      </c>
    </row>
    <row r="7649" spans="1:11" x14ac:dyDescent="0.2">
      <c r="A7649" s="27" t="s">
        <v>17868</v>
      </c>
      <c r="B7649" s="27" t="s">
        <v>17869</v>
      </c>
      <c r="C7649" s="27" t="s">
        <v>687</v>
      </c>
      <c r="D7649" s="27" t="s">
        <v>17</v>
      </c>
      <c r="E7649" s="27" t="s">
        <v>18</v>
      </c>
      <c r="F7649" s="27" t="s">
        <v>19</v>
      </c>
      <c r="G7649" s="27" t="s">
        <v>28</v>
      </c>
      <c r="H7649" s="29">
        <v>60</v>
      </c>
      <c r="I7649" s="27" t="s">
        <v>29</v>
      </c>
      <c r="J7649" s="37">
        <v>45938</v>
      </c>
      <c r="K7649" s="27" t="s">
        <v>22</v>
      </c>
    </row>
    <row r="7650" spans="1:11" x14ac:dyDescent="0.2">
      <c r="A7650" s="24" t="s">
        <v>17870</v>
      </c>
      <c r="B7650" s="24" t="s">
        <v>17871</v>
      </c>
      <c r="C7650" s="24" t="s">
        <v>17872</v>
      </c>
      <c r="D7650" s="24" t="s">
        <v>17</v>
      </c>
      <c r="E7650" s="24" t="s">
        <v>42</v>
      </c>
      <c r="F7650" s="24" t="s">
        <v>43</v>
      </c>
      <c r="G7650" s="24" t="s">
        <v>217</v>
      </c>
      <c r="H7650" s="26">
        <v>155</v>
      </c>
      <c r="I7650" s="24" t="s">
        <v>29</v>
      </c>
      <c r="J7650" s="36">
        <v>45931</v>
      </c>
      <c r="K7650" s="24" t="s">
        <v>22</v>
      </c>
    </row>
    <row r="7651" spans="1:11" x14ac:dyDescent="0.2">
      <c r="A7651" s="27" t="s">
        <v>17873</v>
      </c>
      <c r="B7651" s="27" t="s">
        <v>17874</v>
      </c>
      <c r="C7651" s="27" t="s">
        <v>2116</v>
      </c>
      <c r="D7651" s="27" t="s">
        <v>17</v>
      </c>
      <c r="E7651" s="27" t="s">
        <v>42</v>
      </c>
      <c r="F7651" s="27" t="s">
        <v>43</v>
      </c>
      <c r="G7651" s="27" t="s">
        <v>28</v>
      </c>
      <c r="H7651" s="29">
        <v>720</v>
      </c>
      <c r="I7651" s="27" t="s">
        <v>29</v>
      </c>
      <c r="J7651" s="37">
        <v>45947</v>
      </c>
      <c r="K7651" s="27" t="s">
        <v>22</v>
      </c>
    </row>
    <row r="7652" spans="1:11" x14ac:dyDescent="0.2">
      <c r="A7652" s="24" t="s">
        <v>17875</v>
      </c>
      <c r="B7652" s="24" t="s">
        <v>17876</v>
      </c>
      <c r="C7652" s="24" t="s">
        <v>14210</v>
      </c>
      <c r="D7652" s="24" t="s">
        <v>17</v>
      </c>
      <c r="E7652" s="24" t="s">
        <v>48</v>
      </c>
      <c r="F7652" s="24" t="s">
        <v>49</v>
      </c>
      <c r="G7652" s="24" t="s">
        <v>28</v>
      </c>
      <c r="H7652" s="26">
        <v>200</v>
      </c>
      <c r="I7652" s="24" t="s">
        <v>29</v>
      </c>
      <c r="J7652" s="36">
        <v>45958</v>
      </c>
      <c r="K7652" s="24" t="s">
        <v>22</v>
      </c>
    </row>
    <row r="7653" spans="1:11" x14ac:dyDescent="0.2">
      <c r="A7653" s="27" t="s">
        <v>17877</v>
      </c>
      <c r="B7653" s="27" t="s">
        <v>17878</v>
      </c>
      <c r="C7653" s="27" t="s">
        <v>8323</v>
      </c>
      <c r="D7653" s="27" t="s">
        <v>17</v>
      </c>
      <c r="E7653" s="27" t="s">
        <v>18</v>
      </c>
      <c r="F7653" s="27" t="s">
        <v>19</v>
      </c>
      <c r="G7653" s="27" t="s">
        <v>28</v>
      </c>
      <c r="H7653" s="29">
        <v>25</v>
      </c>
      <c r="I7653" s="27" t="s">
        <v>29</v>
      </c>
      <c r="J7653" s="37">
        <v>45940</v>
      </c>
      <c r="K7653" s="27" t="s">
        <v>22</v>
      </c>
    </row>
    <row r="7654" spans="1:11" x14ac:dyDescent="0.2">
      <c r="A7654" s="24" t="s">
        <v>17879</v>
      </c>
      <c r="B7654" s="24" t="s">
        <v>17880</v>
      </c>
      <c r="C7654" s="24" t="s">
        <v>68</v>
      </c>
      <c r="D7654" s="24" t="s">
        <v>17</v>
      </c>
      <c r="E7654" s="24" t="s">
        <v>26</v>
      </c>
      <c r="F7654" s="24" t="s">
        <v>27</v>
      </c>
      <c r="G7654" s="24" t="s">
        <v>217</v>
      </c>
      <c r="H7654" s="26">
        <v>120</v>
      </c>
      <c r="I7654" s="24" t="s">
        <v>29</v>
      </c>
      <c r="J7654" s="36">
        <v>45931</v>
      </c>
      <c r="K7654" s="24" t="s">
        <v>22</v>
      </c>
    </row>
    <row r="7655" spans="1:11" x14ac:dyDescent="0.2">
      <c r="A7655" s="27" t="s">
        <v>17881</v>
      </c>
      <c r="B7655" s="27" t="s">
        <v>17882</v>
      </c>
      <c r="C7655" s="27" t="s">
        <v>15146</v>
      </c>
      <c r="D7655" s="27" t="s">
        <v>17</v>
      </c>
      <c r="E7655" s="27" t="s">
        <v>18</v>
      </c>
      <c r="F7655" s="27" t="s">
        <v>19</v>
      </c>
      <c r="G7655" s="27" t="s">
        <v>28</v>
      </c>
      <c r="H7655" s="29">
        <v>81</v>
      </c>
      <c r="I7655" s="27" t="s">
        <v>29</v>
      </c>
      <c r="J7655" s="37">
        <v>45939</v>
      </c>
      <c r="K7655" s="27" t="s">
        <v>22</v>
      </c>
    </row>
    <row r="7656" spans="1:11" x14ac:dyDescent="0.2">
      <c r="A7656" s="24" t="s">
        <v>17883</v>
      </c>
      <c r="B7656" s="24" t="s">
        <v>17884</v>
      </c>
      <c r="C7656" s="24" t="s">
        <v>17885</v>
      </c>
      <c r="D7656" s="24" t="s">
        <v>17</v>
      </c>
      <c r="E7656" s="24" t="s">
        <v>48</v>
      </c>
      <c r="F7656" s="24" t="s">
        <v>49</v>
      </c>
      <c r="G7656" s="24" t="s">
        <v>28</v>
      </c>
      <c r="H7656" s="26">
        <v>40</v>
      </c>
      <c r="I7656" s="24" t="s">
        <v>29</v>
      </c>
      <c r="J7656" s="36">
        <v>45931</v>
      </c>
      <c r="K7656" s="24" t="s">
        <v>22</v>
      </c>
    </row>
    <row r="7657" spans="1:11" x14ac:dyDescent="0.2">
      <c r="A7657" s="27" t="s">
        <v>17886</v>
      </c>
      <c r="B7657" s="27" t="s">
        <v>17887</v>
      </c>
      <c r="C7657" s="27" t="s">
        <v>115</v>
      </c>
      <c r="D7657" s="27" t="s">
        <v>17</v>
      </c>
      <c r="E7657" s="27" t="s">
        <v>42</v>
      </c>
      <c r="F7657" s="27" t="s">
        <v>43</v>
      </c>
      <c r="G7657" s="27" t="s">
        <v>28</v>
      </c>
      <c r="H7657" s="29">
        <v>70</v>
      </c>
      <c r="I7657" s="27" t="s">
        <v>29</v>
      </c>
      <c r="J7657" s="37">
        <v>45957</v>
      </c>
      <c r="K7657" s="27" t="s">
        <v>22</v>
      </c>
    </row>
    <row r="7658" spans="1:11" x14ac:dyDescent="0.2">
      <c r="A7658" s="24" t="s">
        <v>17888</v>
      </c>
      <c r="B7658" s="24" t="s">
        <v>17889</v>
      </c>
      <c r="C7658" s="24" t="s">
        <v>55</v>
      </c>
      <c r="D7658" s="24" t="s">
        <v>17</v>
      </c>
      <c r="E7658" s="24" t="s">
        <v>18</v>
      </c>
      <c r="F7658" s="24" t="s">
        <v>19</v>
      </c>
      <c r="G7658" s="24" t="s">
        <v>20</v>
      </c>
      <c r="H7658" s="26">
        <v>18</v>
      </c>
      <c r="I7658" s="24" t="s">
        <v>21</v>
      </c>
      <c r="J7658" s="36">
        <v>45958</v>
      </c>
      <c r="K7658" s="24" t="s">
        <v>22</v>
      </c>
    </row>
    <row r="7659" spans="1:11" x14ac:dyDescent="0.2">
      <c r="A7659" s="27" t="s">
        <v>17890</v>
      </c>
      <c r="B7659" s="27" t="s">
        <v>17891</v>
      </c>
      <c r="C7659" s="27" t="s">
        <v>1158</v>
      </c>
      <c r="D7659" s="27" t="s">
        <v>17</v>
      </c>
      <c r="E7659" s="27" t="s">
        <v>33</v>
      </c>
      <c r="F7659" s="27" t="s">
        <v>34</v>
      </c>
      <c r="G7659" s="27" t="s">
        <v>28</v>
      </c>
      <c r="H7659" s="29">
        <v>24</v>
      </c>
      <c r="I7659" s="27" t="s">
        <v>29</v>
      </c>
      <c r="J7659" s="37">
        <v>45950</v>
      </c>
      <c r="K7659" s="27" t="s">
        <v>22</v>
      </c>
    </row>
    <row r="7660" spans="1:11" x14ac:dyDescent="0.2">
      <c r="A7660" s="24" t="s">
        <v>17892</v>
      </c>
      <c r="B7660" s="24" t="s">
        <v>17893</v>
      </c>
      <c r="C7660" s="24" t="s">
        <v>17894</v>
      </c>
      <c r="D7660" s="24" t="s">
        <v>17</v>
      </c>
      <c r="E7660" s="24" t="s">
        <v>48</v>
      </c>
      <c r="F7660" s="24" t="s">
        <v>49</v>
      </c>
      <c r="G7660" s="24" t="s">
        <v>28</v>
      </c>
      <c r="H7660" s="26">
        <v>200</v>
      </c>
      <c r="I7660" s="24" t="s">
        <v>29</v>
      </c>
      <c r="J7660" s="36">
        <v>45952</v>
      </c>
      <c r="K7660" s="24" t="s">
        <v>22</v>
      </c>
    </row>
    <row r="7661" spans="1:11" x14ac:dyDescent="0.2">
      <c r="A7661" s="27" t="s">
        <v>17895</v>
      </c>
      <c r="B7661" s="27" t="s">
        <v>17896</v>
      </c>
      <c r="C7661" s="27" t="s">
        <v>97</v>
      </c>
      <c r="D7661" s="27" t="s">
        <v>17</v>
      </c>
      <c r="E7661" s="27" t="s">
        <v>42</v>
      </c>
      <c r="F7661" s="27" t="s">
        <v>43</v>
      </c>
      <c r="G7661" s="27" t="s">
        <v>28</v>
      </c>
      <c r="H7661" s="29">
        <v>100</v>
      </c>
      <c r="I7661" s="27" t="s">
        <v>29</v>
      </c>
      <c r="J7661" s="37">
        <v>45960</v>
      </c>
      <c r="K7661" s="27" t="s">
        <v>22</v>
      </c>
    </row>
    <row r="7662" spans="1:11" x14ac:dyDescent="0.2">
      <c r="A7662" s="24" t="s">
        <v>17897</v>
      </c>
      <c r="B7662" s="24" t="s">
        <v>17898</v>
      </c>
      <c r="C7662" s="24" t="s">
        <v>3447</v>
      </c>
      <c r="D7662" s="24" t="s">
        <v>17</v>
      </c>
      <c r="E7662" s="24" t="s">
        <v>42</v>
      </c>
      <c r="F7662" s="24" t="s">
        <v>43</v>
      </c>
      <c r="G7662" s="24" t="s">
        <v>28</v>
      </c>
      <c r="H7662" s="26">
        <v>15</v>
      </c>
      <c r="I7662" s="24" t="s">
        <v>29</v>
      </c>
      <c r="J7662" s="36">
        <v>45945</v>
      </c>
      <c r="K7662" s="24" t="s">
        <v>22</v>
      </c>
    </row>
    <row r="7663" spans="1:11" x14ac:dyDescent="0.2">
      <c r="A7663" s="27" t="s">
        <v>17899</v>
      </c>
      <c r="B7663" s="27" t="s">
        <v>17900</v>
      </c>
      <c r="C7663" s="27" t="s">
        <v>17901</v>
      </c>
      <c r="D7663" s="27" t="s">
        <v>17</v>
      </c>
      <c r="E7663" s="27" t="s">
        <v>48</v>
      </c>
      <c r="F7663" s="27" t="s">
        <v>49</v>
      </c>
      <c r="G7663" s="27" t="s">
        <v>28</v>
      </c>
      <c r="H7663" s="29">
        <v>164</v>
      </c>
      <c r="I7663" s="27" t="s">
        <v>29</v>
      </c>
      <c r="J7663" s="37">
        <v>45947</v>
      </c>
      <c r="K7663" s="27" t="s">
        <v>22</v>
      </c>
    </row>
    <row r="7664" spans="1:11" x14ac:dyDescent="0.2">
      <c r="A7664" s="24" t="s">
        <v>17902</v>
      </c>
      <c r="B7664" s="24" t="s">
        <v>17903</v>
      </c>
      <c r="C7664" s="24" t="s">
        <v>55</v>
      </c>
      <c r="D7664" s="24" t="s">
        <v>17</v>
      </c>
      <c r="E7664" s="24" t="s">
        <v>18</v>
      </c>
      <c r="F7664" s="24" t="s">
        <v>19</v>
      </c>
      <c r="G7664" s="24" t="s">
        <v>28</v>
      </c>
      <c r="H7664" s="26">
        <v>126</v>
      </c>
      <c r="I7664" s="24" t="s">
        <v>29</v>
      </c>
      <c r="J7664" s="36">
        <v>45938</v>
      </c>
      <c r="K7664" s="24" t="s">
        <v>22</v>
      </c>
    </row>
    <row r="7665" spans="1:11" x14ac:dyDescent="0.2">
      <c r="A7665" s="27" t="s">
        <v>17904</v>
      </c>
      <c r="B7665" s="27" t="s">
        <v>17905</v>
      </c>
      <c r="C7665" s="27" t="s">
        <v>526</v>
      </c>
      <c r="D7665" s="27" t="s">
        <v>17</v>
      </c>
      <c r="E7665" s="27" t="s">
        <v>18</v>
      </c>
      <c r="F7665" s="27" t="s">
        <v>19</v>
      </c>
      <c r="G7665" s="27" t="s">
        <v>20</v>
      </c>
      <c r="H7665" s="29">
        <v>10</v>
      </c>
      <c r="I7665" s="27" t="s">
        <v>21</v>
      </c>
      <c r="J7665" s="37">
        <v>45954</v>
      </c>
      <c r="K7665" s="27" t="s">
        <v>22</v>
      </c>
    </row>
    <row r="7666" spans="1:11" x14ac:dyDescent="0.2">
      <c r="A7666" s="24" t="s">
        <v>17906</v>
      </c>
      <c r="B7666" s="24" t="s">
        <v>17907</v>
      </c>
      <c r="C7666" s="24" t="s">
        <v>17908</v>
      </c>
      <c r="D7666" s="24" t="s">
        <v>17</v>
      </c>
      <c r="E7666" s="24" t="s">
        <v>33</v>
      </c>
      <c r="F7666" s="24" t="s">
        <v>34</v>
      </c>
      <c r="G7666" s="24" t="s">
        <v>217</v>
      </c>
      <c r="H7666" s="26">
        <v>3000</v>
      </c>
      <c r="I7666" s="24" t="s">
        <v>29</v>
      </c>
      <c r="J7666" s="36">
        <v>45931</v>
      </c>
      <c r="K7666" s="24" t="s">
        <v>22</v>
      </c>
    </row>
    <row r="7667" spans="1:11" x14ac:dyDescent="0.2">
      <c r="A7667" s="27" t="s">
        <v>17909</v>
      </c>
      <c r="B7667" s="27" t="s">
        <v>17910</v>
      </c>
      <c r="C7667" s="27" t="s">
        <v>208</v>
      </c>
      <c r="D7667" s="27" t="s">
        <v>17</v>
      </c>
      <c r="E7667" s="27" t="s">
        <v>42</v>
      </c>
      <c r="F7667" s="27" t="s">
        <v>43</v>
      </c>
      <c r="G7667" s="27" t="s">
        <v>28</v>
      </c>
      <c r="H7667" s="29">
        <v>60</v>
      </c>
      <c r="I7667" s="27" t="s">
        <v>29</v>
      </c>
      <c r="J7667" s="37">
        <v>45954</v>
      </c>
      <c r="K7667" s="27" t="s">
        <v>22</v>
      </c>
    </row>
    <row r="7668" spans="1:11" x14ac:dyDescent="0.2">
      <c r="A7668" s="24" t="s">
        <v>17911</v>
      </c>
      <c r="B7668" s="24" t="s">
        <v>17912</v>
      </c>
      <c r="C7668" s="24" t="s">
        <v>437</v>
      </c>
      <c r="D7668" s="24" t="s">
        <v>17</v>
      </c>
      <c r="E7668" s="24" t="s">
        <v>18</v>
      </c>
      <c r="F7668" s="24" t="s">
        <v>19</v>
      </c>
      <c r="G7668" s="24" t="s">
        <v>28</v>
      </c>
      <c r="H7668" s="26">
        <v>60</v>
      </c>
      <c r="I7668" s="24" t="s">
        <v>29</v>
      </c>
      <c r="J7668" s="36">
        <v>45937</v>
      </c>
      <c r="K7668" s="24" t="s">
        <v>22</v>
      </c>
    </row>
    <row r="7669" spans="1:11" x14ac:dyDescent="0.2">
      <c r="A7669" s="27" t="s">
        <v>17913</v>
      </c>
      <c r="B7669" s="27" t="s">
        <v>17914</v>
      </c>
      <c r="C7669" s="27" t="s">
        <v>1199</v>
      </c>
      <c r="D7669" s="27" t="s">
        <v>17</v>
      </c>
      <c r="E7669" s="27" t="s">
        <v>42</v>
      </c>
      <c r="F7669" s="27" t="s">
        <v>43</v>
      </c>
      <c r="G7669" s="27" t="s">
        <v>28</v>
      </c>
      <c r="H7669" s="29">
        <v>576</v>
      </c>
      <c r="I7669" s="27" t="s">
        <v>29</v>
      </c>
      <c r="J7669" s="37">
        <v>45960</v>
      </c>
      <c r="K7669" s="27" t="s">
        <v>22</v>
      </c>
    </row>
    <row r="7670" spans="1:11" x14ac:dyDescent="0.2">
      <c r="A7670" s="24" t="s">
        <v>17915</v>
      </c>
      <c r="B7670" s="24" t="s">
        <v>17916</v>
      </c>
      <c r="C7670" s="24" t="s">
        <v>7261</v>
      </c>
      <c r="D7670" s="24" t="s">
        <v>17</v>
      </c>
      <c r="E7670" s="24" t="s">
        <v>18</v>
      </c>
      <c r="F7670" s="24" t="s">
        <v>19</v>
      </c>
      <c r="G7670" s="24" t="s">
        <v>20</v>
      </c>
      <c r="H7670" s="26">
        <v>14</v>
      </c>
      <c r="I7670" s="24" t="s">
        <v>21</v>
      </c>
      <c r="J7670" s="36">
        <v>45936</v>
      </c>
      <c r="K7670" s="24" t="s">
        <v>22</v>
      </c>
    </row>
    <row r="7671" spans="1:11" x14ac:dyDescent="0.2">
      <c r="A7671" s="27" t="s">
        <v>17917</v>
      </c>
      <c r="B7671" s="27" t="s">
        <v>17918</v>
      </c>
      <c r="C7671" s="27" t="s">
        <v>613</v>
      </c>
      <c r="D7671" s="27" t="s">
        <v>17</v>
      </c>
      <c r="E7671" s="27" t="s">
        <v>48</v>
      </c>
      <c r="F7671" s="27" t="s">
        <v>49</v>
      </c>
      <c r="G7671" s="27" t="s">
        <v>217</v>
      </c>
      <c r="H7671" s="29">
        <v>184</v>
      </c>
      <c r="I7671" s="27" t="s">
        <v>29</v>
      </c>
      <c r="J7671" s="37">
        <v>45957</v>
      </c>
      <c r="K7671" s="27" t="s">
        <v>22</v>
      </c>
    </row>
    <row r="7672" spans="1:11" x14ac:dyDescent="0.2">
      <c r="A7672" s="24" t="s">
        <v>17919</v>
      </c>
      <c r="B7672" s="24" t="s">
        <v>17920</v>
      </c>
      <c r="C7672" s="24" t="s">
        <v>115</v>
      </c>
      <c r="D7672" s="24" t="s">
        <v>17</v>
      </c>
      <c r="E7672" s="24" t="s">
        <v>42</v>
      </c>
      <c r="F7672" s="24" t="s">
        <v>43</v>
      </c>
      <c r="G7672" s="24" t="s">
        <v>28</v>
      </c>
      <c r="H7672" s="26">
        <v>180</v>
      </c>
      <c r="I7672" s="24" t="s">
        <v>29</v>
      </c>
      <c r="J7672" s="36">
        <v>45931</v>
      </c>
      <c r="K7672" s="24" t="s">
        <v>22</v>
      </c>
    </row>
    <row r="7673" spans="1:11" x14ac:dyDescent="0.2">
      <c r="A7673" s="27" t="s">
        <v>17921</v>
      </c>
      <c r="B7673" s="27" t="s">
        <v>17922</v>
      </c>
      <c r="C7673" s="27" t="s">
        <v>363</v>
      </c>
      <c r="D7673" s="27" t="s">
        <v>17</v>
      </c>
      <c r="E7673" s="27" t="s">
        <v>18</v>
      </c>
      <c r="F7673" s="27" t="s">
        <v>19</v>
      </c>
      <c r="G7673" s="27" t="s">
        <v>227</v>
      </c>
      <c r="H7673" s="29">
        <v>98</v>
      </c>
      <c r="I7673" s="27" t="s">
        <v>29</v>
      </c>
      <c r="J7673" s="37">
        <v>45958</v>
      </c>
      <c r="K7673" s="27" t="s">
        <v>22</v>
      </c>
    </row>
    <row r="7674" spans="1:11" x14ac:dyDescent="0.2">
      <c r="A7674" s="24" t="s">
        <v>17923</v>
      </c>
      <c r="B7674" s="24" t="s">
        <v>17924</v>
      </c>
      <c r="C7674" s="24" t="s">
        <v>85</v>
      </c>
      <c r="D7674" s="24" t="s">
        <v>17</v>
      </c>
      <c r="E7674" s="24" t="s">
        <v>18</v>
      </c>
      <c r="F7674" s="24" t="s">
        <v>19</v>
      </c>
      <c r="G7674" s="24" t="s">
        <v>20</v>
      </c>
      <c r="H7674" s="26">
        <v>8</v>
      </c>
      <c r="I7674" s="24" t="s">
        <v>21</v>
      </c>
      <c r="J7674" s="36">
        <v>45945</v>
      </c>
      <c r="K7674" s="24" t="s">
        <v>22</v>
      </c>
    </row>
    <row r="7675" spans="1:11" x14ac:dyDescent="0.2">
      <c r="A7675" s="27" t="s">
        <v>17925</v>
      </c>
      <c r="B7675" s="27" t="s">
        <v>17926</v>
      </c>
      <c r="C7675" s="27" t="s">
        <v>792</v>
      </c>
      <c r="D7675" s="27" t="s">
        <v>17</v>
      </c>
      <c r="E7675" s="27" t="s">
        <v>18</v>
      </c>
      <c r="F7675" s="27" t="s">
        <v>19</v>
      </c>
      <c r="G7675" s="27" t="s">
        <v>28</v>
      </c>
      <c r="H7675" s="29">
        <v>192</v>
      </c>
      <c r="I7675" s="27" t="s">
        <v>29</v>
      </c>
      <c r="J7675" s="37">
        <v>45932</v>
      </c>
      <c r="K7675" s="27" t="s">
        <v>22</v>
      </c>
    </row>
    <row r="7676" spans="1:11" x14ac:dyDescent="0.2">
      <c r="A7676" s="24" t="s">
        <v>17927</v>
      </c>
      <c r="B7676" s="24" t="s">
        <v>17928</v>
      </c>
      <c r="C7676" s="24" t="s">
        <v>17929</v>
      </c>
      <c r="D7676" s="24" t="s">
        <v>17</v>
      </c>
      <c r="E7676" s="24" t="s">
        <v>48</v>
      </c>
      <c r="F7676" s="24" t="s">
        <v>49</v>
      </c>
      <c r="G7676" s="24" t="s">
        <v>28</v>
      </c>
      <c r="H7676" s="26">
        <v>16</v>
      </c>
      <c r="I7676" s="24" t="s">
        <v>29</v>
      </c>
      <c r="J7676" s="36">
        <v>45931</v>
      </c>
      <c r="K7676" s="24" t="s">
        <v>22</v>
      </c>
    </row>
    <row r="7677" spans="1:11" x14ac:dyDescent="0.2">
      <c r="A7677" s="27" t="s">
        <v>17930</v>
      </c>
      <c r="B7677" s="27" t="s">
        <v>17931</v>
      </c>
      <c r="C7677" s="27" t="s">
        <v>2238</v>
      </c>
      <c r="D7677" s="27" t="s">
        <v>17</v>
      </c>
      <c r="E7677" s="27" t="s">
        <v>42</v>
      </c>
      <c r="F7677" s="27" t="s">
        <v>43</v>
      </c>
      <c r="G7677" s="27" t="s">
        <v>28</v>
      </c>
      <c r="H7677" s="29">
        <v>406</v>
      </c>
      <c r="I7677" s="27" t="s">
        <v>29</v>
      </c>
      <c r="J7677" s="37">
        <v>45961</v>
      </c>
      <c r="K7677" s="27" t="s">
        <v>22</v>
      </c>
    </row>
    <row r="7678" spans="1:11" x14ac:dyDescent="0.2">
      <c r="A7678" s="24" t="s">
        <v>17932</v>
      </c>
      <c r="B7678" s="24" t="s">
        <v>17933</v>
      </c>
      <c r="C7678" s="24" t="s">
        <v>85</v>
      </c>
      <c r="D7678" s="24" t="s">
        <v>17</v>
      </c>
      <c r="E7678" s="24" t="s">
        <v>18</v>
      </c>
      <c r="F7678" s="24" t="s">
        <v>19</v>
      </c>
      <c r="G7678" s="24" t="s">
        <v>28</v>
      </c>
      <c r="H7678" s="26">
        <v>48</v>
      </c>
      <c r="I7678" s="24" t="s">
        <v>29</v>
      </c>
      <c r="J7678" s="36">
        <v>45957</v>
      </c>
      <c r="K7678" s="24" t="s">
        <v>22</v>
      </c>
    </row>
    <row r="7679" spans="1:11" x14ac:dyDescent="0.2">
      <c r="A7679" s="27" t="s">
        <v>17934</v>
      </c>
      <c r="B7679" s="27" t="s">
        <v>17935</v>
      </c>
      <c r="C7679" s="27" t="s">
        <v>9576</v>
      </c>
      <c r="D7679" s="27" t="s">
        <v>17</v>
      </c>
      <c r="E7679" s="27" t="s">
        <v>42</v>
      </c>
      <c r="F7679" s="27" t="s">
        <v>43</v>
      </c>
      <c r="G7679" s="27" t="s">
        <v>227</v>
      </c>
      <c r="H7679" s="29">
        <v>700</v>
      </c>
      <c r="I7679" s="27" t="s">
        <v>29</v>
      </c>
      <c r="J7679" s="37">
        <v>45957</v>
      </c>
      <c r="K7679" s="27" t="s">
        <v>22</v>
      </c>
    </row>
    <row r="7680" spans="1:11" x14ac:dyDescent="0.2">
      <c r="A7680" s="24" t="s">
        <v>17936</v>
      </c>
      <c r="B7680" s="24" t="s">
        <v>17937</v>
      </c>
      <c r="C7680" s="24" t="s">
        <v>667</v>
      </c>
      <c r="D7680" s="24" t="s">
        <v>17</v>
      </c>
      <c r="E7680" s="24" t="s">
        <v>26</v>
      </c>
      <c r="F7680" s="24" t="s">
        <v>27</v>
      </c>
      <c r="G7680" s="24" t="s">
        <v>44</v>
      </c>
      <c r="H7680" s="26">
        <v>6</v>
      </c>
      <c r="I7680" s="24" t="s">
        <v>21</v>
      </c>
      <c r="J7680" s="36">
        <v>45931</v>
      </c>
      <c r="K7680" s="24" t="s">
        <v>22</v>
      </c>
    </row>
    <row r="7681" spans="1:11" x14ac:dyDescent="0.2">
      <c r="A7681" s="27" t="s">
        <v>17938</v>
      </c>
      <c r="B7681" s="27" t="s">
        <v>17939</v>
      </c>
      <c r="C7681" s="27" t="s">
        <v>9191</v>
      </c>
      <c r="D7681" s="27" t="s">
        <v>17</v>
      </c>
      <c r="E7681" s="27" t="s">
        <v>18</v>
      </c>
      <c r="F7681" s="27" t="s">
        <v>19</v>
      </c>
      <c r="G7681" s="27" t="s">
        <v>28</v>
      </c>
      <c r="H7681" s="29">
        <v>72</v>
      </c>
      <c r="I7681" s="27" t="s">
        <v>29</v>
      </c>
      <c r="J7681" s="37">
        <v>45938</v>
      </c>
      <c r="K7681" s="27" t="s">
        <v>22</v>
      </c>
    </row>
    <row r="7682" spans="1:11" x14ac:dyDescent="0.2">
      <c r="A7682" s="24" t="s">
        <v>17940</v>
      </c>
      <c r="B7682" s="24" t="s">
        <v>17941</v>
      </c>
      <c r="C7682" s="24" t="s">
        <v>41</v>
      </c>
      <c r="D7682" s="24" t="s">
        <v>17</v>
      </c>
      <c r="E7682" s="24" t="s">
        <v>48</v>
      </c>
      <c r="F7682" s="24" t="s">
        <v>49</v>
      </c>
      <c r="G7682" s="24" t="s">
        <v>28</v>
      </c>
      <c r="H7682" s="26">
        <v>60</v>
      </c>
      <c r="I7682" s="24" t="s">
        <v>29</v>
      </c>
      <c r="J7682" s="36">
        <v>45958</v>
      </c>
      <c r="K7682" s="24" t="s">
        <v>22</v>
      </c>
    </row>
    <row r="7683" spans="1:11" x14ac:dyDescent="0.2">
      <c r="A7683" s="27" t="s">
        <v>17942</v>
      </c>
      <c r="B7683" s="27" t="s">
        <v>17943</v>
      </c>
      <c r="C7683" s="27" t="s">
        <v>213</v>
      </c>
      <c r="D7683" s="27" t="s">
        <v>17</v>
      </c>
      <c r="E7683" s="27" t="s">
        <v>18</v>
      </c>
      <c r="F7683" s="27" t="s">
        <v>19</v>
      </c>
      <c r="G7683" s="27" t="s">
        <v>20</v>
      </c>
      <c r="H7683" s="29">
        <v>12</v>
      </c>
      <c r="I7683" s="27" t="s">
        <v>21</v>
      </c>
      <c r="J7683" s="37">
        <v>45946</v>
      </c>
      <c r="K7683" s="27" t="s">
        <v>22</v>
      </c>
    </row>
    <row r="7684" spans="1:11" x14ac:dyDescent="0.2">
      <c r="A7684" s="24" t="s">
        <v>17944</v>
      </c>
      <c r="B7684" s="24" t="s">
        <v>17945</v>
      </c>
      <c r="C7684" s="24" t="s">
        <v>208</v>
      </c>
      <c r="D7684" s="24" t="s">
        <v>17</v>
      </c>
      <c r="E7684" s="24" t="s">
        <v>42</v>
      </c>
      <c r="F7684" s="24" t="s">
        <v>43</v>
      </c>
      <c r="G7684" s="24" t="s">
        <v>28</v>
      </c>
      <c r="H7684" s="26">
        <v>980</v>
      </c>
      <c r="I7684" s="24" t="s">
        <v>29</v>
      </c>
      <c r="J7684" s="36">
        <v>45931</v>
      </c>
      <c r="K7684" s="24" t="s">
        <v>22</v>
      </c>
    </row>
    <row r="7685" spans="1:11" x14ac:dyDescent="0.2">
      <c r="A7685" s="27" t="s">
        <v>17946</v>
      </c>
      <c r="B7685" s="27" t="s">
        <v>17947</v>
      </c>
      <c r="C7685" s="27" t="s">
        <v>17948</v>
      </c>
      <c r="D7685" s="27" t="s">
        <v>17</v>
      </c>
      <c r="E7685" s="27" t="s">
        <v>48</v>
      </c>
      <c r="F7685" s="27" t="s">
        <v>49</v>
      </c>
      <c r="G7685" s="27" t="s">
        <v>28</v>
      </c>
      <c r="H7685" s="29">
        <v>100</v>
      </c>
      <c r="I7685" s="27" t="s">
        <v>29</v>
      </c>
      <c r="J7685" s="37">
        <v>45952</v>
      </c>
      <c r="K7685" s="27" t="s">
        <v>22</v>
      </c>
    </row>
    <row r="7686" spans="1:11" x14ac:dyDescent="0.2">
      <c r="A7686" s="24" t="s">
        <v>17949</v>
      </c>
      <c r="B7686" s="24" t="s">
        <v>17950</v>
      </c>
      <c r="C7686" s="24" t="s">
        <v>2331</v>
      </c>
      <c r="D7686" s="24" t="s">
        <v>17</v>
      </c>
      <c r="E7686" s="24" t="s">
        <v>42</v>
      </c>
      <c r="F7686" s="24" t="s">
        <v>43</v>
      </c>
      <c r="G7686" s="24" t="s">
        <v>44</v>
      </c>
      <c r="H7686" s="26">
        <v>343</v>
      </c>
      <c r="I7686" s="24" t="s">
        <v>21</v>
      </c>
      <c r="J7686" s="36">
        <v>45960</v>
      </c>
      <c r="K7686" s="24" t="s">
        <v>22</v>
      </c>
    </row>
    <row r="7687" spans="1:11" x14ac:dyDescent="0.2">
      <c r="A7687" s="27" t="s">
        <v>17951</v>
      </c>
      <c r="B7687" s="27" t="s">
        <v>17952</v>
      </c>
      <c r="C7687" s="27" t="s">
        <v>4755</v>
      </c>
      <c r="D7687" s="27" t="s">
        <v>17</v>
      </c>
      <c r="E7687" s="27" t="s">
        <v>33</v>
      </c>
      <c r="F7687" s="27" t="s">
        <v>34</v>
      </c>
      <c r="G7687" s="27" t="s">
        <v>217</v>
      </c>
      <c r="H7687" s="29">
        <v>120</v>
      </c>
      <c r="I7687" s="27" t="s">
        <v>29</v>
      </c>
      <c r="J7687" s="37">
        <v>45931</v>
      </c>
      <c r="K7687" s="27" t="s">
        <v>22</v>
      </c>
    </row>
    <row r="7688" spans="1:11" x14ac:dyDescent="0.2">
      <c r="A7688" s="24" t="s">
        <v>17953</v>
      </c>
      <c r="B7688" s="24" t="s">
        <v>17954</v>
      </c>
      <c r="C7688" s="24" t="s">
        <v>792</v>
      </c>
      <c r="D7688" s="24" t="s">
        <v>17</v>
      </c>
      <c r="E7688" s="24" t="s">
        <v>18</v>
      </c>
      <c r="F7688" s="24" t="s">
        <v>19</v>
      </c>
      <c r="G7688" s="24" t="s">
        <v>20</v>
      </c>
      <c r="H7688" s="26">
        <v>58</v>
      </c>
      <c r="I7688" s="24" t="s">
        <v>21</v>
      </c>
      <c r="J7688" s="36">
        <v>45958</v>
      </c>
      <c r="K7688" s="24" t="s">
        <v>22</v>
      </c>
    </row>
    <row r="7689" spans="1:11" x14ac:dyDescent="0.2">
      <c r="A7689" s="27" t="s">
        <v>17955</v>
      </c>
      <c r="B7689" s="27" t="s">
        <v>17956</v>
      </c>
      <c r="C7689" s="27" t="s">
        <v>17957</v>
      </c>
      <c r="D7689" s="27" t="s">
        <v>17</v>
      </c>
      <c r="E7689" s="27" t="s">
        <v>26</v>
      </c>
      <c r="F7689" s="27" t="s">
        <v>27</v>
      </c>
      <c r="G7689" s="27" t="s">
        <v>28</v>
      </c>
      <c r="H7689" s="29">
        <v>5</v>
      </c>
      <c r="I7689" s="27" t="s">
        <v>29</v>
      </c>
      <c r="J7689" s="37">
        <v>45931</v>
      </c>
      <c r="K7689" s="27" t="s">
        <v>22</v>
      </c>
    </row>
    <row r="7690" spans="1:11" x14ac:dyDescent="0.2">
      <c r="A7690" s="24" t="s">
        <v>17958</v>
      </c>
      <c r="B7690" s="24" t="s">
        <v>17959</v>
      </c>
      <c r="C7690" s="24" t="s">
        <v>68</v>
      </c>
      <c r="D7690" s="24" t="s">
        <v>17</v>
      </c>
      <c r="E7690" s="24" t="s">
        <v>42</v>
      </c>
      <c r="F7690" s="24" t="s">
        <v>43</v>
      </c>
      <c r="G7690" s="24" t="s">
        <v>28</v>
      </c>
      <c r="H7690" s="26">
        <v>740</v>
      </c>
      <c r="I7690" s="24" t="s">
        <v>29</v>
      </c>
      <c r="J7690" s="36">
        <v>45953</v>
      </c>
      <c r="K7690" s="24" t="s">
        <v>22</v>
      </c>
    </row>
    <row r="7691" spans="1:11" x14ac:dyDescent="0.2">
      <c r="A7691" s="27" t="s">
        <v>17960</v>
      </c>
      <c r="B7691" s="27" t="s">
        <v>17961</v>
      </c>
      <c r="C7691" s="27" t="s">
        <v>548</v>
      </c>
      <c r="D7691" s="27" t="s">
        <v>17</v>
      </c>
      <c r="E7691" s="27" t="s">
        <v>18</v>
      </c>
      <c r="F7691" s="27" t="s">
        <v>19</v>
      </c>
      <c r="G7691" s="27" t="s">
        <v>28</v>
      </c>
      <c r="H7691" s="29">
        <v>60</v>
      </c>
      <c r="I7691" s="27" t="s">
        <v>29</v>
      </c>
      <c r="J7691" s="37">
        <v>45952</v>
      </c>
      <c r="K7691" s="27" t="s">
        <v>22</v>
      </c>
    </row>
    <row r="7692" spans="1:11" x14ac:dyDescent="0.2">
      <c r="A7692" s="24" t="s">
        <v>17962</v>
      </c>
      <c r="B7692" s="24" t="s">
        <v>17963</v>
      </c>
      <c r="C7692" s="24" t="s">
        <v>1008</v>
      </c>
      <c r="D7692" s="24" t="s">
        <v>17</v>
      </c>
      <c r="E7692" s="24" t="s">
        <v>48</v>
      </c>
      <c r="F7692" s="24" t="s">
        <v>49</v>
      </c>
      <c r="G7692" s="24" t="s">
        <v>28</v>
      </c>
      <c r="H7692" s="26">
        <v>360</v>
      </c>
      <c r="I7692" s="24" t="s">
        <v>29</v>
      </c>
      <c r="J7692" s="36">
        <v>45931</v>
      </c>
      <c r="K7692" s="24" t="s">
        <v>22</v>
      </c>
    </row>
    <row r="7693" spans="1:11" x14ac:dyDescent="0.2">
      <c r="A7693" s="27" t="s">
        <v>17964</v>
      </c>
      <c r="B7693" s="27" t="s">
        <v>17965</v>
      </c>
      <c r="C7693" s="27" t="s">
        <v>9491</v>
      </c>
      <c r="D7693" s="27" t="s">
        <v>17</v>
      </c>
      <c r="E7693" s="27" t="s">
        <v>18</v>
      </c>
      <c r="F7693" s="27" t="s">
        <v>19</v>
      </c>
      <c r="G7693" s="27" t="s">
        <v>44</v>
      </c>
      <c r="H7693" s="29">
        <v>36</v>
      </c>
      <c r="I7693" s="27" t="s">
        <v>29</v>
      </c>
      <c r="J7693" s="37">
        <v>45950</v>
      </c>
      <c r="K7693" s="27" t="s">
        <v>22</v>
      </c>
    </row>
    <row r="7694" spans="1:11" x14ac:dyDescent="0.2">
      <c r="A7694" s="24" t="s">
        <v>17966</v>
      </c>
      <c r="B7694" s="24" t="s">
        <v>17967</v>
      </c>
      <c r="C7694" s="24" t="s">
        <v>208</v>
      </c>
      <c r="D7694" s="24" t="s">
        <v>17</v>
      </c>
      <c r="E7694" s="24" t="s">
        <v>42</v>
      </c>
      <c r="F7694" s="24" t="s">
        <v>43</v>
      </c>
      <c r="G7694" s="24" t="s">
        <v>44</v>
      </c>
      <c r="H7694" s="26">
        <v>676</v>
      </c>
      <c r="I7694" s="24" t="s">
        <v>21</v>
      </c>
      <c r="J7694" s="36">
        <v>45939</v>
      </c>
      <c r="K7694" s="24" t="s">
        <v>22</v>
      </c>
    </row>
    <row r="7695" spans="1:11" x14ac:dyDescent="0.2">
      <c r="A7695" s="27" t="s">
        <v>17968</v>
      </c>
      <c r="B7695" s="27" t="s">
        <v>17969</v>
      </c>
      <c r="C7695" s="27" t="s">
        <v>2246</v>
      </c>
      <c r="D7695" s="27" t="s">
        <v>17</v>
      </c>
      <c r="E7695" s="27" t="s">
        <v>18</v>
      </c>
      <c r="F7695" s="27" t="s">
        <v>19</v>
      </c>
      <c r="G7695" s="27" t="s">
        <v>28</v>
      </c>
      <c r="H7695" s="29">
        <v>140</v>
      </c>
      <c r="I7695" s="27" t="s">
        <v>29</v>
      </c>
      <c r="J7695" s="37">
        <v>45944</v>
      </c>
      <c r="K7695" s="27" t="s">
        <v>22</v>
      </c>
    </row>
    <row r="7696" spans="1:11" x14ac:dyDescent="0.2">
      <c r="A7696" s="24" t="s">
        <v>17970</v>
      </c>
      <c r="B7696" s="24" t="s">
        <v>17971</v>
      </c>
      <c r="C7696" s="24" t="s">
        <v>17972</v>
      </c>
      <c r="D7696" s="24" t="s">
        <v>17</v>
      </c>
      <c r="E7696" s="24" t="s">
        <v>18</v>
      </c>
      <c r="F7696" s="24" t="s">
        <v>19</v>
      </c>
      <c r="G7696" s="24" t="s">
        <v>28</v>
      </c>
      <c r="H7696" s="26">
        <v>18</v>
      </c>
      <c r="I7696" s="24" t="s">
        <v>29</v>
      </c>
      <c r="J7696" s="36">
        <v>45958</v>
      </c>
      <c r="K7696" s="24" t="s">
        <v>22</v>
      </c>
    </row>
    <row r="7697" spans="1:11" x14ac:dyDescent="0.2">
      <c r="A7697" s="27" t="s">
        <v>17973</v>
      </c>
      <c r="B7697" s="27" t="s">
        <v>17974</v>
      </c>
      <c r="C7697" s="27" t="s">
        <v>2469</v>
      </c>
      <c r="D7697" s="27" t="s">
        <v>17</v>
      </c>
      <c r="E7697" s="27" t="s">
        <v>42</v>
      </c>
      <c r="F7697" s="27" t="s">
        <v>43</v>
      </c>
      <c r="G7697" s="27" t="s">
        <v>116</v>
      </c>
      <c r="H7697" s="29">
        <v>0</v>
      </c>
      <c r="I7697" s="27" t="s">
        <v>21</v>
      </c>
      <c r="J7697" s="37">
        <v>45931</v>
      </c>
      <c r="K7697" s="27" t="s">
        <v>22</v>
      </c>
    </row>
    <row r="7698" spans="1:11" x14ac:dyDescent="0.2">
      <c r="A7698" s="24" t="s">
        <v>17975</v>
      </c>
      <c r="B7698" s="24" t="s">
        <v>17976</v>
      </c>
      <c r="C7698" s="24" t="s">
        <v>5910</v>
      </c>
      <c r="D7698" s="24" t="s">
        <v>17</v>
      </c>
      <c r="E7698" s="24" t="s">
        <v>18</v>
      </c>
      <c r="F7698" s="24" t="s">
        <v>19</v>
      </c>
      <c r="G7698" s="24" t="s">
        <v>28</v>
      </c>
      <c r="H7698" s="26">
        <v>9</v>
      </c>
      <c r="I7698" s="24" t="s">
        <v>29</v>
      </c>
      <c r="J7698" s="36">
        <v>45959</v>
      </c>
      <c r="K7698" s="24" t="s">
        <v>22</v>
      </c>
    </row>
    <row r="7699" spans="1:11" x14ac:dyDescent="0.2">
      <c r="A7699" s="27" t="s">
        <v>17977</v>
      </c>
      <c r="B7699" s="27" t="s">
        <v>17978</v>
      </c>
      <c r="C7699" s="27" t="s">
        <v>17979</v>
      </c>
      <c r="D7699" s="27" t="s">
        <v>17</v>
      </c>
      <c r="E7699" s="27" t="s">
        <v>18</v>
      </c>
      <c r="F7699" s="27" t="s">
        <v>19</v>
      </c>
      <c r="G7699" s="27" t="s">
        <v>28</v>
      </c>
      <c r="H7699" s="29">
        <v>176</v>
      </c>
      <c r="I7699" s="27" t="s">
        <v>29</v>
      </c>
      <c r="J7699" s="37">
        <v>45936</v>
      </c>
      <c r="K7699" s="27" t="s">
        <v>22</v>
      </c>
    </row>
    <row r="7700" spans="1:11" x14ac:dyDescent="0.2">
      <c r="A7700" s="24" t="s">
        <v>17980</v>
      </c>
      <c r="B7700" s="24" t="s">
        <v>17981</v>
      </c>
      <c r="C7700" s="24" t="s">
        <v>5561</v>
      </c>
      <c r="D7700" s="24" t="s">
        <v>17</v>
      </c>
      <c r="E7700" s="24" t="s">
        <v>18</v>
      </c>
      <c r="F7700" s="24" t="s">
        <v>19</v>
      </c>
      <c r="G7700" s="24" t="s">
        <v>28</v>
      </c>
      <c r="H7700" s="26">
        <v>33</v>
      </c>
      <c r="I7700" s="24" t="s">
        <v>29</v>
      </c>
      <c r="J7700" s="36">
        <v>45951</v>
      </c>
      <c r="K7700" s="24" t="s">
        <v>22</v>
      </c>
    </row>
    <row r="7701" spans="1:11" x14ac:dyDescent="0.2">
      <c r="A7701" s="27" t="s">
        <v>17982</v>
      </c>
      <c r="B7701" s="27" t="s">
        <v>17983</v>
      </c>
      <c r="C7701" s="27" t="s">
        <v>17984</v>
      </c>
      <c r="D7701" s="27" t="s">
        <v>17</v>
      </c>
      <c r="E7701" s="27" t="s">
        <v>26</v>
      </c>
      <c r="F7701" s="27" t="s">
        <v>27</v>
      </c>
      <c r="G7701" s="27" t="s">
        <v>28</v>
      </c>
      <c r="H7701" s="29">
        <v>94</v>
      </c>
      <c r="I7701" s="27" t="s">
        <v>29</v>
      </c>
      <c r="J7701" s="37">
        <v>45960</v>
      </c>
      <c r="K7701" s="27" t="s">
        <v>22</v>
      </c>
    </row>
    <row r="7702" spans="1:11" x14ac:dyDescent="0.2">
      <c r="A7702" s="24" t="s">
        <v>17985</v>
      </c>
      <c r="B7702" s="24" t="s">
        <v>17986</v>
      </c>
      <c r="C7702" s="24" t="s">
        <v>7413</v>
      </c>
      <c r="D7702" s="24" t="s">
        <v>17</v>
      </c>
      <c r="E7702" s="24" t="s">
        <v>48</v>
      </c>
      <c r="F7702" s="24" t="s">
        <v>49</v>
      </c>
      <c r="G7702" s="24" t="s">
        <v>28</v>
      </c>
      <c r="H7702" s="26">
        <v>744</v>
      </c>
      <c r="I7702" s="24" t="s">
        <v>29</v>
      </c>
      <c r="J7702" s="36">
        <v>45957</v>
      </c>
      <c r="K7702" s="24" t="s">
        <v>22</v>
      </c>
    </row>
    <row r="7703" spans="1:11" x14ac:dyDescent="0.2">
      <c r="A7703" s="27" t="s">
        <v>17987</v>
      </c>
      <c r="B7703" s="27" t="s">
        <v>17988</v>
      </c>
      <c r="C7703" s="27" t="s">
        <v>266</v>
      </c>
      <c r="D7703" s="27" t="s">
        <v>17</v>
      </c>
      <c r="E7703" s="27" t="s">
        <v>18</v>
      </c>
      <c r="F7703" s="27" t="s">
        <v>19</v>
      </c>
      <c r="G7703" s="27" t="s">
        <v>227</v>
      </c>
      <c r="H7703" s="29">
        <v>40</v>
      </c>
      <c r="I7703" s="27" t="s">
        <v>29</v>
      </c>
      <c r="J7703" s="37">
        <v>45950</v>
      </c>
      <c r="K7703" s="27" t="s">
        <v>22</v>
      </c>
    </row>
    <row r="7704" spans="1:11" x14ac:dyDescent="0.2">
      <c r="A7704" s="24" t="s">
        <v>17989</v>
      </c>
      <c r="B7704" s="24" t="s">
        <v>17990</v>
      </c>
      <c r="C7704" s="24" t="s">
        <v>10289</v>
      </c>
      <c r="D7704" s="24" t="s">
        <v>17</v>
      </c>
      <c r="E7704" s="24" t="s">
        <v>48</v>
      </c>
      <c r="F7704" s="24" t="s">
        <v>49</v>
      </c>
      <c r="G7704" s="24" t="s">
        <v>217</v>
      </c>
      <c r="H7704" s="26">
        <v>5</v>
      </c>
      <c r="I7704" s="24" t="s">
        <v>29</v>
      </c>
      <c r="J7704" s="36">
        <v>45945</v>
      </c>
      <c r="K7704" s="24" t="s">
        <v>22</v>
      </c>
    </row>
    <row r="7705" spans="1:11" x14ac:dyDescent="0.2">
      <c r="A7705" s="27" t="s">
        <v>17991</v>
      </c>
      <c r="B7705" s="27" t="s">
        <v>17992</v>
      </c>
      <c r="C7705" s="27" t="s">
        <v>3141</v>
      </c>
      <c r="D7705" s="27" t="s">
        <v>17</v>
      </c>
      <c r="E7705" s="27" t="s">
        <v>163</v>
      </c>
      <c r="F7705" s="27" t="s">
        <v>164</v>
      </c>
      <c r="G7705" s="27" t="s">
        <v>28</v>
      </c>
      <c r="H7705" s="29">
        <v>22</v>
      </c>
      <c r="I7705" s="27" t="s">
        <v>29</v>
      </c>
      <c r="J7705" s="37">
        <v>45968</v>
      </c>
      <c r="K7705" s="27" t="s">
        <v>22</v>
      </c>
    </row>
    <row r="7706" spans="1:11" x14ac:dyDescent="0.2">
      <c r="A7706" s="24" t="s">
        <v>17993</v>
      </c>
      <c r="B7706" s="24" t="s">
        <v>17994</v>
      </c>
      <c r="C7706" s="24" t="s">
        <v>3066</v>
      </c>
      <c r="D7706" s="24" t="s">
        <v>17</v>
      </c>
      <c r="E7706" s="24" t="s">
        <v>48</v>
      </c>
      <c r="F7706" s="24" t="s">
        <v>49</v>
      </c>
      <c r="G7706" s="24" t="s">
        <v>28</v>
      </c>
      <c r="H7706" s="26">
        <v>150</v>
      </c>
      <c r="I7706" s="24" t="s">
        <v>29</v>
      </c>
      <c r="J7706" s="36">
        <v>45988</v>
      </c>
      <c r="K7706" s="24" t="s">
        <v>22</v>
      </c>
    </row>
    <row r="7707" spans="1:11" x14ac:dyDescent="0.2">
      <c r="A7707" s="27" t="s">
        <v>17995</v>
      </c>
      <c r="B7707" s="27" t="s">
        <v>17996</v>
      </c>
      <c r="C7707" s="27" t="s">
        <v>904</v>
      </c>
      <c r="D7707" s="27" t="s">
        <v>17</v>
      </c>
      <c r="E7707" s="27" t="s">
        <v>42</v>
      </c>
      <c r="F7707" s="27" t="s">
        <v>43</v>
      </c>
      <c r="G7707" s="27" t="s">
        <v>28</v>
      </c>
      <c r="H7707" s="29">
        <v>480</v>
      </c>
      <c r="I7707" s="27" t="s">
        <v>29</v>
      </c>
      <c r="J7707" s="37">
        <v>45991</v>
      </c>
      <c r="K7707" s="27" t="s">
        <v>22</v>
      </c>
    </row>
    <row r="7708" spans="1:11" x14ac:dyDescent="0.2">
      <c r="A7708" s="24" t="s">
        <v>17997</v>
      </c>
      <c r="B7708" s="24" t="s">
        <v>17998</v>
      </c>
      <c r="C7708" s="24" t="s">
        <v>1110</v>
      </c>
      <c r="D7708" s="24" t="s">
        <v>17</v>
      </c>
      <c r="E7708" s="24" t="s">
        <v>48</v>
      </c>
      <c r="F7708" s="24" t="s">
        <v>49</v>
      </c>
      <c r="G7708" s="24" t="s">
        <v>28</v>
      </c>
      <c r="H7708" s="26">
        <v>182</v>
      </c>
      <c r="I7708" s="24" t="s">
        <v>29</v>
      </c>
      <c r="J7708" s="36">
        <v>45974</v>
      </c>
      <c r="K7708" s="24" t="s">
        <v>22</v>
      </c>
    </row>
    <row r="7709" spans="1:11" x14ac:dyDescent="0.2">
      <c r="A7709" s="27" t="s">
        <v>17999</v>
      </c>
      <c r="B7709" s="27" t="s">
        <v>18000</v>
      </c>
      <c r="C7709" s="27" t="s">
        <v>595</v>
      </c>
      <c r="D7709" s="27" t="s">
        <v>17</v>
      </c>
      <c r="E7709" s="27" t="s">
        <v>18</v>
      </c>
      <c r="F7709" s="27" t="s">
        <v>19</v>
      </c>
      <c r="G7709" s="27" t="s">
        <v>28</v>
      </c>
      <c r="H7709" s="29">
        <v>280</v>
      </c>
      <c r="I7709" s="27" t="s">
        <v>29</v>
      </c>
      <c r="J7709" s="37">
        <v>45980</v>
      </c>
      <c r="K7709" s="27" t="s">
        <v>22</v>
      </c>
    </row>
    <row r="7710" spans="1:11" x14ac:dyDescent="0.2">
      <c r="A7710" s="24" t="s">
        <v>18001</v>
      </c>
      <c r="B7710" s="24" t="s">
        <v>18002</v>
      </c>
      <c r="C7710" s="24" t="s">
        <v>984</v>
      </c>
      <c r="D7710" s="24" t="s">
        <v>17</v>
      </c>
      <c r="E7710" s="24" t="s">
        <v>81</v>
      </c>
      <c r="F7710" s="24" t="s">
        <v>82</v>
      </c>
      <c r="G7710" s="24" t="s">
        <v>28</v>
      </c>
      <c r="H7710" s="26">
        <v>30000</v>
      </c>
      <c r="I7710" s="24" t="s">
        <v>29</v>
      </c>
      <c r="J7710" s="36">
        <v>45987</v>
      </c>
      <c r="K7710" s="24" t="s">
        <v>22</v>
      </c>
    </row>
    <row r="7711" spans="1:11" x14ac:dyDescent="0.2">
      <c r="A7711" s="27" t="s">
        <v>18003</v>
      </c>
      <c r="B7711" s="27" t="s">
        <v>18004</v>
      </c>
      <c r="C7711" s="27" t="s">
        <v>3914</v>
      </c>
      <c r="D7711" s="27" t="s">
        <v>17</v>
      </c>
      <c r="E7711" s="27" t="s">
        <v>42</v>
      </c>
      <c r="F7711" s="27" t="s">
        <v>43</v>
      </c>
      <c r="G7711" s="27" t="s">
        <v>28</v>
      </c>
      <c r="H7711" s="29">
        <v>468</v>
      </c>
      <c r="I7711" s="27" t="s">
        <v>29</v>
      </c>
      <c r="J7711" s="37">
        <v>45986</v>
      </c>
      <c r="K7711" s="27" t="s">
        <v>22</v>
      </c>
    </row>
    <row r="7712" spans="1:11" x14ac:dyDescent="0.2">
      <c r="A7712" s="24" t="s">
        <v>18005</v>
      </c>
      <c r="B7712" s="24" t="s">
        <v>18006</v>
      </c>
      <c r="C7712" s="24" t="s">
        <v>10398</v>
      </c>
      <c r="D7712" s="24" t="s">
        <v>17</v>
      </c>
      <c r="E7712" s="24" t="s">
        <v>18</v>
      </c>
      <c r="F7712" s="24" t="s">
        <v>19</v>
      </c>
      <c r="G7712" s="24" t="s">
        <v>28</v>
      </c>
      <c r="H7712" s="26">
        <v>18</v>
      </c>
      <c r="I7712" s="24" t="s">
        <v>29</v>
      </c>
      <c r="J7712" s="36">
        <v>45985</v>
      </c>
      <c r="K7712" s="24" t="s">
        <v>22</v>
      </c>
    </row>
    <row r="7713" spans="1:11" x14ac:dyDescent="0.2">
      <c r="A7713" s="27" t="s">
        <v>18007</v>
      </c>
      <c r="B7713" s="27" t="s">
        <v>18008</v>
      </c>
      <c r="C7713" s="27" t="s">
        <v>9491</v>
      </c>
      <c r="D7713" s="27" t="s">
        <v>17</v>
      </c>
      <c r="E7713" s="27" t="s">
        <v>18</v>
      </c>
      <c r="F7713" s="27" t="s">
        <v>19</v>
      </c>
      <c r="G7713" s="27" t="s">
        <v>28</v>
      </c>
      <c r="H7713" s="29">
        <v>60</v>
      </c>
      <c r="I7713" s="27" t="s">
        <v>29</v>
      </c>
      <c r="J7713" s="37">
        <v>45978</v>
      </c>
      <c r="K7713" s="27" t="s">
        <v>22</v>
      </c>
    </row>
    <row r="7714" spans="1:11" x14ac:dyDescent="0.2">
      <c r="A7714" s="24" t="s">
        <v>18009</v>
      </c>
      <c r="B7714" s="24" t="s">
        <v>18010</v>
      </c>
      <c r="C7714" s="24" t="s">
        <v>687</v>
      </c>
      <c r="D7714" s="24" t="s">
        <v>17</v>
      </c>
      <c r="E7714" s="24" t="s">
        <v>18</v>
      </c>
      <c r="F7714" s="24" t="s">
        <v>19</v>
      </c>
      <c r="G7714" s="24" t="s">
        <v>28</v>
      </c>
      <c r="H7714" s="26">
        <v>75</v>
      </c>
      <c r="I7714" s="24" t="s">
        <v>29</v>
      </c>
      <c r="J7714" s="36">
        <v>45968</v>
      </c>
      <c r="K7714" s="24" t="s">
        <v>22</v>
      </c>
    </row>
    <row r="7715" spans="1:11" x14ac:dyDescent="0.2">
      <c r="A7715" s="27" t="s">
        <v>18011</v>
      </c>
      <c r="B7715" s="27" t="s">
        <v>18012</v>
      </c>
      <c r="C7715" s="27" t="s">
        <v>18013</v>
      </c>
      <c r="D7715" s="27" t="s">
        <v>17</v>
      </c>
      <c r="E7715" s="27" t="s">
        <v>26</v>
      </c>
      <c r="F7715" s="27" t="s">
        <v>27</v>
      </c>
      <c r="G7715" s="27" t="s">
        <v>28</v>
      </c>
      <c r="H7715" s="29">
        <v>94</v>
      </c>
      <c r="I7715" s="27" t="s">
        <v>29</v>
      </c>
      <c r="J7715" s="37">
        <v>45978</v>
      </c>
      <c r="K7715" s="27" t="s">
        <v>22</v>
      </c>
    </row>
    <row r="7716" spans="1:11" x14ac:dyDescent="0.2">
      <c r="A7716" s="24" t="s">
        <v>18014</v>
      </c>
      <c r="B7716" s="24" t="s">
        <v>18015</v>
      </c>
      <c r="C7716" s="24" t="s">
        <v>18016</v>
      </c>
      <c r="D7716" s="24" t="s">
        <v>17</v>
      </c>
      <c r="E7716" s="24" t="s">
        <v>18</v>
      </c>
      <c r="F7716" s="24" t="s">
        <v>19</v>
      </c>
      <c r="G7716" s="24" t="s">
        <v>28</v>
      </c>
      <c r="H7716" s="26">
        <v>80</v>
      </c>
      <c r="I7716" s="24" t="s">
        <v>29</v>
      </c>
      <c r="J7716" s="36">
        <v>45986</v>
      </c>
      <c r="K7716" s="24" t="s">
        <v>22</v>
      </c>
    </row>
    <row r="7717" spans="1:11" x14ac:dyDescent="0.2">
      <c r="A7717" s="27" t="s">
        <v>18017</v>
      </c>
      <c r="B7717" s="27" t="s">
        <v>18018</v>
      </c>
      <c r="C7717" s="27" t="s">
        <v>251</v>
      </c>
      <c r="D7717" s="27" t="s">
        <v>17</v>
      </c>
      <c r="E7717" s="27" t="s">
        <v>18</v>
      </c>
      <c r="F7717" s="27" t="s">
        <v>19</v>
      </c>
      <c r="G7717" s="27" t="s">
        <v>28</v>
      </c>
      <c r="H7717" s="29">
        <v>180</v>
      </c>
      <c r="I7717" s="27" t="s">
        <v>29</v>
      </c>
      <c r="J7717" s="37">
        <v>45985</v>
      </c>
      <c r="K7717" s="27" t="s">
        <v>22</v>
      </c>
    </row>
    <row r="7718" spans="1:11" x14ac:dyDescent="0.2">
      <c r="A7718" s="24" t="s">
        <v>18019</v>
      </c>
      <c r="B7718" s="24" t="s">
        <v>18020</v>
      </c>
      <c r="C7718" s="24" t="s">
        <v>1307</v>
      </c>
      <c r="D7718" s="24" t="s">
        <v>17</v>
      </c>
      <c r="E7718" s="24" t="s">
        <v>48</v>
      </c>
      <c r="F7718" s="24" t="s">
        <v>49</v>
      </c>
      <c r="G7718" s="24" t="s">
        <v>28</v>
      </c>
      <c r="H7718" s="26">
        <v>189</v>
      </c>
      <c r="I7718" s="24" t="s">
        <v>29</v>
      </c>
      <c r="J7718" s="36">
        <v>45986</v>
      </c>
      <c r="K7718" s="24" t="s">
        <v>22</v>
      </c>
    </row>
    <row r="7719" spans="1:11" x14ac:dyDescent="0.2">
      <c r="A7719" s="27" t="s">
        <v>18021</v>
      </c>
      <c r="B7719" s="27" t="s">
        <v>18022</v>
      </c>
      <c r="C7719" s="27" t="s">
        <v>354</v>
      </c>
      <c r="D7719" s="27" t="s">
        <v>17</v>
      </c>
      <c r="E7719" s="27" t="s">
        <v>48</v>
      </c>
      <c r="F7719" s="27" t="s">
        <v>49</v>
      </c>
      <c r="G7719" s="27" t="s">
        <v>28</v>
      </c>
      <c r="H7719" s="29">
        <v>24</v>
      </c>
      <c r="I7719" s="27" t="s">
        <v>29</v>
      </c>
      <c r="J7719" s="37">
        <v>45980</v>
      </c>
      <c r="K7719" s="27" t="s">
        <v>22</v>
      </c>
    </row>
    <row r="7720" spans="1:11" x14ac:dyDescent="0.2">
      <c r="A7720" s="24" t="s">
        <v>18023</v>
      </c>
      <c r="B7720" s="24" t="s">
        <v>18024</v>
      </c>
      <c r="C7720" s="24" t="s">
        <v>526</v>
      </c>
      <c r="D7720" s="24" t="s">
        <v>17</v>
      </c>
      <c r="E7720" s="24" t="s">
        <v>18</v>
      </c>
      <c r="F7720" s="24" t="s">
        <v>19</v>
      </c>
      <c r="G7720" s="24" t="s">
        <v>44</v>
      </c>
      <c r="H7720" s="26">
        <v>46</v>
      </c>
      <c r="I7720" s="24" t="s">
        <v>29</v>
      </c>
      <c r="J7720" s="36">
        <v>45964</v>
      </c>
      <c r="K7720" s="24" t="s">
        <v>22</v>
      </c>
    </row>
    <row r="7721" spans="1:11" x14ac:dyDescent="0.2">
      <c r="A7721" s="27" t="s">
        <v>18025</v>
      </c>
      <c r="B7721" s="27" t="s">
        <v>18026</v>
      </c>
      <c r="C7721" s="27" t="s">
        <v>213</v>
      </c>
      <c r="D7721" s="27" t="s">
        <v>17</v>
      </c>
      <c r="E7721" s="27" t="s">
        <v>18</v>
      </c>
      <c r="F7721" s="27" t="s">
        <v>19</v>
      </c>
      <c r="G7721" s="27" t="s">
        <v>28</v>
      </c>
      <c r="H7721" s="29">
        <v>64</v>
      </c>
      <c r="I7721" s="27" t="s">
        <v>29</v>
      </c>
      <c r="J7721" s="37">
        <v>45985</v>
      </c>
      <c r="K7721" s="27" t="s">
        <v>22</v>
      </c>
    </row>
    <row r="7722" spans="1:11" x14ac:dyDescent="0.2">
      <c r="A7722" s="24" t="s">
        <v>18027</v>
      </c>
      <c r="B7722" s="24" t="s">
        <v>18028</v>
      </c>
      <c r="C7722" s="24" t="s">
        <v>14806</v>
      </c>
      <c r="D7722" s="24" t="s">
        <v>17</v>
      </c>
      <c r="E7722" s="24" t="s">
        <v>26</v>
      </c>
      <c r="F7722" s="24" t="s">
        <v>27</v>
      </c>
      <c r="G7722" s="24" t="s">
        <v>28</v>
      </c>
      <c r="H7722" s="26">
        <v>84</v>
      </c>
      <c r="I7722" s="24" t="s">
        <v>29</v>
      </c>
      <c r="J7722" s="36">
        <v>45979</v>
      </c>
      <c r="K7722" s="24" t="s">
        <v>22</v>
      </c>
    </row>
    <row r="7723" spans="1:11" x14ac:dyDescent="0.2">
      <c r="A7723" s="27" t="s">
        <v>18029</v>
      </c>
      <c r="B7723" s="27" t="s">
        <v>18030</v>
      </c>
      <c r="C7723" s="27" t="s">
        <v>9442</v>
      </c>
      <c r="D7723" s="27" t="s">
        <v>17</v>
      </c>
      <c r="E7723" s="27" t="s">
        <v>42</v>
      </c>
      <c r="F7723" s="27" t="s">
        <v>43</v>
      </c>
      <c r="G7723" s="27" t="s">
        <v>28</v>
      </c>
      <c r="H7723" s="29">
        <v>1000</v>
      </c>
      <c r="I7723" s="27" t="s">
        <v>29</v>
      </c>
      <c r="J7723" s="37">
        <v>45964</v>
      </c>
      <c r="K7723" s="27" t="s">
        <v>22</v>
      </c>
    </row>
    <row r="7724" spans="1:11" x14ac:dyDescent="0.2">
      <c r="A7724" s="24" t="s">
        <v>18031</v>
      </c>
      <c r="B7724" s="24" t="s">
        <v>18032</v>
      </c>
      <c r="C7724" s="24" t="s">
        <v>5791</v>
      </c>
      <c r="D7724" s="24" t="s">
        <v>17</v>
      </c>
      <c r="E7724" s="24" t="s">
        <v>42</v>
      </c>
      <c r="F7724" s="24" t="s">
        <v>43</v>
      </c>
      <c r="G7724" s="24" t="s">
        <v>28</v>
      </c>
      <c r="H7724" s="26">
        <v>177</v>
      </c>
      <c r="I7724" s="24" t="s">
        <v>29</v>
      </c>
      <c r="J7724" s="36">
        <v>45968</v>
      </c>
      <c r="K7724" s="24" t="s">
        <v>22</v>
      </c>
    </row>
    <row r="7725" spans="1:11" x14ac:dyDescent="0.2">
      <c r="A7725" s="27" t="s">
        <v>18033</v>
      </c>
      <c r="B7725" s="27" t="s">
        <v>18034</v>
      </c>
      <c r="C7725" s="27" t="s">
        <v>18035</v>
      </c>
      <c r="D7725" s="27" t="s">
        <v>17</v>
      </c>
      <c r="E7725" s="27" t="s">
        <v>48</v>
      </c>
      <c r="F7725" s="27" t="s">
        <v>49</v>
      </c>
      <c r="G7725" s="27" t="s">
        <v>217</v>
      </c>
      <c r="H7725" s="29">
        <v>115</v>
      </c>
      <c r="I7725" s="27" t="s">
        <v>29</v>
      </c>
      <c r="J7725" s="37">
        <v>45962</v>
      </c>
      <c r="K7725" s="27" t="s">
        <v>22</v>
      </c>
    </row>
    <row r="7726" spans="1:11" x14ac:dyDescent="0.2">
      <c r="A7726" s="24" t="s">
        <v>18036</v>
      </c>
      <c r="B7726" s="24" t="s">
        <v>18037</v>
      </c>
      <c r="C7726" s="24" t="s">
        <v>188</v>
      </c>
      <c r="D7726" s="24" t="s">
        <v>17</v>
      </c>
      <c r="E7726" s="24" t="s">
        <v>42</v>
      </c>
      <c r="F7726" s="24" t="s">
        <v>43</v>
      </c>
      <c r="G7726" s="24" t="s">
        <v>28</v>
      </c>
      <c r="H7726" s="26">
        <v>312</v>
      </c>
      <c r="I7726" s="24" t="s">
        <v>29</v>
      </c>
      <c r="J7726" s="36">
        <v>45973</v>
      </c>
      <c r="K7726" s="24" t="s">
        <v>22</v>
      </c>
    </row>
    <row r="7727" spans="1:11" x14ac:dyDescent="0.2">
      <c r="A7727" s="27" t="s">
        <v>18038</v>
      </c>
      <c r="B7727" s="27" t="s">
        <v>18039</v>
      </c>
      <c r="C7727" s="27" t="s">
        <v>1080</v>
      </c>
      <c r="D7727" s="27" t="s">
        <v>17</v>
      </c>
      <c r="E7727" s="27" t="s">
        <v>33</v>
      </c>
      <c r="F7727" s="27" t="s">
        <v>34</v>
      </c>
      <c r="G7727" s="27" t="s">
        <v>116</v>
      </c>
      <c r="H7727" s="29">
        <v>0</v>
      </c>
      <c r="I7727" s="27" t="s">
        <v>21</v>
      </c>
      <c r="J7727" s="37">
        <v>45962</v>
      </c>
      <c r="K7727" s="27" t="s">
        <v>22</v>
      </c>
    </row>
    <row r="7728" spans="1:11" x14ac:dyDescent="0.2">
      <c r="A7728" s="24" t="s">
        <v>18040</v>
      </c>
      <c r="B7728" s="24" t="s">
        <v>18041</v>
      </c>
      <c r="C7728" s="24" t="s">
        <v>71</v>
      </c>
      <c r="D7728" s="24" t="s">
        <v>17</v>
      </c>
      <c r="E7728" s="24" t="s">
        <v>18</v>
      </c>
      <c r="F7728" s="24" t="s">
        <v>19</v>
      </c>
      <c r="G7728" s="24" t="s">
        <v>44</v>
      </c>
      <c r="H7728" s="26">
        <v>190</v>
      </c>
      <c r="I7728" s="24" t="s">
        <v>29</v>
      </c>
      <c r="J7728" s="36">
        <v>45971</v>
      </c>
      <c r="K7728" s="24" t="s">
        <v>22</v>
      </c>
    </row>
    <row r="7729" spans="1:11" x14ac:dyDescent="0.2">
      <c r="A7729" s="27" t="s">
        <v>18042</v>
      </c>
      <c r="B7729" s="27" t="s">
        <v>18043</v>
      </c>
      <c r="C7729" s="27" t="s">
        <v>2669</v>
      </c>
      <c r="D7729" s="27" t="s">
        <v>17</v>
      </c>
      <c r="E7729" s="27" t="s">
        <v>18</v>
      </c>
      <c r="F7729" s="27" t="s">
        <v>19</v>
      </c>
      <c r="G7729" s="27" t="s">
        <v>28</v>
      </c>
      <c r="H7729" s="29">
        <v>10</v>
      </c>
      <c r="I7729" s="27" t="s">
        <v>29</v>
      </c>
      <c r="J7729" s="37">
        <v>45973</v>
      </c>
      <c r="K7729" s="27" t="s">
        <v>22</v>
      </c>
    </row>
    <row r="7730" spans="1:11" x14ac:dyDescent="0.2">
      <c r="A7730" s="24" t="s">
        <v>18044</v>
      </c>
      <c r="B7730" s="24" t="s">
        <v>18045</v>
      </c>
      <c r="C7730" s="24" t="s">
        <v>280</v>
      </c>
      <c r="D7730" s="24" t="s">
        <v>17</v>
      </c>
      <c r="E7730" s="24" t="s">
        <v>18</v>
      </c>
      <c r="F7730" s="24" t="s">
        <v>19</v>
      </c>
      <c r="G7730" s="24" t="s">
        <v>28</v>
      </c>
      <c r="H7730" s="26">
        <v>48</v>
      </c>
      <c r="I7730" s="24" t="s">
        <v>29</v>
      </c>
      <c r="J7730" s="36">
        <v>45976</v>
      </c>
      <c r="K7730" s="24" t="s">
        <v>22</v>
      </c>
    </row>
    <row r="7731" spans="1:11" x14ac:dyDescent="0.2">
      <c r="A7731" s="27" t="s">
        <v>18046</v>
      </c>
      <c r="B7731" s="27" t="s">
        <v>18047</v>
      </c>
      <c r="C7731" s="27" t="s">
        <v>18048</v>
      </c>
      <c r="D7731" s="27" t="s">
        <v>17</v>
      </c>
      <c r="E7731" s="27" t="s">
        <v>42</v>
      </c>
      <c r="F7731" s="27" t="s">
        <v>43</v>
      </c>
      <c r="G7731" s="27" t="s">
        <v>28</v>
      </c>
      <c r="H7731" s="29">
        <v>200</v>
      </c>
      <c r="I7731" s="27" t="s">
        <v>29</v>
      </c>
      <c r="J7731" s="37">
        <v>45975</v>
      </c>
      <c r="K7731" s="27" t="s">
        <v>22</v>
      </c>
    </row>
    <row r="7732" spans="1:11" x14ac:dyDescent="0.2">
      <c r="A7732" s="24" t="s">
        <v>18049</v>
      </c>
      <c r="B7732" s="24" t="s">
        <v>18050</v>
      </c>
      <c r="C7732" s="24" t="s">
        <v>1690</v>
      </c>
      <c r="D7732" s="24" t="s">
        <v>17</v>
      </c>
      <c r="E7732" s="24" t="s">
        <v>48</v>
      </c>
      <c r="F7732" s="24" t="s">
        <v>49</v>
      </c>
      <c r="G7732" s="24" t="s">
        <v>28</v>
      </c>
      <c r="H7732" s="26">
        <v>100</v>
      </c>
      <c r="I7732" s="24" t="s">
        <v>29</v>
      </c>
      <c r="J7732" s="36">
        <v>45989</v>
      </c>
      <c r="K7732" s="24" t="s">
        <v>22</v>
      </c>
    </row>
    <row r="7733" spans="1:11" x14ac:dyDescent="0.2">
      <c r="A7733" s="27" t="s">
        <v>18051</v>
      </c>
      <c r="B7733" s="27" t="s">
        <v>18052</v>
      </c>
      <c r="C7733" s="27" t="s">
        <v>10525</v>
      </c>
      <c r="D7733" s="27" t="s">
        <v>17</v>
      </c>
      <c r="E7733" s="27" t="s">
        <v>48</v>
      </c>
      <c r="F7733" s="27" t="s">
        <v>49</v>
      </c>
      <c r="G7733" s="27" t="s">
        <v>217</v>
      </c>
      <c r="H7733" s="29">
        <v>20</v>
      </c>
      <c r="I7733" s="27" t="s">
        <v>29</v>
      </c>
      <c r="J7733" s="37">
        <v>45991</v>
      </c>
      <c r="K7733" s="27" t="s">
        <v>22</v>
      </c>
    </row>
    <row r="7734" spans="1:11" x14ac:dyDescent="0.2">
      <c r="A7734" s="24" t="s">
        <v>18053</v>
      </c>
      <c r="B7734" s="24" t="s">
        <v>18054</v>
      </c>
      <c r="C7734" s="24" t="s">
        <v>213</v>
      </c>
      <c r="D7734" s="24" t="s">
        <v>17</v>
      </c>
      <c r="E7734" s="24" t="s">
        <v>48</v>
      </c>
      <c r="F7734" s="24" t="s">
        <v>49</v>
      </c>
      <c r="G7734" s="24" t="s">
        <v>28</v>
      </c>
      <c r="H7734" s="26">
        <v>240</v>
      </c>
      <c r="I7734" s="24" t="s">
        <v>29</v>
      </c>
      <c r="J7734" s="36">
        <v>45974</v>
      </c>
      <c r="K7734" s="24" t="s">
        <v>22</v>
      </c>
    </row>
    <row r="7735" spans="1:11" x14ac:dyDescent="0.2">
      <c r="A7735" s="27" t="s">
        <v>18055</v>
      </c>
      <c r="B7735" s="27" t="s">
        <v>18056</v>
      </c>
      <c r="C7735" s="27" t="s">
        <v>251</v>
      </c>
      <c r="D7735" s="27" t="s">
        <v>17</v>
      </c>
      <c r="E7735" s="27" t="s">
        <v>18</v>
      </c>
      <c r="F7735" s="27" t="s">
        <v>19</v>
      </c>
      <c r="G7735" s="27" t="s">
        <v>28</v>
      </c>
      <c r="H7735" s="29">
        <v>112</v>
      </c>
      <c r="I7735" s="27" t="s">
        <v>29</v>
      </c>
      <c r="J7735" s="37">
        <v>45981</v>
      </c>
      <c r="K7735" s="27" t="s">
        <v>22</v>
      </c>
    </row>
    <row r="7736" spans="1:11" x14ac:dyDescent="0.2">
      <c r="A7736" s="24" t="s">
        <v>18057</v>
      </c>
      <c r="B7736" s="24" t="s">
        <v>18058</v>
      </c>
      <c r="C7736" s="24" t="s">
        <v>2238</v>
      </c>
      <c r="D7736" s="24" t="s">
        <v>17</v>
      </c>
      <c r="E7736" s="24" t="s">
        <v>42</v>
      </c>
      <c r="F7736" s="24" t="s">
        <v>43</v>
      </c>
      <c r="G7736" s="24" t="s">
        <v>28</v>
      </c>
      <c r="H7736" s="26">
        <v>300</v>
      </c>
      <c r="I7736" s="24" t="s">
        <v>29</v>
      </c>
      <c r="J7736" s="36">
        <v>45971</v>
      </c>
      <c r="K7736" s="24" t="s">
        <v>22</v>
      </c>
    </row>
    <row r="7737" spans="1:11" x14ac:dyDescent="0.2">
      <c r="A7737" s="27" t="s">
        <v>18059</v>
      </c>
      <c r="B7737" s="27" t="s">
        <v>18060</v>
      </c>
      <c r="C7737" s="27" t="s">
        <v>526</v>
      </c>
      <c r="D7737" s="27" t="s">
        <v>17</v>
      </c>
      <c r="E7737" s="27" t="s">
        <v>48</v>
      </c>
      <c r="F7737" s="27" t="s">
        <v>49</v>
      </c>
      <c r="G7737" s="27" t="s">
        <v>28</v>
      </c>
      <c r="H7737" s="29">
        <v>400</v>
      </c>
      <c r="I7737" s="27" t="s">
        <v>29</v>
      </c>
      <c r="J7737" s="37">
        <v>45985</v>
      </c>
      <c r="K7737" s="27" t="s">
        <v>22</v>
      </c>
    </row>
    <row r="7738" spans="1:11" x14ac:dyDescent="0.2">
      <c r="A7738" s="24" t="s">
        <v>18061</v>
      </c>
      <c r="B7738" s="24" t="s">
        <v>18062</v>
      </c>
      <c r="C7738" s="24" t="s">
        <v>1161</v>
      </c>
      <c r="D7738" s="24" t="s">
        <v>17</v>
      </c>
      <c r="E7738" s="24" t="s">
        <v>48</v>
      </c>
      <c r="F7738" s="24" t="s">
        <v>49</v>
      </c>
      <c r="G7738" s="24" t="s">
        <v>28</v>
      </c>
      <c r="H7738" s="26">
        <v>300</v>
      </c>
      <c r="I7738" s="24" t="s">
        <v>29</v>
      </c>
      <c r="J7738" s="36">
        <v>45985</v>
      </c>
      <c r="K7738" s="24" t="s">
        <v>22</v>
      </c>
    </row>
    <row r="7739" spans="1:11" x14ac:dyDescent="0.2">
      <c r="A7739" s="27" t="s">
        <v>18063</v>
      </c>
      <c r="B7739" s="27" t="s">
        <v>18064</v>
      </c>
      <c r="C7739" s="27" t="s">
        <v>18065</v>
      </c>
      <c r="D7739" s="27" t="s">
        <v>17</v>
      </c>
      <c r="E7739" s="27" t="s">
        <v>42</v>
      </c>
      <c r="F7739" s="27" t="s">
        <v>43</v>
      </c>
      <c r="G7739" s="27" t="s">
        <v>28</v>
      </c>
      <c r="H7739" s="29">
        <v>160</v>
      </c>
      <c r="I7739" s="27" t="s">
        <v>29</v>
      </c>
      <c r="J7739" s="37">
        <v>45973</v>
      </c>
      <c r="K7739" s="27" t="s">
        <v>22</v>
      </c>
    </row>
    <row r="7740" spans="1:11" x14ac:dyDescent="0.2">
      <c r="A7740" s="24" t="s">
        <v>18066</v>
      </c>
      <c r="B7740" s="24" t="s">
        <v>18067</v>
      </c>
      <c r="C7740" s="24" t="s">
        <v>12446</v>
      </c>
      <c r="D7740" s="24" t="s">
        <v>17</v>
      </c>
      <c r="E7740" s="24" t="s">
        <v>48</v>
      </c>
      <c r="F7740" s="24" t="s">
        <v>49</v>
      </c>
      <c r="G7740" s="24" t="s">
        <v>28</v>
      </c>
      <c r="H7740" s="26">
        <v>77</v>
      </c>
      <c r="I7740" s="24" t="s">
        <v>29</v>
      </c>
      <c r="J7740" s="36">
        <v>45980</v>
      </c>
      <c r="K7740" s="24" t="s">
        <v>22</v>
      </c>
    </row>
    <row r="7741" spans="1:11" x14ac:dyDescent="0.2">
      <c r="A7741" s="27" t="s">
        <v>18068</v>
      </c>
      <c r="B7741" s="27" t="s">
        <v>18069</v>
      </c>
      <c r="C7741" s="27" t="s">
        <v>18070</v>
      </c>
      <c r="D7741" s="27" t="s">
        <v>17</v>
      </c>
      <c r="E7741" s="27" t="s">
        <v>18</v>
      </c>
      <c r="F7741" s="27" t="s">
        <v>19</v>
      </c>
      <c r="G7741" s="27" t="s">
        <v>217</v>
      </c>
      <c r="H7741" s="29">
        <v>12</v>
      </c>
      <c r="I7741" s="27" t="s">
        <v>29</v>
      </c>
      <c r="J7741" s="37">
        <v>45966</v>
      </c>
      <c r="K7741" s="27" t="s">
        <v>22</v>
      </c>
    </row>
    <row r="7742" spans="1:11" x14ac:dyDescent="0.2">
      <c r="A7742" s="24" t="s">
        <v>18071</v>
      </c>
      <c r="B7742" s="24" t="s">
        <v>18072</v>
      </c>
      <c r="C7742" s="24" t="s">
        <v>687</v>
      </c>
      <c r="D7742" s="24" t="s">
        <v>17</v>
      </c>
      <c r="E7742" s="24" t="s">
        <v>42</v>
      </c>
      <c r="F7742" s="24" t="s">
        <v>43</v>
      </c>
      <c r="G7742" s="24" t="s">
        <v>44</v>
      </c>
      <c r="H7742" s="26">
        <v>300</v>
      </c>
      <c r="I7742" s="24" t="s">
        <v>29</v>
      </c>
      <c r="J7742" s="36">
        <v>45966</v>
      </c>
      <c r="K7742" s="24" t="s">
        <v>22</v>
      </c>
    </row>
    <row r="7743" spans="1:11" x14ac:dyDescent="0.2">
      <c r="A7743" s="27" t="s">
        <v>18073</v>
      </c>
      <c r="B7743" s="27" t="s">
        <v>18074</v>
      </c>
      <c r="C7743" s="27" t="s">
        <v>2448</v>
      </c>
      <c r="D7743" s="27" t="s">
        <v>17</v>
      </c>
      <c r="E7743" s="27" t="s">
        <v>48</v>
      </c>
      <c r="F7743" s="27" t="s">
        <v>49</v>
      </c>
      <c r="G7743" s="27" t="s">
        <v>28</v>
      </c>
      <c r="H7743" s="29">
        <v>240</v>
      </c>
      <c r="I7743" s="27" t="s">
        <v>29</v>
      </c>
      <c r="J7743" s="37">
        <v>45971</v>
      </c>
      <c r="K7743" s="27" t="s">
        <v>22</v>
      </c>
    </row>
    <row r="7744" spans="1:11" x14ac:dyDescent="0.2">
      <c r="A7744" s="24" t="s">
        <v>18075</v>
      </c>
      <c r="B7744" s="24" t="s">
        <v>18076</v>
      </c>
      <c r="C7744" s="24" t="s">
        <v>1199</v>
      </c>
      <c r="D7744" s="24" t="s">
        <v>17</v>
      </c>
      <c r="E7744" s="24" t="s">
        <v>26</v>
      </c>
      <c r="F7744" s="24" t="s">
        <v>27</v>
      </c>
      <c r="G7744" s="24" t="s">
        <v>217</v>
      </c>
      <c r="H7744" s="26">
        <v>200</v>
      </c>
      <c r="I7744" s="24" t="s">
        <v>29</v>
      </c>
      <c r="J7744" s="36">
        <v>45962</v>
      </c>
      <c r="K7744" s="24" t="s">
        <v>22</v>
      </c>
    </row>
    <row r="7745" spans="1:11" x14ac:dyDescent="0.2">
      <c r="A7745" s="27" t="s">
        <v>18077</v>
      </c>
      <c r="B7745" s="27" t="s">
        <v>18078</v>
      </c>
      <c r="C7745" s="27" t="s">
        <v>15984</v>
      </c>
      <c r="D7745" s="27" t="s">
        <v>17</v>
      </c>
      <c r="E7745" s="27" t="s">
        <v>18</v>
      </c>
      <c r="F7745" s="27" t="s">
        <v>19</v>
      </c>
      <c r="G7745" s="27" t="s">
        <v>217</v>
      </c>
      <c r="H7745" s="29">
        <v>39</v>
      </c>
      <c r="I7745" s="27" t="s">
        <v>29</v>
      </c>
      <c r="J7745" s="37">
        <v>45962</v>
      </c>
      <c r="K7745" s="27" t="s">
        <v>22</v>
      </c>
    </row>
    <row r="7746" spans="1:11" x14ac:dyDescent="0.2">
      <c r="A7746" s="24" t="s">
        <v>18079</v>
      </c>
      <c r="B7746" s="24" t="s">
        <v>18080</v>
      </c>
      <c r="C7746" s="24" t="s">
        <v>18081</v>
      </c>
      <c r="D7746" s="24" t="s">
        <v>17</v>
      </c>
      <c r="E7746" s="24" t="s">
        <v>26</v>
      </c>
      <c r="F7746" s="24" t="s">
        <v>27</v>
      </c>
      <c r="G7746" s="24" t="s">
        <v>28</v>
      </c>
      <c r="H7746" s="26">
        <v>80</v>
      </c>
      <c r="I7746" s="24" t="s">
        <v>29</v>
      </c>
      <c r="J7746" s="36">
        <v>45968</v>
      </c>
      <c r="K7746" s="24" t="s">
        <v>22</v>
      </c>
    </row>
    <row r="7747" spans="1:11" x14ac:dyDescent="0.2">
      <c r="A7747" s="27" t="s">
        <v>18082</v>
      </c>
      <c r="B7747" s="27" t="s">
        <v>18083</v>
      </c>
      <c r="C7747" s="27" t="s">
        <v>85</v>
      </c>
      <c r="D7747" s="27" t="s">
        <v>17</v>
      </c>
      <c r="E7747" s="27" t="s">
        <v>18</v>
      </c>
      <c r="F7747" s="27" t="s">
        <v>19</v>
      </c>
      <c r="G7747" s="27" t="s">
        <v>28</v>
      </c>
      <c r="H7747" s="29">
        <v>96</v>
      </c>
      <c r="I7747" s="27" t="s">
        <v>29</v>
      </c>
      <c r="J7747" s="37">
        <v>45980</v>
      </c>
      <c r="K7747" s="27" t="s">
        <v>22</v>
      </c>
    </row>
    <row r="7748" spans="1:11" x14ac:dyDescent="0.2">
      <c r="A7748" s="24" t="s">
        <v>18084</v>
      </c>
      <c r="B7748" s="24" t="s">
        <v>18085</v>
      </c>
      <c r="C7748" s="24" t="s">
        <v>97</v>
      </c>
      <c r="D7748" s="24" t="s">
        <v>17</v>
      </c>
      <c r="E7748" s="24" t="s">
        <v>18</v>
      </c>
      <c r="F7748" s="24" t="s">
        <v>19</v>
      </c>
      <c r="G7748" s="24" t="s">
        <v>28</v>
      </c>
      <c r="H7748" s="26">
        <v>40</v>
      </c>
      <c r="I7748" s="24" t="s">
        <v>29</v>
      </c>
      <c r="J7748" s="36">
        <v>45971</v>
      </c>
      <c r="K7748" s="24" t="s">
        <v>22</v>
      </c>
    </row>
    <row r="7749" spans="1:11" x14ac:dyDescent="0.2">
      <c r="A7749" s="27" t="s">
        <v>18086</v>
      </c>
      <c r="B7749" s="27" t="s">
        <v>18087</v>
      </c>
      <c r="C7749" s="27" t="s">
        <v>5561</v>
      </c>
      <c r="D7749" s="27" t="s">
        <v>17</v>
      </c>
      <c r="E7749" s="27" t="s">
        <v>42</v>
      </c>
      <c r="F7749" s="27" t="s">
        <v>43</v>
      </c>
      <c r="G7749" s="27" t="s">
        <v>28</v>
      </c>
      <c r="H7749" s="29">
        <v>50</v>
      </c>
      <c r="I7749" s="27" t="s">
        <v>29</v>
      </c>
      <c r="J7749" s="37">
        <v>45963</v>
      </c>
      <c r="K7749" s="27" t="s">
        <v>22</v>
      </c>
    </row>
    <row r="7750" spans="1:11" x14ac:dyDescent="0.2">
      <c r="A7750" s="24" t="s">
        <v>18088</v>
      </c>
      <c r="B7750" s="24" t="s">
        <v>18089</v>
      </c>
      <c r="C7750" s="24" t="s">
        <v>7450</v>
      </c>
      <c r="D7750" s="24" t="s">
        <v>17</v>
      </c>
      <c r="E7750" s="24" t="s">
        <v>18</v>
      </c>
      <c r="F7750" s="24" t="s">
        <v>19</v>
      </c>
      <c r="G7750" s="24" t="s">
        <v>28</v>
      </c>
      <c r="H7750" s="26">
        <v>96</v>
      </c>
      <c r="I7750" s="24" t="s">
        <v>29</v>
      </c>
      <c r="J7750" s="36">
        <v>45978</v>
      </c>
      <c r="K7750" s="24" t="s">
        <v>22</v>
      </c>
    </row>
    <row r="7751" spans="1:11" x14ac:dyDescent="0.2">
      <c r="A7751" s="27" t="s">
        <v>18090</v>
      </c>
      <c r="B7751" s="27" t="s">
        <v>18091</v>
      </c>
      <c r="C7751" s="27" t="s">
        <v>423</v>
      </c>
      <c r="D7751" s="27" t="s">
        <v>17</v>
      </c>
      <c r="E7751" s="27" t="s">
        <v>18</v>
      </c>
      <c r="F7751" s="27" t="s">
        <v>19</v>
      </c>
      <c r="G7751" s="27" t="s">
        <v>28</v>
      </c>
      <c r="H7751" s="29">
        <v>213</v>
      </c>
      <c r="I7751" s="27" t="s">
        <v>29</v>
      </c>
      <c r="J7751" s="37">
        <v>45987</v>
      </c>
      <c r="K7751" s="27" t="s">
        <v>22</v>
      </c>
    </row>
    <row r="7752" spans="1:11" x14ac:dyDescent="0.2">
      <c r="A7752" s="24" t="s">
        <v>18092</v>
      </c>
      <c r="B7752" s="24" t="s">
        <v>18093</v>
      </c>
      <c r="C7752" s="24" t="s">
        <v>13282</v>
      </c>
      <c r="D7752" s="24" t="s">
        <v>17</v>
      </c>
      <c r="E7752" s="24" t="s">
        <v>48</v>
      </c>
      <c r="F7752" s="24" t="s">
        <v>49</v>
      </c>
      <c r="G7752" s="24" t="s">
        <v>44</v>
      </c>
      <c r="H7752" s="26">
        <v>300</v>
      </c>
      <c r="I7752" s="24" t="s">
        <v>29</v>
      </c>
      <c r="J7752" s="36">
        <v>45976</v>
      </c>
      <c r="K7752" s="24" t="s">
        <v>22</v>
      </c>
    </row>
    <row r="7753" spans="1:11" x14ac:dyDescent="0.2">
      <c r="A7753" s="27" t="s">
        <v>18094</v>
      </c>
      <c r="B7753" s="27" t="s">
        <v>18095</v>
      </c>
      <c r="C7753" s="27" t="s">
        <v>322</v>
      </c>
      <c r="D7753" s="27" t="s">
        <v>17</v>
      </c>
      <c r="E7753" s="27" t="s">
        <v>18</v>
      </c>
      <c r="F7753" s="27" t="s">
        <v>19</v>
      </c>
      <c r="G7753" s="27" t="s">
        <v>28</v>
      </c>
      <c r="H7753" s="29">
        <v>60</v>
      </c>
      <c r="I7753" s="27" t="s">
        <v>29</v>
      </c>
      <c r="J7753" s="37">
        <v>45967</v>
      </c>
      <c r="K7753" s="27" t="s">
        <v>22</v>
      </c>
    </row>
    <row r="7754" spans="1:11" x14ac:dyDescent="0.2">
      <c r="A7754" s="24" t="s">
        <v>18096</v>
      </c>
      <c r="B7754" s="24" t="s">
        <v>18097</v>
      </c>
      <c r="C7754" s="24" t="s">
        <v>1044</v>
      </c>
      <c r="D7754" s="24" t="s">
        <v>17</v>
      </c>
      <c r="E7754" s="24" t="s">
        <v>18</v>
      </c>
      <c r="F7754" s="24" t="s">
        <v>19</v>
      </c>
      <c r="G7754" s="24" t="s">
        <v>20</v>
      </c>
      <c r="H7754" s="26">
        <v>18</v>
      </c>
      <c r="I7754" s="24" t="s">
        <v>21</v>
      </c>
      <c r="J7754" s="36">
        <v>45970</v>
      </c>
      <c r="K7754" s="24" t="s">
        <v>22</v>
      </c>
    </row>
    <row r="7755" spans="1:11" x14ac:dyDescent="0.2">
      <c r="A7755" s="27" t="s">
        <v>18098</v>
      </c>
      <c r="B7755" s="27" t="s">
        <v>18099</v>
      </c>
      <c r="C7755" s="27" t="s">
        <v>708</v>
      </c>
      <c r="D7755" s="27" t="s">
        <v>17</v>
      </c>
      <c r="E7755" s="27" t="s">
        <v>81</v>
      </c>
      <c r="F7755" s="27" t="s">
        <v>82</v>
      </c>
      <c r="G7755" s="27" t="s">
        <v>116</v>
      </c>
      <c r="H7755" s="29">
        <v>0</v>
      </c>
      <c r="I7755" s="27" t="s">
        <v>21</v>
      </c>
      <c r="J7755" s="37">
        <v>45972</v>
      </c>
      <c r="K7755" s="27" t="s">
        <v>22</v>
      </c>
    </row>
    <row r="7756" spans="1:11" x14ac:dyDescent="0.2">
      <c r="A7756" s="24" t="s">
        <v>18100</v>
      </c>
      <c r="B7756" s="24" t="s">
        <v>18101</v>
      </c>
      <c r="C7756" s="24" t="s">
        <v>7327</v>
      </c>
      <c r="D7756" s="24" t="s">
        <v>17</v>
      </c>
      <c r="E7756" s="24" t="s">
        <v>81</v>
      </c>
      <c r="F7756" s="24" t="s">
        <v>82</v>
      </c>
      <c r="G7756" s="24" t="s">
        <v>217</v>
      </c>
      <c r="H7756" s="26">
        <v>6500</v>
      </c>
      <c r="I7756" s="24" t="s">
        <v>29</v>
      </c>
      <c r="J7756" s="36">
        <v>45971</v>
      </c>
      <c r="K7756" s="24" t="s">
        <v>22</v>
      </c>
    </row>
    <row r="7757" spans="1:11" x14ac:dyDescent="0.2">
      <c r="A7757" s="27" t="s">
        <v>18102</v>
      </c>
      <c r="B7757" s="27" t="s">
        <v>18103</v>
      </c>
      <c r="C7757" s="27" t="s">
        <v>213</v>
      </c>
      <c r="D7757" s="27" t="s">
        <v>17</v>
      </c>
      <c r="E7757" s="27" t="s">
        <v>18</v>
      </c>
      <c r="F7757" s="27" t="s">
        <v>19</v>
      </c>
      <c r="G7757" s="27" t="s">
        <v>44</v>
      </c>
      <c r="H7757" s="29">
        <v>18</v>
      </c>
      <c r="I7757" s="27" t="s">
        <v>21</v>
      </c>
      <c r="J7757" s="37">
        <v>45964</v>
      </c>
      <c r="K7757" s="27" t="s">
        <v>22</v>
      </c>
    </row>
    <row r="7758" spans="1:11" x14ac:dyDescent="0.2">
      <c r="A7758" s="24" t="s">
        <v>18104</v>
      </c>
      <c r="B7758" s="24" t="s">
        <v>18105</v>
      </c>
      <c r="C7758" s="24" t="s">
        <v>1788</v>
      </c>
      <c r="D7758" s="24" t="s">
        <v>17</v>
      </c>
      <c r="E7758" s="24" t="s">
        <v>42</v>
      </c>
      <c r="F7758" s="24" t="s">
        <v>43</v>
      </c>
      <c r="G7758" s="24" t="s">
        <v>227</v>
      </c>
      <c r="H7758" s="26">
        <v>126</v>
      </c>
      <c r="I7758" s="24" t="s">
        <v>29</v>
      </c>
      <c r="J7758" s="36">
        <v>45975</v>
      </c>
      <c r="K7758" s="24" t="s">
        <v>22</v>
      </c>
    </row>
    <row r="7759" spans="1:11" x14ac:dyDescent="0.2">
      <c r="A7759" s="27" t="s">
        <v>18106</v>
      </c>
      <c r="B7759" s="27" t="s">
        <v>18107</v>
      </c>
      <c r="C7759" s="27" t="s">
        <v>3005</v>
      </c>
      <c r="D7759" s="27" t="s">
        <v>17</v>
      </c>
      <c r="E7759" s="27" t="s">
        <v>18</v>
      </c>
      <c r="F7759" s="27" t="s">
        <v>19</v>
      </c>
      <c r="G7759" s="27" t="s">
        <v>28</v>
      </c>
      <c r="H7759" s="29">
        <v>60</v>
      </c>
      <c r="I7759" s="27" t="s">
        <v>29</v>
      </c>
      <c r="J7759" s="37">
        <v>45980</v>
      </c>
      <c r="K7759" s="27" t="s">
        <v>22</v>
      </c>
    </row>
    <row r="7760" spans="1:11" x14ac:dyDescent="0.2">
      <c r="A7760" s="24" t="s">
        <v>18108</v>
      </c>
      <c r="B7760" s="24" t="s">
        <v>18109</v>
      </c>
      <c r="C7760" s="24" t="s">
        <v>18110</v>
      </c>
      <c r="D7760" s="24" t="s">
        <v>17</v>
      </c>
      <c r="E7760" s="24" t="s">
        <v>18</v>
      </c>
      <c r="F7760" s="24" t="s">
        <v>19</v>
      </c>
      <c r="G7760" s="24" t="s">
        <v>28</v>
      </c>
      <c r="H7760" s="26">
        <v>56</v>
      </c>
      <c r="I7760" s="24" t="s">
        <v>29</v>
      </c>
      <c r="J7760" s="36">
        <v>45975</v>
      </c>
      <c r="K7760" s="24" t="s">
        <v>22</v>
      </c>
    </row>
    <row r="7761" spans="1:11" x14ac:dyDescent="0.2">
      <c r="A7761" s="27" t="s">
        <v>18111</v>
      </c>
      <c r="B7761" s="27" t="s">
        <v>18112</v>
      </c>
      <c r="C7761" s="27" t="s">
        <v>325</v>
      </c>
      <c r="D7761" s="27" t="s">
        <v>17</v>
      </c>
      <c r="E7761" s="27" t="s">
        <v>18</v>
      </c>
      <c r="F7761" s="27" t="s">
        <v>19</v>
      </c>
      <c r="G7761" s="27" t="s">
        <v>20</v>
      </c>
      <c r="H7761" s="29">
        <v>18</v>
      </c>
      <c r="I7761" s="27" t="s">
        <v>21</v>
      </c>
      <c r="J7761" s="37">
        <v>45966</v>
      </c>
      <c r="K7761" s="27" t="s">
        <v>22</v>
      </c>
    </row>
    <row r="7762" spans="1:11" x14ac:dyDescent="0.2">
      <c r="A7762" s="24" t="s">
        <v>18113</v>
      </c>
      <c r="B7762" s="24" t="s">
        <v>18114</v>
      </c>
      <c r="C7762" s="24" t="s">
        <v>2779</v>
      </c>
      <c r="D7762" s="24" t="s">
        <v>17</v>
      </c>
      <c r="E7762" s="24" t="s">
        <v>18</v>
      </c>
      <c r="F7762" s="24" t="s">
        <v>19</v>
      </c>
      <c r="G7762" s="24" t="s">
        <v>28</v>
      </c>
      <c r="H7762" s="26">
        <v>63</v>
      </c>
      <c r="I7762" s="24" t="s">
        <v>29</v>
      </c>
      <c r="J7762" s="36">
        <v>45971</v>
      </c>
      <c r="K7762" s="24" t="s">
        <v>22</v>
      </c>
    </row>
    <row r="7763" spans="1:11" x14ac:dyDescent="0.2">
      <c r="A7763" s="27" t="s">
        <v>18115</v>
      </c>
      <c r="B7763" s="27" t="s">
        <v>18116</v>
      </c>
      <c r="C7763" s="27" t="s">
        <v>266</v>
      </c>
      <c r="D7763" s="27" t="s">
        <v>17</v>
      </c>
      <c r="E7763" s="27" t="s">
        <v>48</v>
      </c>
      <c r="F7763" s="27" t="s">
        <v>49</v>
      </c>
      <c r="G7763" s="27" t="s">
        <v>217</v>
      </c>
      <c r="H7763" s="29">
        <v>288</v>
      </c>
      <c r="I7763" s="27" t="s">
        <v>29</v>
      </c>
      <c r="J7763" s="37">
        <v>45962</v>
      </c>
      <c r="K7763" s="27" t="s">
        <v>22</v>
      </c>
    </row>
    <row r="7764" spans="1:11" x14ac:dyDescent="0.2">
      <c r="A7764" s="24" t="s">
        <v>18117</v>
      </c>
      <c r="B7764" s="24" t="s">
        <v>18118</v>
      </c>
      <c r="C7764" s="24" t="s">
        <v>2123</v>
      </c>
      <c r="D7764" s="24" t="s">
        <v>17</v>
      </c>
      <c r="E7764" s="24" t="s">
        <v>42</v>
      </c>
      <c r="F7764" s="24" t="s">
        <v>43</v>
      </c>
      <c r="G7764" s="24" t="s">
        <v>28</v>
      </c>
      <c r="H7764" s="26">
        <v>30</v>
      </c>
      <c r="I7764" s="24" t="s">
        <v>29</v>
      </c>
      <c r="J7764" s="36">
        <v>45982</v>
      </c>
      <c r="K7764" s="24" t="s">
        <v>22</v>
      </c>
    </row>
    <row r="7765" spans="1:11" x14ac:dyDescent="0.2">
      <c r="A7765" s="27" t="s">
        <v>18119</v>
      </c>
      <c r="B7765" s="27" t="s">
        <v>18120</v>
      </c>
      <c r="C7765" s="27" t="s">
        <v>10898</v>
      </c>
      <c r="D7765" s="27" t="s">
        <v>17</v>
      </c>
      <c r="E7765" s="27" t="s">
        <v>42</v>
      </c>
      <c r="F7765" s="27" t="s">
        <v>43</v>
      </c>
      <c r="G7765" s="27" t="s">
        <v>28</v>
      </c>
      <c r="H7765" s="29">
        <v>600</v>
      </c>
      <c r="I7765" s="27" t="s">
        <v>29</v>
      </c>
      <c r="J7765" s="37">
        <v>45979</v>
      </c>
      <c r="K7765" s="27" t="s">
        <v>22</v>
      </c>
    </row>
    <row r="7766" spans="1:11" x14ac:dyDescent="0.2">
      <c r="A7766" s="24" t="s">
        <v>18121</v>
      </c>
      <c r="B7766" s="24" t="s">
        <v>18122</v>
      </c>
      <c r="C7766" s="24" t="s">
        <v>5791</v>
      </c>
      <c r="D7766" s="24" t="s">
        <v>17</v>
      </c>
      <c r="E7766" s="24" t="s">
        <v>48</v>
      </c>
      <c r="F7766" s="24" t="s">
        <v>49</v>
      </c>
      <c r="G7766" s="24" t="s">
        <v>28</v>
      </c>
      <c r="H7766" s="26">
        <v>120</v>
      </c>
      <c r="I7766" s="24" t="s">
        <v>29</v>
      </c>
      <c r="J7766" s="36">
        <v>45967</v>
      </c>
      <c r="K7766" s="24" t="s">
        <v>22</v>
      </c>
    </row>
    <row r="7767" spans="1:11" x14ac:dyDescent="0.2">
      <c r="A7767" s="27" t="s">
        <v>18123</v>
      </c>
      <c r="B7767" s="27" t="s">
        <v>18124</v>
      </c>
      <c r="C7767" s="27" t="s">
        <v>1044</v>
      </c>
      <c r="D7767" s="27" t="s">
        <v>17</v>
      </c>
      <c r="E7767" s="27" t="s">
        <v>18</v>
      </c>
      <c r="F7767" s="27" t="s">
        <v>19</v>
      </c>
      <c r="G7767" s="27" t="s">
        <v>28</v>
      </c>
      <c r="H7767" s="29">
        <v>40</v>
      </c>
      <c r="I7767" s="27" t="s">
        <v>29</v>
      </c>
      <c r="J7767" s="37">
        <v>45966</v>
      </c>
      <c r="K7767" s="27" t="s">
        <v>22</v>
      </c>
    </row>
    <row r="7768" spans="1:11" x14ac:dyDescent="0.2">
      <c r="A7768" s="24" t="s">
        <v>18125</v>
      </c>
      <c r="B7768" s="24" t="s">
        <v>18126</v>
      </c>
      <c r="C7768" s="24" t="s">
        <v>1110</v>
      </c>
      <c r="D7768" s="24" t="s">
        <v>17</v>
      </c>
      <c r="E7768" s="24" t="s">
        <v>42</v>
      </c>
      <c r="F7768" s="24" t="s">
        <v>43</v>
      </c>
      <c r="G7768" s="24" t="s">
        <v>28</v>
      </c>
      <c r="H7768" s="26">
        <v>250</v>
      </c>
      <c r="I7768" s="24" t="s">
        <v>29</v>
      </c>
      <c r="J7768" s="36">
        <v>45988</v>
      </c>
      <c r="K7768" s="24" t="s">
        <v>22</v>
      </c>
    </row>
    <row r="7769" spans="1:11" x14ac:dyDescent="0.2">
      <c r="A7769" s="27" t="s">
        <v>18127</v>
      </c>
      <c r="B7769" s="27" t="s">
        <v>18128</v>
      </c>
      <c r="C7769" s="27" t="s">
        <v>1883</v>
      </c>
      <c r="D7769" s="27" t="s">
        <v>17</v>
      </c>
      <c r="E7769" s="27" t="s">
        <v>81</v>
      </c>
      <c r="F7769" s="27" t="s">
        <v>82</v>
      </c>
      <c r="G7769" s="27" t="s">
        <v>217</v>
      </c>
      <c r="H7769" s="29">
        <v>1244</v>
      </c>
      <c r="I7769" s="27" t="s">
        <v>29</v>
      </c>
      <c r="J7769" s="37">
        <v>45991</v>
      </c>
      <c r="K7769" s="27" t="s">
        <v>22</v>
      </c>
    </row>
    <row r="7770" spans="1:11" x14ac:dyDescent="0.2">
      <c r="A7770" s="24" t="s">
        <v>18129</v>
      </c>
      <c r="B7770" s="24" t="s">
        <v>18130</v>
      </c>
      <c r="C7770" s="24" t="s">
        <v>15470</v>
      </c>
      <c r="D7770" s="24" t="s">
        <v>17</v>
      </c>
      <c r="E7770" s="24" t="s">
        <v>26</v>
      </c>
      <c r="F7770" s="24" t="s">
        <v>27</v>
      </c>
      <c r="G7770" s="24" t="s">
        <v>217</v>
      </c>
      <c r="H7770" s="26">
        <v>18</v>
      </c>
      <c r="I7770" s="24" t="s">
        <v>29</v>
      </c>
      <c r="J7770" s="36">
        <v>45962</v>
      </c>
      <c r="K7770" s="24" t="s">
        <v>22</v>
      </c>
    </row>
    <row r="7771" spans="1:11" x14ac:dyDescent="0.2">
      <c r="A7771" s="27" t="s">
        <v>18131</v>
      </c>
      <c r="B7771" s="27" t="s">
        <v>18132</v>
      </c>
      <c r="C7771" s="27" t="s">
        <v>4253</v>
      </c>
      <c r="D7771" s="27" t="s">
        <v>17</v>
      </c>
      <c r="E7771" s="27" t="s">
        <v>48</v>
      </c>
      <c r="F7771" s="27" t="s">
        <v>49</v>
      </c>
      <c r="G7771" s="27" t="s">
        <v>28</v>
      </c>
      <c r="H7771" s="29">
        <v>20</v>
      </c>
      <c r="I7771" s="27" t="s">
        <v>29</v>
      </c>
      <c r="J7771" s="37">
        <v>45972</v>
      </c>
      <c r="K7771" s="27" t="s">
        <v>22</v>
      </c>
    </row>
    <row r="7772" spans="1:11" x14ac:dyDescent="0.2">
      <c r="A7772" s="24" t="s">
        <v>18133</v>
      </c>
      <c r="B7772" s="24" t="s">
        <v>18134</v>
      </c>
      <c r="C7772" s="24" t="s">
        <v>18135</v>
      </c>
      <c r="D7772" s="24" t="s">
        <v>17</v>
      </c>
      <c r="E7772" s="24" t="s">
        <v>18</v>
      </c>
      <c r="F7772" s="24" t="s">
        <v>19</v>
      </c>
      <c r="G7772" s="24" t="s">
        <v>28</v>
      </c>
      <c r="H7772" s="26">
        <v>80</v>
      </c>
      <c r="I7772" s="24" t="s">
        <v>29</v>
      </c>
      <c r="J7772" s="36">
        <v>45964</v>
      </c>
      <c r="K7772" s="24" t="s">
        <v>22</v>
      </c>
    </row>
    <row r="7773" spans="1:11" x14ac:dyDescent="0.2">
      <c r="A7773" s="27" t="s">
        <v>18136</v>
      </c>
      <c r="B7773" s="27" t="s">
        <v>18137</v>
      </c>
      <c r="C7773" s="27" t="s">
        <v>213</v>
      </c>
      <c r="D7773" s="27" t="s">
        <v>17</v>
      </c>
      <c r="E7773" s="27" t="s">
        <v>18</v>
      </c>
      <c r="F7773" s="27" t="s">
        <v>19</v>
      </c>
      <c r="G7773" s="27" t="s">
        <v>217</v>
      </c>
      <c r="H7773" s="29">
        <v>24</v>
      </c>
      <c r="I7773" s="27" t="s">
        <v>29</v>
      </c>
      <c r="J7773" s="37">
        <v>45965</v>
      </c>
      <c r="K7773" s="27" t="s">
        <v>22</v>
      </c>
    </row>
    <row r="7774" spans="1:11" x14ac:dyDescent="0.2">
      <c r="A7774" s="24" t="s">
        <v>18138</v>
      </c>
      <c r="B7774" s="24" t="s">
        <v>18139</v>
      </c>
      <c r="C7774" s="24" t="s">
        <v>41</v>
      </c>
      <c r="D7774" s="24" t="s">
        <v>17</v>
      </c>
      <c r="E7774" s="24" t="s">
        <v>48</v>
      </c>
      <c r="F7774" s="24" t="s">
        <v>49</v>
      </c>
      <c r="G7774" s="24" t="s">
        <v>28</v>
      </c>
      <c r="H7774" s="26">
        <v>75</v>
      </c>
      <c r="I7774" s="24" t="s">
        <v>29</v>
      </c>
      <c r="J7774" s="36">
        <v>45987</v>
      </c>
      <c r="K7774" s="24" t="s">
        <v>22</v>
      </c>
    </row>
    <row r="7775" spans="1:11" x14ac:dyDescent="0.2">
      <c r="A7775" s="27" t="s">
        <v>18140</v>
      </c>
      <c r="B7775" s="27" t="s">
        <v>18141</v>
      </c>
      <c r="C7775" s="27" t="s">
        <v>1850</v>
      </c>
      <c r="D7775" s="27" t="s">
        <v>17</v>
      </c>
      <c r="E7775" s="27" t="s">
        <v>42</v>
      </c>
      <c r="F7775" s="27" t="s">
        <v>43</v>
      </c>
      <c r="G7775" s="27" t="s">
        <v>28</v>
      </c>
      <c r="H7775" s="29">
        <v>292</v>
      </c>
      <c r="I7775" s="27" t="s">
        <v>29</v>
      </c>
      <c r="J7775" s="37">
        <v>45962</v>
      </c>
      <c r="K7775" s="27" t="s">
        <v>22</v>
      </c>
    </row>
    <row r="7776" spans="1:11" x14ac:dyDescent="0.2">
      <c r="A7776" s="24" t="s">
        <v>18142</v>
      </c>
      <c r="B7776" s="24" t="s">
        <v>18143</v>
      </c>
      <c r="C7776" s="24" t="s">
        <v>10855</v>
      </c>
      <c r="D7776" s="24" t="s">
        <v>17</v>
      </c>
      <c r="E7776" s="24" t="s">
        <v>42</v>
      </c>
      <c r="F7776" s="24" t="s">
        <v>43</v>
      </c>
      <c r="G7776" s="24" t="s">
        <v>28</v>
      </c>
      <c r="H7776" s="26">
        <v>141</v>
      </c>
      <c r="I7776" s="24" t="s">
        <v>29</v>
      </c>
      <c r="J7776" s="36">
        <v>45980</v>
      </c>
      <c r="K7776" s="24" t="s">
        <v>22</v>
      </c>
    </row>
    <row r="7777" spans="1:11" x14ac:dyDescent="0.2">
      <c r="A7777" s="27" t="s">
        <v>18144</v>
      </c>
      <c r="B7777" s="27" t="s">
        <v>18145</v>
      </c>
      <c r="C7777" s="27" t="s">
        <v>3531</v>
      </c>
      <c r="D7777" s="27" t="s">
        <v>17</v>
      </c>
      <c r="E7777" s="27" t="s">
        <v>18</v>
      </c>
      <c r="F7777" s="27" t="s">
        <v>19</v>
      </c>
      <c r="G7777" s="27" t="s">
        <v>20</v>
      </c>
      <c r="H7777" s="29">
        <v>22</v>
      </c>
      <c r="I7777" s="27" t="s">
        <v>21</v>
      </c>
      <c r="J7777" s="37">
        <v>45981</v>
      </c>
      <c r="K7777" s="27" t="s">
        <v>22</v>
      </c>
    </row>
    <row r="7778" spans="1:11" x14ac:dyDescent="0.2">
      <c r="A7778" s="24" t="s">
        <v>18146</v>
      </c>
      <c r="B7778" s="24" t="s">
        <v>18147</v>
      </c>
      <c r="C7778" s="24" t="s">
        <v>18148</v>
      </c>
      <c r="D7778" s="24" t="s">
        <v>17</v>
      </c>
      <c r="E7778" s="24" t="s">
        <v>42</v>
      </c>
      <c r="F7778" s="24" t="s">
        <v>43</v>
      </c>
      <c r="G7778" s="24" t="s">
        <v>257</v>
      </c>
      <c r="H7778" s="26">
        <v>2</v>
      </c>
      <c r="I7778" s="24" t="s">
        <v>29</v>
      </c>
      <c r="J7778" s="36">
        <v>45986</v>
      </c>
      <c r="K7778" s="24" t="s">
        <v>22</v>
      </c>
    </row>
    <row r="7779" spans="1:11" x14ac:dyDescent="0.2">
      <c r="A7779" s="27" t="s">
        <v>18149</v>
      </c>
      <c r="B7779" s="27" t="s">
        <v>18150</v>
      </c>
      <c r="C7779" s="27" t="s">
        <v>409</v>
      </c>
      <c r="D7779" s="27" t="s">
        <v>17</v>
      </c>
      <c r="E7779" s="27" t="s">
        <v>18</v>
      </c>
      <c r="F7779" s="27" t="s">
        <v>19</v>
      </c>
      <c r="G7779" s="27" t="s">
        <v>28</v>
      </c>
      <c r="H7779" s="29">
        <v>40</v>
      </c>
      <c r="I7779" s="27" t="s">
        <v>29</v>
      </c>
      <c r="J7779" s="37">
        <v>45967</v>
      </c>
      <c r="K7779" s="27" t="s">
        <v>22</v>
      </c>
    </row>
    <row r="7780" spans="1:11" x14ac:dyDescent="0.2">
      <c r="A7780" s="24" t="s">
        <v>18151</v>
      </c>
      <c r="B7780" s="24" t="s">
        <v>18152</v>
      </c>
      <c r="C7780" s="24" t="s">
        <v>10701</v>
      </c>
      <c r="D7780" s="24" t="s">
        <v>17</v>
      </c>
      <c r="E7780" s="24" t="s">
        <v>26</v>
      </c>
      <c r="F7780" s="24" t="s">
        <v>27</v>
      </c>
      <c r="G7780" s="24" t="s">
        <v>28</v>
      </c>
      <c r="H7780" s="26">
        <v>26</v>
      </c>
      <c r="I7780" s="24" t="s">
        <v>29</v>
      </c>
      <c r="J7780" s="36">
        <v>45978</v>
      </c>
      <c r="K7780" s="24" t="s">
        <v>22</v>
      </c>
    </row>
    <row r="7781" spans="1:11" x14ac:dyDescent="0.2">
      <c r="A7781" s="27" t="s">
        <v>18153</v>
      </c>
      <c r="B7781" s="27" t="s">
        <v>18154</v>
      </c>
      <c r="C7781" s="27" t="s">
        <v>17410</v>
      </c>
      <c r="D7781" s="27" t="s">
        <v>17</v>
      </c>
      <c r="E7781" s="27" t="s">
        <v>18</v>
      </c>
      <c r="F7781" s="27" t="s">
        <v>19</v>
      </c>
      <c r="G7781" s="27" t="s">
        <v>28</v>
      </c>
      <c r="H7781" s="29">
        <v>28</v>
      </c>
      <c r="I7781" s="27" t="s">
        <v>29</v>
      </c>
      <c r="J7781" s="37">
        <v>45966</v>
      </c>
      <c r="K7781" s="27" t="s">
        <v>22</v>
      </c>
    </row>
    <row r="7782" spans="1:11" x14ac:dyDescent="0.2">
      <c r="A7782" s="24" t="s">
        <v>18155</v>
      </c>
      <c r="B7782" s="24" t="s">
        <v>18156</v>
      </c>
      <c r="C7782" s="24" t="s">
        <v>134</v>
      </c>
      <c r="D7782" s="24" t="s">
        <v>17</v>
      </c>
      <c r="E7782" s="24" t="s">
        <v>33</v>
      </c>
      <c r="F7782" s="24" t="s">
        <v>34</v>
      </c>
      <c r="G7782" s="24" t="s">
        <v>28</v>
      </c>
      <c r="H7782" s="26">
        <v>596</v>
      </c>
      <c r="I7782" s="24" t="s">
        <v>29</v>
      </c>
      <c r="J7782" s="36">
        <v>45966</v>
      </c>
      <c r="K7782" s="24" t="s">
        <v>22</v>
      </c>
    </row>
    <row r="7783" spans="1:11" x14ac:dyDescent="0.2">
      <c r="A7783" s="27" t="s">
        <v>18157</v>
      </c>
      <c r="B7783" s="27" t="s">
        <v>18158</v>
      </c>
      <c r="C7783" s="27" t="s">
        <v>213</v>
      </c>
      <c r="D7783" s="27" t="s">
        <v>17</v>
      </c>
      <c r="E7783" s="27" t="s">
        <v>48</v>
      </c>
      <c r="F7783" s="27" t="s">
        <v>49</v>
      </c>
      <c r="G7783" s="27" t="s">
        <v>28</v>
      </c>
      <c r="H7783" s="29">
        <v>36</v>
      </c>
      <c r="I7783" s="27" t="s">
        <v>29</v>
      </c>
      <c r="J7783" s="37">
        <v>45971</v>
      </c>
      <c r="K7783" s="27" t="s">
        <v>22</v>
      </c>
    </row>
    <row r="7784" spans="1:11" x14ac:dyDescent="0.2">
      <c r="A7784" s="24" t="s">
        <v>18159</v>
      </c>
      <c r="B7784" s="24" t="s">
        <v>18160</v>
      </c>
      <c r="C7784" s="24" t="s">
        <v>18161</v>
      </c>
      <c r="D7784" s="24" t="s">
        <v>17</v>
      </c>
      <c r="E7784" s="24" t="s">
        <v>18</v>
      </c>
      <c r="F7784" s="24" t="s">
        <v>19</v>
      </c>
      <c r="G7784" s="24" t="s">
        <v>28</v>
      </c>
      <c r="H7784" s="26">
        <v>50</v>
      </c>
      <c r="I7784" s="24" t="s">
        <v>29</v>
      </c>
      <c r="J7784" s="36">
        <v>45980</v>
      </c>
      <c r="K7784" s="24" t="s">
        <v>22</v>
      </c>
    </row>
    <row r="7785" spans="1:11" x14ac:dyDescent="0.2">
      <c r="A7785" s="27" t="s">
        <v>18162</v>
      </c>
      <c r="B7785" s="27" t="s">
        <v>18163</v>
      </c>
      <c r="C7785" s="27" t="s">
        <v>18164</v>
      </c>
      <c r="D7785" s="27" t="s">
        <v>17</v>
      </c>
      <c r="E7785" s="27" t="s">
        <v>81</v>
      </c>
      <c r="F7785" s="27" t="s">
        <v>82</v>
      </c>
      <c r="G7785" s="27" t="s">
        <v>28</v>
      </c>
      <c r="H7785" s="29">
        <v>2708</v>
      </c>
      <c r="I7785" s="27" t="s">
        <v>29</v>
      </c>
      <c r="J7785" s="37">
        <v>45967</v>
      </c>
      <c r="K7785" s="27" t="s">
        <v>22</v>
      </c>
    </row>
    <row r="7786" spans="1:11" x14ac:dyDescent="0.2">
      <c r="A7786" s="24" t="s">
        <v>18165</v>
      </c>
      <c r="B7786" s="24" t="s">
        <v>18166</v>
      </c>
      <c r="C7786" s="24" t="s">
        <v>3051</v>
      </c>
      <c r="D7786" s="24" t="s">
        <v>17</v>
      </c>
      <c r="E7786" s="24" t="s">
        <v>48</v>
      </c>
      <c r="F7786" s="24" t="s">
        <v>49</v>
      </c>
      <c r="G7786" s="24" t="s">
        <v>217</v>
      </c>
      <c r="H7786" s="26">
        <v>60</v>
      </c>
      <c r="I7786" s="24" t="s">
        <v>29</v>
      </c>
      <c r="J7786" s="36">
        <v>45962</v>
      </c>
      <c r="K7786" s="24" t="s">
        <v>22</v>
      </c>
    </row>
    <row r="7787" spans="1:11" x14ac:dyDescent="0.2">
      <c r="A7787" s="27" t="s">
        <v>18167</v>
      </c>
      <c r="B7787" s="27" t="s">
        <v>18168</v>
      </c>
      <c r="C7787" s="27" t="s">
        <v>595</v>
      </c>
      <c r="D7787" s="27" t="s">
        <v>17</v>
      </c>
      <c r="E7787" s="27" t="s">
        <v>18</v>
      </c>
      <c r="F7787" s="27" t="s">
        <v>19</v>
      </c>
      <c r="G7787" s="27" t="s">
        <v>28</v>
      </c>
      <c r="H7787" s="29">
        <v>24</v>
      </c>
      <c r="I7787" s="27" t="s">
        <v>29</v>
      </c>
      <c r="J7787" s="37">
        <v>45982</v>
      </c>
      <c r="K7787" s="27" t="s">
        <v>22</v>
      </c>
    </row>
    <row r="7788" spans="1:11" x14ac:dyDescent="0.2">
      <c r="A7788" s="24" t="s">
        <v>18169</v>
      </c>
      <c r="B7788" s="24" t="s">
        <v>18170</v>
      </c>
      <c r="C7788" s="24" t="s">
        <v>7149</v>
      </c>
      <c r="D7788" s="24" t="s">
        <v>17</v>
      </c>
      <c r="E7788" s="24" t="s">
        <v>26</v>
      </c>
      <c r="F7788" s="24" t="s">
        <v>27</v>
      </c>
      <c r="G7788" s="24" t="s">
        <v>28</v>
      </c>
      <c r="H7788" s="26">
        <v>104</v>
      </c>
      <c r="I7788" s="24" t="s">
        <v>29</v>
      </c>
      <c r="J7788" s="36">
        <v>45965</v>
      </c>
      <c r="K7788" s="24" t="s">
        <v>22</v>
      </c>
    </row>
    <row r="7789" spans="1:11" x14ac:dyDescent="0.2">
      <c r="A7789" s="27" t="s">
        <v>18171</v>
      </c>
      <c r="B7789" s="27" t="s">
        <v>18172</v>
      </c>
      <c r="C7789" s="27" t="s">
        <v>526</v>
      </c>
      <c r="D7789" s="27" t="s">
        <v>17</v>
      </c>
      <c r="E7789" s="27" t="s">
        <v>48</v>
      </c>
      <c r="F7789" s="27" t="s">
        <v>49</v>
      </c>
      <c r="G7789" s="27" t="s">
        <v>28</v>
      </c>
      <c r="H7789" s="29">
        <v>204</v>
      </c>
      <c r="I7789" s="27" t="s">
        <v>29</v>
      </c>
      <c r="J7789" s="37">
        <v>45989</v>
      </c>
      <c r="K7789" s="27" t="s">
        <v>22</v>
      </c>
    </row>
    <row r="7790" spans="1:11" x14ac:dyDescent="0.2">
      <c r="A7790" s="24" t="s">
        <v>18173</v>
      </c>
      <c r="B7790" s="24" t="s">
        <v>18174</v>
      </c>
      <c r="C7790" s="24" t="s">
        <v>106</v>
      </c>
      <c r="D7790" s="24" t="s">
        <v>17</v>
      </c>
      <c r="E7790" s="24" t="s">
        <v>18</v>
      </c>
      <c r="F7790" s="24" t="s">
        <v>19</v>
      </c>
      <c r="G7790" s="24" t="s">
        <v>20</v>
      </c>
      <c r="H7790" s="26">
        <v>14</v>
      </c>
      <c r="I7790" s="24" t="s">
        <v>21</v>
      </c>
      <c r="J7790" s="36">
        <v>45966</v>
      </c>
      <c r="K7790" s="24" t="s">
        <v>22</v>
      </c>
    </row>
    <row r="7791" spans="1:11" x14ac:dyDescent="0.2">
      <c r="A7791" s="27" t="s">
        <v>18175</v>
      </c>
      <c r="B7791" s="27" t="s">
        <v>18176</v>
      </c>
      <c r="C7791" s="27" t="s">
        <v>3937</v>
      </c>
      <c r="D7791" s="27" t="s">
        <v>17</v>
      </c>
      <c r="E7791" s="27" t="s">
        <v>18</v>
      </c>
      <c r="F7791" s="27" t="s">
        <v>19</v>
      </c>
      <c r="G7791" s="27" t="s">
        <v>28</v>
      </c>
      <c r="H7791" s="29">
        <v>52</v>
      </c>
      <c r="I7791" s="27" t="s">
        <v>29</v>
      </c>
      <c r="J7791" s="37">
        <v>45965</v>
      </c>
      <c r="K7791" s="27" t="s">
        <v>22</v>
      </c>
    </row>
    <row r="7792" spans="1:11" x14ac:dyDescent="0.2">
      <c r="A7792" s="24" t="s">
        <v>18177</v>
      </c>
      <c r="B7792" s="24" t="s">
        <v>18178</v>
      </c>
      <c r="C7792" s="24" t="s">
        <v>3387</v>
      </c>
      <c r="D7792" s="24" t="s">
        <v>17</v>
      </c>
      <c r="E7792" s="24" t="s">
        <v>42</v>
      </c>
      <c r="F7792" s="24" t="s">
        <v>43</v>
      </c>
      <c r="G7792" s="24" t="s">
        <v>44</v>
      </c>
      <c r="H7792" s="26">
        <v>160</v>
      </c>
      <c r="I7792" s="24" t="s">
        <v>29</v>
      </c>
      <c r="J7792" s="36">
        <v>45980</v>
      </c>
      <c r="K7792" s="24" t="s">
        <v>22</v>
      </c>
    </row>
    <row r="7793" spans="1:11" x14ac:dyDescent="0.2">
      <c r="A7793" s="27" t="s">
        <v>18179</v>
      </c>
      <c r="B7793" s="27" t="s">
        <v>18180</v>
      </c>
      <c r="C7793" s="27" t="s">
        <v>1438</v>
      </c>
      <c r="D7793" s="27" t="s">
        <v>17</v>
      </c>
      <c r="E7793" s="27" t="s">
        <v>18</v>
      </c>
      <c r="F7793" s="27" t="s">
        <v>19</v>
      </c>
      <c r="G7793" s="27" t="s">
        <v>28</v>
      </c>
      <c r="H7793" s="29">
        <v>66</v>
      </c>
      <c r="I7793" s="27" t="s">
        <v>29</v>
      </c>
      <c r="J7793" s="37">
        <v>45971</v>
      </c>
      <c r="K7793" s="27" t="s">
        <v>22</v>
      </c>
    </row>
    <row r="7794" spans="1:11" x14ac:dyDescent="0.2">
      <c r="A7794" s="24" t="s">
        <v>18181</v>
      </c>
      <c r="B7794" s="24" t="s">
        <v>18182</v>
      </c>
      <c r="C7794" s="24" t="s">
        <v>1307</v>
      </c>
      <c r="D7794" s="24" t="s">
        <v>17</v>
      </c>
      <c r="E7794" s="24" t="s">
        <v>18</v>
      </c>
      <c r="F7794" s="24" t="s">
        <v>19</v>
      </c>
      <c r="G7794" s="24" t="s">
        <v>20</v>
      </c>
      <c r="H7794" s="26">
        <v>16</v>
      </c>
      <c r="I7794" s="24" t="s">
        <v>21</v>
      </c>
      <c r="J7794" s="36">
        <v>45987</v>
      </c>
      <c r="K7794" s="24" t="s">
        <v>22</v>
      </c>
    </row>
    <row r="7795" spans="1:11" x14ac:dyDescent="0.2">
      <c r="A7795" s="27" t="s">
        <v>18183</v>
      </c>
      <c r="B7795" s="27" t="s">
        <v>18184</v>
      </c>
      <c r="C7795" s="27" t="s">
        <v>97</v>
      </c>
      <c r="D7795" s="27" t="s">
        <v>17</v>
      </c>
      <c r="E7795" s="27" t="s">
        <v>18</v>
      </c>
      <c r="F7795" s="27" t="s">
        <v>19</v>
      </c>
      <c r="G7795" s="27" t="s">
        <v>20</v>
      </c>
      <c r="H7795" s="29">
        <v>14</v>
      </c>
      <c r="I7795" s="27" t="s">
        <v>21</v>
      </c>
      <c r="J7795" s="37">
        <v>45971</v>
      </c>
      <c r="K7795" s="27" t="s">
        <v>22</v>
      </c>
    </row>
    <row r="7796" spans="1:11" x14ac:dyDescent="0.2">
      <c r="A7796" s="24" t="s">
        <v>18185</v>
      </c>
      <c r="B7796" s="24" t="s">
        <v>18186</v>
      </c>
      <c r="C7796" s="24" t="s">
        <v>10525</v>
      </c>
      <c r="D7796" s="24" t="s">
        <v>17</v>
      </c>
      <c r="E7796" s="24" t="s">
        <v>48</v>
      </c>
      <c r="F7796" s="24" t="s">
        <v>49</v>
      </c>
      <c r="G7796" s="24" t="s">
        <v>217</v>
      </c>
      <c r="H7796" s="26">
        <v>20</v>
      </c>
      <c r="I7796" s="24" t="s">
        <v>29</v>
      </c>
      <c r="J7796" s="36">
        <v>45991</v>
      </c>
      <c r="K7796" s="24" t="s">
        <v>22</v>
      </c>
    </row>
    <row r="7797" spans="1:11" x14ac:dyDescent="0.2">
      <c r="A7797" s="27" t="s">
        <v>18187</v>
      </c>
      <c r="B7797" s="27" t="s">
        <v>18188</v>
      </c>
      <c r="C7797" s="27" t="s">
        <v>4170</v>
      </c>
      <c r="D7797" s="27" t="s">
        <v>17</v>
      </c>
      <c r="E7797" s="27" t="s">
        <v>18</v>
      </c>
      <c r="F7797" s="27" t="s">
        <v>19</v>
      </c>
      <c r="G7797" s="27" t="s">
        <v>28</v>
      </c>
      <c r="H7797" s="29">
        <v>180</v>
      </c>
      <c r="I7797" s="27" t="s">
        <v>29</v>
      </c>
      <c r="J7797" s="37">
        <v>45985</v>
      </c>
      <c r="K7797" s="27" t="s">
        <v>22</v>
      </c>
    </row>
    <row r="7798" spans="1:11" x14ac:dyDescent="0.2">
      <c r="A7798" s="24" t="s">
        <v>18189</v>
      </c>
      <c r="B7798" s="24" t="s">
        <v>18190</v>
      </c>
      <c r="C7798" s="24" t="s">
        <v>2630</v>
      </c>
      <c r="D7798" s="24" t="s">
        <v>17</v>
      </c>
      <c r="E7798" s="24" t="s">
        <v>48</v>
      </c>
      <c r="F7798" s="24" t="s">
        <v>49</v>
      </c>
      <c r="G7798" s="24" t="s">
        <v>28</v>
      </c>
      <c r="H7798" s="26">
        <v>159</v>
      </c>
      <c r="I7798" s="24" t="s">
        <v>29</v>
      </c>
      <c r="J7798" s="36">
        <v>45986</v>
      </c>
      <c r="K7798" s="24" t="s">
        <v>22</v>
      </c>
    </row>
    <row r="7799" spans="1:11" x14ac:dyDescent="0.2">
      <c r="A7799" s="27" t="s">
        <v>18191</v>
      </c>
      <c r="B7799" s="27" t="s">
        <v>18192</v>
      </c>
      <c r="C7799" s="27" t="s">
        <v>85</v>
      </c>
      <c r="D7799" s="27" t="s">
        <v>17</v>
      </c>
      <c r="E7799" s="27" t="s">
        <v>18</v>
      </c>
      <c r="F7799" s="27" t="s">
        <v>19</v>
      </c>
      <c r="G7799" s="27" t="s">
        <v>28</v>
      </c>
      <c r="H7799" s="29">
        <v>220</v>
      </c>
      <c r="I7799" s="27" t="s">
        <v>29</v>
      </c>
      <c r="J7799" s="37">
        <v>45981</v>
      </c>
      <c r="K7799" s="27" t="s">
        <v>22</v>
      </c>
    </row>
    <row r="7800" spans="1:11" x14ac:dyDescent="0.2">
      <c r="A7800" s="24" t="s">
        <v>18193</v>
      </c>
      <c r="B7800" s="24" t="s">
        <v>18194</v>
      </c>
      <c r="C7800" s="24" t="s">
        <v>810</v>
      </c>
      <c r="D7800" s="24" t="s">
        <v>17</v>
      </c>
      <c r="E7800" s="24" t="s">
        <v>42</v>
      </c>
      <c r="F7800" s="24" t="s">
        <v>43</v>
      </c>
      <c r="G7800" s="24" t="s">
        <v>44</v>
      </c>
      <c r="H7800" s="26">
        <v>119</v>
      </c>
      <c r="I7800" s="24" t="s">
        <v>29</v>
      </c>
      <c r="J7800" s="36">
        <v>45983</v>
      </c>
      <c r="K7800" s="24" t="s">
        <v>22</v>
      </c>
    </row>
    <row r="7801" spans="1:11" x14ac:dyDescent="0.2">
      <c r="A7801" s="27" t="s">
        <v>18195</v>
      </c>
      <c r="B7801" s="27" t="s">
        <v>18196</v>
      </c>
      <c r="C7801" s="27" t="s">
        <v>1938</v>
      </c>
      <c r="D7801" s="27" t="s">
        <v>17</v>
      </c>
      <c r="E7801" s="27" t="s">
        <v>26</v>
      </c>
      <c r="F7801" s="27" t="s">
        <v>27</v>
      </c>
      <c r="G7801" s="27" t="s">
        <v>28</v>
      </c>
      <c r="H7801" s="29">
        <v>200</v>
      </c>
      <c r="I7801" s="27" t="s">
        <v>29</v>
      </c>
      <c r="J7801" s="37">
        <v>45973</v>
      </c>
      <c r="K7801" s="27" t="s">
        <v>22</v>
      </c>
    </row>
    <row r="7802" spans="1:11" x14ac:dyDescent="0.2">
      <c r="A7802" s="24" t="s">
        <v>18197</v>
      </c>
      <c r="B7802" s="24" t="s">
        <v>18198</v>
      </c>
      <c r="C7802" s="24" t="s">
        <v>18199</v>
      </c>
      <c r="D7802" s="24" t="s">
        <v>17</v>
      </c>
      <c r="E7802" s="24" t="s">
        <v>26</v>
      </c>
      <c r="F7802" s="24" t="s">
        <v>27</v>
      </c>
      <c r="G7802" s="24" t="s">
        <v>28</v>
      </c>
      <c r="H7802" s="26">
        <v>36</v>
      </c>
      <c r="I7802" s="24" t="s">
        <v>29</v>
      </c>
      <c r="J7802" s="36">
        <v>45981</v>
      </c>
      <c r="K7802" s="24" t="s">
        <v>22</v>
      </c>
    </row>
    <row r="7803" spans="1:11" x14ac:dyDescent="0.2">
      <c r="A7803" s="27" t="s">
        <v>18200</v>
      </c>
      <c r="B7803" s="27" t="s">
        <v>18201</v>
      </c>
      <c r="C7803" s="27" t="s">
        <v>251</v>
      </c>
      <c r="D7803" s="27" t="s">
        <v>17</v>
      </c>
      <c r="E7803" s="27" t="s">
        <v>42</v>
      </c>
      <c r="F7803" s="27" t="s">
        <v>43</v>
      </c>
      <c r="G7803" s="27" t="s">
        <v>28</v>
      </c>
      <c r="H7803" s="29">
        <v>1275</v>
      </c>
      <c r="I7803" s="27" t="s">
        <v>29</v>
      </c>
      <c r="J7803" s="37">
        <v>45972</v>
      </c>
      <c r="K7803" s="27" t="s">
        <v>22</v>
      </c>
    </row>
    <row r="7804" spans="1:11" x14ac:dyDescent="0.2">
      <c r="A7804" s="24" t="s">
        <v>18202</v>
      </c>
      <c r="B7804" s="24" t="s">
        <v>18203</v>
      </c>
      <c r="C7804" s="24" t="s">
        <v>3486</v>
      </c>
      <c r="D7804" s="24" t="s">
        <v>17</v>
      </c>
      <c r="E7804" s="24" t="s">
        <v>42</v>
      </c>
      <c r="F7804" s="24" t="s">
        <v>43</v>
      </c>
      <c r="G7804" s="24" t="s">
        <v>28</v>
      </c>
      <c r="H7804" s="26">
        <v>119</v>
      </c>
      <c r="I7804" s="24" t="s">
        <v>29</v>
      </c>
      <c r="J7804" s="36">
        <v>45987</v>
      </c>
      <c r="K7804" s="24" t="s">
        <v>22</v>
      </c>
    </row>
    <row r="7805" spans="1:11" x14ac:dyDescent="0.2">
      <c r="A7805" s="27" t="s">
        <v>18204</v>
      </c>
      <c r="B7805" s="27" t="s">
        <v>18205</v>
      </c>
      <c r="C7805" s="27" t="s">
        <v>10208</v>
      </c>
      <c r="D7805" s="27" t="s">
        <v>17</v>
      </c>
      <c r="E7805" s="27" t="s">
        <v>48</v>
      </c>
      <c r="F7805" s="27" t="s">
        <v>49</v>
      </c>
      <c r="G7805" s="27" t="s">
        <v>217</v>
      </c>
      <c r="H7805" s="29">
        <v>65</v>
      </c>
      <c r="I7805" s="27" t="s">
        <v>29</v>
      </c>
      <c r="J7805" s="37">
        <v>45976</v>
      </c>
      <c r="K7805" s="27" t="s">
        <v>22</v>
      </c>
    </row>
    <row r="7806" spans="1:11" x14ac:dyDescent="0.2">
      <c r="A7806" s="24" t="s">
        <v>18206</v>
      </c>
      <c r="B7806" s="24" t="s">
        <v>18207</v>
      </c>
      <c r="C7806" s="24" t="s">
        <v>687</v>
      </c>
      <c r="D7806" s="24" t="s">
        <v>17</v>
      </c>
      <c r="E7806" s="24" t="s">
        <v>18</v>
      </c>
      <c r="F7806" s="24" t="s">
        <v>19</v>
      </c>
      <c r="G7806" s="24" t="s">
        <v>28</v>
      </c>
      <c r="H7806" s="26">
        <v>80</v>
      </c>
      <c r="I7806" s="24" t="s">
        <v>29</v>
      </c>
      <c r="J7806" s="36">
        <v>45979</v>
      </c>
      <c r="K7806" s="24" t="s">
        <v>22</v>
      </c>
    </row>
    <row r="7807" spans="1:11" x14ac:dyDescent="0.2">
      <c r="A7807" s="27" t="s">
        <v>18208</v>
      </c>
      <c r="B7807" s="27" t="s">
        <v>18209</v>
      </c>
      <c r="C7807" s="27" t="s">
        <v>437</v>
      </c>
      <c r="D7807" s="27" t="s">
        <v>17</v>
      </c>
      <c r="E7807" s="27" t="s">
        <v>42</v>
      </c>
      <c r="F7807" s="27" t="s">
        <v>43</v>
      </c>
      <c r="G7807" s="27" t="s">
        <v>28</v>
      </c>
      <c r="H7807" s="29">
        <v>250</v>
      </c>
      <c r="I7807" s="27" t="s">
        <v>29</v>
      </c>
      <c r="J7807" s="37">
        <v>45986</v>
      </c>
      <c r="K7807" s="27" t="s">
        <v>22</v>
      </c>
    </row>
    <row r="7808" spans="1:11" x14ac:dyDescent="0.2">
      <c r="A7808" s="24" t="s">
        <v>18210</v>
      </c>
      <c r="B7808" s="24" t="s">
        <v>18211</v>
      </c>
      <c r="C7808" s="24" t="s">
        <v>18212</v>
      </c>
      <c r="D7808" s="24" t="s">
        <v>17</v>
      </c>
      <c r="E7808" s="24" t="s">
        <v>42</v>
      </c>
      <c r="F7808" s="24" t="s">
        <v>43</v>
      </c>
      <c r="G7808" s="24" t="s">
        <v>28</v>
      </c>
      <c r="H7808" s="26">
        <v>150</v>
      </c>
      <c r="I7808" s="24" t="s">
        <v>29</v>
      </c>
      <c r="J7808" s="36">
        <v>45968</v>
      </c>
      <c r="K7808" s="24" t="s">
        <v>22</v>
      </c>
    </row>
    <row r="7809" spans="1:11" x14ac:dyDescent="0.2">
      <c r="A7809" s="27" t="s">
        <v>18213</v>
      </c>
      <c r="B7809" s="27" t="s">
        <v>18214</v>
      </c>
      <c r="C7809" s="27" t="s">
        <v>18215</v>
      </c>
      <c r="D7809" s="27" t="s">
        <v>17</v>
      </c>
      <c r="E7809" s="27" t="s">
        <v>26</v>
      </c>
      <c r="F7809" s="27" t="s">
        <v>27</v>
      </c>
      <c r="G7809" s="27" t="s">
        <v>28</v>
      </c>
      <c r="H7809" s="29">
        <v>15</v>
      </c>
      <c r="I7809" s="27" t="s">
        <v>29</v>
      </c>
      <c r="J7809" s="37">
        <v>45971</v>
      </c>
      <c r="K7809" s="27" t="s">
        <v>22</v>
      </c>
    </row>
    <row r="7810" spans="1:11" x14ac:dyDescent="0.2">
      <c r="A7810" s="24" t="s">
        <v>18216</v>
      </c>
      <c r="B7810" s="24" t="s">
        <v>18217</v>
      </c>
      <c r="C7810" s="24" t="s">
        <v>7601</v>
      </c>
      <c r="D7810" s="24" t="s">
        <v>17</v>
      </c>
      <c r="E7810" s="24" t="s">
        <v>48</v>
      </c>
      <c r="F7810" s="24" t="s">
        <v>49</v>
      </c>
      <c r="G7810" s="24" t="s">
        <v>28</v>
      </c>
      <c r="H7810" s="26">
        <v>60</v>
      </c>
      <c r="I7810" s="24" t="s">
        <v>29</v>
      </c>
      <c r="J7810" s="36">
        <v>45983</v>
      </c>
      <c r="K7810" s="24" t="s">
        <v>22</v>
      </c>
    </row>
    <row r="7811" spans="1:11" x14ac:dyDescent="0.2">
      <c r="A7811" s="27" t="s">
        <v>18218</v>
      </c>
      <c r="B7811" s="27" t="s">
        <v>18219</v>
      </c>
      <c r="C7811" s="27" t="s">
        <v>194</v>
      </c>
      <c r="D7811" s="27" t="s">
        <v>17</v>
      </c>
      <c r="E7811" s="27" t="s">
        <v>18</v>
      </c>
      <c r="F7811" s="27" t="s">
        <v>19</v>
      </c>
      <c r="G7811" s="27" t="s">
        <v>28</v>
      </c>
      <c r="H7811" s="29">
        <v>33</v>
      </c>
      <c r="I7811" s="27" t="s">
        <v>29</v>
      </c>
      <c r="J7811" s="37">
        <v>45972</v>
      </c>
      <c r="K7811" s="27" t="s">
        <v>22</v>
      </c>
    </row>
    <row r="7812" spans="1:11" x14ac:dyDescent="0.2">
      <c r="A7812" s="24" t="s">
        <v>18220</v>
      </c>
      <c r="B7812" s="24" t="s">
        <v>18221</v>
      </c>
      <c r="C7812" s="24" t="s">
        <v>106</v>
      </c>
      <c r="D7812" s="24" t="s">
        <v>17</v>
      </c>
      <c r="E7812" s="24" t="s">
        <v>18</v>
      </c>
      <c r="F7812" s="24" t="s">
        <v>19</v>
      </c>
      <c r="G7812" s="24" t="s">
        <v>44</v>
      </c>
      <c r="H7812" s="26">
        <v>100</v>
      </c>
      <c r="I7812" s="24" t="s">
        <v>21</v>
      </c>
      <c r="J7812" s="36">
        <v>45966</v>
      </c>
      <c r="K7812" s="24" t="s">
        <v>22</v>
      </c>
    </row>
    <row r="7813" spans="1:11" x14ac:dyDescent="0.2">
      <c r="A7813" s="27" t="s">
        <v>18222</v>
      </c>
      <c r="B7813" s="27" t="s">
        <v>18223</v>
      </c>
      <c r="C7813" s="27" t="s">
        <v>687</v>
      </c>
      <c r="D7813" s="27" t="s">
        <v>17</v>
      </c>
      <c r="E7813" s="27" t="s">
        <v>42</v>
      </c>
      <c r="F7813" s="27" t="s">
        <v>43</v>
      </c>
      <c r="G7813" s="27" t="s">
        <v>44</v>
      </c>
      <c r="H7813" s="29">
        <v>330</v>
      </c>
      <c r="I7813" s="27" t="s">
        <v>29</v>
      </c>
      <c r="J7813" s="37">
        <v>45966</v>
      </c>
      <c r="K7813" s="27" t="s">
        <v>22</v>
      </c>
    </row>
    <row r="7814" spans="1:11" x14ac:dyDescent="0.2">
      <c r="A7814" s="24" t="s">
        <v>18224</v>
      </c>
      <c r="B7814" s="24" t="s">
        <v>18225</v>
      </c>
      <c r="C7814" s="24" t="s">
        <v>325</v>
      </c>
      <c r="D7814" s="24" t="s">
        <v>17</v>
      </c>
      <c r="E7814" s="24" t="s">
        <v>42</v>
      </c>
      <c r="F7814" s="24" t="s">
        <v>43</v>
      </c>
      <c r="G7814" s="24" t="s">
        <v>28</v>
      </c>
      <c r="H7814" s="26">
        <v>207</v>
      </c>
      <c r="I7814" s="24" t="s">
        <v>29</v>
      </c>
      <c r="J7814" s="36">
        <v>45985</v>
      </c>
      <c r="K7814" s="24" t="s">
        <v>22</v>
      </c>
    </row>
    <row r="7815" spans="1:11" x14ac:dyDescent="0.2">
      <c r="A7815" s="27" t="s">
        <v>18226</v>
      </c>
      <c r="B7815" s="27" t="s">
        <v>18227</v>
      </c>
      <c r="C7815" s="27" t="s">
        <v>97</v>
      </c>
      <c r="D7815" s="27" t="s">
        <v>17</v>
      </c>
      <c r="E7815" s="27" t="s">
        <v>26</v>
      </c>
      <c r="F7815" s="27" t="s">
        <v>27</v>
      </c>
      <c r="G7815" s="27" t="s">
        <v>28</v>
      </c>
      <c r="H7815" s="29">
        <v>152</v>
      </c>
      <c r="I7815" s="27" t="s">
        <v>29</v>
      </c>
      <c r="J7815" s="37">
        <v>45985</v>
      </c>
      <c r="K7815" s="27" t="s">
        <v>22</v>
      </c>
    </row>
    <row r="7816" spans="1:11" x14ac:dyDescent="0.2">
      <c r="A7816" s="24" t="s">
        <v>18228</v>
      </c>
      <c r="B7816" s="24" t="s">
        <v>18229</v>
      </c>
      <c r="C7816" s="24" t="s">
        <v>13508</v>
      </c>
      <c r="D7816" s="24" t="s">
        <v>17</v>
      </c>
      <c r="E7816" s="24" t="s">
        <v>163</v>
      </c>
      <c r="F7816" s="24" t="s">
        <v>164</v>
      </c>
      <c r="G7816" s="24" t="s">
        <v>217</v>
      </c>
      <c r="H7816" s="26">
        <v>15</v>
      </c>
      <c r="I7816" s="24" t="s">
        <v>29</v>
      </c>
      <c r="J7816" s="36">
        <v>45986</v>
      </c>
      <c r="K7816" s="24" t="s">
        <v>22</v>
      </c>
    </row>
    <row r="7817" spans="1:11" x14ac:dyDescent="0.2">
      <c r="A7817" s="27" t="s">
        <v>18230</v>
      </c>
      <c r="B7817" s="27" t="s">
        <v>18231</v>
      </c>
      <c r="C7817" s="27" t="s">
        <v>1470</v>
      </c>
      <c r="D7817" s="27" t="s">
        <v>17</v>
      </c>
      <c r="E7817" s="27" t="s">
        <v>18</v>
      </c>
      <c r="F7817" s="27" t="s">
        <v>19</v>
      </c>
      <c r="G7817" s="27" t="s">
        <v>217</v>
      </c>
      <c r="H7817" s="29">
        <v>48</v>
      </c>
      <c r="I7817" s="27" t="s">
        <v>29</v>
      </c>
      <c r="J7817" s="37">
        <v>45962</v>
      </c>
      <c r="K7817" s="27" t="s">
        <v>22</v>
      </c>
    </row>
    <row r="7818" spans="1:11" x14ac:dyDescent="0.2">
      <c r="A7818" s="24" t="s">
        <v>18232</v>
      </c>
      <c r="B7818" s="24" t="s">
        <v>18233</v>
      </c>
      <c r="C7818" s="24" t="s">
        <v>18234</v>
      </c>
      <c r="D7818" s="24" t="s">
        <v>17</v>
      </c>
      <c r="E7818" s="24" t="s">
        <v>18</v>
      </c>
      <c r="F7818" s="24" t="s">
        <v>19</v>
      </c>
      <c r="G7818" s="24" t="s">
        <v>217</v>
      </c>
      <c r="H7818" s="26">
        <v>100</v>
      </c>
      <c r="I7818" s="24" t="s">
        <v>29</v>
      </c>
      <c r="J7818" s="36">
        <v>45962</v>
      </c>
      <c r="K7818" s="24" t="s">
        <v>22</v>
      </c>
    </row>
    <row r="7819" spans="1:11" x14ac:dyDescent="0.2">
      <c r="A7819" s="27" t="s">
        <v>18235</v>
      </c>
      <c r="B7819" s="27" t="s">
        <v>18236</v>
      </c>
      <c r="C7819" s="27" t="s">
        <v>7365</v>
      </c>
      <c r="D7819" s="27" t="s">
        <v>17</v>
      </c>
      <c r="E7819" s="27" t="s">
        <v>42</v>
      </c>
      <c r="F7819" s="27" t="s">
        <v>43</v>
      </c>
      <c r="G7819" s="27" t="s">
        <v>217</v>
      </c>
      <c r="H7819" s="29">
        <v>228</v>
      </c>
      <c r="I7819" s="27" t="s">
        <v>29</v>
      </c>
      <c r="J7819" s="37">
        <v>45962</v>
      </c>
      <c r="K7819" s="27" t="s">
        <v>22</v>
      </c>
    </row>
    <row r="7820" spans="1:11" x14ac:dyDescent="0.2">
      <c r="A7820" s="24" t="s">
        <v>18237</v>
      </c>
      <c r="B7820" s="24" t="s">
        <v>18238</v>
      </c>
      <c r="C7820" s="24" t="s">
        <v>15470</v>
      </c>
      <c r="D7820" s="24" t="s">
        <v>17</v>
      </c>
      <c r="E7820" s="24" t="s">
        <v>48</v>
      </c>
      <c r="F7820" s="24" t="s">
        <v>49</v>
      </c>
      <c r="G7820" s="24" t="s">
        <v>217</v>
      </c>
      <c r="H7820" s="26">
        <v>10</v>
      </c>
      <c r="I7820" s="24" t="s">
        <v>29</v>
      </c>
      <c r="J7820" s="36">
        <v>45962</v>
      </c>
      <c r="K7820" s="24" t="s">
        <v>22</v>
      </c>
    </row>
    <row r="7821" spans="1:11" x14ac:dyDescent="0.2">
      <c r="A7821" s="27" t="s">
        <v>18239</v>
      </c>
      <c r="B7821" s="27" t="s">
        <v>18240</v>
      </c>
      <c r="C7821" s="27" t="s">
        <v>18241</v>
      </c>
      <c r="D7821" s="27" t="s">
        <v>17</v>
      </c>
      <c r="E7821" s="27" t="s">
        <v>18</v>
      </c>
      <c r="F7821" s="27" t="s">
        <v>19</v>
      </c>
      <c r="G7821" s="27" t="s">
        <v>28</v>
      </c>
      <c r="H7821" s="29">
        <v>72</v>
      </c>
      <c r="I7821" s="27" t="s">
        <v>29</v>
      </c>
      <c r="J7821" s="37">
        <v>45973</v>
      </c>
      <c r="K7821" s="27" t="s">
        <v>22</v>
      </c>
    </row>
    <row r="7822" spans="1:11" x14ac:dyDescent="0.2">
      <c r="A7822" s="24" t="s">
        <v>18242</v>
      </c>
      <c r="B7822" s="24" t="s">
        <v>18243</v>
      </c>
      <c r="C7822" s="24" t="s">
        <v>134</v>
      </c>
      <c r="D7822" s="24" t="s">
        <v>17</v>
      </c>
      <c r="E7822" s="24" t="s">
        <v>18</v>
      </c>
      <c r="F7822" s="24" t="s">
        <v>19</v>
      </c>
      <c r="G7822" s="24" t="s">
        <v>28</v>
      </c>
      <c r="H7822" s="26">
        <v>140</v>
      </c>
      <c r="I7822" s="24" t="s">
        <v>29</v>
      </c>
      <c r="J7822" s="36">
        <v>45973</v>
      </c>
      <c r="K7822" s="24" t="s">
        <v>22</v>
      </c>
    </row>
    <row r="7823" spans="1:11" x14ac:dyDescent="0.2">
      <c r="A7823" s="27" t="s">
        <v>18244</v>
      </c>
      <c r="B7823" s="27" t="s">
        <v>18245</v>
      </c>
      <c r="C7823" s="27" t="s">
        <v>134</v>
      </c>
      <c r="D7823" s="27" t="s">
        <v>17</v>
      </c>
      <c r="E7823" s="27" t="s">
        <v>26</v>
      </c>
      <c r="F7823" s="27" t="s">
        <v>27</v>
      </c>
      <c r="G7823" s="27" t="s">
        <v>28</v>
      </c>
      <c r="H7823" s="29">
        <v>252</v>
      </c>
      <c r="I7823" s="27" t="s">
        <v>29</v>
      </c>
      <c r="J7823" s="37">
        <v>45986</v>
      </c>
      <c r="K7823" s="27" t="s">
        <v>22</v>
      </c>
    </row>
    <row r="7824" spans="1:11" x14ac:dyDescent="0.2">
      <c r="A7824" s="24" t="s">
        <v>18246</v>
      </c>
      <c r="B7824" s="24" t="s">
        <v>18247</v>
      </c>
      <c r="C7824" s="24" t="s">
        <v>17431</v>
      </c>
      <c r="D7824" s="24" t="s">
        <v>17</v>
      </c>
      <c r="E7824" s="24" t="s">
        <v>48</v>
      </c>
      <c r="F7824" s="24" t="s">
        <v>49</v>
      </c>
      <c r="G7824" s="24" t="s">
        <v>28</v>
      </c>
      <c r="H7824" s="26">
        <v>1500</v>
      </c>
      <c r="I7824" s="24" t="s">
        <v>29</v>
      </c>
      <c r="J7824" s="36">
        <v>45990</v>
      </c>
      <c r="K7824" s="24" t="s">
        <v>22</v>
      </c>
    </row>
    <row r="7825" spans="1:11" x14ac:dyDescent="0.2">
      <c r="A7825" s="27" t="s">
        <v>18248</v>
      </c>
      <c r="B7825" s="27" t="s">
        <v>18249</v>
      </c>
      <c r="C7825" s="27" t="s">
        <v>18250</v>
      </c>
      <c r="D7825" s="27" t="s">
        <v>17</v>
      </c>
      <c r="E7825" s="27" t="s">
        <v>18</v>
      </c>
      <c r="F7825" s="27" t="s">
        <v>19</v>
      </c>
      <c r="G7825" s="27" t="s">
        <v>28</v>
      </c>
      <c r="H7825" s="29">
        <v>60</v>
      </c>
      <c r="I7825" s="27" t="s">
        <v>29</v>
      </c>
      <c r="J7825" s="37">
        <v>45989</v>
      </c>
      <c r="K7825" s="27" t="s">
        <v>22</v>
      </c>
    </row>
    <row r="7826" spans="1:11" x14ac:dyDescent="0.2">
      <c r="A7826" s="24" t="s">
        <v>18251</v>
      </c>
      <c r="B7826" s="24" t="s">
        <v>18252</v>
      </c>
      <c r="C7826" s="24" t="s">
        <v>115</v>
      </c>
      <c r="D7826" s="24" t="s">
        <v>17</v>
      </c>
      <c r="E7826" s="24" t="s">
        <v>42</v>
      </c>
      <c r="F7826" s="24" t="s">
        <v>43</v>
      </c>
      <c r="G7826" s="24" t="s">
        <v>44</v>
      </c>
      <c r="H7826" s="26">
        <v>496</v>
      </c>
      <c r="I7826" s="24" t="s">
        <v>21</v>
      </c>
      <c r="J7826" s="36">
        <v>45968</v>
      </c>
      <c r="K7826" s="24" t="s">
        <v>22</v>
      </c>
    </row>
    <row r="7827" spans="1:11" x14ac:dyDescent="0.2">
      <c r="A7827" s="27" t="s">
        <v>18253</v>
      </c>
      <c r="B7827" s="27" t="s">
        <v>18254</v>
      </c>
      <c r="C7827" s="27" t="s">
        <v>251</v>
      </c>
      <c r="D7827" s="27" t="s">
        <v>17</v>
      </c>
      <c r="E7827" s="27" t="s">
        <v>18</v>
      </c>
      <c r="F7827" s="27" t="s">
        <v>19</v>
      </c>
      <c r="G7827" s="27" t="s">
        <v>28</v>
      </c>
      <c r="H7827" s="29">
        <v>15</v>
      </c>
      <c r="I7827" s="27" t="s">
        <v>29</v>
      </c>
      <c r="J7827" s="37">
        <v>45975</v>
      </c>
      <c r="K7827" s="27" t="s">
        <v>22</v>
      </c>
    </row>
    <row r="7828" spans="1:11" x14ac:dyDescent="0.2">
      <c r="A7828" s="24" t="s">
        <v>18255</v>
      </c>
      <c r="B7828" s="24" t="s">
        <v>18256</v>
      </c>
      <c r="C7828" s="24" t="s">
        <v>1283</v>
      </c>
      <c r="D7828" s="24" t="s">
        <v>17</v>
      </c>
      <c r="E7828" s="24" t="s">
        <v>48</v>
      </c>
      <c r="F7828" s="24" t="s">
        <v>49</v>
      </c>
      <c r="G7828" s="24" t="s">
        <v>217</v>
      </c>
      <c r="H7828" s="26">
        <v>60</v>
      </c>
      <c r="I7828" s="24" t="s">
        <v>29</v>
      </c>
      <c r="J7828" s="36">
        <v>45979</v>
      </c>
      <c r="K7828" s="24" t="s">
        <v>22</v>
      </c>
    </row>
    <row r="7829" spans="1:11" x14ac:dyDescent="0.2">
      <c r="A7829" s="27" t="s">
        <v>18257</v>
      </c>
      <c r="B7829" s="27" t="s">
        <v>18258</v>
      </c>
      <c r="C7829" s="27" t="s">
        <v>4253</v>
      </c>
      <c r="D7829" s="27" t="s">
        <v>17</v>
      </c>
      <c r="E7829" s="27" t="s">
        <v>48</v>
      </c>
      <c r="F7829" s="27" t="s">
        <v>49</v>
      </c>
      <c r="G7829" s="27" t="s">
        <v>217</v>
      </c>
      <c r="H7829" s="29">
        <v>20</v>
      </c>
      <c r="I7829" s="27" t="s">
        <v>29</v>
      </c>
      <c r="J7829" s="37">
        <v>45962</v>
      </c>
      <c r="K7829" s="27" t="s">
        <v>22</v>
      </c>
    </row>
    <row r="7830" spans="1:11" x14ac:dyDescent="0.2">
      <c r="A7830" s="24" t="s">
        <v>18259</v>
      </c>
      <c r="B7830" s="24" t="s">
        <v>18260</v>
      </c>
      <c r="C7830" s="24" t="s">
        <v>2507</v>
      </c>
      <c r="D7830" s="24" t="s">
        <v>17</v>
      </c>
      <c r="E7830" s="24" t="s">
        <v>48</v>
      </c>
      <c r="F7830" s="24" t="s">
        <v>49</v>
      </c>
      <c r="G7830" s="24" t="s">
        <v>217</v>
      </c>
      <c r="H7830" s="26">
        <v>300</v>
      </c>
      <c r="I7830" s="24" t="s">
        <v>29</v>
      </c>
      <c r="J7830" s="36">
        <v>45962</v>
      </c>
      <c r="K7830" s="24" t="s">
        <v>22</v>
      </c>
    </row>
    <row r="7831" spans="1:11" x14ac:dyDescent="0.2">
      <c r="A7831" s="27" t="s">
        <v>18261</v>
      </c>
      <c r="B7831" s="27" t="s">
        <v>18262</v>
      </c>
      <c r="C7831" s="27" t="s">
        <v>18263</v>
      </c>
      <c r="D7831" s="27" t="s">
        <v>17</v>
      </c>
      <c r="E7831" s="27" t="s">
        <v>18</v>
      </c>
      <c r="F7831" s="27" t="s">
        <v>19</v>
      </c>
      <c r="G7831" s="27" t="s">
        <v>217</v>
      </c>
      <c r="H7831" s="29">
        <v>36</v>
      </c>
      <c r="I7831" s="27" t="s">
        <v>29</v>
      </c>
      <c r="J7831" s="37">
        <v>45962</v>
      </c>
      <c r="K7831" s="27" t="s">
        <v>22</v>
      </c>
    </row>
    <row r="7832" spans="1:11" x14ac:dyDescent="0.2">
      <c r="A7832" s="24" t="s">
        <v>18264</v>
      </c>
      <c r="B7832" s="24" t="s">
        <v>18265</v>
      </c>
      <c r="C7832" s="24" t="s">
        <v>14143</v>
      </c>
      <c r="D7832" s="24" t="s">
        <v>17</v>
      </c>
      <c r="E7832" s="24" t="s">
        <v>48</v>
      </c>
      <c r="F7832" s="24" t="s">
        <v>49</v>
      </c>
      <c r="G7832" s="24" t="s">
        <v>28</v>
      </c>
      <c r="H7832" s="26">
        <v>150</v>
      </c>
      <c r="I7832" s="24" t="s">
        <v>29</v>
      </c>
      <c r="J7832" s="36">
        <v>45972</v>
      </c>
      <c r="K7832" s="24" t="s">
        <v>22</v>
      </c>
    </row>
    <row r="7833" spans="1:11" x14ac:dyDescent="0.2">
      <c r="A7833" s="27" t="s">
        <v>18266</v>
      </c>
      <c r="B7833" s="27" t="s">
        <v>18267</v>
      </c>
      <c r="C7833" s="27" t="s">
        <v>5818</v>
      </c>
      <c r="D7833" s="27" t="s">
        <v>17</v>
      </c>
      <c r="E7833" s="27" t="s">
        <v>18</v>
      </c>
      <c r="F7833" s="27" t="s">
        <v>19</v>
      </c>
      <c r="G7833" s="27" t="s">
        <v>28</v>
      </c>
      <c r="H7833" s="29">
        <v>240</v>
      </c>
      <c r="I7833" s="27" t="s">
        <v>29</v>
      </c>
      <c r="J7833" s="37">
        <v>45978</v>
      </c>
      <c r="K7833" s="27" t="s">
        <v>22</v>
      </c>
    </row>
    <row r="7834" spans="1:11" x14ac:dyDescent="0.2">
      <c r="A7834" s="24" t="s">
        <v>18268</v>
      </c>
      <c r="B7834" s="24" t="s">
        <v>18269</v>
      </c>
      <c r="C7834" s="24" t="s">
        <v>687</v>
      </c>
      <c r="D7834" s="24" t="s">
        <v>17</v>
      </c>
      <c r="E7834" s="24" t="s">
        <v>18</v>
      </c>
      <c r="F7834" s="24" t="s">
        <v>19</v>
      </c>
      <c r="G7834" s="24" t="s">
        <v>28</v>
      </c>
      <c r="H7834" s="26">
        <v>72</v>
      </c>
      <c r="I7834" s="24" t="s">
        <v>29</v>
      </c>
      <c r="J7834" s="36">
        <v>45986</v>
      </c>
      <c r="K7834" s="24" t="s">
        <v>22</v>
      </c>
    </row>
    <row r="7835" spans="1:11" x14ac:dyDescent="0.2">
      <c r="A7835" s="27" t="s">
        <v>18270</v>
      </c>
      <c r="B7835" s="27" t="s">
        <v>18271</v>
      </c>
      <c r="C7835" s="27" t="s">
        <v>1518</v>
      </c>
      <c r="D7835" s="27" t="s">
        <v>17</v>
      </c>
      <c r="E7835" s="27" t="s">
        <v>26</v>
      </c>
      <c r="F7835" s="27" t="s">
        <v>27</v>
      </c>
      <c r="G7835" s="27" t="s">
        <v>28</v>
      </c>
      <c r="H7835" s="29">
        <v>202</v>
      </c>
      <c r="I7835" s="27" t="s">
        <v>29</v>
      </c>
      <c r="J7835" s="37">
        <v>45966</v>
      </c>
      <c r="K7835" s="27" t="s">
        <v>22</v>
      </c>
    </row>
    <row r="7836" spans="1:11" x14ac:dyDescent="0.2">
      <c r="A7836" s="24" t="s">
        <v>18272</v>
      </c>
      <c r="B7836" s="24" t="s">
        <v>18273</v>
      </c>
      <c r="C7836" s="24" t="s">
        <v>106</v>
      </c>
      <c r="D7836" s="24" t="s">
        <v>17</v>
      </c>
      <c r="E7836" s="24" t="s">
        <v>48</v>
      </c>
      <c r="F7836" s="24" t="s">
        <v>49</v>
      </c>
      <c r="G7836" s="24" t="s">
        <v>28</v>
      </c>
      <c r="H7836" s="26">
        <v>71</v>
      </c>
      <c r="I7836" s="24" t="s">
        <v>29</v>
      </c>
      <c r="J7836" s="36">
        <v>45974</v>
      </c>
      <c r="K7836" s="24" t="s">
        <v>22</v>
      </c>
    </row>
    <row r="7837" spans="1:11" x14ac:dyDescent="0.2">
      <c r="A7837" s="27" t="s">
        <v>18274</v>
      </c>
      <c r="B7837" s="27" t="s">
        <v>18275</v>
      </c>
      <c r="C7837" s="27" t="s">
        <v>8347</v>
      </c>
      <c r="D7837" s="27" t="s">
        <v>17</v>
      </c>
      <c r="E7837" s="27" t="s">
        <v>18</v>
      </c>
      <c r="F7837" s="27" t="s">
        <v>19</v>
      </c>
      <c r="G7837" s="27" t="s">
        <v>28</v>
      </c>
      <c r="H7837" s="29">
        <v>57</v>
      </c>
      <c r="I7837" s="27" t="s">
        <v>29</v>
      </c>
      <c r="J7837" s="37">
        <v>45986</v>
      </c>
      <c r="K7837" s="27" t="s">
        <v>22</v>
      </c>
    </row>
    <row r="7838" spans="1:11" x14ac:dyDescent="0.2">
      <c r="A7838" s="24" t="s">
        <v>18276</v>
      </c>
      <c r="B7838" s="24" t="s">
        <v>18277</v>
      </c>
      <c r="C7838" s="24" t="s">
        <v>251</v>
      </c>
      <c r="D7838" s="24" t="s">
        <v>17</v>
      </c>
      <c r="E7838" s="24" t="s">
        <v>48</v>
      </c>
      <c r="F7838" s="24" t="s">
        <v>49</v>
      </c>
      <c r="G7838" s="24" t="s">
        <v>28</v>
      </c>
      <c r="H7838" s="26">
        <v>84</v>
      </c>
      <c r="I7838" s="24" t="s">
        <v>29</v>
      </c>
      <c r="J7838" s="36">
        <v>45971</v>
      </c>
      <c r="K7838" s="24" t="s">
        <v>22</v>
      </c>
    </row>
    <row r="7839" spans="1:11" x14ac:dyDescent="0.2">
      <c r="A7839" s="27" t="s">
        <v>18278</v>
      </c>
      <c r="B7839" s="27" t="s">
        <v>18279</v>
      </c>
      <c r="C7839" s="27" t="s">
        <v>18280</v>
      </c>
      <c r="D7839" s="27" t="s">
        <v>17</v>
      </c>
      <c r="E7839" s="27" t="s">
        <v>42</v>
      </c>
      <c r="F7839" s="27" t="s">
        <v>43</v>
      </c>
      <c r="G7839" s="27" t="s">
        <v>20</v>
      </c>
      <c r="H7839" s="29">
        <v>180</v>
      </c>
      <c r="I7839" s="27" t="s">
        <v>21</v>
      </c>
      <c r="J7839" s="37">
        <v>45965</v>
      </c>
      <c r="K7839" s="27" t="s">
        <v>22</v>
      </c>
    </row>
    <row r="7840" spans="1:11" x14ac:dyDescent="0.2">
      <c r="A7840" s="24" t="s">
        <v>18281</v>
      </c>
      <c r="B7840" s="24" t="s">
        <v>18282</v>
      </c>
      <c r="C7840" s="24" t="s">
        <v>14443</v>
      </c>
      <c r="D7840" s="24" t="s">
        <v>17</v>
      </c>
      <c r="E7840" s="24" t="s">
        <v>26</v>
      </c>
      <c r="F7840" s="24" t="s">
        <v>27</v>
      </c>
      <c r="G7840" s="24" t="s">
        <v>227</v>
      </c>
      <c r="H7840" s="26">
        <v>50</v>
      </c>
      <c r="I7840" s="24" t="s">
        <v>29</v>
      </c>
      <c r="J7840" s="36">
        <v>45964</v>
      </c>
      <c r="K7840" s="24" t="s">
        <v>22</v>
      </c>
    </row>
    <row r="7841" spans="1:11" x14ac:dyDescent="0.2">
      <c r="A7841" s="27" t="s">
        <v>18283</v>
      </c>
      <c r="B7841" s="27" t="s">
        <v>18284</v>
      </c>
      <c r="C7841" s="27" t="s">
        <v>12080</v>
      </c>
      <c r="D7841" s="27" t="s">
        <v>17</v>
      </c>
      <c r="E7841" s="27" t="s">
        <v>48</v>
      </c>
      <c r="F7841" s="27" t="s">
        <v>49</v>
      </c>
      <c r="G7841" s="27" t="s">
        <v>28</v>
      </c>
      <c r="H7841" s="29">
        <v>300</v>
      </c>
      <c r="I7841" s="27" t="s">
        <v>29</v>
      </c>
      <c r="J7841" s="37">
        <v>45983</v>
      </c>
      <c r="K7841" s="27" t="s">
        <v>22</v>
      </c>
    </row>
    <row r="7842" spans="1:11" x14ac:dyDescent="0.2">
      <c r="A7842" s="24" t="s">
        <v>18285</v>
      </c>
      <c r="B7842" s="24" t="s">
        <v>18286</v>
      </c>
      <c r="C7842" s="24" t="s">
        <v>331</v>
      </c>
      <c r="D7842" s="24" t="s">
        <v>17</v>
      </c>
      <c r="E7842" s="24" t="s">
        <v>42</v>
      </c>
      <c r="F7842" s="24" t="s">
        <v>43</v>
      </c>
      <c r="G7842" s="24" t="s">
        <v>28</v>
      </c>
      <c r="H7842" s="26">
        <v>250</v>
      </c>
      <c r="I7842" s="24" t="s">
        <v>29</v>
      </c>
      <c r="J7842" s="36">
        <v>45974</v>
      </c>
      <c r="K7842" s="24" t="s">
        <v>22</v>
      </c>
    </row>
    <row r="7843" spans="1:11" x14ac:dyDescent="0.2">
      <c r="A7843" s="27" t="s">
        <v>18287</v>
      </c>
      <c r="B7843" s="27" t="s">
        <v>18288</v>
      </c>
      <c r="C7843" s="27" t="s">
        <v>7275</v>
      </c>
      <c r="D7843" s="27" t="s">
        <v>17</v>
      </c>
      <c r="E7843" s="27" t="s">
        <v>42</v>
      </c>
      <c r="F7843" s="27" t="s">
        <v>43</v>
      </c>
      <c r="G7843" s="27" t="s">
        <v>28</v>
      </c>
      <c r="H7843" s="29">
        <v>300</v>
      </c>
      <c r="I7843" s="27" t="s">
        <v>29</v>
      </c>
      <c r="J7843" s="37">
        <v>45978</v>
      </c>
      <c r="K7843" s="27" t="s">
        <v>22</v>
      </c>
    </row>
    <row r="7844" spans="1:11" x14ac:dyDescent="0.2">
      <c r="A7844" s="24" t="s">
        <v>18289</v>
      </c>
      <c r="B7844" s="24" t="s">
        <v>18290</v>
      </c>
      <c r="C7844" s="24" t="s">
        <v>6791</v>
      </c>
      <c r="D7844" s="24" t="s">
        <v>17</v>
      </c>
      <c r="E7844" s="24" t="s">
        <v>18</v>
      </c>
      <c r="F7844" s="24" t="s">
        <v>19</v>
      </c>
      <c r="G7844" s="24" t="s">
        <v>28</v>
      </c>
      <c r="H7844" s="26">
        <v>54</v>
      </c>
      <c r="I7844" s="24" t="s">
        <v>29</v>
      </c>
      <c r="J7844" s="36">
        <v>45978</v>
      </c>
      <c r="K7844" s="24" t="s">
        <v>22</v>
      </c>
    </row>
    <row r="7845" spans="1:11" x14ac:dyDescent="0.2">
      <c r="A7845" s="27" t="s">
        <v>18291</v>
      </c>
      <c r="B7845" s="27" t="s">
        <v>18292</v>
      </c>
      <c r="C7845" s="27" t="s">
        <v>783</v>
      </c>
      <c r="D7845" s="27" t="s">
        <v>17</v>
      </c>
      <c r="E7845" s="27" t="s">
        <v>18</v>
      </c>
      <c r="F7845" s="27" t="s">
        <v>19</v>
      </c>
      <c r="G7845" s="27" t="s">
        <v>28</v>
      </c>
      <c r="H7845" s="29">
        <v>113</v>
      </c>
      <c r="I7845" s="27" t="s">
        <v>29</v>
      </c>
      <c r="J7845" s="37">
        <v>45965</v>
      </c>
      <c r="K7845" s="27" t="s">
        <v>22</v>
      </c>
    </row>
    <row r="7846" spans="1:11" x14ac:dyDescent="0.2">
      <c r="A7846" s="24" t="s">
        <v>18293</v>
      </c>
      <c r="B7846" s="24" t="s">
        <v>18294</v>
      </c>
      <c r="C7846" s="24" t="s">
        <v>705</v>
      </c>
      <c r="D7846" s="24" t="s">
        <v>17</v>
      </c>
      <c r="E7846" s="24" t="s">
        <v>48</v>
      </c>
      <c r="F7846" s="24" t="s">
        <v>49</v>
      </c>
      <c r="G7846" s="24" t="s">
        <v>28</v>
      </c>
      <c r="H7846" s="26">
        <v>135</v>
      </c>
      <c r="I7846" s="24" t="s">
        <v>29</v>
      </c>
      <c r="J7846" s="36">
        <v>45988</v>
      </c>
      <c r="K7846" s="24" t="s">
        <v>22</v>
      </c>
    </row>
    <row r="7847" spans="1:11" x14ac:dyDescent="0.2">
      <c r="A7847" s="27" t="s">
        <v>18295</v>
      </c>
      <c r="B7847" s="27" t="s">
        <v>18296</v>
      </c>
      <c r="C7847" s="27" t="s">
        <v>109</v>
      </c>
      <c r="D7847" s="27" t="s">
        <v>17</v>
      </c>
      <c r="E7847" s="27" t="s">
        <v>42</v>
      </c>
      <c r="F7847" s="27" t="s">
        <v>43</v>
      </c>
      <c r="G7847" s="27" t="s">
        <v>28</v>
      </c>
      <c r="H7847" s="29">
        <v>544</v>
      </c>
      <c r="I7847" s="27" t="s">
        <v>29</v>
      </c>
      <c r="J7847" s="37">
        <v>45989</v>
      </c>
      <c r="K7847" s="27" t="s">
        <v>22</v>
      </c>
    </row>
    <row r="7848" spans="1:11" x14ac:dyDescent="0.2">
      <c r="A7848" s="24" t="s">
        <v>18297</v>
      </c>
      <c r="B7848" s="24" t="s">
        <v>18298</v>
      </c>
      <c r="C7848" s="24" t="s">
        <v>68</v>
      </c>
      <c r="D7848" s="24" t="s">
        <v>17</v>
      </c>
      <c r="E7848" s="24" t="s">
        <v>48</v>
      </c>
      <c r="F7848" s="24" t="s">
        <v>49</v>
      </c>
      <c r="G7848" s="24" t="s">
        <v>28</v>
      </c>
      <c r="H7848" s="26">
        <v>200</v>
      </c>
      <c r="I7848" s="24" t="s">
        <v>29</v>
      </c>
      <c r="J7848" s="36">
        <v>45973</v>
      </c>
      <c r="K7848" s="24" t="s">
        <v>22</v>
      </c>
    </row>
    <row r="7849" spans="1:11" x14ac:dyDescent="0.2">
      <c r="A7849" s="27" t="s">
        <v>18299</v>
      </c>
      <c r="B7849" s="27" t="s">
        <v>18300</v>
      </c>
      <c r="C7849" s="27" t="s">
        <v>17431</v>
      </c>
      <c r="D7849" s="27" t="s">
        <v>17</v>
      </c>
      <c r="E7849" s="27" t="s">
        <v>18</v>
      </c>
      <c r="F7849" s="27" t="s">
        <v>19</v>
      </c>
      <c r="G7849" s="27" t="s">
        <v>28</v>
      </c>
      <c r="H7849" s="29">
        <v>16</v>
      </c>
      <c r="I7849" s="27" t="s">
        <v>29</v>
      </c>
      <c r="J7849" s="37">
        <v>45991</v>
      </c>
      <c r="K7849" s="27" t="s">
        <v>22</v>
      </c>
    </row>
    <row r="7850" spans="1:11" x14ac:dyDescent="0.2">
      <c r="A7850" s="24" t="s">
        <v>18301</v>
      </c>
      <c r="B7850" s="24" t="s">
        <v>18302</v>
      </c>
      <c r="C7850" s="24" t="s">
        <v>115</v>
      </c>
      <c r="D7850" s="24" t="s">
        <v>17</v>
      </c>
      <c r="E7850" s="24" t="s">
        <v>26</v>
      </c>
      <c r="F7850" s="24" t="s">
        <v>27</v>
      </c>
      <c r="G7850" s="24" t="s">
        <v>28</v>
      </c>
      <c r="H7850" s="26">
        <v>223</v>
      </c>
      <c r="I7850" s="24" t="s">
        <v>29</v>
      </c>
      <c r="J7850" s="36">
        <v>45980</v>
      </c>
      <c r="K7850" s="24" t="s">
        <v>22</v>
      </c>
    </row>
    <row r="7851" spans="1:11" x14ac:dyDescent="0.2">
      <c r="A7851" s="27" t="s">
        <v>18303</v>
      </c>
      <c r="B7851" s="27" t="s">
        <v>18304</v>
      </c>
      <c r="C7851" s="27" t="s">
        <v>3504</v>
      </c>
      <c r="D7851" s="27" t="s">
        <v>17</v>
      </c>
      <c r="E7851" s="27" t="s">
        <v>81</v>
      </c>
      <c r="F7851" s="27" t="s">
        <v>82</v>
      </c>
      <c r="G7851" s="27" t="s">
        <v>28</v>
      </c>
      <c r="H7851" s="29">
        <v>480</v>
      </c>
      <c r="I7851" s="27" t="s">
        <v>29</v>
      </c>
      <c r="J7851" s="37">
        <v>45988</v>
      </c>
      <c r="K7851" s="27" t="s">
        <v>22</v>
      </c>
    </row>
    <row r="7852" spans="1:11" x14ac:dyDescent="0.2">
      <c r="A7852" s="24" t="s">
        <v>18305</v>
      </c>
      <c r="B7852" s="24" t="s">
        <v>18306</v>
      </c>
      <c r="C7852" s="24" t="s">
        <v>17653</v>
      </c>
      <c r="D7852" s="24" t="s">
        <v>17</v>
      </c>
      <c r="E7852" s="24" t="s">
        <v>18</v>
      </c>
      <c r="F7852" s="24" t="s">
        <v>19</v>
      </c>
      <c r="G7852" s="24" t="s">
        <v>217</v>
      </c>
      <c r="H7852" s="26">
        <v>24</v>
      </c>
      <c r="I7852" s="24" t="s">
        <v>29</v>
      </c>
      <c r="J7852" s="36">
        <v>45962</v>
      </c>
      <c r="K7852" s="24" t="s">
        <v>22</v>
      </c>
    </row>
    <row r="7853" spans="1:11" x14ac:dyDescent="0.2">
      <c r="A7853" s="27" t="s">
        <v>18307</v>
      </c>
      <c r="B7853" s="27" t="s">
        <v>18308</v>
      </c>
      <c r="C7853" s="27" t="s">
        <v>5786</v>
      </c>
      <c r="D7853" s="27" t="s">
        <v>17</v>
      </c>
      <c r="E7853" s="27" t="s">
        <v>42</v>
      </c>
      <c r="F7853" s="27" t="s">
        <v>43</v>
      </c>
      <c r="G7853" s="27" t="s">
        <v>217</v>
      </c>
      <c r="H7853" s="29">
        <v>78</v>
      </c>
      <c r="I7853" s="27" t="s">
        <v>29</v>
      </c>
      <c r="J7853" s="37">
        <v>45962</v>
      </c>
      <c r="K7853" s="27" t="s">
        <v>22</v>
      </c>
    </row>
    <row r="7854" spans="1:11" x14ac:dyDescent="0.2">
      <c r="A7854" s="24" t="s">
        <v>18309</v>
      </c>
      <c r="B7854" s="24" t="s">
        <v>18310</v>
      </c>
      <c r="C7854" s="24" t="s">
        <v>55</v>
      </c>
      <c r="D7854" s="24" t="s">
        <v>17</v>
      </c>
      <c r="E7854" s="24" t="s">
        <v>42</v>
      </c>
      <c r="F7854" s="24" t="s">
        <v>43</v>
      </c>
      <c r="G7854" s="24" t="s">
        <v>28</v>
      </c>
      <c r="H7854" s="26">
        <v>975</v>
      </c>
      <c r="I7854" s="24" t="s">
        <v>29</v>
      </c>
      <c r="J7854" s="36">
        <v>45972</v>
      </c>
      <c r="K7854" s="24" t="s">
        <v>22</v>
      </c>
    </row>
    <row r="7855" spans="1:11" x14ac:dyDescent="0.2">
      <c r="A7855" s="27" t="s">
        <v>18311</v>
      </c>
      <c r="B7855" s="27" t="s">
        <v>18312</v>
      </c>
      <c r="C7855" s="27" t="s">
        <v>15412</v>
      </c>
      <c r="D7855" s="27" t="s">
        <v>17</v>
      </c>
      <c r="E7855" s="27" t="s">
        <v>33</v>
      </c>
      <c r="F7855" s="27" t="s">
        <v>34</v>
      </c>
      <c r="G7855" s="27" t="s">
        <v>28</v>
      </c>
      <c r="H7855" s="29">
        <v>210</v>
      </c>
      <c r="I7855" s="27" t="s">
        <v>29</v>
      </c>
      <c r="J7855" s="37">
        <v>45964</v>
      </c>
      <c r="K7855" s="27" t="s">
        <v>22</v>
      </c>
    </row>
    <row r="7856" spans="1:11" x14ac:dyDescent="0.2">
      <c r="A7856" s="24" t="s">
        <v>18313</v>
      </c>
      <c r="B7856" s="24" t="s">
        <v>18314</v>
      </c>
      <c r="C7856" s="24" t="s">
        <v>526</v>
      </c>
      <c r="D7856" s="24" t="s">
        <v>17</v>
      </c>
      <c r="E7856" s="24" t="s">
        <v>42</v>
      </c>
      <c r="F7856" s="24" t="s">
        <v>43</v>
      </c>
      <c r="G7856" s="24" t="s">
        <v>28</v>
      </c>
      <c r="H7856" s="26">
        <v>250</v>
      </c>
      <c r="I7856" s="24" t="s">
        <v>29</v>
      </c>
      <c r="J7856" s="36">
        <v>45978</v>
      </c>
      <c r="K7856" s="24" t="s">
        <v>22</v>
      </c>
    </row>
    <row r="7857" spans="1:11" x14ac:dyDescent="0.2">
      <c r="A7857" s="27" t="s">
        <v>18315</v>
      </c>
      <c r="B7857" s="27" t="s">
        <v>18316</v>
      </c>
      <c r="C7857" s="27" t="s">
        <v>1523</v>
      </c>
      <c r="D7857" s="27" t="s">
        <v>17</v>
      </c>
      <c r="E7857" s="27" t="s">
        <v>26</v>
      </c>
      <c r="F7857" s="27" t="s">
        <v>27</v>
      </c>
      <c r="G7857" s="27" t="s">
        <v>28</v>
      </c>
      <c r="H7857" s="29">
        <v>158</v>
      </c>
      <c r="I7857" s="27" t="s">
        <v>29</v>
      </c>
      <c r="J7857" s="37">
        <v>45979</v>
      </c>
      <c r="K7857" s="27" t="s">
        <v>22</v>
      </c>
    </row>
    <row r="7858" spans="1:11" x14ac:dyDescent="0.2">
      <c r="A7858" s="24" t="s">
        <v>18317</v>
      </c>
      <c r="B7858" s="24" t="s">
        <v>18318</v>
      </c>
      <c r="C7858" s="24" t="s">
        <v>18319</v>
      </c>
      <c r="D7858" s="24" t="s">
        <v>17</v>
      </c>
      <c r="E7858" s="24" t="s">
        <v>48</v>
      </c>
      <c r="F7858" s="24" t="s">
        <v>49</v>
      </c>
      <c r="G7858" s="24" t="s">
        <v>28</v>
      </c>
      <c r="H7858" s="26">
        <v>87</v>
      </c>
      <c r="I7858" s="24" t="s">
        <v>29</v>
      </c>
      <c r="J7858" s="36">
        <v>45962</v>
      </c>
      <c r="K7858" s="24" t="s">
        <v>22</v>
      </c>
    </row>
    <row r="7859" spans="1:11" x14ac:dyDescent="0.2">
      <c r="A7859" s="27" t="s">
        <v>18320</v>
      </c>
      <c r="B7859" s="27" t="s">
        <v>18321</v>
      </c>
      <c r="C7859" s="27" t="s">
        <v>18322</v>
      </c>
      <c r="D7859" s="27" t="s">
        <v>17</v>
      </c>
      <c r="E7859" s="27" t="s">
        <v>18</v>
      </c>
      <c r="F7859" s="27" t="s">
        <v>19</v>
      </c>
      <c r="G7859" s="27" t="s">
        <v>217</v>
      </c>
      <c r="H7859" s="29">
        <v>8</v>
      </c>
      <c r="I7859" s="27" t="s">
        <v>29</v>
      </c>
      <c r="J7859" s="37">
        <v>45962</v>
      </c>
      <c r="K7859" s="27" t="s">
        <v>22</v>
      </c>
    </row>
    <row r="7860" spans="1:11" x14ac:dyDescent="0.2">
      <c r="A7860" s="24" t="s">
        <v>18323</v>
      </c>
      <c r="B7860" s="24" t="s">
        <v>18324</v>
      </c>
      <c r="C7860" s="24" t="s">
        <v>18325</v>
      </c>
      <c r="D7860" s="24" t="s">
        <v>17</v>
      </c>
      <c r="E7860" s="24" t="s">
        <v>18</v>
      </c>
      <c r="F7860" s="24" t="s">
        <v>19</v>
      </c>
      <c r="G7860" s="24" t="s">
        <v>217</v>
      </c>
      <c r="H7860" s="26">
        <v>72</v>
      </c>
      <c r="I7860" s="24" t="s">
        <v>29</v>
      </c>
      <c r="J7860" s="36">
        <v>45962</v>
      </c>
      <c r="K7860" s="24" t="s">
        <v>22</v>
      </c>
    </row>
    <row r="7861" spans="1:11" x14ac:dyDescent="0.2">
      <c r="A7861" s="27" t="s">
        <v>18326</v>
      </c>
      <c r="B7861" s="27" t="s">
        <v>18327</v>
      </c>
      <c r="C7861" s="27" t="s">
        <v>213</v>
      </c>
      <c r="D7861" s="27" t="s">
        <v>17</v>
      </c>
      <c r="E7861" s="27" t="s">
        <v>18</v>
      </c>
      <c r="F7861" s="27" t="s">
        <v>19</v>
      </c>
      <c r="G7861" s="27" t="s">
        <v>28</v>
      </c>
      <c r="H7861" s="29">
        <v>72</v>
      </c>
      <c r="I7861" s="27" t="s">
        <v>29</v>
      </c>
      <c r="J7861" s="37">
        <v>45975</v>
      </c>
      <c r="K7861" s="27" t="s">
        <v>22</v>
      </c>
    </row>
    <row r="7862" spans="1:11" x14ac:dyDescent="0.2">
      <c r="A7862" s="24" t="s">
        <v>18328</v>
      </c>
      <c r="B7862" s="24" t="s">
        <v>18329</v>
      </c>
      <c r="C7862" s="24" t="s">
        <v>85</v>
      </c>
      <c r="D7862" s="24" t="s">
        <v>17</v>
      </c>
      <c r="E7862" s="24" t="s">
        <v>48</v>
      </c>
      <c r="F7862" s="24" t="s">
        <v>49</v>
      </c>
      <c r="G7862" s="24" t="s">
        <v>28</v>
      </c>
      <c r="H7862" s="26">
        <v>320</v>
      </c>
      <c r="I7862" s="24" t="s">
        <v>29</v>
      </c>
      <c r="J7862" s="36">
        <v>45974</v>
      </c>
      <c r="K7862" s="24" t="s">
        <v>22</v>
      </c>
    </row>
    <row r="7863" spans="1:11" x14ac:dyDescent="0.2">
      <c r="A7863" s="27" t="s">
        <v>18330</v>
      </c>
      <c r="B7863" s="27" t="s">
        <v>18331</v>
      </c>
      <c r="C7863" s="27" t="s">
        <v>18332</v>
      </c>
      <c r="D7863" s="27" t="s">
        <v>17</v>
      </c>
      <c r="E7863" s="27" t="s">
        <v>18</v>
      </c>
      <c r="F7863" s="27" t="s">
        <v>19</v>
      </c>
      <c r="G7863" s="27" t="s">
        <v>217</v>
      </c>
      <c r="H7863" s="29">
        <v>10</v>
      </c>
      <c r="I7863" s="27" t="s">
        <v>29</v>
      </c>
      <c r="J7863" s="37">
        <v>45973</v>
      </c>
      <c r="K7863" s="27" t="s">
        <v>22</v>
      </c>
    </row>
    <row r="7864" spans="1:11" x14ac:dyDescent="0.2">
      <c r="A7864" s="24" t="s">
        <v>18333</v>
      </c>
      <c r="B7864" s="24" t="s">
        <v>18334</v>
      </c>
      <c r="C7864" s="24" t="s">
        <v>1912</v>
      </c>
      <c r="D7864" s="24" t="s">
        <v>17</v>
      </c>
      <c r="E7864" s="24" t="s">
        <v>48</v>
      </c>
      <c r="F7864" s="24" t="s">
        <v>49</v>
      </c>
      <c r="G7864" s="24" t="s">
        <v>28</v>
      </c>
      <c r="H7864" s="26">
        <v>420</v>
      </c>
      <c r="I7864" s="24" t="s">
        <v>29</v>
      </c>
      <c r="J7864" s="36">
        <v>45986</v>
      </c>
      <c r="K7864" s="24" t="s">
        <v>22</v>
      </c>
    </row>
    <row r="7865" spans="1:11" x14ac:dyDescent="0.2">
      <c r="A7865" s="27" t="s">
        <v>18335</v>
      </c>
      <c r="B7865" s="27" t="s">
        <v>18336</v>
      </c>
      <c r="C7865" s="27" t="s">
        <v>382</v>
      </c>
      <c r="D7865" s="27" t="s">
        <v>17</v>
      </c>
      <c r="E7865" s="27" t="s">
        <v>48</v>
      </c>
      <c r="F7865" s="27" t="s">
        <v>49</v>
      </c>
      <c r="G7865" s="27" t="s">
        <v>28</v>
      </c>
      <c r="H7865" s="29">
        <v>65</v>
      </c>
      <c r="I7865" s="27" t="s">
        <v>29</v>
      </c>
      <c r="J7865" s="37">
        <v>45967</v>
      </c>
      <c r="K7865" s="27" t="s">
        <v>22</v>
      </c>
    </row>
    <row r="7866" spans="1:11" x14ac:dyDescent="0.2">
      <c r="A7866" s="24" t="s">
        <v>18337</v>
      </c>
      <c r="B7866" s="24" t="s">
        <v>18338</v>
      </c>
      <c r="C7866" s="24" t="s">
        <v>325</v>
      </c>
      <c r="D7866" s="24" t="s">
        <v>17</v>
      </c>
      <c r="E7866" s="24" t="s">
        <v>42</v>
      </c>
      <c r="F7866" s="24" t="s">
        <v>43</v>
      </c>
      <c r="G7866" s="24" t="s">
        <v>28</v>
      </c>
      <c r="H7866" s="26">
        <v>111</v>
      </c>
      <c r="I7866" s="24" t="s">
        <v>29</v>
      </c>
      <c r="J7866" s="36">
        <v>45980</v>
      </c>
      <c r="K7866" s="24" t="s">
        <v>22</v>
      </c>
    </row>
    <row r="7867" spans="1:11" x14ac:dyDescent="0.2">
      <c r="A7867" s="27" t="s">
        <v>18339</v>
      </c>
      <c r="B7867" s="27" t="s">
        <v>18340</v>
      </c>
      <c r="C7867" s="27" t="s">
        <v>9947</v>
      </c>
      <c r="D7867" s="27" t="s">
        <v>17</v>
      </c>
      <c r="E7867" s="27" t="s">
        <v>48</v>
      </c>
      <c r="F7867" s="27" t="s">
        <v>49</v>
      </c>
      <c r="G7867" s="27" t="s">
        <v>217</v>
      </c>
      <c r="H7867" s="29">
        <v>38</v>
      </c>
      <c r="I7867" s="27" t="s">
        <v>29</v>
      </c>
      <c r="J7867" s="37">
        <v>45989</v>
      </c>
      <c r="K7867" s="27" t="s">
        <v>22</v>
      </c>
    </row>
    <row r="7868" spans="1:11" x14ac:dyDescent="0.2">
      <c r="A7868" s="24" t="s">
        <v>18341</v>
      </c>
      <c r="B7868" s="24" t="s">
        <v>18342</v>
      </c>
      <c r="C7868" s="24" t="s">
        <v>85</v>
      </c>
      <c r="D7868" s="24" t="s">
        <v>17</v>
      </c>
      <c r="E7868" s="24" t="s">
        <v>18</v>
      </c>
      <c r="F7868" s="24" t="s">
        <v>19</v>
      </c>
      <c r="G7868" s="24" t="s">
        <v>28</v>
      </c>
      <c r="H7868" s="26">
        <v>87</v>
      </c>
      <c r="I7868" s="24" t="s">
        <v>29</v>
      </c>
      <c r="J7868" s="36">
        <v>45985</v>
      </c>
      <c r="K7868" s="24" t="s">
        <v>22</v>
      </c>
    </row>
    <row r="7869" spans="1:11" x14ac:dyDescent="0.2">
      <c r="A7869" s="27" t="s">
        <v>18343</v>
      </c>
      <c r="B7869" s="27" t="s">
        <v>18344</v>
      </c>
      <c r="C7869" s="27" t="s">
        <v>613</v>
      </c>
      <c r="D7869" s="27" t="s">
        <v>17</v>
      </c>
      <c r="E7869" s="27" t="s">
        <v>18</v>
      </c>
      <c r="F7869" s="27" t="s">
        <v>19</v>
      </c>
      <c r="G7869" s="27" t="s">
        <v>28</v>
      </c>
      <c r="H7869" s="29">
        <v>232</v>
      </c>
      <c r="I7869" s="27" t="s">
        <v>29</v>
      </c>
      <c r="J7869" s="37">
        <v>45968</v>
      </c>
      <c r="K7869" s="27" t="s">
        <v>22</v>
      </c>
    </row>
    <row r="7870" spans="1:11" x14ac:dyDescent="0.2">
      <c r="A7870" s="24" t="s">
        <v>18345</v>
      </c>
      <c r="B7870" s="24" t="s">
        <v>18346</v>
      </c>
      <c r="C7870" s="24" t="s">
        <v>1693</v>
      </c>
      <c r="D7870" s="24" t="s">
        <v>17</v>
      </c>
      <c r="E7870" s="24" t="s">
        <v>48</v>
      </c>
      <c r="F7870" s="24" t="s">
        <v>49</v>
      </c>
      <c r="G7870" s="24" t="s">
        <v>227</v>
      </c>
      <c r="H7870" s="26">
        <v>25</v>
      </c>
      <c r="I7870" s="24" t="s">
        <v>29</v>
      </c>
      <c r="J7870" s="36">
        <v>45971</v>
      </c>
      <c r="K7870" s="24" t="s">
        <v>22</v>
      </c>
    </row>
    <row r="7871" spans="1:11" x14ac:dyDescent="0.2">
      <c r="A7871" s="27" t="s">
        <v>18347</v>
      </c>
      <c r="B7871" s="27" t="s">
        <v>18348</v>
      </c>
      <c r="C7871" s="27" t="s">
        <v>55</v>
      </c>
      <c r="D7871" s="27" t="s">
        <v>17</v>
      </c>
      <c r="E7871" s="27" t="s">
        <v>42</v>
      </c>
      <c r="F7871" s="27" t="s">
        <v>43</v>
      </c>
      <c r="G7871" s="27" t="s">
        <v>28</v>
      </c>
      <c r="H7871" s="29">
        <v>4580</v>
      </c>
      <c r="I7871" s="27" t="s">
        <v>29</v>
      </c>
      <c r="J7871" s="37">
        <v>45971</v>
      </c>
      <c r="K7871" s="27" t="s">
        <v>22</v>
      </c>
    </row>
    <row r="7872" spans="1:11" x14ac:dyDescent="0.2">
      <c r="A7872" s="24" t="s">
        <v>18349</v>
      </c>
      <c r="B7872" s="24" t="s">
        <v>18350</v>
      </c>
      <c r="C7872" s="24" t="s">
        <v>2367</v>
      </c>
      <c r="D7872" s="24" t="s">
        <v>17</v>
      </c>
      <c r="E7872" s="24" t="s">
        <v>18</v>
      </c>
      <c r="F7872" s="24" t="s">
        <v>19</v>
      </c>
      <c r="G7872" s="24" t="s">
        <v>20</v>
      </c>
      <c r="H7872" s="26">
        <v>24</v>
      </c>
      <c r="I7872" s="24" t="s">
        <v>21</v>
      </c>
      <c r="J7872" s="36">
        <v>45985</v>
      </c>
      <c r="K7872" s="24" t="s">
        <v>22</v>
      </c>
    </row>
    <row r="7873" spans="1:11" x14ac:dyDescent="0.2">
      <c r="A7873" s="27" t="s">
        <v>18351</v>
      </c>
      <c r="B7873" s="27" t="s">
        <v>18352</v>
      </c>
      <c r="C7873" s="27" t="s">
        <v>97</v>
      </c>
      <c r="D7873" s="27" t="s">
        <v>17</v>
      </c>
      <c r="E7873" s="27" t="s">
        <v>18</v>
      </c>
      <c r="F7873" s="27" t="s">
        <v>19</v>
      </c>
      <c r="G7873" s="27" t="s">
        <v>217</v>
      </c>
      <c r="H7873" s="29">
        <v>21</v>
      </c>
      <c r="I7873" s="27" t="s">
        <v>29</v>
      </c>
      <c r="J7873" s="37">
        <v>45971</v>
      </c>
      <c r="K7873" s="27" t="s">
        <v>22</v>
      </c>
    </row>
    <row r="7874" spans="1:11" x14ac:dyDescent="0.2">
      <c r="A7874" s="24" t="s">
        <v>18353</v>
      </c>
      <c r="B7874" s="24" t="s">
        <v>18354</v>
      </c>
      <c r="C7874" s="24" t="s">
        <v>85</v>
      </c>
      <c r="D7874" s="24" t="s">
        <v>17</v>
      </c>
      <c r="E7874" s="24" t="s">
        <v>18</v>
      </c>
      <c r="F7874" s="24" t="s">
        <v>19</v>
      </c>
      <c r="G7874" s="24" t="s">
        <v>28</v>
      </c>
      <c r="H7874" s="26">
        <v>207</v>
      </c>
      <c r="I7874" s="24" t="s">
        <v>29</v>
      </c>
      <c r="J7874" s="36">
        <v>45988</v>
      </c>
      <c r="K7874" s="24" t="s">
        <v>22</v>
      </c>
    </row>
    <row r="7875" spans="1:11" x14ac:dyDescent="0.2">
      <c r="A7875" s="27" t="s">
        <v>18355</v>
      </c>
      <c r="B7875" s="27" t="s">
        <v>18356</v>
      </c>
      <c r="C7875" s="27" t="s">
        <v>55</v>
      </c>
      <c r="D7875" s="27" t="s">
        <v>17</v>
      </c>
      <c r="E7875" s="27" t="s">
        <v>18</v>
      </c>
      <c r="F7875" s="27" t="s">
        <v>19</v>
      </c>
      <c r="G7875" s="27" t="s">
        <v>20</v>
      </c>
      <c r="H7875" s="29">
        <v>16</v>
      </c>
      <c r="I7875" s="27" t="s">
        <v>21</v>
      </c>
      <c r="J7875" s="37">
        <v>45980</v>
      </c>
      <c r="K7875" s="27" t="s">
        <v>22</v>
      </c>
    </row>
    <row r="7876" spans="1:11" x14ac:dyDescent="0.2">
      <c r="A7876" s="24" t="s">
        <v>18357</v>
      </c>
      <c r="B7876" s="24" t="s">
        <v>18358</v>
      </c>
      <c r="C7876" s="24" t="s">
        <v>13101</v>
      </c>
      <c r="D7876" s="24" t="s">
        <v>17</v>
      </c>
      <c r="E7876" s="24" t="s">
        <v>26</v>
      </c>
      <c r="F7876" s="24" t="s">
        <v>27</v>
      </c>
      <c r="G7876" s="24" t="s">
        <v>28</v>
      </c>
      <c r="H7876" s="26">
        <v>27</v>
      </c>
      <c r="I7876" s="24" t="s">
        <v>29</v>
      </c>
      <c r="J7876" s="36">
        <v>45979</v>
      </c>
      <c r="K7876" s="24" t="s">
        <v>22</v>
      </c>
    </row>
    <row r="7877" spans="1:11" x14ac:dyDescent="0.2">
      <c r="A7877" s="27" t="s">
        <v>18359</v>
      </c>
      <c r="B7877" s="27" t="s">
        <v>18360</v>
      </c>
      <c r="C7877" s="27" t="s">
        <v>1883</v>
      </c>
      <c r="D7877" s="27" t="s">
        <v>17</v>
      </c>
      <c r="E7877" s="27" t="s">
        <v>18</v>
      </c>
      <c r="F7877" s="27" t="s">
        <v>19</v>
      </c>
      <c r="G7877" s="27" t="s">
        <v>28</v>
      </c>
      <c r="H7877" s="29">
        <v>96</v>
      </c>
      <c r="I7877" s="27" t="s">
        <v>29</v>
      </c>
      <c r="J7877" s="37">
        <v>45979</v>
      </c>
      <c r="K7877" s="27" t="s">
        <v>22</v>
      </c>
    </row>
    <row r="7878" spans="1:11" x14ac:dyDescent="0.2">
      <c r="A7878" s="24" t="s">
        <v>18361</v>
      </c>
      <c r="B7878" s="24" t="s">
        <v>18362</v>
      </c>
      <c r="C7878" s="24" t="s">
        <v>3836</v>
      </c>
      <c r="D7878" s="24" t="s">
        <v>17</v>
      </c>
      <c r="E7878" s="24" t="s">
        <v>42</v>
      </c>
      <c r="F7878" s="24" t="s">
        <v>43</v>
      </c>
      <c r="G7878" s="24" t="s">
        <v>227</v>
      </c>
      <c r="H7878" s="26">
        <v>1560</v>
      </c>
      <c r="I7878" s="24" t="s">
        <v>29</v>
      </c>
      <c r="J7878" s="36">
        <v>45974</v>
      </c>
      <c r="K7878" s="24" t="s">
        <v>22</v>
      </c>
    </row>
    <row r="7879" spans="1:11" x14ac:dyDescent="0.2">
      <c r="A7879" s="27" t="s">
        <v>18363</v>
      </c>
      <c r="B7879" s="27" t="s">
        <v>18364</v>
      </c>
      <c r="C7879" s="27" t="s">
        <v>55</v>
      </c>
      <c r="D7879" s="27" t="s">
        <v>17</v>
      </c>
      <c r="E7879" s="27" t="s">
        <v>18</v>
      </c>
      <c r="F7879" s="27" t="s">
        <v>19</v>
      </c>
      <c r="G7879" s="27" t="s">
        <v>28</v>
      </c>
      <c r="H7879" s="29">
        <v>58</v>
      </c>
      <c r="I7879" s="27" t="s">
        <v>29</v>
      </c>
      <c r="J7879" s="37">
        <v>45966</v>
      </c>
      <c r="K7879" s="27" t="s">
        <v>22</v>
      </c>
    </row>
    <row r="7880" spans="1:11" x14ac:dyDescent="0.2">
      <c r="A7880" s="24" t="s">
        <v>18365</v>
      </c>
      <c r="B7880" s="24" t="s">
        <v>18366</v>
      </c>
      <c r="C7880" s="24" t="s">
        <v>9582</v>
      </c>
      <c r="D7880" s="24" t="s">
        <v>17</v>
      </c>
      <c r="E7880" s="24" t="s">
        <v>18</v>
      </c>
      <c r="F7880" s="24" t="s">
        <v>19</v>
      </c>
      <c r="G7880" s="24" t="s">
        <v>28</v>
      </c>
      <c r="H7880" s="26">
        <v>195</v>
      </c>
      <c r="I7880" s="24" t="s">
        <v>29</v>
      </c>
      <c r="J7880" s="36">
        <v>45982</v>
      </c>
      <c r="K7880" s="24" t="s">
        <v>22</v>
      </c>
    </row>
    <row r="7881" spans="1:11" x14ac:dyDescent="0.2">
      <c r="A7881" s="27" t="s">
        <v>18367</v>
      </c>
      <c r="B7881" s="27" t="s">
        <v>18368</v>
      </c>
      <c r="C7881" s="27" t="s">
        <v>242</v>
      </c>
      <c r="D7881" s="27" t="s">
        <v>17</v>
      </c>
      <c r="E7881" s="27" t="s">
        <v>42</v>
      </c>
      <c r="F7881" s="27" t="s">
        <v>43</v>
      </c>
      <c r="G7881" s="27" t="s">
        <v>28</v>
      </c>
      <c r="H7881" s="29">
        <v>500</v>
      </c>
      <c r="I7881" s="27" t="s">
        <v>29</v>
      </c>
      <c r="J7881" s="37">
        <v>45968</v>
      </c>
      <c r="K7881" s="27" t="s">
        <v>22</v>
      </c>
    </row>
    <row r="7882" spans="1:11" x14ac:dyDescent="0.2">
      <c r="A7882" s="24" t="s">
        <v>18369</v>
      </c>
      <c r="B7882" s="24" t="s">
        <v>18370</v>
      </c>
      <c r="C7882" s="24" t="s">
        <v>4966</v>
      </c>
      <c r="D7882" s="24" t="s">
        <v>17</v>
      </c>
      <c r="E7882" s="24" t="s">
        <v>18</v>
      </c>
      <c r="F7882" s="24" t="s">
        <v>19</v>
      </c>
      <c r="G7882" s="24" t="s">
        <v>28</v>
      </c>
      <c r="H7882" s="26">
        <v>16</v>
      </c>
      <c r="I7882" s="24" t="s">
        <v>29</v>
      </c>
      <c r="J7882" s="36">
        <v>45978</v>
      </c>
      <c r="K7882" s="24" t="s">
        <v>22</v>
      </c>
    </row>
    <row r="7883" spans="1:11" x14ac:dyDescent="0.2">
      <c r="A7883" s="27" t="s">
        <v>18371</v>
      </c>
      <c r="B7883" s="27" t="s">
        <v>18372</v>
      </c>
      <c r="C7883" s="27" t="s">
        <v>10398</v>
      </c>
      <c r="D7883" s="27" t="s">
        <v>17</v>
      </c>
      <c r="E7883" s="27" t="s">
        <v>18</v>
      </c>
      <c r="F7883" s="27" t="s">
        <v>19</v>
      </c>
      <c r="G7883" s="27" t="s">
        <v>28</v>
      </c>
      <c r="H7883" s="29">
        <v>18</v>
      </c>
      <c r="I7883" s="27" t="s">
        <v>29</v>
      </c>
      <c r="J7883" s="37">
        <v>45974</v>
      </c>
      <c r="K7883" s="27" t="s">
        <v>22</v>
      </c>
    </row>
    <row r="7884" spans="1:11" x14ac:dyDescent="0.2">
      <c r="A7884" s="24" t="s">
        <v>18373</v>
      </c>
      <c r="B7884" s="24" t="s">
        <v>18374</v>
      </c>
      <c r="C7884" s="24" t="s">
        <v>251</v>
      </c>
      <c r="D7884" s="24" t="s">
        <v>17</v>
      </c>
      <c r="E7884" s="24" t="s">
        <v>48</v>
      </c>
      <c r="F7884" s="24" t="s">
        <v>49</v>
      </c>
      <c r="G7884" s="24" t="s">
        <v>28</v>
      </c>
      <c r="H7884" s="26">
        <v>20</v>
      </c>
      <c r="I7884" s="24" t="s">
        <v>29</v>
      </c>
      <c r="J7884" s="36">
        <v>45964</v>
      </c>
      <c r="K7884" s="24" t="s">
        <v>22</v>
      </c>
    </row>
    <row r="7885" spans="1:11" x14ac:dyDescent="0.2">
      <c r="A7885" s="27" t="s">
        <v>18375</v>
      </c>
      <c r="B7885" s="27" t="s">
        <v>18376</v>
      </c>
      <c r="C7885" s="27" t="s">
        <v>18377</v>
      </c>
      <c r="D7885" s="27" t="s">
        <v>17</v>
      </c>
      <c r="E7885" s="27" t="s">
        <v>48</v>
      </c>
      <c r="F7885" s="27" t="s">
        <v>49</v>
      </c>
      <c r="G7885" s="27" t="s">
        <v>28</v>
      </c>
      <c r="H7885" s="29">
        <v>12</v>
      </c>
      <c r="I7885" s="27" t="s">
        <v>29</v>
      </c>
      <c r="J7885" s="37">
        <v>45968</v>
      </c>
      <c r="K7885" s="27" t="s">
        <v>22</v>
      </c>
    </row>
    <row r="7886" spans="1:11" x14ac:dyDescent="0.2">
      <c r="A7886" s="24" t="s">
        <v>18378</v>
      </c>
      <c r="B7886" s="24" t="s">
        <v>18379</v>
      </c>
      <c r="C7886" s="24" t="s">
        <v>1788</v>
      </c>
      <c r="D7886" s="24" t="s">
        <v>17</v>
      </c>
      <c r="E7886" s="24" t="s">
        <v>48</v>
      </c>
      <c r="F7886" s="24" t="s">
        <v>49</v>
      </c>
      <c r="G7886" s="24" t="s">
        <v>28</v>
      </c>
      <c r="H7886" s="26">
        <v>153</v>
      </c>
      <c r="I7886" s="24" t="s">
        <v>29</v>
      </c>
      <c r="J7886" s="36">
        <v>45975</v>
      </c>
      <c r="K7886" s="24" t="s">
        <v>22</v>
      </c>
    </row>
    <row r="7887" spans="1:11" x14ac:dyDescent="0.2">
      <c r="A7887" s="27" t="s">
        <v>18380</v>
      </c>
      <c r="B7887" s="27" t="s">
        <v>18381</v>
      </c>
      <c r="C7887" s="27" t="s">
        <v>18382</v>
      </c>
      <c r="D7887" s="27" t="s">
        <v>17</v>
      </c>
      <c r="E7887" s="27" t="s">
        <v>18</v>
      </c>
      <c r="F7887" s="27" t="s">
        <v>19</v>
      </c>
      <c r="G7887" s="27" t="s">
        <v>28</v>
      </c>
      <c r="H7887" s="29">
        <v>24</v>
      </c>
      <c r="I7887" s="27" t="s">
        <v>29</v>
      </c>
      <c r="J7887" s="37">
        <v>45978</v>
      </c>
      <c r="K7887" s="27" t="s">
        <v>22</v>
      </c>
    </row>
    <row r="7888" spans="1:11" x14ac:dyDescent="0.2">
      <c r="A7888" s="24" t="s">
        <v>18383</v>
      </c>
      <c r="B7888" s="24" t="s">
        <v>18384</v>
      </c>
      <c r="C7888" s="24" t="s">
        <v>4714</v>
      </c>
      <c r="D7888" s="24" t="s">
        <v>17</v>
      </c>
      <c r="E7888" s="24" t="s">
        <v>42</v>
      </c>
      <c r="F7888" s="24" t="s">
        <v>43</v>
      </c>
      <c r="G7888" s="24" t="s">
        <v>28</v>
      </c>
      <c r="H7888" s="26">
        <v>395</v>
      </c>
      <c r="I7888" s="24" t="s">
        <v>29</v>
      </c>
      <c r="J7888" s="36">
        <v>45975</v>
      </c>
      <c r="K7888" s="24" t="s">
        <v>22</v>
      </c>
    </row>
    <row r="7889" spans="1:11" x14ac:dyDescent="0.2">
      <c r="A7889" s="27" t="s">
        <v>18385</v>
      </c>
      <c r="B7889" s="27" t="s">
        <v>18386</v>
      </c>
      <c r="C7889" s="27" t="s">
        <v>134</v>
      </c>
      <c r="D7889" s="27" t="s">
        <v>17</v>
      </c>
      <c r="E7889" s="27" t="s">
        <v>18</v>
      </c>
      <c r="F7889" s="27" t="s">
        <v>19</v>
      </c>
      <c r="G7889" s="27" t="s">
        <v>20</v>
      </c>
      <c r="H7889" s="29">
        <v>56</v>
      </c>
      <c r="I7889" s="27" t="s">
        <v>21</v>
      </c>
      <c r="J7889" s="37">
        <v>45968</v>
      </c>
      <c r="K7889" s="27" t="s">
        <v>22</v>
      </c>
    </row>
    <row r="7890" spans="1:11" x14ac:dyDescent="0.2">
      <c r="A7890" s="24" t="s">
        <v>18387</v>
      </c>
      <c r="B7890" s="24" t="s">
        <v>18388</v>
      </c>
      <c r="C7890" s="24" t="s">
        <v>208</v>
      </c>
      <c r="D7890" s="24" t="s">
        <v>17</v>
      </c>
      <c r="E7890" s="24" t="s">
        <v>48</v>
      </c>
      <c r="F7890" s="24" t="s">
        <v>49</v>
      </c>
      <c r="G7890" s="24" t="s">
        <v>28</v>
      </c>
      <c r="H7890" s="26">
        <v>208</v>
      </c>
      <c r="I7890" s="24" t="s">
        <v>29</v>
      </c>
      <c r="J7890" s="36">
        <v>45967</v>
      </c>
      <c r="K7890" s="24" t="s">
        <v>22</v>
      </c>
    </row>
    <row r="7891" spans="1:11" x14ac:dyDescent="0.2">
      <c r="A7891" s="27" t="s">
        <v>18389</v>
      </c>
      <c r="B7891" s="27" t="s">
        <v>18390</v>
      </c>
      <c r="C7891" s="27" t="s">
        <v>18391</v>
      </c>
      <c r="D7891" s="27" t="s">
        <v>17</v>
      </c>
      <c r="E7891" s="27" t="s">
        <v>81</v>
      </c>
      <c r="F7891" s="27" t="s">
        <v>82</v>
      </c>
      <c r="G7891" s="27" t="s">
        <v>28</v>
      </c>
      <c r="H7891" s="29">
        <v>400</v>
      </c>
      <c r="I7891" s="27" t="s">
        <v>29</v>
      </c>
      <c r="J7891" s="37">
        <v>45989</v>
      </c>
      <c r="K7891" s="27" t="s">
        <v>22</v>
      </c>
    </row>
    <row r="7892" spans="1:11" x14ac:dyDescent="0.2">
      <c r="A7892" s="24" t="s">
        <v>18392</v>
      </c>
      <c r="B7892" s="24" t="s">
        <v>18393</v>
      </c>
      <c r="C7892" s="24" t="s">
        <v>1008</v>
      </c>
      <c r="D7892" s="24" t="s">
        <v>17</v>
      </c>
      <c r="E7892" s="24" t="s">
        <v>18</v>
      </c>
      <c r="F7892" s="24" t="s">
        <v>19</v>
      </c>
      <c r="G7892" s="24" t="s">
        <v>28</v>
      </c>
      <c r="H7892" s="26">
        <v>6</v>
      </c>
      <c r="I7892" s="24" t="s">
        <v>29</v>
      </c>
      <c r="J7892" s="36">
        <v>45991</v>
      </c>
      <c r="K7892" s="24" t="s">
        <v>22</v>
      </c>
    </row>
    <row r="7893" spans="1:11" x14ac:dyDescent="0.2">
      <c r="A7893" s="27" t="s">
        <v>18394</v>
      </c>
      <c r="B7893" s="27" t="s">
        <v>18395</v>
      </c>
      <c r="C7893" s="27" t="s">
        <v>4977</v>
      </c>
      <c r="D7893" s="27" t="s">
        <v>17</v>
      </c>
      <c r="E7893" s="27" t="s">
        <v>163</v>
      </c>
      <c r="F7893" s="27" t="s">
        <v>164</v>
      </c>
      <c r="G7893" s="27" t="s">
        <v>217</v>
      </c>
      <c r="H7893" s="29">
        <v>15</v>
      </c>
      <c r="I7893" s="27" t="s">
        <v>29</v>
      </c>
      <c r="J7893" s="37">
        <v>45962</v>
      </c>
      <c r="K7893" s="27" t="s">
        <v>22</v>
      </c>
    </row>
    <row r="7894" spans="1:11" x14ac:dyDescent="0.2">
      <c r="A7894" s="24" t="s">
        <v>18396</v>
      </c>
      <c r="B7894" s="24" t="s">
        <v>18397</v>
      </c>
      <c r="C7894" s="24" t="s">
        <v>85</v>
      </c>
      <c r="D7894" s="24" t="s">
        <v>17</v>
      </c>
      <c r="E7894" s="24" t="s">
        <v>48</v>
      </c>
      <c r="F7894" s="24" t="s">
        <v>49</v>
      </c>
      <c r="G7894" s="24" t="s">
        <v>28</v>
      </c>
      <c r="H7894" s="26">
        <v>140</v>
      </c>
      <c r="I7894" s="24" t="s">
        <v>29</v>
      </c>
      <c r="J7894" s="36">
        <v>45982</v>
      </c>
      <c r="K7894" s="24" t="s">
        <v>22</v>
      </c>
    </row>
    <row r="7895" spans="1:11" x14ac:dyDescent="0.2">
      <c r="A7895" s="27" t="s">
        <v>18398</v>
      </c>
      <c r="B7895" s="27" t="s">
        <v>18399</v>
      </c>
      <c r="C7895" s="27" t="s">
        <v>251</v>
      </c>
      <c r="D7895" s="27" t="s">
        <v>17</v>
      </c>
      <c r="E7895" s="27" t="s">
        <v>81</v>
      </c>
      <c r="F7895" s="27" t="s">
        <v>82</v>
      </c>
      <c r="G7895" s="27" t="s">
        <v>28</v>
      </c>
      <c r="H7895" s="29">
        <v>326</v>
      </c>
      <c r="I7895" s="27" t="s">
        <v>29</v>
      </c>
      <c r="J7895" s="37">
        <v>45987</v>
      </c>
      <c r="K7895" s="27" t="s">
        <v>22</v>
      </c>
    </row>
    <row r="7896" spans="1:11" x14ac:dyDescent="0.2">
      <c r="A7896" s="24" t="s">
        <v>18400</v>
      </c>
      <c r="B7896" s="24" t="s">
        <v>18401</v>
      </c>
      <c r="C7896" s="24" t="s">
        <v>792</v>
      </c>
      <c r="D7896" s="24" t="s">
        <v>17</v>
      </c>
      <c r="E7896" s="24" t="s">
        <v>18</v>
      </c>
      <c r="F7896" s="24" t="s">
        <v>19</v>
      </c>
      <c r="G7896" s="24" t="s">
        <v>28</v>
      </c>
      <c r="H7896" s="26">
        <v>40</v>
      </c>
      <c r="I7896" s="24" t="s">
        <v>29</v>
      </c>
      <c r="J7896" s="36">
        <v>45965</v>
      </c>
      <c r="K7896" s="24" t="s">
        <v>22</v>
      </c>
    </row>
    <row r="7897" spans="1:11" x14ac:dyDescent="0.2">
      <c r="A7897" s="27" t="s">
        <v>18402</v>
      </c>
      <c r="B7897" s="27" t="s">
        <v>18403</v>
      </c>
      <c r="C7897" s="27" t="s">
        <v>13252</v>
      </c>
      <c r="D7897" s="27" t="s">
        <v>17</v>
      </c>
      <c r="E7897" s="27" t="s">
        <v>42</v>
      </c>
      <c r="F7897" s="27" t="s">
        <v>43</v>
      </c>
      <c r="G7897" s="27" t="s">
        <v>217</v>
      </c>
      <c r="H7897" s="29">
        <v>250</v>
      </c>
      <c r="I7897" s="27" t="s">
        <v>29</v>
      </c>
      <c r="J7897" s="37">
        <v>45962</v>
      </c>
      <c r="K7897" s="27" t="s">
        <v>22</v>
      </c>
    </row>
    <row r="7898" spans="1:11" x14ac:dyDescent="0.2">
      <c r="A7898" s="24" t="s">
        <v>18404</v>
      </c>
      <c r="B7898" s="24" t="s">
        <v>18405</v>
      </c>
      <c r="C7898" s="24" t="s">
        <v>140</v>
      </c>
      <c r="D7898" s="24" t="s">
        <v>17</v>
      </c>
      <c r="E7898" s="24" t="s">
        <v>48</v>
      </c>
      <c r="F7898" s="24" t="s">
        <v>49</v>
      </c>
      <c r="G7898" s="24" t="s">
        <v>28</v>
      </c>
      <c r="H7898" s="26">
        <v>105</v>
      </c>
      <c r="I7898" s="24" t="s">
        <v>29</v>
      </c>
      <c r="J7898" s="36">
        <v>45979</v>
      </c>
      <c r="K7898" s="24" t="s">
        <v>22</v>
      </c>
    </row>
    <row r="7899" spans="1:11" x14ac:dyDescent="0.2">
      <c r="A7899" s="27" t="s">
        <v>18406</v>
      </c>
      <c r="B7899" s="27" t="s">
        <v>18407</v>
      </c>
      <c r="C7899" s="27" t="s">
        <v>194</v>
      </c>
      <c r="D7899" s="27" t="s">
        <v>17</v>
      </c>
      <c r="E7899" s="27" t="s">
        <v>18</v>
      </c>
      <c r="F7899" s="27" t="s">
        <v>19</v>
      </c>
      <c r="G7899" s="27" t="s">
        <v>28</v>
      </c>
      <c r="H7899" s="29">
        <v>22</v>
      </c>
      <c r="I7899" s="27" t="s">
        <v>29</v>
      </c>
      <c r="J7899" s="37">
        <v>45975</v>
      </c>
      <c r="K7899" s="27" t="s">
        <v>22</v>
      </c>
    </row>
    <row r="7900" spans="1:11" x14ac:dyDescent="0.2">
      <c r="A7900" s="24" t="s">
        <v>18408</v>
      </c>
      <c r="B7900" s="24" t="s">
        <v>18409</v>
      </c>
      <c r="C7900" s="24" t="s">
        <v>810</v>
      </c>
      <c r="D7900" s="24" t="s">
        <v>17</v>
      </c>
      <c r="E7900" s="24" t="s">
        <v>42</v>
      </c>
      <c r="F7900" s="24" t="s">
        <v>43</v>
      </c>
      <c r="G7900" s="24" t="s">
        <v>44</v>
      </c>
      <c r="H7900" s="26">
        <v>157</v>
      </c>
      <c r="I7900" s="24" t="s">
        <v>21</v>
      </c>
      <c r="J7900" s="36">
        <v>45969</v>
      </c>
      <c r="K7900" s="24" t="s">
        <v>22</v>
      </c>
    </row>
    <row r="7901" spans="1:11" x14ac:dyDescent="0.2">
      <c r="A7901" s="27" t="s">
        <v>18410</v>
      </c>
      <c r="B7901" s="27" t="s">
        <v>18411</v>
      </c>
      <c r="C7901" s="27" t="s">
        <v>97</v>
      </c>
      <c r="D7901" s="27" t="s">
        <v>17</v>
      </c>
      <c r="E7901" s="27" t="s">
        <v>48</v>
      </c>
      <c r="F7901" s="27" t="s">
        <v>49</v>
      </c>
      <c r="G7901" s="27" t="s">
        <v>28</v>
      </c>
      <c r="H7901" s="29">
        <v>76</v>
      </c>
      <c r="I7901" s="27" t="s">
        <v>29</v>
      </c>
      <c r="J7901" s="37">
        <v>45974</v>
      </c>
      <c r="K7901" s="27" t="s">
        <v>22</v>
      </c>
    </row>
    <row r="7902" spans="1:11" x14ac:dyDescent="0.2">
      <c r="A7902" s="24" t="s">
        <v>18412</v>
      </c>
      <c r="B7902" s="24" t="s">
        <v>18413</v>
      </c>
      <c r="C7902" s="24" t="s">
        <v>18414</v>
      </c>
      <c r="D7902" s="24" t="s">
        <v>17</v>
      </c>
      <c r="E7902" s="24" t="s">
        <v>26</v>
      </c>
      <c r="F7902" s="24" t="s">
        <v>27</v>
      </c>
      <c r="G7902" s="24" t="s">
        <v>28</v>
      </c>
      <c r="H7902" s="26">
        <v>12</v>
      </c>
      <c r="I7902" s="24" t="s">
        <v>29</v>
      </c>
      <c r="J7902" s="36">
        <v>45974</v>
      </c>
      <c r="K7902" s="24" t="s">
        <v>22</v>
      </c>
    </row>
    <row r="7903" spans="1:11" x14ac:dyDescent="0.2">
      <c r="A7903" s="27" t="s">
        <v>18415</v>
      </c>
      <c r="B7903" s="27" t="s">
        <v>18416</v>
      </c>
      <c r="C7903" s="27" t="s">
        <v>354</v>
      </c>
      <c r="D7903" s="27" t="s">
        <v>17</v>
      </c>
      <c r="E7903" s="27" t="s">
        <v>42</v>
      </c>
      <c r="F7903" s="27" t="s">
        <v>43</v>
      </c>
      <c r="G7903" s="27" t="s">
        <v>28</v>
      </c>
      <c r="H7903" s="29">
        <v>734</v>
      </c>
      <c r="I7903" s="27" t="s">
        <v>29</v>
      </c>
      <c r="J7903" s="37">
        <v>45982</v>
      </c>
      <c r="K7903" s="27" t="s">
        <v>22</v>
      </c>
    </row>
    <row r="7904" spans="1:11" x14ac:dyDescent="0.2">
      <c r="A7904" s="24" t="s">
        <v>18417</v>
      </c>
      <c r="B7904" s="24" t="s">
        <v>18418</v>
      </c>
      <c r="C7904" s="24" t="s">
        <v>5080</v>
      </c>
      <c r="D7904" s="24" t="s">
        <v>17</v>
      </c>
      <c r="E7904" s="24" t="s">
        <v>18</v>
      </c>
      <c r="F7904" s="24" t="s">
        <v>19</v>
      </c>
      <c r="G7904" s="24" t="s">
        <v>28</v>
      </c>
      <c r="H7904" s="26">
        <v>100</v>
      </c>
      <c r="I7904" s="24" t="s">
        <v>29</v>
      </c>
      <c r="J7904" s="36">
        <v>45987</v>
      </c>
      <c r="K7904" s="24" t="s">
        <v>22</v>
      </c>
    </row>
    <row r="7905" spans="1:11" x14ac:dyDescent="0.2">
      <c r="A7905" s="27" t="s">
        <v>18419</v>
      </c>
      <c r="B7905" s="27" t="s">
        <v>18420</v>
      </c>
      <c r="C7905" s="27" t="s">
        <v>5239</v>
      </c>
      <c r="D7905" s="27" t="s">
        <v>17</v>
      </c>
      <c r="E7905" s="27" t="s">
        <v>26</v>
      </c>
      <c r="F7905" s="27" t="s">
        <v>27</v>
      </c>
      <c r="G7905" s="27" t="s">
        <v>28</v>
      </c>
      <c r="H7905" s="29">
        <v>110</v>
      </c>
      <c r="I7905" s="27" t="s">
        <v>29</v>
      </c>
      <c r="J7905" s="37">
        <v>45988</v>
      </c>
      <c r="K7905" s="27" t="s">
        <v>22</v>
      </c>
    </row>
    <row r="7906" spans="1:11" x14ac:dyDescent="0.2">
      <c r="A7906" s="24" t="s">
        <v>18421</v>
      </c>
      <c r="B7906" s="24" t="s">
        <v>18422</v>
      </c>
      <c r="C7906" s="24" t="s">
        <v>1044</v>
      </c>
      <c r="D7906" s="24" t="s">
        <v>17</v>
      </c>
      <c r="E7906" s="24" t="s">
        <v>18</v>
      </c>
      <c r="F7906" s="24" t="s">
        <v>19</v>
      </c>
      <c r="G7906" s="24" t="s">
        <v>20</v>
      </c>
      <c r="H7906" s="26">
        <v>70</v>
      </c>
      <c r="I7906" s="24" t="s">
        <v>21</v>
      </c>
      <c r="J7906" s="36">
        <v>45975</v>
      </c>
      <c r="K7906" s="24" t="s">
        <v>22</v>
      </c>
    </row>
    <row r="7907" spans="1:11" x14ac:dyDescent="0.2">
      <c r="A7907" s="27" t="s">
        <v>18423</v>
      </c>
      <c r="B7907" s="27" t="s">
        <v>18424</v>
      </c>
      <c r="C7907" s="27" t="s">
        <v>2116</v>
      </c>
      <c r="D7907" s="27" t="s">
        <v>17</v>
      </c>
      <c r="E7907" s="27" t="s">
        <v>26</v>
      </c>
      <c r="F7907" s="27" t="s">
        <v>27</v>
      </c>
      <c r="G7907" s="27" t="s">
        <v>28</v>
      </c>
      <c r="H7907" s="29">
        <v>258</v>
      </c>
      <c r="I7907" s="27" t="s">
        <v>29</v>
      </c>
      <c r="J7907" s="37">
        <v>45981</v>
      </c>
      <c r="K7907" s="27" t="s">
        <v>22</v>
      </c>
    </row>
    <row r="7908" spans="1:11" x14ac:dyDescent="0.2">
      <c r="A7908" s="24" t="s">
        <v>18425</v>
      </c>
      <c r="B7908" s="24" t="s">
        <v>18426</v>
      </c>
      <c r="C7908" s="24" t="s">
        <v>621</v>
      </c>
      <c r="D7908" s="24" t="s">
        <v>17</v>
      </c>
      <c r="E7908" s="24" t="s">
        <v>18</v>
      </c>
      <c r="F7908" s="24" t="s">
        <v>19</v>
      </c>
      <c r="G7908" s="24" t="s">
        <v>28</v>
      </c>
      <c r="H7908" s="26">
        <v>36</v>
      </c>
      <c r="I7908" s="24" t="s">
        <v>29</v>
      </c>
      <c r="J7908" s="36">
        <v>45967</v>
      </c>
      <c r="K7908" s="24" t="s">
        <v>22</v>
      </c>
    </row>
    <row r="7909" spans="1:11" x14ac:dyDescent="0.2">
      <c r="A7909" s="27" t="s">
        <v>18427</v>
      </c>
      <c r="B7909" s="27" t="s">
        <v>18428</v>
      </c>
      <c r="C7909" s="27" t="s">
        <v>18429</v>
      </c>
      <c r="D7909" s="27" t="s">
        <v>17</v>
      </c>
      <c r="E7909" s="27" t="s">
        <v>18</v>
      </c>
      <c r="F7909" s="27" t="s">
        <v>19</v>
      </c>
      <c r="G7909" s="27" t="s">
        <v>116</v>
      </c>
      <c r="H7909" s="29">
        <v>0</v>
      </c>
      <c r="I7909" s="27" t="s">
        <v>21</v>
      </c>
      <c r="J7909" s="37">
        <v>45970</v>
      </c>
      <c r="K7909" s="27" t="s">
        <v>22</v>
      </c>
    </row>
    <row r="7910" spans="1:11" x14ac:dyDescent="0.2">
      <c r="A7910" s="24" t="s">
        <v>18430</v>
      </c>
      <c r="B7910" s="24" t="s">
        <v>18431</v>
      </c>
      <c r="C7910" s="24" t="s">
        <v>613</v>
      </c>
      <c r="D7910" s="24" t="s">
        <v>17</v>
      </c>
      <c r="E7910" s="24" t="s">
        <v>42</v>
      </c>
      <c r="F7910" s="24" t="s">
        <v>43</v>
      </c>
      <c r="G7910" s="24" t="s">
        <v>28</v>
      </c>
      <c r="H7910" s="26">
        <v>464</v>
      </c>
      <c r="I7910" s="24" t="s">
        <v>29</v>
      </c>
      <c r="J7910" s="36">
        <v>45973</v>
      </c>
      <c r="K7910" s="24" t="s">
        <v>22</v>
      </c>
    </row>
    <row r="7911" spans="1:11" x14ac:dyDescent="0.2">
      <c r="A7911" s="27" t="s">
        <v>18432</v>
      </c>
      <c r="B7911" s="27" t="s">
        <v>18433</v>
      </c>
      <c r="C7911" s="27" t="s">
        <v>71</v>
      </c>
      <c r="D7911" s="27" t="s">
        <v>17</v>
      </c>
      <c r="E7911" s="27" t="s">
        <v>42</v>
      </c>
      <c r="F7911" s="27" t="s">
        <v>43</v>
      </c>
      <c r="G7911" s="27" t="s">
        <v>28</v>
      </c>
      <c r="H7911" s="29">
        <v>228</v>
      </c>
      <c r="I7911" s="27" t="s">
        <v>29</v>
      </c>
      <c r="J7911" s="37">
        <v>45968</v>
      </c>
      <c r="K7911" s="27" t="s">
        <v>22</v>
      </c>
    </row>
    <row r="7912" spans="1:11" x14ac:dyDescent="0.2">
      <c r="A7912" s="24" t="s">
        <v>18434</v>
      </c>
      <c r="B7912" s="24" t="s">
        <v>18435</v>
      </c>
      <c r="C7912" s="24" t="s">
        <v>9537</v>
      </c>
      <c r="D7912" s="24" t="s">
        <v>17</v>
      </c>
      <c r="E7912" s="24" t="s">
        <v>48</v>
      </c>
      <c r="F7912" s="24" t="s">
        <v>49</v>
      </c>
      <c r="G7912" s="24" t="s">
        <v>44</v>
      </c>
      <c r="H7912" s="26">
        <v>60</v>
      </c>
      <c r="I7912" s="24" t="s">
        <v>29</v>
      </c>
      <c r="J7912" s="36">
        <v>45966</v>
      </c>
      <c r="K7912" s="24" t="s">
        <v>22</v>
      </c>
    </row>
    <row r="7913" spans="1:11" x14ac:dyDescent="0.2">
      <c r="A7913" s="27" t="s">
        <v>18436</v>
      </c>
      <c r="B7913" s="27" t="s">
        <v>18437</v>
      </c>
      <c r="C7913" s="27" t="s">
        <v>16605</v>
      </c>
      <c r="D7913" s="27" t="s">
        <v>17</v>
      </c>
      <c r="E7913" s="27" t="s">
        <v>18</v>
      </c>
      <c r="F7913" s="27" t="s">
        <v>19</v>
      </c>
      <c r="G7913" s="27" t="s">
        <v>20</v>
      </c>
      <c r="H7913" s="29">
        <v>12</v>
      </c>
      <c r="I7913" s="27" t="s">
        <v>21</v>
      </c>
      <c r="J7913" s="37">
        <v>45972</v>
      </c>
      <c r="K7913" s="27" t="s">
        <v>22</v>
      </c>
    </row>
    <row r="7914" spans="1:11" x14ac:dyDescent="0.2">
      <c r="A7914" s="24" t="s">
        <v>18438</v>
      </c>
      <c r="B7914" s="24" t="s">
        <v>18439</v>
      </c>
      <c r="C7914" s="24" t="s">
        <v>52</v>
      </c>
      <c r="D7914" s="24" t="s">
        <v>17</v>
      </c>
      <c r="E7914" s="24" t="s">
        <v>18</v>
      </c>
      <c r="F7914" s="24" t="s">
        <v>19</v>
      </c>
      <c r="G7914" s="24" t="s">
        <v>28</v>
      </c>
      <c r="H7914" s="26">
        <v>36</v>
      </c>
      <c r="I7914" s="24" t="s">
        <v>29</v>
      </c>
      <c r="J7914" s="36">
        <v>45974</v>
      </c>
      <c r="K7914" s="24" t="s">
        <v>22</v>
      </c>
    </row>
    <row r="7915" spans="1:11" x14ac:dyDescent="0.2">
      <c r="A7915" s="27" t="s">
        <v>18440</v>
      </c>
      <c r="B7915" s="27" t="s">
        <v>18441</v>
      </c>
      <c r="C7915" s="27" t="s">
        <v>146</v>
      </c>
      <c r="D7915" s="27" t="s">
        <v>17</v>
      </c>
      <c r="E7915" s="27" t="s">
        <v>48</v>
      </c>
      <c r="F7915" s="27" t="s">
        <v>49</v>
      </c>
      <c r="G7915" s="27" t="s">
        <v>28</v>
      </c>
      <c r="H7915" s="29">
        <v>30</v>
      </c>
      <c r="I7915" s="27" t="s">
        <v>29</v>
      </c>
      <c r="J7915" s="37">
        <v>45988</v>
      </c>
      <c r="K7915" s="27" t="s">
        <v>22</v>
      </c>
    </row>
    <row r="7916" spans="1:11" x14ac:dyDescent="0.2">
      <c r="A7916" s="24" t="s">
        <v>18442</v>
      </c>
      <c r="B7916" s="24" t="s">
        <v>18443</v>
      </c>
      <c r="C7916" s="24" t="s">
        <v>1110</v>
      </c>
      <c r="D7916" s="24" t="s">
        <v>17</v>
      </c>
      <c r="E7916" s="24" t="s">
        <v>18</v>
      </c>
      <c r="F7916" s="24" t="s">
        <v>19</v>
      </c>
      <c r="G7916" s="24" t="s">
        <v>28</v>
      </c>
      <c r="H7916" s="26">
        <v>40</v>
      </c>
      <c r="I7916" s="24" t="s">
        <v>29</v>
      </c>
      <c r="J7916" s="36">
        <v>45980</v>
      </c>
      <c r="K7916" s="24" t="s">
        <v>22</v>
      </c>
    </row>
    <row r="7917" spans="1:11" x14ac:dyDescent="0.2">
      <c r="A7917" s="27" t="s">
        <v>18444</v>
      </c>
      <c r="B7917" s="27" t="s">
        <v>18445</v>
      </c>
      <c r="C7917" s="27" t="s">
        <v>85</v>
      </c>
      <c r="D7917" s="27" t="s">
        <v>17</v>
      </c>
      <c r="E7917" s="27" t="s">
        <v>42</v>
      </c>
      <c r="F7917" s="27" t="s">
        <v>43</v>
      </c>
      <c r="G7917" s="27" t="s">
        <v>28</v>
      </c>
      <c r="H7917" s="29">
        <v>561</v>
      </c>
      <c r="I7917" s="27" t="s">
        <v>29</v>
      </c>
      <c r="J7917" s="37">
        <v>45966</v>
      </c>
      <c r="K7917" s="27" t="s">
        <v>22</v>
      </c>
    </row>
    <row r="7918" spans="1:11" x14ac:dyDescent="0.2">
      <c r="A7918" s="24" t="s">
        <v>18446</v>
      </c>
      <c r="B7918" s="24" t="s">
        <v>18447</v>
      </c>
      <c r="C7918" s="24" t="s">
        <v>2663</v>
      </c>
      <c r="D7918" s="24" t="s">
        <v>17</v>
      </c>
      <c r="E7918" s="24" t="s">
        <v>42</v>
      </c>
      <c r="F7918" s="24" t="s">
        <v>43</v>
      </c>
      <c r="G7918" s="24" t="s">
        <v>28</v>
      </c>
      <c r="H7918" s="26">
        <v>1370</v>
      </c>
      <c r="I7918" s="24" t="s">
        <v>29</v>
      </c>
      <c r="J7918" s="36">
        <v>45986</v>
      </c>
      <c r="K7918" s="24" t="s">
        <v>22</v>
      </c>
    </row>
    <row r="7919" spans="1:11" x14ac:dyDescent="0.2">
      <c r="A7919" s="27" t="s">
        <v>18448</v>
      </c>
      <c r="B7919" s="27" t="s">
        <v>18449</v>
      </c>
      <c r="C7919" s="27" t="s">
        <v>18450</v>
      </c>
      <c r="D7919" s="27" t="s">
        <v>17</v>
      </c>
      <c r="E7919" s="27" t="s">
        <v>163</v>
      </c>
      <c r="F7919" s="27" t="s">
        <v>164</v>
      </c>
      <c r="G7919" s="27" t="s">
        <v>28</v>
      </c>
      <c r="H7919" s="29">
        <v>12</v>
      </c>
      <c r="I7919" s="27" t="s">
        <v>29</v>
      </c>
      <c r="J7919" s="37">
        <v>45972</v>
      </c>
      <c r="K7919" s="27" t="s">
        <v>22</v>
      </c>
    </row>
    <row r="7920" spans="1:11" x14ac:dyDescent="0.2">
      <c r="A7920" s="24" t="s">
        <v>18451</v>
      </c>
      <c r="B7920" s="24" t="s">
        <v>18452</v>
      </c>
      <c r="C7920" s="24" t="s">
        <v>437</v>
      </c>
      <c r="D7920" s="24" t="s">
        <v>17</v>
      </c>
      <c r="E7920" s="24" t="s">
        <v>42</v>
      </c>
      <c r="F7920" s="24" t="s">
        <v>43</v>
      </c>
      <c r="G7920" s="24" t="s">
        <v>28</v>
      </c>
      <c r="H7920" s="26">
        <v>750</v>
      </c>
      <c r="I7920" s="24" t="s">
        <v>29</v>
      </c>
      <c r="J7920" s="36">
        <v>45989</v>
      </c>
      <c r="K7920" s="24" t="s">
        <v>22</v>
      </c>
    </row>
    <row r="7921" spans="1:11" x14ac:dyDescent="0.2">
      <c r="A7921" s="27" t="s">
        <v>18453</v>
      </c>
      <c r="B7921" s="27" t="s">
        <v>18454</v>
      </c>
      <c r="C7921" s="27" t="s">
        <v>801</v>
      </c>
      <c r="D7921" s="27" t="s">
        <v>17</v>
      </c>
      <c r="E7921" s="27" t="s">
        <v>18</v>
      </c>
      <c r="F7921" s="27" t="s">
        <v>19</v>
      </c>
      <c r="G7921" s="27" t="s">
        <v>28</v>
      </c>
      <c r="H7921" s="29">
        <v>48</v>
      </c>
      <c r="I7921" s="27" t="s">
        <v>29</v>
      </c>
      <c r="J7921" s="37">
        <v>45982</v>
      </c>
      <c r="K7921" s="27" t="s">
        <v>22</v>
      </c>
    </row>
    <row r="7922" spans="1:11" x14ac:dyDescent="0.2">
      <c r="A7922" s="24" t="s">
        <v>18455</v>
      </c>
      <c r="B7922" s="24" t="s">
        <v>18456</v>
      </c>
      <c r="C7922" s="24" t="s">
        <v>97</v>
      </c>
      <c r="D7922" s="24" t="s">
        <v>17</v>
      </c>
      <c r="E7922" s="24" t="s">
        <v>18</v>
      </c>
      <c r="F7922" s="24" t="s">
        <v>19</v>
      </c>
      <c r="G7922" s="24" t="s">
        <v>28</v>
      </c>
      <c r="H7922" s="26">
        <v>72</v>
      </c>
      <c r="I7922" s="24" t="s">
        <v>29</v>
      </c>
      <c r="J7922" s="36">
        <v>45964</v>
      </c>
      <c r="K7922" s="24" t="s">
        <v>22</v>
      </c>
    </row>
    <row r="7923" spans="1:11" x14ac:dyDescent="0.2">
      <c r="A7923" s="27" t="s">
        <v>18457</v>
      </c>
      <c r="B7923" s="27" t="s">
        <v>18458</v>
      </c>
      <c r="C7923" s="27" t="s">
        <v>708</v>
      </c>
      <c r="D7923" s="27" t="s">
        <v>17</v>
      </c>
      <c r="E7923" s="27" t="s">
        <v>42</v>
      </c>
      <c r="F7923" s="27" t="s">
        <v>43</v>
      </c>
      <c r="G7923" s="27" t="s">
        <v>28</v>
      </c>
      <c r="H7923" s="29">
        <v>20</v>
      </c>
      <c r="I7923" s="27" t="s">
        <v>29</v>
      </c>
      <c r="J7923" s="37">
        <v>45971</v>
      </c>
      <c r="K7923" s="27" t="s">
        <v>22</v>
      </c>
    </row>
    <row r="7924" spans="1:11" x14ac:dyDescent="0.2">
      <c r="A7924" s="24" t="s">
        <v>18459</v>
      </c>
      <c r="B7924" s="24" t="s">
        <v>18460</v>
      </c>
      <c r="C7924" s="24" t="s">
        <v>595</v>
      </c>
      <c r="D7924" s="24" t="s">
        <v>17</v>
      </c>
      <c r="E7924" s="24" t="s">
        <v>48</v>
      </c>
      <c r="F7924" s="24" t="s">
        <v>49</v>
      </c>
      <c r="G7924" s="24" t="s">
        <v>28</v>
      </c>
      <c r="H7924" s="26">
        <v>72</v>
      </c>
      <c r="I7924" s="24" t="s">
        <v>29</v>
      </c>
      <c r="J7924" s="36">
        <v>45972</v>
      </c>
      <c r="K7924" s="24" t="s">
        <v>22</v>
      </c>
    </row>
    <row r="7925" spans="1:11" x14ac:dyDescent="0.2">
      <c r="A7925" s="27" t="s">
        <v>18461</v>
      </c>
      <c r="B7925" s="27" t="s">
        <v>18462</v>
      </c>
      <c r="C7925" s="27" t="s">
        <v>18463</v>
      </c>
      <c r="D7925" s="27" t="s">
        <v>17</v>
      </c>
      <c r="E7925" s="27" t="s">
        <v>18</v>
      </c>
      <c r="F7925" s="27" t="s">
        <v>19</v>
      </c>
      <c r="G7925" s="27" t="s">
        <v>20</v>
      </c>
      <c r="H7925" s="29">
        <v>18</v>
      </c>
      <c r="I7925" s="27" t="s">
        <v>21</v>
      </c>
      <c r="J7925" s="37">
        <v>45982</v>
      </c>
      <c r="K7925" s="27" t="s">
        <v>22</v>
      </c>
    </row>
    <row r="7926" spans="1:11" x14ac:dyDescent="0.2">
      <c r="A7926" s="24" t="s">
        <v>18464</v>
      </c>
      <c r="B7926" s="24" t="s">
        <v>18465</v>
      </c>
      <c r="C7926" s="24" t="s">
        <v>203</v>
      </c>
      <c r="D7926" s="24" t="s">
        <v>17</v>
      </c>
      <c r="E7926" s="24" t="s">
        <v>48</v>
      </c>
      <c r="F7926" s="24" t="s">
        <v>49</v>
      </c>
      <c r="G7926" s="24" t="s">
        <v>28</v>
      </c>
      <c r="H7926" s="26">
        <v>14</v>
      </c>
      <c r="I7926" s="24" t="s">
        <v>29</v>
      </c>
      <c r="J7926" s="36">
        <v>45980</v>
      </c>
      <c r="K7926" s="24" t="s">
        <v>22</v>
      </c>
    </row>
    <row r="7927" spans="1:11" x14ac:dyDescent="0.2">
      <c r="A7927" s="27" t="s">
        <v>18466</v>
      </c>
      <c r="B7927" s="27" t="s">
        <v>18467</v>
      </c>
      <c r="C7927" s="27" t="s">
        <v>266</v>
      </c>
      <c r="D7927" s="27" t="s">
        <v>17</v>
      </c>
      <c r="E7927" s="27" t="s">
        <v>81</v>
      </c>
      <c r="F7927" s="27" t="s">
        <v>82</v>
      </c>
      <c r="G7927" s="27" t="s">
        <v>217</v>
      </c>
      <c r="H7927" s="29">
        <v>238</v>
      </c>
      <c r="I7927" s="27" t="s">
        <v>29</v>
      </c>
      <c r="J7927" s="37">
        <v>45962</v>
      </c>
      <c r="K7927" s="27" t="s">
        <v>22</v>
      </c>
    </row>
    <row r="7928" spans="1:11" x14ac:dyDescent="0.2">
      <c r="A7928" s="24" t="s">
        <v>18468</v>
      </c>
      <c r="B7928" s="24" t="s">
        <v>18469</v>
      </c>
      <c r="C7928" s="24" t="s">
        <v>4625</v>
      </c>
      <c r="D7928" s="24" t="s">
        <v>17</v>
      </c>
      <c r="E7928" s="24" t="s">
        <v>18</v>
      </c>
      <c r="F7928" s="24" t="s">
        <v>19</v>
      </c>
      <c r="G7928" s="24" t="s">
        <v>217</v>
      </c>
      <c r="H7928" s="26">
        <v>24</v>
      </c>
      <c r="I7928" s="24" t="s">
        <v>29</v>
      </c>
      <c r="J7928" s="36">
        <v>45962</v>
      </c>
      <c r="K7928" s="24" t="s">
        <v>22</v>
      </c>
    </row>
    <row r="7929" spans="1:11" x14ac:dyDescent="0.2">
      <c r="A7929" s="27" t="s">
        <v>18470</v>
      </c>
      <c r="B7929" s="27" t="s">
        <v>18471</v>
      </c>
      <c r="C7929" s="27" t="s">
        <v>18472</v>
      </c>
      <c r="D7929" s="27" t="s">
        <v>17</v>
      </c>
      <c r="E7929" s="27" t="s">
        <v>42</v>
      </c>
      <c r="F7929" s="27" t="s">
        <v>43</v>
      </c>
      <c r="G7929" s="27" t="s">
        <v>28</v>
      </c>
      <c r="H7929" s="29">
        <v>300</v>
      </c>
      <c r="I7929" s="27" t="s">
        <v>29</v>
      </c>
      <c r="J7929" s="37">
        <v>45966</v>
      </c>
      <c r="K7929" s="27" t="s">
        <v>22</v>
      </c>
    </row>
    <row r="7930" spans="1:11" x14ac:dyDescent="0.2">
      <c r="A7930" s="24" t="s">
        <v>18473</v>
      </c>
      <c r="B7930" s="24" t="s">
        <v>18474</v>
      </c>
      <c r="C7930" s="24" t="s">
        <v>18475</v>
      </c>
      <c r="D7930" s="24" t="s">
        <v>17</v>
      </c>
      <c r="E7930" s="24" t="s">
        <v>26</v>
      </c>
      <c r="F7930" s="24" t="s">
        <v>27</v>
      </c>
      <c r="G7930" s="24" t="s">
        <v>28</v>
      </c>
      <c r="H7930" s="26">
        <v>20</v>
      </c>
      <c r="I7930" s="24" t="s">
        <v>29</v>
      </c>
      <c r="J7930" s="36">
        <v>45981</v>
      </c>
      <c r="K7930" s="24" t="s">
        <v>22</v>
      </c>
    </row>
    <row r="7931" spans="1:11" x14ac:dyDescent="0.2">
      <c r="A7931" s="27" t="s">
        <v>18476</v>
      </c>
      <c r="B7931" s="27" t="s">
        <v>18477</v>
      </c>
      <c r="C7931" s="27" t="s">
        <v>266</v>
      </c>
      <c r="D7931" s="27" t="s">
        <v>17</v>
      </c>
      <c r="E7931" s="27" t="s">
        <v>18</v>
      </c>
      <c r="F7931" s="27" t="s">
        <v>19</v>
      </c>
      <c r="G7931" s="27" t="s">
        <v>28</v>
      </c>
      <c r="H7931" s="29">
        <v>38</v>
      </c>
      <c r="I7931" s="27" t="s">
        <v>29</v>
      </c>
      <c r="J7931" s="37">
        <v>45962</v>
      </c>
      <c r="K7931" s="27" t="s">
        <v>22</v>
      </c>
    </row>
    <row r="7932" spans="1:11" x14ac:dyDescent="0.2">
      <c r="A7932" s="24" t="s">
        <v>18478</v>
      </c>
      <c r="B7932" s="24" t="s">
        <v>18479</v>
      </c>
      <c r="C7932" s="24" t="s">
        <v>18480</v>
      </c>
      <c r="D7932" s="24" t="s">
        <v>17</v>
      </c>
      <c r="E7932" s="24" t="s">
        <v>42</v>
      </c>
      <c r="F7932" s="24" t="s">
        <v>43</v>
      </c>
      <c r="G7932" s="24" t="s">
        <v>217</v>
      </c>
      <c r="H7932" s="26">
        <v>573</v>
      </c>
      <c r="I7932" s="24" t="s">
        <v>29</v>
      </c>
      <c r="J7932" s="36">
        <v>45962</v>
      </c>
      <c r="K7932" s="24" t="s">
        <v>22</v>
      </c>
    </row>
    <row r="7933" spans="1:11" x14ac:dyDescent="0.2">
      <c r="A7933" s="27" t="s">
        <v>18481</v>
      </c>
      <c r="B7933" s="27" t="s">
        <v>18482</v>
      </c>
      <c r="C7933" s="27" t="s">
        <v>213</v>
      </c>
      <c r="D7933" s="27" t="s">
        <v>17</v>
      </c>
      <c r="E7933" s="27" t="s">
        <v>18</v>
      </c>
      <c r="F7933" s="27" t="s">
        <v>19</v>
      </c>
      <c r="G7933" s="27" t="s">
        <v>28</v>
      </c>
      <c r="H7933" s="29">
        <v>294</v>
      </c>
      <c r="I7933" s="27" t="s">
        <v>29</v>
      </c>
      <c r="J7933" s="37">
        <v>45967</v>
      </c>
      <c r="K7933" s="27" t="s">
        <v>22</v>
      </c>
    </row>
    <row r="7934" spans="1:11" x14ac:dyDescent="0.2">
      <c r="A7934" s="24" t="s">
        <v>18483</v>
      </c>
      <c r="B7934" s="24" t="s">
        <v>18484</v>
      </c>
      <c r="C7934" s="24" t="s">
        <v>306</v>
      </c>
      <c r="D7934" s="24" t="s">
        <v>17</v>
      </c>
      <c r="E7934" s="24" t="s">
        <v>48</v>
      </c>
      <c r="F7934" s="24" t="s">
        <v>49</v>
      </c>
      <c r="G7934" s="24" t="s">
        <v>28</v>
      </c>
      <c r="H7934" s="26">
        <v>48</v>
      </c>
      <c r="I7934" s="24" t="s">
        <v>29</v>
      </c>
      <c r="J7934" s="36">
        <v>45965</v>
      </c>
      <c r="K7934" s="24" t="s">
        <v>22</v>
      </c>
    </row>
    <row r="7935" spans="1:11" x14ac:dyDescent="0.2">
      <c r="A7935" s="27" t="s">
        <v>18485</v>
      </c>
      <c r="B7935" s="27" t="s">
        <v>18486</v>
      </c>
      <c r="C7935" s="27" t="s">
        <v>515</v>
      </c>
      <c r="D7935" s="27" t="s">
        <v>17</v>
      </c>
      <c r="E7935" s="27" t="s">
        <v>42</v>
      </c>
      <c r="F7935" s="27" t="s">
        <v>43</v>
      </c>
      <c r="G7935" s="27" t="s">
        <v>28</v>
      </c>
      <c r="H7935" s="29">
        <v>930</v>
      </c>
      <c r="I7935" s="27" t="s">
        <v>29</v>
      </c>
      <c r="J7935" s="37">
        <v>45978</v>
      </c>
      <c r="K7935" s="27" t="s">
        <v>22</v>
      </c>
    </row>
    <row r="7936" spans="1:11" x14ac:dyDescent="0.2">
      <c r="A7936" s="24" t="s">
        <v>18487</v>
      </c>
      <c r="B7936" s="24" t="s">
        <v>18488</v>
      </c>
      <c r="C7936" s="24" t="s">
        <v>18489</v>
      </c>
      <c r="D7936" s="24" t="s">
        <v>17</v>
      </c>
      <c r="E7936" s="24" t="s">
        <v>42</v>
      </c>
      <c r="F7936" s="24" t="s">
        <v>43</v>
      </c>
      <c r="G7936" s="24" t="s">
        <v>28</v>
      </c>
      <c r="H7936" s="26">
        <v>659</v>
      </c>
      <c r="I7936" s="24" t="s">
        <v>29</v>
      </c>
      <c r="J7936" s="36">
        <v>45962</v>
      </c>
      <c r="K7936" s="24" t="s">
        <v>22</v>
      </c>
    </row>
    <row r="7937" spans="1:11" x14ac:dyDescent="0.2">
      <c r="A7937" s="27" t="s">
        <v>18490</v>
      </c>
      <c r="B7937" s="27" t="s">
        <v>18491</v>
      </c>
      <c r="C7937" s="27" t="s">
        <v>2331</v>
      </c>
      <c r="D7937" s="27" t="s">
        <v>17</v>
      </c>
      <c r="E7937" s="27" t="s">
        <v>26</v>
      </c>
      <c r="F7937" s="27" t="s">
        <v>27</v>
      </c>
      <c r="G7937" s="27" t="s">
        <v>28</v>
      </c>
      <c r="H7937" s="29">
        <v>245</v>
      </c>
      <c r="I7937" s="27" t="s">
        <v>29</v>
      </c>
      <c r="J7937" s="37">
        <v>45979</v>
      </c>
      <c r="K7937" s="27" t="s">
        <v>22</v>
      </c>
    </row>
    <row r="7938" spans="1:11" x14ac:dyDescent="0.2">
      <c r="A7938" s="24" t="s">
        <v>18492</v>
      </c>
      <c r="B7938" s="24" t="s">
        <v>18493</v>
      </c>
      <c r="C7938" s="24" t="s">
        <v>18494</v>
      </c>
      <c r="D7938" s="24" t="s">
        <v>17</v>
      </c>
      <c r="E7938" s="24" t="s">
        <v>18</v>
      </c>
      <c r="F7938" s="24" t="s">
        <v>19</v>
      </c>
      <c r="G7938" s="24" t="s">
        <v>217</v>
      </c>
      <c r="H7938" s="26">
        <v>27</v>
      </c>
      <c r="I7938" s="24" t="s">
        <v>29</v>
      </c>
      <c r="J7938" s="36">
        <v>45962</v>
      </c>
      <c r="K7938" s="24" t="s">
        <v>22</v>
      </c>
    </row>
    <row r="7939" spans="1:11" x14ac:dyDescent="0.2">
      <c r="A7939" s="27" t="s">
        <v>18495</v>
      </c>
      <c r="B7939" s="27" t="s">
        <v>18496</v>
      </c>
      <c r="C7939" s="27" t="s">
        <v>10533</v>
      </c>
      <c r="D7939" s="27" t="s">
        <v>17</v>
      </c>
      <c r="E7939" s="27" t="s">
        <v>81</v>
      </c>
      <c r="F7939" s="27" t="s">
        <v>82</v>
      </c>
      <c r="G7939" s="27" t="s">
        <v>28</v>
      </c>
      <c r="H7939" s="29">
        <v>38</v>
      </c>
      <c r="I7939" s="27" t="s">
        <v>29</v>
      </c>
      <c r="J7939" s="37">
        <v>45962</v>
      </c>
      <c r="K7939" s="27" t="s">
        <v>22</v>
      </c>
    </row>
    <row r="7940" spans="1:11" x14ac:dyDescent="0.2">
      <c r="A7940" s="24" t="s">
        <v>18497</v>
      </c>
      <c r="B7940" s="24" t="s">
        <v>18498</v>
      </c>
      <c r="C7940" s="24" t="s">
        <v>1799</v>
      </c>
      <c r="D7940" s="24" t="s">
        <v>17</v>
      </c>
      <c r="E7940" s="24" t="s">
        <v>18</v>
      </c>
      <c r="F7940" s="24" t="s">
        <v>19</v>
      </c>
      <c r="G7940" s="24" t="s">
        <v>28</v>
      </c>
      <c r="H7940" s="26">
        <v>86</v>
      </c>
      <c r="I7940" s="24" t="s">
        <v>29</v>
      </c>
      <c r="J7940" s="36">
        <v>45972</v>
      </c>
      <c r="K7940" s="24" t="s">
        <v>22</v>
      </c>
    </row>
    <row r="7941" spans="1:11" x14ac:dyDescent="0.2">
      <c r="A7941" s="27" t="s">
        <v>18499</v>
      </c>
      <c r="B7941" s="27" t="s">
        <v>18500</v>
      </c>
      <c r="C7941" s="27" t="s">
        <v>896</v>
      </c>
      <c r="D7941" s="27" t="s">
        <v>17</v>
      </c>
      <c r="E7941" s="27" t="s">
        <v>18</v>
      </c>
      <c r="F7941" s="27" t="s">
        <v>19</v>
      </c>
      <c r="G7941" s="27" t="s">
        <v>28</v>
      </c>
      <c r="H7941" s="29">
        <v>132</v>
      </c>
      <c r="I7941" s="27" t="s">
        <v>29</v>
      </c>
      <c r="J7941" s="37">
        <v>45990</v>
      </c>
      <c r="K7941" s="27" t="s">
        <v>22</v>
      </c>
    </row>
    <row r="7942" spans="1:11" x14ac:dyDescent="0.2">
      <c r="A7942" s="24" t="s">
        <v>18501</v>
      </c>
      <c r="B7942" s="24" t="s">
        <v>18502</v>
      </c>
      <c r="C7942" s="24" t="s">
        <v>18503</v>
      </c>
      <c r="D7942" s="24" t="s">
        <v>17</v>
      </c>
      <c r="E7942" s="24" t="s">
        <v>48</v>
      </c>
      <c r="F7942" s="24" t="s">
        <v>49</v>
      </c>
      <c r="G7942" s="24" t="s">
        <v>28</v>
      </c>
      <c r="H7942" s="26">
        <v>100</v>
      </c>
      <c r="I7942" s="24" t="s">
        <v>29</v>
      </c>
      <c r="J7942" s="36">
        <v>45964</v>
      </c>
      <c r="K7942" s="24" t="s">
        <v>22</v>
      </c>
    </row>
    <row r="7943" spans="1:11" x14ac:dyDescent="0.2">
      <c r="A7943" s="27" t="s">
        <v>18504</v>
      </c>
      <c r="B7943" s="27" t="s">
        <v>18505</v>
      </c>
      <c r="C7943" s="27" t="s">
        <v>301</v>
      </c>
      <c r="D7943" s="27" t="s">
        <v>17</v>
      </c>
      <c r="E7943" s="27" t="s">
        <v>18</v>
      </c>
      <c r="F7943" s="27" t="s">
        <v>19</v>
      </c>
      <c r="G7943" s="27" t="s">
        <v>28</v>
      </c>
      <c r="H7943" s="29">
        <v>10</v>
      </c>
      <c r="I7943" s="27" t="s">
        <v>29</v>
      </c>
      <c r="J7943" s="37">
        <v>45979</v>
      </c>
      <c r="K7943" s="27" t="s">
        <v>22</v>
      </c>
    </row>
    <row r="7944" spans="1:11" x14ac:dyDescent="0.2">
      <c r="A7944" s="24" t="s">
        <v>18506</v>
      </c>
      <c r="B7944" s="24" t="s">
        <v>18507</v>
      </c>
      <c r="C7944" s="24" t="s">
        <v>18508</v>
      </c>
      <c r="D7944" s="24" t="s">
        <v>17</v>
      </c>
      <c r="E7944" s="24" t="s">
        <v>18</v>
      </c>
      <c r="F7944" s="24" t="s">
        <v>19</v>
      </c>
      <c r="G7944" s="24" t="s">
        <v>28</v>
      </c>
      <c r="H7944" s="26">
        <v>56</v>
      </c>
      <c r="I7944" s="24" t="s">
        <v>29</v>
      </c>
      <c r="J7944" s="36">
        <v>45985</v>
      </c>
      <c r="K7944" s="24" t="s">
        <v>22</v>
      </c>
    </row>
    <row r="7945" spans="1:11" x14ac:dyDescent="0.2">
      <c r="A7945" s="27" t="s">
        <v>18509</v>
      </c>
      <c r="B7945" s="27" t="s">
        <v>18510</v>
      </c>
      <c r="C7945" s="27" t="s">
        <v>115</v>
      </c>
      <c r="D7945" s="27" t="s">
        <v>17</v>
      </c>
      <c r="E7945" s="27" t="s">
        <v>48</v>
      </c>
      <c r="F7945" s="27" t="s">
        <v>49</v>
      </c>
      <c r="G7945" s="27" t="s">
        <v>28</v>
      </c>
      <c r="H7945" s="29">
        <v>200</v>
      </c>
      <c r="I7945" s="27" t="s">
        <v>29</v>
      </c>
      <c r="J7945" s="37">
        <v>45964</v>
      </c>
      <c r="K7945" s="27" t="s">
        <v>22</v>
      </c>
    </row>
    <row r="7946" spans="1:11" x14ac:dyDescent="0.2">
      <c r="A7946" s="24" t="s">
        <v>18511</v>
      </c>
      <c r="B7946" s="24" t="s">
        <v>18512</v>
      </c>
      <c r="C7946" s="24" t="s">
        <v>526</v>
      </c>
      <c r="D7946" s="24" t="s">
        <v>17</v>
      </c>
      <c r="E7946" s="24" t="s">
        <v>18</v>
      </c>
      <c r="F7946" s="24" t="s">
        <v>19</v>
      </c>
      <c r="G7946" s="24" t="s">
        <v>28</v>
      </c>
      <c r="H7946" s="26">
        <v>84</v>
      </c>
      <c r="I7946" s="24" t="s">
        <v>29</v>
      </c>
      <c r="J7946" s="36">
        <v>45979</v>
      </c>
      <c r="K7946" s="24" t="s">
        <v>22</v>
      </c>
    </row>
    <row r="7947" spans="1:11" x14ac:dyDescent="0.2">
      <c r="A7947" s="27" t="s">
        <v>18513</v>
      </c>
      <c r="B7947" s="27" t="s">
        <v>18514</v>
      </c>
      <c r="C7947" s="27" t="s">
        <v>14971</v>
      </c>
      <c r="D7947" s="27" t="s">
        <v>17</v>
      </c>
      <c r="E7947" s="27" t="s">
        <v>48</v>
      </c>
      <c r="F7947" s="27" t="s">
        <v>49</v>
      </c>
      <c r="G7947" s="27" t="s">
        <v>28</v>
      </c>
      <c r="H7947" s="29">
        <v>16</v>
      </c>
      <c r="I7947" s="27" t="s">
        <v>29</v>
      </c>
      <c r="J7947" s="37">
        <v>45964</v>
      </c>
      <c r="K7947" s="27" t="s">
        <v>22</v>
      </c>
    </row>
    <row r="7948" spans="1:11" x14ac:dyDescent="0.2">
      <c r="A7948" s="24" t="s">
        <v>18515</v>
      </c>
      <c r="B7948" s="24" t="s">
        <v>18516</v>
      </c>
      <c r="C7948" s="24" t="s">
        <v>16961</v>
      </c>
      <c r="D7948" s="24" t="s">
        <v>17</v>
      </c>
      <c r="E7948" s="24" t="s">
        <v>18</v>
      </c>
      <c r="F7948" s="24" t="s">
        <v>19</v>
      </c>
      <c r="G7948" s="24" t="s">
        <v>28</v>
      </c>
      <c r="H7948" s="26">
        <v>40</v>
      </c>
      <c r="I7948" s="24" t="s">
        <v>29</v>
      </c>
      <c r="J7948" s="36">
        <v>45987</v>
      </c>
      <c r="K7948" s="24" t="s">
        <v>22</v>
      </c>
    </row>
    <row r="7949" spans="1:11" x14ac:dyDescent="0.2">
      <c r="A7949" s="27" t="s">
        <v>18517</v>
      </c>
      <c r="B7949" s="27" t="s">
        <v>18518</v>
      </c>
      <c r="C7949" s="27" t="s">
        <v>708</v>
      </c>
      <c r="D7949" s="27" t="s">
        <v>17</v>
      </c>
      <c r="E7949" s="27" t="s">
        <v>42</v>
      </c>
      <c r="F7949" s="27" t="s">
        <v>43</v>
      </c>
      <c r="G7949" s="27" t="s">
        <v>28</v>
      </c>
      <c r="H7949" s="29">
        <v>2000</v>
      </c>
      <c r="I7949" s="27" t="s">
        <v>29</v>
      </c>
      <c r="J7949" s="37">
        <v>45985</v>
      </c>
      <c r="K7949" s="27" t="s">
        <v>22</v>
      </c>
    </row>
    <row r="7950" spans="1:11" x14ac:dyDescent="0.2">
      <c r="A7950" s="24" t="s">
        <v>18519</v>
      </c>
      <c r="B7950" s="24" t="s">
        <v>18520</v>
      </c>
      <c r="C7950" s="24" t="s">
        <v>7072</v>
      </c>
      <c r="D7950" s="24" t="s">
        <v>17</v>
      </c>
      <c r="E7950" s="24" t="s">
        <v>18</v>
      </c>
      <c r="F7950" s="24" t="s">
        <v>19</v>
      </c>
      <c r="G7950" s="24" t="s">
        <v>28</v>
      </c>
      <c r="H7950" s="26">
        <v>100</v>
      </c>
      <c r="I7950" s="24" t="s">
        <v>29</v>
      </c>
      <c r="J7950" s="36">
        <v>45962</v>
      </c>
      <c r="K7950" s="24" t="s">
        <v>22</v>
      </c>
    </row>
    <row r="7951" spans="1:11" x14ac:dyDescent="0.2">
      <c r="A7951" s="27" t="s">
        <v>18521</v>
      </c>
      <c r="B7951" s="27" t="s">
        <v>18522</v>
      </c>
      <c r="C7951" s="27" t="s">
        <v>213</v>
      </c>
      <c r="D7951" s="27" t="s">
        <v>17</v>
      </c>
      <c r="E7951" s="27" t="s">
        <v>42</v>
      </c>
      <c r="F7951" s="27" t="s">
        <v>43</v>
      </c>
      <c r="G7951" s="27" t="s">
        <v>28</v>
      </c>
      <c r="H7951" s="29">
        <v>200</v>
      </c>
      <c r="I7951" s="27" t="s">
        <v>29</v>
      </c>
      <c r="J7951" s="37">
        <v>45980</v>
      </c>
      <c r="K7951" s="27" t="s">
        <v>22</v>
      </c>
    </row>
    <row r="7952" spans="1:11" x14ac:dyDescent="0.2">
      <c r="A7952" s="24" t="s">
        <v>18523</v>
      </c>
      <c r="B7952" s="24" t="s">
        <v>18524</v>
      </c>
      <c r="C7952" s="24" t="s">
        <v>5561</v>
      </c>
      <c r="D7952" s="24" t="s">
        <v>17</v>
      </c>
      <c r="E7952" s="24" t="s">
        <v>42</v>
      </c>
      <c r="F7952" s="24" t="s">
        <v>43</v>
      </c>
      <c r="G7952" s="24" t="s">
        <v>217</v>
      </c>
      <c r="H7952" s="26">
        <v>40</v>
      </c>
      <c r="I7952" s="24" t="s">
        <v>29</v>
      </c>
      <c r="J7952" s="36">
        <v>45976</v>
      </c>
      <c r="K7952" s="24" t="s">
        <v>22</v>
      </c>
    </row>
    <row r="7953" spans="1:11" x14ac:dyDescent="0.2">
      <c r="A7953" s="27" t="s">
        <v>18525</v>
      </c>
      <c r="B7953" s="27" t="s">
        <v>18526</v>
      </c>
      <c r="C7953" s="27" t="s">
        <v>18527</v>
      </c>
      <c r="D7953" s="27" t="s">
        <v>17</v>
      </c>
      <c r="E7953" s="27" t="s">
        <v>26</v>
      </c>
      <c r="F7953" s="27" t="s">
        <v>27</v>
      </c>
      <c r="G7953" s="27" t="s">
        <v>28</v>
      </c>
      <c r="H7953" s="29">
        <v>66</v>
      </c>
      <c r="I7953" s="27" t="s">
        <v>29</v>
      </c>
      <c r="J7953" s="37">
        <v>45962</v>
      </c>
      <c r="K7953" s="27" t="s">
        <v>22</v>
      </c>
    </row>
    <row r="7954" spans="1:11" x14ac:dyDescent="0.2">
      <c r="A7954" s="24" t="s">
        <v>18528</v>
      </c>
      <c r="B7954" s="24" t="s">
        <v>18529</v>
      </c>
      <c r="C7954" s="24" t="s">
        <v>7335</v>
      </c>
      <c r="D7954" s="24" t="s">
        <v>17</v>
      </c>
      <c r="E7954" s="24" t="s">
        <v>18</v>
      </c>
      <c r="F7954" s="24" t="s">
        <v>19</v>
      </c>
      <c r="G7954" s="24" t="s">
        <v>28</v>
      </c>
      <c r="H7954" s="26">
        <v>100</v>
      </c>
      <c r="I7954" s="24" t="s">
        <v>29</v>
      </c>
      <c r="J7954" s="36">
        <v>45969</v>
      </c>
      <c r="K7954" s="24" t="s">
        <v>22</v>
      </c>
    </row>
    <row r="7955" spans="1:11" x14ac:dyDescent="0.2">
      <c r="A7955" s="27" t="s">
        <v>18530</v>
      </c>
      <c r="B7955" s="27" t="s">
        <v>18531</v>
      </c>
      <c r="C7955" s="27" t="s">
        <v>1110</v>
      </c>
      <c r="D7955" s="27" t="s">
        <v>17</v>
      </c>
      <c r="E7955" s="27" t="s">
        <v>42</v>
      </c>
      <c r="F7955" s="27" t="s">
        <v>43</v>
      </c>
      <c r="G7955" s="27" t="s">
        <v>28</v>
      </c>
      <c r="H7955" s="29">
        <v>900</v>
      </c>
      <c r="I7955" s="27" t="s">
        <v>29</v>
      </c>
      <c r="J7955" s="37">
        <v>45985</v>
      </c>
      <c r="K7955" s="27" t="s">
        <v>22</v>
      </c>
    </row>
    <row r="7956" spans="1:11" x14ac:dyDescent="0.2">
      <c r="A7956" s="24" t="s">
        <v>18532</v>
      </c>
      <c r="B7956" s="24" t="s">
        <v>18533</v>
      </c>
      <c r="C7956" s="24" t="s">
        <v>85</v>
      </c>
      <c r="D7956" s="24" t="s">
        <v>17</v>
      </c>
      <c r="E7956" s="24" t="s">
        <v>48</v>
      </c>
      <c r="F7956" s="24" t="s">
        <v>49</v>
      </c>
      <c r="G7956" s="24" t="s">
        <v>28</v>
      </c>
      <c r="H7956" s="26">
        <v>180</v>
      </c>
      <c r="I7956" s="24" t="s">
        <v>29</v>
      </c>
      <c r="J7956" s="36">
        <v>45986</v>
      </c>
      <c r="K7956" s="24" t="s">
        <v>22</v>
      </c>
    </row>
    <row r="7957" spans="1:11" x14ac:dyDescent="0.2">
      <c r="A7957" s="27" t="s">
        <v>18534</v>
      </c>
      <c r="B7957" s="27" t="s">
        <v>18535</v>
      </c>
      <c r="C7957" s="27" t="s">
        <v>203</v>
      </c>
      <c r="D7957" s="27" t="s">
        <v>17</v>
      </c>
      <c r="E7957" s="27" t="s">
        <v>48</v>
      </c>
      <c r="F7957" s="27" t="s">
        <v>49</v>
      </c>
      <c r="G7957" s="27" t="s">
        <v>28</v>
      </c>
      <c r="H7957" s="29">
        <v>144</v>
      </c>
      <c r="I7957" s="27" t="s">
        <v>29</v>
      </c>
      <c r="J7957" s="37">
        <v>45979</v>
      </c>
      <c r="K7957" s="27" t="s">
        <v>22</v>
      </c>
    </row>
    <row r="7958" spans="1:11" x14ac:dyDescent="0.2">
      <c r="A7958" s="24" t="s">
        <v>18536</v>
      </c>
      <c r="B7958" s="24" t="s">
        <v>18537</v>
      </c>
      <c r="C7958" s="24" t="s">
        <v>18538</v>
      </c>
      <c r="D7958" s="24" t="s">
        <v>17</v>
      </c>
      <c r="E7958" s="24" t="s">
        <v>48</v>
      </c>
      <c r="F7958" s="24" t="s">
        <v>49</v>
      </c>
      <c r="G7958" s="24" t="s">
        <v>44</v>
      </c>
      <c r="H7958" s="26">
        <v>206</v>
      </c>
      <c r="I7958" s="24" t="s">
        <v>21</v>
      </c>
      <c r="J7958" s="36">
        <v>45986</v>
      </c>
      <c r="K7958" s="24" t="s">
        <v>22</v>
      </c>
    </row>
    <row r="7959" spans="1:11" x14ac:dyDescent="0.2">
      <c r="A7959" s="27" t="s">
        <v>18539</v>
      </c>
      <c r="B7959" s="27" t="s">
        <v>18540</v>
      </c>
      <c r="C7959" s="27" t="s">
        <v>251</v>
      </c>
      <c r="D7959" s="27" t="s">
        <v>17</v>
      </c>
      <c r="E7959" s="27" t="s">
        <v>42</v>
      </c>
      <c r="F7959" s="27" t="s">
        <v>43</v>
      </c>
      <c r="G7959" s="27" t="s">
        <v>28</v>
      </c>
      <c r="H7959" s="29">
        <v>31</v>
      </c>
      <c r="I7959" s="27" t="s">
        <v>29</v>
      </c>
      <c r="J7959" s="37">
        <v>45988</v>
      </c>
      <c r="K7959" s="27" t="s">
        <v>22</v>
      </c>
    </row>
    <row r="7960" spans="1:11" x14ac:dyDescent="0.2">
      <c r="A7960" s="24" t="s">
        <v>18541</v>
      </c>
      <c r="B7960" s="24" t="s">
        <v>18542</v>
      </c>
      <c r="C7960" s="24" t="s">
        <v>526</v>
      </c>
      <c r="D7960" s="24" t="s">
        <v>17</v>
      </c>
      <c r="E7960" s="24" t="s">
        <v>48</v>
      </c>
      <c r="F7960" s="24" t="s">
        <v>49</v>
      </c>
      <c r="G7960" s="24" t="s">
        <v>28</v>
      </c>
      <c r="H7960" s="26">
        <v>252</v>
      </c>
      <c r="I7960" s="24" t="s">
        <v>29</v>
      </c>
      <c r="J7960" s="36">
        <v>45972</v>
      </c>
      <c r="K7960" s="24" t="s">
        <v>22</v>
      </c>
    </row>
    <row r="7961" spans="1:11" x14ac:dyDescent="0.2">
      <c r="A7961" s="27" t="s">
        <v>18543</v>
      </c>
      <c r="B7961" s="27" t="s">
        <v>18544</v>
      </c>
      <c r="C7961" s="27" t="s">
        <v>388</v>
      </c>
      <c r="D7961" s="27" t="s">
        <v>17</v>
      </c>
      <c r="E7961" s="27" t="s">
        <v>42</v>
      </c>
      <c r="F7961" s="27" t="s">
        <v>43</v>
      </c>
      <c r="G7961" s="27" t="s">
        <v>20</v>
      </c>
      <c r="H7961" s="29">
        <v>80</v>
      </c>
      <c r="I7961" s="27" t="s">
        <v>21</v>
      </c>
      <c r="J7961" s="37">
        <v>45981</v>
      </c>
      <c r="K7961" s="27" t="s">
        <v>22</v>
      </c>
    </row>
    <row r="7962" spans="1:11" x14ac:dyDescent="0.2">
      <c r="A7962" s="24" t="s">
        <v>18545</v>
      </c>
      <c r="B7962" s="24" t="s">
        <v>18546</v>
      </c>
      <c r="C7962" s="24" t="s">
        <v>7671</v>
      </c>
      <c r="D7962" s="24" t="s">
        <v>17</v>
      </c>
      <c r="E7962" s="24" t="s">
        <v>48</v>
      </c>
      <c r="F7962" s="24" t="s">
        <v>49</v>
      </c>
      <c r="G7962" s="24" t="s">
        <v>28</v>
      </c>
      <c r="H7962" s="26">
        <v>200</v>
      </c>
      <c r="I7962" s="24" t="s">
        <v>29</v>
      </c>
      <c r="J7962" s="36">
        <v>45985</v>
      </c>
      <c r="K7962" s="24" t="s">
        <v>22</v>
      </c>
    </row>
    <row r="7963" spans="1:11" x14ac:dyDescent="0.2">
      <c r="A7963" s="27" t="s">
        <v>18547</v>
      </c>
      <c r="B7963" s="27" t="s">
        <v>18548</v>
      </c>
      <c r="C7963" s="27" t="s">
        <v>5967</v>
      </c>
      <c r="D7963" s="27" t="s">
        <v>17</v>
      </c>
      <c r="E7963" s="27" t="s">
        <v>42</v>
      </c>
      <c r="F7963" s="27" t="s">
        <v>43</v>
      </c>
      <c r="G7963" s="27" t="s">
        <v>217</v>
      </c>
      <c r="H7963" s="29">
        <v>300</v>
      </c>
      <c r="I7963" s="27" t="s">
        <v>29</v>
      </c>
      <c r="J7963" s="37">
        <v>45962</v>
      </c>
      <c r="K7963" s="27" t="s">
        <v>22</v>
      </c>
    </row>
    <row r="7964" spans="1:11" x14ac:dyDescent="0.2">
      <c r="A7964" s="24" t="s">
        <v>18549</v>
      </c>
      <c r="B7964" s="24" t="s">
        <v>18550</v>
      </c>
      <c r="C7964" s="24" t="s">
        <v>18551</v>
      </c>
      <c r="D7964" s="24" t="s">
        <v>17</v>
      </c>
      <c r="E7964" s="24" t="s">
        <v>163</v>
      </c>
      <c r="F7964" s="24" t="s">
        <v>164</v>
      </c>
      <c r="G7964" s="24" t="s">
        <v>28</v>
      </c>
      <c r="H7964" s="26">
        <v>10</v>
      </c>
      <c r="I7964" s="24" t="s">
        <v>29</v>
      </c>
      <c r="J7964" s="36">
        <v>45967</v>
      </c>
      <c r="K7964" s="24" t="s">
        <v>22</v>
      </c>
    </row>
    <row r="7965" spans="1:11" x14ac:dyDescent="0.2">
      <c r="A7965" s="27" t="s">
        <v>18552</v>
      </c>
      <c r="B7965" s="27" t="s">
        <v>18553</v>
      </c>
      <c r="C7965" s="27" t="s">
        <v>2484</v>
      </c>
      <c r="D7965" s="27" t="s">
        <v>17</v>
      </c>
      <c r="E7965" s="27" t="s">
        <v>18</v>
      </c>
      <c r="F7965" s="27" t="s">
        <v>19</v>
      </c>
      <c r="G7965" s="27" t="s">
        <v>28</v>
      </c>
      <c r="H7965" s="29">
        <v>20</v>
      </c>
      <c r="I7965" s="27" t="s">
        <v>29</v>
      </c>
      <c r="J7965" s="37">
        <v>45966</v>
      </c>
      <c r="K7965" s="27" t="s">
        <v>22</v>
      </c>
    </row>
    <row r="7966" spans="1:11" x14ac:dyDescent="0.2">
      <c r="A7966" s="24" t="s">
        <v>18554</v>
      </c>
      <c r="B7966" s="24" t="s">
        <v>18555</v>
      </c>
      <c r="C7966" s="24" t="s">
        <v>52</v>
      </c>
      <c r="D7966" s="24" t="s">
        <v>17</v>
      </c>
      <c r="E7966" s="24" t="s">
        <v>42</v>
      </c>
      <c r="F7966" s="24" t="s">
        <v>43</v>
      </c>
      <c r="G7966" s="24" t="s">
        <v>28</v>
      </c>
      <c r="H7966" s="26">
        <v>600</v>
      </c>
      <c r="I7966" s="24" t="s">
        <v>29</v>
      </c>
      <c r="J7966" s="36">
        <v>45975</v>
      </c>
      <c r="K7966" s="24" t="s">
        <v>22</v>
      </c>
    </row>
    <row r="7967" spans="1:11" x14ac:dyDescent="0.2">
      <c r="A7967" s="27" t="s">
        <v>18556</v>
      </c>
      <c r="B7967" s="27" t="s">
        <v>18557</v>
      </c>
      <c r="C7967" s="27" t="s">
        <v>17051</v>
      </c>
      <c r="D7967" s="27" t="s">
        <v>17</v>
      </c>
      <c r="E7967" s="27" t="s">
        <v>42</v>
      </c>
      <c r="F7967" s="27" t="s">
        <v>43</v>
      </c>
      <c r="G7967" s="27" t="s">
        <v>28</v>
      </c>
      <c r="H7967" s="29">
        <v>600</v>
      </c>
      <c r="I7967" s="27" t="s">
        <v>29</v>
      </c>
      <c r="J7967" s="37">
        <v>45987</v>
      </c>
      <c r="K7967" s="27" t="s">
        <v>22</v>
      </c>
    </row>
    <row r="7968" spans="1:11" x14ac:dyDescent="0.2">
      <c r="A7968" s="24" t="s">
        <v>18558</v>
      </c>
      <c r="B7968" s="24" t="s">
        <v>18559</v>
      </c>
      <c r="C7968" s="24" t="s">
        <v>331</v>
      </c>
      <c r="D7968" s="24" t="s">
        <v>17</v>
      </c>
      <c r="E7968" s="24" t="s">
        <v>18</v>
      </c>
      <c r="F7968" s="24" t="s">
        <v>19</v>
      </c>
      <c r="G7968" s="24" t="s">
        <v>28</v>
      </c>
      <c r="H7968" s="26">
        <v>24</v>
      </c>
      <c r="I7968" s="24" t="s">
        <v>29</v>
      </c>
      <c r="J7968" s="36">
        <v>45964</v>
      </c>
      <c r="K7968" s="24" t="s">
        <v>22</v>
      </c>
    </row>
    <row r="7969" spans="1:11" x14ac:dyDescent="0.2">
      <c r="A7969" s="27" t="s">
        <v>18560</v>
      </c>
      <c r="B7969" s="27" t="s">
        <v>18561</v>
      </c>
      <c r="C7969" s="27" t="s">
        <v>4936</v>
      </c>
      <c r="D7969" s="27" t="s">
        <v>17</v>
      </c>
      <c r="E7969" s="27" t="s">
        <v>18</v>
      </c>
      <c r="F7969" s="27" t="s">
        <v>19</v>
      </c>
      <c r="G7969" s="27" t="s">
        <v>28</v>
      </c>
      <c r="H7969" s="29">
        <v>54</v>
      </c>
      <c r="I7969" s="27" t="s">
        <v>29</v>
      </c>
      <c r="J7969" s="37">
        <v>45974</v>
      </c>
      <c r="K7969" s="27" t="s">
        <v>22</v>
      </c>
    </row>
    <row r="7970" spans="1:11" x14ac:dyDescent="0.2">
      <c r="A7970" s="24" t="s">
        <v>18562</v>
      </c>
      <c r="B7970" s="24" t="s">
        <v>18563</v>
      </c>
      <c r="C7970" s="24" t="s">
        <v>2116</v>
      </c>
      <c r="D7970" s="24" t="s">
        <v>17</v>
      </c>
      <c r="E7970" s="24" t="s">
        <v>42</v>
      </c>
      <c r="F7970" s="24" t="s">
        <v>43</v>
      </c>
      <c r="G7970" s="24" t="s">
        <v>28</v>
      </c>
      <c r="H7970" s="26">
        <v>306</v>
      </c>
      <c r="I7970" s="24" t="s">
        <v>29</v>
      </c>
      <c r="J7970" s="36">
        <v>45975</v>
      </c>
      <c r="K7970" s="24" t="s">
        <v>22</v>
      </c>
    </row>
    <row r="7971" spans="1:11" x14ac:dyDescent="0.2">
      <c r="A7971" s="27" t="s">
        <v>18564</v>
      </c>
      <c r="B7971" s="27" t="s">
        <v>18565</v>
      </c>
      <c r="C7971" s="27" t="s">
        <v>213</v>
      </c>
      <c r="D7971" s="27" t="s">
        <v>17</v>
      </c>
      <c r="E7971" s="27" t="s">
        <v>48</v>
      </c>
      <c r="F7971" s="27" t="s">
        <v>49</v>
      </c>
      <c r="G7971" s="27" t="s">
        <v>44</v>
      </c>
      <c r="H7971" s="29">
        <v>200</v>
      </c>
      <c r="I7971" s="27" t="s">
        <v>29</v>
      </c>
      <c r="J7971" s="37">
        <v>45981</v>
      </c>
      <c r="K7971" s="27" t="s">
        <v>22</v>
      </c>
    </row>
    <row r="7972" spans="1:11" x14ac:dyDescent="0.2">
      <c r="A7972" s="24" t="s">
        <v>18566</v>
      </c>
      <c r="B7972" s="24" t="s">
        <v>18567</v>
      </c>
      <c r="C7972" s="24" t="s">
        <v>18568</v>
      </c>
      <c r="D7972" s="24" t="s">
        <v>17</v>
      </c>
      <c r="E7972" s="24" t="s">
        <v>42</v>
      </c>
      <c r="F7972" s="24" t="s">
        <v>43</v>
      </c>
      <c r="G7972" s="24" t="s">
        <v>28</v>
      </c>
      <c r="H7972" s="26">
        <v>450</v>
      </c>
      <c r="I7972" s="24" t="s">
        <v>29</v>
      </c>
      <c r="J7972" s="36">
        <v>45981</v>
      </c>
      <c r="K7972" s="24" t="s">
        <v>22</v>
      </c>
    </row>
    <row r="7973" spans="1:11" x14ac:dyDescent="0.2">
      <c r="A7973" s="27" t="s">
        <v>18569</v>
      </c>
      <c r="B7973" s="27" t="s">
        <v>18570</v>
      </c>
      <c r="C7973" s="27" t="s">
        <v>18571</v>
      </c>
      <c r="D7973" s="27" t="s">
        <v>17</v>
      </c>
      <c r="E7973" s="27" t="s">
        <v>26</v>
      </c>
      <c r="F7973" s="27" t="s">
        <v>27</v>
      </c>
      <c r="G7973" s="27" t="s">
        <v>217</v>
      </c>
      <c r="H7973" s="29">
        <v>18</v>
      </c>
      <c r="I7973" s="27" t="s">
        <v>29</v>
      </c>
      <c r="J7973" s="37">
        <v>45976</v>
      </c>
      <c r="K7973" s="27" t="s">
        <v>22</v>
      </c>
    </row>
    <row r="7974" spans="1:11" x14ac:dyDescent="0.2">
      <c r="A7974" s="24" t="s">
        <v>18572</v>
      </c>
      <c r="B7974" s="24" t="s">
        <v>18573</v>
      </c>
      <c r="C7974" s="24" t="s">
        <v>2129</v>
      </c>
      <c r="D7974" s="24" t="s">
        <v>17</v>
      </c>
      <c r="E7974" s="24" t="s">
        <v>48</v>
      </c>
      <c r="F7974" s="24" t="s">
        <v>49</v>
      </c>
      <c r="G7974" s="24" t="s">
        <v>28</v>
      </c>
      <c r="H7974" s="26">
        <v>150</v>
      </c>
      <c r="I7974" s="24" t="s">
        <v>29</v>
      </c>
      <c r="J7974" s="36">
        <v>45985</v>
      </c>
      <c r="K7974" s="24" t="s">
        <v>22</v>
      </c>
    </row>
    <row r="7975" spans="1:11" x14ac:dyDescent="0.2">
      <c r="A7975" s="27" t="s">
        <v>18574</v>
      </c>
      <c r="B7975" s="27" t="s">
        <v>18575</v>
      </c>
      <c r="C7975" s="27" t="s">
        <v>18576</v>
      </c>
      <c r="D7975" s="27" t="s">
        <v>17</v>
      </c>
      <c r="E7975" s="27" t="s">
        <v>48</v>
      </c>
      <c r="F7975" s="27" t="s">
        <v>49</v>
      </c>
      <c r="G7975" s="27" t="s">
        <v>28</v>
      </c>
      <c r="H7975" s="29">
        <v>100</v>
      </c>
      <c r="I7975" s="27" t="s">
        <v>29</v>
      </c>
      <c r="J7975" s="37">
        <v>45962</v>
      </c>
      <c r="K7975" s="27" t="s">
        <v>22</v>
      </c>
    </row>
    <row r="7976" spans="1:11" x14ac:dyDescent="0.2">
      <c r="A7976" s="24" t="s">
        <v>18577</v>
      </c>
      <c r="B7976" s="24" t="s">
        <v>18578</v>
      </c>
      <c r="C7976" s="24" t="s">
        <v>331</v>
      </c>
      <c r="D7976" s="24" t="s">
        <v>17</v>
      </c>
      <c r="E7976" s="24" t="s">
        <v>18</v>
      </c>
      <c r="F7976" s="24" t="s">
        <v>19</v>
      </c>
      <c r="G7976" s="24" t="s">
        <v>20</v>
      </c>
      <c r="H7976" s="26">
        <v>9</v>
      </c>
      <c r="I7976" s="24" t="s">
        <v>21</v>
      </c>
      <c r="J7976" s="36">
        <v>45974</v>
      </c>
      <c r="K7976" s="24" t="s">
        <v>22</v>
      </c>
    </row>
    <row r="7977" spans="1:11" x14ac:dyDescent="0.2">
      <c r="A7977" s="27" t="s">
        <v>18579</v>
      </c>
      <c r="B7977" s="27" t="s">
        <v>18580</v>
      </c>
      <c r="C7977" s="27" t="s">
        <v>401</v>
      </c>
      <c r="D7977" s="27" t="s">
        <v>17</v>
      </c>
      <c r="E7977" s="27" t="s">
        <v>18</v>
      </c>
      <c r="F7977" s="27" t="s">
        <v>19</v>
      </c>
      <c r="G7977" s="27" t="s">
        <v>28</v>
      </c>
      <c r="H7977" s="29">
        <v>16</v>
      </c>
      <c r="I7977" s="27" t="s">
        <v>29</v>
      </c>
      <c r="J7977" s="37">
        <v>45989</v>
      </c>
      <c r="K7977" s="27" t="s">
        <v>22</v>
      </c>
    </row>
    <row r="7978" spans="1:11" x14ac:dyDescent="0.2">
      <c r="A7978" s="24" t="s">
        <v>18581</v>
      </c>
      <c r="B7978" s="24" t="s">
        <v>18582</v>
      </c>
      <c r="C7978" s="24" t="s">
        <v>3387</v>
      </c>
      <c r="D7978" s="24" t="s">
        <v>17</v>
      </c>
      <c r="E7978" s="24" t="s">
        <v>42</v>
      </c>
      <c r="F7978" s="24" t="s">
        <v>43</v>
      </c>
      <c r="G7978" s="24" t="s">
        <v>44</v>
      </c>
      <c r="H7978" s="26">
        <v>260</v>
      </c>
      <c r="I7978" s="24" t="s">
        <v>29</v>
      </c>
      <c r="J7978" s="36">
        <v>45990</v>
      </c>
      <c r="K7978" s="24" t="s">
        <v>22</v>
      </c>
    </row>
    <row r="7979" spans="1:11" x14ac:dyDescent="0.2">
      <c r="A7979" s="27" t="s">
        <v>18583</v>
      </c>
      <c r="B7979" s="27" t="s">
        <v>18584</v>
      </c>
      <c r="C7979" s="27" t="s">
        <v>526</v>
      </c>
      <c r="D7979" s="27" t="s">
        <v>17</v>
      </c>
      <c r="E7979" s="27" t="s">
        <v>81</v>
      </c>
      <c r="F7979" s="27" t="s">
        <v>82</v>
      </c>
      <c r="G7979" s="27" t="s">
        <v>28</v>
      </c>
      <c r="H7979" s="29">
        <v>3000</v>
      </c>
      <c r="I7979" s="27" t="s">
        <v>29</v>
      </c>
      <c r="J7979" s="37">
        <v>45985</v>
      </c>
      <c r="K7979" s="27" t="s">
        <v>22</v>
      </c>
    </row>
    <row r="7980" spans="1:11" x14ac:dyDescent="0.2">
      <c r="A7980" s="24" t="s">
        <v>18585</v>
      </c>
      <c r="B7980" s="24" t="s">
        <v>18586</v>
      </c>
      <c r="C7980" s="24" t="s">
        <v>18587</v>
      </c>
      <c r="D7980" s="24" t="s">
        <v>17</v>
      </c>
      <c r="E7980" s="24" t="s">
        <v>42</v>
      </c>
      <c r="F7980" s="24" t="s">
        <v>43</v>
      </c>
      <c r="G7980" s="24" t="s">
        <v>28</v>
      </c>
      <c r="H7980" s="26">
        <v>890</v>
      </c>
      <c r="I7980" s="24" t="s">
        <v>29</v>
      </c>
      <c r="J7980" s="36">
        <v>45991</v>
      </c>
      <c r="K7980" s="24" t="s">
        <v>22</v>
      </c>
    </row>
    <row r="7981" spans="1:11" x14ac:dyDescent="0.2">
      <c r="A7981" s="27" t="s">
        <v>18588</v>
      </c>
      <c r="B7981" s="27" t="s">
        <v>18589</v>
      </c>
      <c r="C7981" s="27" t="s">
        <v>5065</v>
      </c>
      <c r="D7981" s="27" t="s">
        <v>17</v>
      </c>
      <c r="E7981" s="27" t="s">
        <v>18</v>
      </c>
      <c r="F7981" s="27" t="s">
        <v>19</v>
      </c>
      <c r="G7981" s="27" t="s">
        <v>28</v>
      </c>
      <c r="H7981" s="29">
        <v>72</v>
      </c>
      <c r="I7981" s="27" t="s">
        <v>29</v>
      </c>
      <c r="J7981" s="37">
        <v>45966</v>
      </c>
      <c r="K7981" s="27" t="s">
        <v>22</v>
      </c>
    </row>
    <row r="7982" spans="1:11" x14ac:dyDescent="0.2">
      <c r="A7982" s="24" t="s">
        <v>18590</v>
      </c>
      <c r="B7982" s="24" t="s">
        <v>18591</v>
      </c>
      <c r="C7982" s="24" t="s">
        <v>6457</v>
      </c>
      <c r="D7982" s="24" t="s">
        <v>17</v>
      </c>
      <c r="E7982" s="24" t="s">
        <v>42</v>
      </c>
      <c r="F7982" s="24" t="s">
        <v>43</v>
      </c>
      <c r="G7982" s="24" t="s">
        <v>217</v>
      </c>
      <c r="H7982" s="26">
        <v>412</v>
      </c>
      <c r="I7982" s="24" t="s">
        <v>29</v>
      </c>
      <c r="J7982" s="36">
        <v>45981</v>
      </c>
      <c r="K7982" s="24" t="s">
        <v>22</v>
      </c>
    </row>
    <row r="7983" spans="1:11" x14ac:dyDescent="0.2">
      <c r="A7983" s="27" t="s">
        <v>18592</v>
      </c>
      <c r="B7983" s="27" t="s">
        <v>18593</v>
      </c>
      <c r="C7983" s="27" t="s">
        <v>97</v>
      </c>
      <c r="D7983" s="27" t="s">
        <v>17</v>
      </c>
      <c r="E7983" s="27" t="s">
        <v>48</v>
      </c>
      <c r="F7983" s="27" t="s">
        <v>49</v>
      </c>
      <c r="G7983" s="27" t="s">
        <v>28</v>
      </c>
      <c r="H7983" s="29">
        <v>435</v>
      </c>
      <c r="I7983" s="27" t="s">
        <v>29</v>
      </c>
      <c r="J7983" s="37">
        <v>45967</v>
      </c>
      <c r="K7983" s="27" t="s">
        <v>22</v>
      </c>
    </row>
    <row r="7984" spans="1:11" x14ac:dyDescent="0.2">
      <c r="A7984" s="24" t="s">
        <v>18594</v>
      </c>
      <c r="B7984" s="24" t="s">
        <v>18595</v>
      </c>
      <c r="C7984" s="24" t="s">
        <v>18596</v>
      </c>
      <c r="D7984" s="24" t="s">
        <v>17</v>
      </c>
      <c r="E7984" s="24" t="s">
        <v>26</v>
      </c>
      <c r="F7984" s="24" t="s">
        <v>27</v>
      </c>
      <c r="G7984" s="24" t="s">
        <v>28</v>
      </c>
      <c r="H7984" s="26">
        <v>96</v>
      </c>
      <c r="I7984" s="24" t="s">
        <v>29</v>
      </c>
      <c r="J7984" s="36">
        <v>45965</v>
      </c>
      <c r="K7984" s="24" t="s">
        <v>22</v>
      </c>
    </row>
    <row r="7985" spans="1:11" x14ac:dyDescent="0.2">
      <c r="A7985" s="27" t="s">
        <v>18597</v>
      </c>
      <c r="B7985" s="27" t="s">
        <v>18598</v>
      </c>
      <c r="C7985" s="27" t="s">
        <v>97</v>
      </c>
      <c r="D7985" s="27" t="s">
        <v>17</v>
      </c>
      <c r="E7985" s="27" t="s">
        <v>42</v>
      </c>
      <c r="F7985" s="27" t="s">
        <v>43</v>
      </c>
      <c r="G7985" s="27" t="s">
        <v>28</v>
      </c>
      <c r="H7985" s="29">
        <v>420</v>
      </c>
      <c r="I7985" s="27" t="s">
        <v>29</v>
      </c>
      <c r="J7985" s="37">
        <v>45972</v>
      </c>
      <c r="K7985" s="27" t="s">
        <v>22</v>
      </c>
    </row>
    <row r="7986" spans="1:11" x14ac:dyDescent="0.2">
      <c r="A7986" s="24" t="s">
        <v>18599</v>
      </c>
      <c r="B7986" s="24" t="s">
        <v>18600</v>
      </c>
      <c r="C7986" s="24" t="s">
        <v>1663</v>
      </c>
      <c r="D7986" s="24" t="s">
        <v>17</v>
      </c>
      <c r="E7986" s="24" t="s">
        <v>18</v>
      </c>
      <c r="F7986" s="24" t="s">
        <v>19</v>
      </c>
      <c r="G7986" s="24" t="s">
        <v>28</v>
      </c>
      <c r="H7986" s="26">
        <v>246</v>
      </c>
      <c r="I7986" s="24" t="s">
        <v>29</v>
      </c>
      <c r="J7986" s="36">
        <v>45986</v>
      </c>
      <c r="K7986" s="24" t="s">
        <v>22</v>
      </c>
    </row>
    <row r="7987" spans="1:11" x14ac:dyDescent="0.2">
      <c r="A7987" s="27" t="s">
        <v>18601</v>
      </c>
      <c r="B7987" s="27" t="s">
        <v>18602</v>
      </c>
      <c r="C7987" s="27" t="s">
        <v>18603</v>
      </c>
      <c r="D7987" s="27" t="s">
        <v>17</v>
      </c>
      <c r="E7987" s="27" t="s">
        <v>18</v>
      </c>
      <c r="F7987" s="27" t="s">
        <v>19</v>
      </c>
      <c r="G7987" s="27" t="s">
        <v>28</v>
      </c>
      <c r="H7987" s="29">
        <v>100</v>
      </c>
      <c r="I7987" s="27" t="s">
        <v>29</v>
      </c>
      <c r="J7987" s="37">
        <v>45974</v>
      </c>
      <c r="K7987" s="27" t="s">
        <v>22</v>
      </c>
    </row>
    <row r="7988" spans="1:11" x14ac:dyDescent="0.2">
      <c r="A7988" s="24" t="s">
        <v>18604</v>
      </c>
      <c r="B7988" s="24" t="s">
        <v>18605</v>
      </c>
      <c r="C7988" s="24" t="s">
        <v>1535</v>
      </c>
      <c r="D7988" s="24" t="s">
        <v>17</v>
      </c>
      <c r="E7988" s="24" t="s">
        <v>18</v>
      </c>
      <c r="F7988" s="24" t="s">
        <v>19</v>
      </c>
      <c r="G7988" s="24" t="s">
        <v>28</v>
      </c>
      <c r="H7988" s="26">
        <v>48</v>
      </c>
      <c r="I7988" s="24" t="s">
        <v>29</v>
      </c>
      <c r="J7988" s="36">
        <v>45972</v>
      </c>
      <c r="K7988" s="24" t="s">
        <v>22</v>
      </c>
    </row>
    <row r="7989" spans="1:11" x14ac:dyDescent="0.2">
      <c r="A7989" s="27" t="s">
        <v>18606</v>
      </c>
      <c r="B7989" s="27" t="s">
        <v>18607</v>
      </c>
      <c r="C7989" s="27" t="s">
        <v>18608</v>
      </c>
      <c r="D7989" s="27" t="s">
        <v>17</v>
      </c>
      <c r="E7989" s="27" t="s">
        <v>42</v>
      </c>
      <c r="F7989" s="27" t="s">
        <v>43</v>
      </c>
      <c r="G7989" s="27" t="s">
        <v>44</v>
      </c>
      <c r="H7989" s="29">
        <v>1800</v>
      </c>
      <c r="I7989" s="27" t="s">
        <v>21</v>
      </c>
      <c r="J7989" s="37">
        <v>45982</v>
      </c>
      <c r="K7989" s="27" t="s">
        <v>22</v>
      </c>
    </row>
    <row r="7990" spans="1:11" x14ac:dyDescent="0.2">
      <c r="A7990" s="24" t="s">
        <v>18609</v>
      </c>
      <c r="B7990" s="24" t="s">
        <v>18610</v>
      </c>
      <c r="C7990" s="24" t="s">
        <v>1050</v>
      </c>
      <c r="D7990" s="24" t="s">
        <v>17</v>
      </c>
      <c r="E7990" s="24" t="s">
        <v>26</v>
      </c>
      <c r="F7990" s="24" t="s">
        <v>27</v>
      </c>
      <c r="G7990" s="24" t="s">
        <v>28</v>
      </c>
      <c r="H7990" s="26">
        <v>444</v>
      </c>
      <c r="I7990" s="24" t="s">
        <v>29</v>
      </c>
      <c r="J7990" s="36">
        <v>45974</v>
      </c>
      <c r="K7990" s="24" t="s">
        <v>22</v>
      </c>
    </row>
    <row r="7991" spans="1:11" x14ac:dyDescent="0.2">
      <c r="A7991" s="27" t="s">
        <v>18611</v>
      </c>
      <c r="B7991" s="27" t="s">
        <v>18612</v>
      </c>
      <c r="C7991" s="27" t="s">
        <v>18613</v>
      </c>
      <c r="D7991" s="27" t="s">
        <v>17</v>
      </c>
      <c r="E7991" s="27" t="s">
        <v>48</v>
      </c>
      <c r="F7991" s="27" t="s">
        <v>49</v>
      </c>
      <c r="G7991" s="27" t="s">
        <v>28</v>
      </c>
      <c r="H7991" s="29">
        <v>200</v>
      </c>
      <c r="I7991" s="27" t="s">
        <v>29</v>
      </c>
      <c r="J7991" s="37">
        <v>45964</v>
      </c>
      <c r="K7991" s="27" t="s">
        <v>22</v>
      </c>
    </row>
    <row r="7992" spans="1:11" x14ac:dyDescent="0.2">
      <c r="A7992" s="24" t="s">
        <v>18614</v>
      </c>
      <c r="B7992" s="24" t="s">
        <v>18615</v>
      </c>
      <c r="C7992" s="24" t="s">
        <v>2669</v>
      </c>
      <c r="D7992" s="24" t="s">
        <v>17</v>
      </c>
      <c r="E7992" s="24" t="s">
        <v>48</v>
      </c>
      <c r="F7992" s="24" t="s">
        <v>49</v>
      </c>
      <c r="G7992" s="24" t="s">
        <v>28</v>
      </c>
      <c r="H7992" s="26">
        <v>51</v>
      </c>
      <c r="I7992" s="24" t="s">
        <v>29</v>
      </c>
      <c r="J7992" s="36">
        <v>45983</v>
      </c>
      <c r="K7992" s="24" t="s">
        <v>22</v>
      </c>
    </row>
    <row r="7993" spans="1:11" x14ac:dyDescent="0.2">
      <c r="A7993" s="27" t="s">
        <v>18616</v>
      </c>
      <c r="B7993" s="27" t="s">
        <v>18617</v>
      </c>
      <c r="C7993" s="27" t="s">
        <v>18618</v>
      </c>
      <c r="D7993" s="27" t="s">
        <v>17</v>
      </c>
      <c r="E7993" s="27" t="s">
        <v>26</v>
      </c>
      <c r="F7993" s="27" t="s">
        <v>27</v>
      </c>
      <c r="G7993" s="27" t="s">
        <v>217</v>
      </c>
      <c r="H7993" s="29">
        <v>195</v>
      </c>
      <c r="I7993" s="27" t="s">
        <v>29</v>
      </c>
      <c r="J7993" s="37">
        <v>45980</v>
      </c>
      <c r="K7993" s="27" t="s">
        <v>22</v>
      </c>
    </row>
    <row r="7994" spans="1:11" x14ac:dyDescent="0.2">
      <c r="A7994" s="24" t="s">
        <v>18619</v>
      </c>
      <c r="B7994" s="24" t="s">
        <v>18620</v>
      </c>
      <c r="C7994" s="24" t="s">
        <v>6457</v>
      </c>
      <c r="D7994" s="24" t="s">
        <v>17</v>
      </c>
      <c r="E7994" s="24" t="s">
        <v>48</v>
      </c>
      <c r="F7994" s="24" t="s">
        <v>49</v>
      </c>
      <c r="G7994" s="24" t="s">
        <v>217</v>
      </c>
      <c r="H7994" s="26">
        <v>120</v>
      </c>
      <c r="I7994" s="24" t="s">
        <v>29</v>
      </c>
      <c r="J7994" s="36">
        <v>45991</v>
      </c>
      <c r="K7994" s="24" t="s">
        <v>22</v>
      </c>
    </row>
    <row r="7995" spans="1:11" x14ac:dyDescent="0.2">
      <c r="A7995" s="27" t="s">
        <v>18621</v>
      </c>
      <c r="B7995" s="27" t="s">
        <v>18622</v>
      </c>
      <c r="C7995" s="27" t="s">
        <v>2484</v>
      </c>
      <c r="D7995" s="27" t="s">
        <v>17</v>
      </c>
      <c r="E7995" s="27" t="s">
        <v>42</v>
      </c>
      <c r="F7995" s="27" t="s">
        <v>43</v>
      </c>
      <c r="G7995" s="27" t="s">
        <v>28</v>
      </c>
      <c r="H7995" s="29">
        <v>320</v>
      </c>
      <c r="I7995" s="27" t="s">
        <v>29</v>
      </c>
      <c r="J7995" s="37">
        <v>45975</v>
      </c>
      <c r="K7995" s="27" t="s">
        <v>22</v>
      </c>
    </row>
    <row r="7996" spans="1:11" x14ac:dyDescent="0.2">
      <c r="A7996" s="24" t="s">
        <v>18623</v>
      </c>
      <c r="B7996" s="24" t="s">
        <v>18624</v>
      </c>
      <c r="C7996" s="24" t="s">
        <v>18625</v>
      </c>
      <c r="D7996" s="24" t="s">
        <v>17</v>
      </c>
      <c r="E7996" s="24" t="s">
        <v>18</v>
      </c>
      <c r="F7996" s="24" t="s">
        <v>19</v>
      </c>
      <c r="G7996" s="24" t="s">
        <v>28</v>
      </c>
      <c r="H7996" s="26">
        <v>30</v>
      </c>
      <c r="I7996" s="24" t="s">
        <v>29</v>
      </c>
      <c r="J7996" s="36">
        <v>45973</v>
      </c>
      <c r="K7996" s="24" t="s">
        <v>22</v>
      </c>
    </row>
    <row r="7997" spans="1:11" x14ac:dyDescent="0.2">
      <c r="A7997" s="27" t="s">
        <v>18626</v>
      </c>
      <c r="B7997" s="27" t="s">
        <v>18627</v>
      </c>
      <c r="C7997" s="27" t="s">
        <v>13527</v>
      </c>
      <c r="D7997" s="27" t="s">
        <v>17</v>
      </c>
      <c r="E7997" s="27" t="s">
        <v>163</v>
      </c>
      <c r="F7997" s="27" t="s">
        <v>164</v>
      </c>
      <c r="G7997" s="27" t="s">
        <v>28</v>
      </c>
      <c r="H7997" s="29">
        <v>24</v>
      </c>
      <c r="I7997" s="27" t="s">
        <v>29</v>
      </c>
      <c r="J7997" s="37">
        <v>45991</v>
      </c>
      <c r="K7997" s="27" t="s">
        <v>22</v>
      </c>
    </row>
    <row r="7998" spans="1:11" x14ac:dyDescent="0.2">
      <c r="A7998" s="24" t="s">
        <v>18628</v>
      </c>
      <c r="B7998" s="24" t="s">
        <v>18629</v>
      </c>
      <c r="C7998" s="24" t="s">
        <v>526</v>
      </c>
      <c r="D7998" s="24" t="s">
        <v>17</v>
      </c>
      <c r="E7998" s="24" t="s">
        <v>48</v>
      </c>
      <c r="F7998" s="24" t="s">
        <v>49</v>
      </c>
      <c r="G7998" s="24" t="s">
        <v>28</v>
      </c>
      <c r="H7998" s="26">
        <v>222</v>
      </c>
      <c r="I7998" s="24" t="s">
        <v>29</v>
      </c>
      <c r="J7998" s="36">
        <v>45964</v>
      </c>
      <c r="K7998" s="24" t="s">
        <v>22</v>
      </c>
    </row>
    <row r="7999" spans="1:11" x14ac:dyDescent="0.2">
      <c r="A7999" s="27" t="s">
        <v>18630</v>
      </c>
      <c r="B7999" s="27" t="s">
        <v>18631</v>
      </c>
      <c r="C7999" s="27" t="s">
        <v>2116</v>
      </c>
      <c r="D7999" s="27" t="s">
        <v>17</v>
      </c>
      <c r="E7999" s="27" t="s">
        <v>42</v>
      </c>
      <c r="F7999" s="27" t="s">
        <v>43</v>
      </c>
      <c r="G7999" s="27" t="s">
        <v>28</v>
      </c>
      <c r="H7999" s="29">
        <v>250</v>
      </c>
      <c r="I7999" s="27" t="s">
        <v>29</v>
      </c>
      <c r="J7999" s="37">
        <v>45978</v>
      </c>
      <c r="K7999" s="27" t="s">
        <v>22</v>
      </c>
    </row>
    <row r="8000" spans="1:11" x14ac:dyDescent="0.2">
      <c r="A8000" s="24" t="s">
        <v>18632</v>
      </c>
      <c r="B8000" s="24" t="s">
        <v>18633</v>
      </c>
      <c r="C8000" s="24" t="s">
        <v>2669</v>
      </c>
      <c r="D8000" s="24" t="s">
        <v>17</v>
      </c>
      <c r="E8000" s="24" t="s">
        <v>48</v>
      </c>
      <c r="F8000" s="24" t="s">
        <v>49</v>
      </c>
      <c r="G8000" s="24" t="s">
        <v>28</v>
      </c>
      <c r="H8000" s="26">
        <v>75</v>
      </c>
      <c r="I8000" s="24" t="s">
        <v>29</v>
      </c>
      <c r="J8000" s="36">
        <v>45968</v>
      </c>
      <c r="K8000" s="24" t="s">
        <v>22</v>
      </c>
    </row>
    <row r="8001" spans="1:11" x14ac:dyDescent="0.2">
      <c r="A8001" s="27" t="s">
        <v>18634</v>
      </c>
      <c r="B8001" s="27" t="s">
        <v>18635</v>
      </c>
      <c r="C8001" s="27" t="s">
        <v>2669</v>
      </c>
      <c r="D8001" s="27" t="s">
        <v>17</v>
      </c>
      <c r="E8001" s="27" t="s">
        <v>18</v>
      </c>
      <c r="F8001" s="27" t="s">
        <v>19</v>
      </c>
      <c r="G8001" s="27" t="s">
        <v>217</v>
      </c>
      <c r="H8001" s="29">
        <v>20</v>
      </c>
      <c r="I8001" s="27" t="s">
        <v>29</v>
      </c>
      <c r="J8001" s="37">
        <v>45962</v>
      </c>
      <c r="K8001" s="27" t="s">
        <v>22</v>
      </c>
    </row>
    <row r="8002" spans="1:11" x14ac:dyDescent="0.2">
      <c r="A8002" s="24" t="s">
        <v>18636</v>
      </c>
      <c r="B8002" s="24" t="s">
        <v>18637</v>
      </c>
      <c r="C8002" s="24" t="s">
        <v>18638</v>
      </c>
      <c r="D8002" s="24" t="s">
        <v>17</v>
      </c>
      <c r="E8002" s="24" t="s">
        <v>18</v>
      </c>
      <c r="F8002" s="24" t="s">
        <v>19</v>
      </c>
      <c r="G8002" s="24" t="s">
        <v>28</v>
      </c>
      <c r="H8002" s="26">
        <v>144</v>
      </c>
      <c r="I8002" s="24" t="s">
        <v>29</v>
      </c>
      <c r="J8002" s="36">
        <v>45982</v>
      </c>
      <c r="K8002" s="24" t="s">
        <v>22</v>
      </c>
    </row>
    <row r="8003" spans="1:11" x14ac:dyDescent="0.2">
      <c r="A8003" s="27" t="s">
        <v>18639</v>
      </c>
      <c r="B8003" s="27" t="s">
        <v>18640</v>
      </c>
      <c r="C8003" s="27" t="s">
        <v>55</v>
      </c>
      <c r="D8003" s="27" t="s">
        <v>17</v>
      </c>
      <c r="E8003" s="27" t="s">
        <v>42</v>
      </c>
      <c r="F8003" s="27" t="s">
        <v>43</v>
      </c>
      <c r="G8003" s="27" t="s">
        <v>28</v>
      </c>
      <c r="H8003" s="29">
        <v>904</v>
      </c>
      <c r="I8003" s="27" t="s">
        <v>29</v>
      </c>
      <c r="J8003" s="37">
        <v>45987</v>
      </c>
      <c r="K8003" s="27" t="s">
        <v>22</v>
      </c>
    </row>
    <row r="8004" spans="1:11" x14ac:dyDescent="0.2">
      <c r="A8004" s="24" t="s">
        <v>18641</v>
      </c>
      <c r="B8004" s="24" t="s">
        <v>18642</v>
      </c>
      <c r="C8004" s="24" t="s">
        <v>18643</v>
      </c>
      <c r="D8004" s="24" t="s">
        <v>17</v>
      </c>
      <c r="E8004" s="24" t="s">
        <v>18</v>
      </c>
      <c r="F8004" s="24" t="s">
        <v>19</v>
      </c>
      <c r="G8004" s="24" t="s">
        <v>28</v>
      </c>
      <c r="H8004" s="26">
        <v>24</v>
      </c>
      <c r="I8004" s="24" t="s">
        <v>29</v>
      </c>
      <c r="J8004" s="36">
        <v>45979</v>
      </c>
      <c r="K8004" s="24" t="s">
        <v>22</v>
      </c>
    </row>
    <row r="8005" spans="1:11" x14ac:dyDescent="0.2">
      <c r="A8005" s="27" t="s">
        <v>18644</v>
      </c>
      <c r="B8005" s="27" t="s">
        <v>18645</v>
      </c>
      <c r="C8005" s="27" t="s">
        <v>18646</v>
      </c>
      <c r="D8005" s="27" t="s">
        <v>17</v>
      </c>
      <c r="E8005" s="27" t="s">
        <v>18</v>
      </c>
      <c r="F8005" s="27" t="s">
        <v>19</v>
      </c>
      <c r="G8005" s="27" t="s">
        <v>28</v>
      </c>
      <c r="H8005" s="29">
        <v>160</v>
      </c>
      <c r="I8005" s="27" t="s">
        <v>29</v>
      </c>
      <c r="J8005" s="37">
        <v>45974</v>
      </c>
      <c r="K8005" s="27" t="s">
        <v>22</v>
      </c>
    </row>
    <row r="8006" spans="1:11" x14ac:dyDescent="0.2">
      <c r="A8006" s="24" t="s">
        <v>18647</v>
      </c>
      <c r="B8006" s="24" t="s">
        <v>18648</v>
      </c>
      <c r="C8006" s="24" t="s">
        <v>10855</v>
      </c>
      <c r="D8006" s="24" t="s">
        <v>17</v>
      </c>
      <c r="E8006" s="24" t="s">
        <v>26</v>
      </c>
      <c r="F8006" s="24" t="s">
        <v>27</v>
      </c>
      <c r="G8006" s="24" t="s">
        <v>28</v>
      </c>
      <c r="H8006" s="26">
        <v>150</v>
      </c>
      <c r="I8006" s="24" t="s">
        <v>29</v>
      </c>
      <c r="J8006" s="36">
        <v>45987</v>
      </c>
      <c r="K8006" s="24" t="s">
        <v>22</v>
      </c>
    </row>
    <row r="8007" spans="1:11" x14ac:dyDescent="0.2">
      <c r="A8007" s="27" t="s">
        <v>18649</v>
      </c>
      <c r="B8007" s="27" t="s">
        <v>18650</v>
      </c>
      <c r="C8007" s="27" t="s">
        <v>106</v>
      </c>
      <c r="D8007" s="27" t="s">
        <v>17</v>
      </c>
      <c r="E8007" s="27" t="s">
        <v>18</v>
      </c>
      <c r="F8007" s="27" t="s">
        <v>19</v>
      </c>
      <c r="G8007" s="27" t="s">
        <v>28</v>
      </c>
      <c r="H8007" s="29">
        <v>68</v>
      </c>
      <c r="I8007" s="27" t="s">
        <v>29</v>
      </c>
      <c r="J8007" s="37">
        <v>45982</v>
      </c>
      <c r="K8007" s="27" t="s">
        <v>22</v>
      </c>
    </row>
    <row r="8008" spans="1:11" x14ac:dyDescent="0.2">
      <c r="A8008" s="24" t="s">
        <v>18651</v>
      </c>
      <c r="B8008" s="24" t="s">
        <v>18652</v>
      </c>
      <c r="C8008" s="24" t="s">
        <v>6462</v>
      </c>
      <c r="D8008" s="24" t="s">
        <v>17</v>
      </c>
      <c r="E8008" s="24" t="s">
        <v>18</v>
      </c>
      <c r="F8008" s="24" t="s">
        <v>19</v>
      </c>
      <c r="G8008" s="24" t="s">
        <v>28</v>
      </c>
      <c r="H8008" s="26">
        <v>200</v>
      </c>
      <c r="I8008" s="24" t="s">
        <v>29</v>
      </c>
      <c r="J8008" s="36">
        <v>45968</v>
      </c>
      <c r="K8008" s="24" t="s">
        <v>22</v>
      </c>
    </row>
    <row r="8009" spans="1:11" x14ac:dyDescent="0.2">
      <c r="A8009" s="27" t="s">
        <v>18653</v>
      </c>
      <c r="B8009" s="27" t="s">
        <v>18654</v>
      </c>
      <c r="C8009" s="27" t="s">
        <v>97</v>
      </c>
      <c r="D8009" s="27" t="s">
        <v>17</v>
      </c>
      <c r="E8009" s="27" t="s">
        <v>81</v>
      </c>
      <c r="F8009" s="27" t="s">
        <v>82</v>
      </c>
      <c r="G8009" s="27" t="s">
        <v>28</v>
      </c>
      <c r="H8009" s="29">
        <v>56</v>
      </c>
      <c r="I8009" s="27" t="s">
        <v>29</v>
      </c>
      <c r="J8009" s="37">
        <v>45985</v>
      </c>
      <c r="K8009" s="27" t="s">
        <v>22</v>
      </c>
    </row>
    <row r="8010" spans="1:11" x14ac:dyDescent="0.2">
      <c r="A8010" s="24" t="s">
        <v>18655</v>
      </c>
      <c r="B8010" s="24" t="s">
        <v>18656</v>
      </c>
      <c r="C8010" s="24" t="s">
        <v>18657</v>
      </c>
      <c r="D8010" s="24" t="s">
        <v>17</v>
      </c>
      <c r="E8010" s="24" t="s">
        <v>18</v>
      </c>
      <c r="F8010" s="24" t="s">
        <v>19</v>
      </c>
      <c r="G8010" s="24" t="s">
        <v>28</v>
      </c>
      <c r="H8010" s="26">
        <v>76</v>
      </c>
      <c r="I8010" s="24" t="s">
        <v>29</v>
      </c>
      <c r="J8010" s="36">
        <v>45974</v>
      </c>
      <c r="K8010" s="24" t="s">
        <v>22</v>
      </c>
    </row>
    <row r="8011" spans="1:11" x14ac:dyDescent="0.2">
      <c r="A8011" s="27" t="s">
        <v>18658</v>
      </c>
      <c r="B8011" s="27" t="s">
        <v>18659</v>
      </c>
      <c r="C8011" s="27" t="s">
        <v>18660</v>
      </c>
      <c r="D8011" s="27" t="s">
        <v>17</v>
      </c>
      <c r="E8011" s="27" t="s">
        <v>42</v>
      </c>
      <c r="F8011" s="27" t="s">
        <v>43</v>
      </c>
      <c r="G8011" s="27" t="s">
        <v>28</v>
      </c>
      <c r="H8011" s="29">
        <v>36</v>
      </c>
      <c r="I8011" s="27" t="s">
        <v>29</v>
      </c>
      <c r="J8011" s="37">
        <v>45985</v>
      </c>
      <c r="K8011" s="27" t="s">
        <v>22</v>
      </c>
    </row>
    <row r="8012" spans="1:11" x14ac:dyDescent="0.2">
      <c r="A8012" s="24" t="s">
        <v>18661</v>
      </c>
      <c r="B8012" s="24" t="s">
        <v>18662</v>
      </c>
      <c r="C8012" s="24" t="s">
        <v>18663</v>
      </c>
      <c r="D8012" s="24" t="s">
        <v>17</v>
      </c>
      <c r="E8012" s="24" t="s">
        <v>18</v>
      </c>
      <c r="F8012" s="24" t="s">
        <v>19</v>
      </c>
      <c r="G8012" s="24" t="s">
        <v>28</v>
      </c>
      <c r="H8012" s="26">
        <v>42</v>
      </c>
      <c r="I8012" s="24" t="s">
        <v>29</v>
      </c>
      <c r="J8012" s="36">
        <v>45965</v>
      </c>
      <c r="K8012" s="24" t="s">
        <v>22</v>
      </c>
    </row>
    <row r="8013" spans="1:11" x14ac:dyDescent="0.2">
      <c r="A8013" s="27" t="s">
        <v>18664</v>
      </c>
      <c r="B8013" s="27" t="s">
        <v>18665</v>
      </c>
      <c r="C8013" s="27" t="s">
        <v>5372</v>
      </c>
      <c r="D8013" s="27" t="s">
        <v>17</v>
      </c>
      <c r="E8013" s="27" t="s">
        <v>18</v>
      </c>
      <c r="F8013" s="27" t="s">
        <v>19</v>
      </c>
      <c r="G8013" s="27" t="s">
        <v>28</v>
      </c>
      <c r="H8013" s="29">
        <v>60</v>
      </c>
      <c r="I8013" s="27" t="s">
        <v>29</v>
      </c>
      <c r="J8013" s="37">
        <v>45986</v>
      </c>
      <c r="K8013" s="27" t="s">
        <v>22</v>
      </c>
    </row>
    <row r="8014" spans="1:11" x14ac:dyDescent="0.2">
      <c r="A8014" s="24" t="s">
        <v>18666</v>
      </c>
      <c r="B8014" s="24" t="s">
        <v>18667</v>
      </c>
      <c r="C8014" s="24" t="s">
        <v>97</v>
      </c>
      <c r="D8014" s="24" t="s">
        <v>17</v>
      </c>
      <c r="E8014" s="24" t="s">
        <v>26</v>
      </c>
      <c r="F8014" s="24" t="s">
        <v>27</v>
      </c>
      <c r="G8014" s="24" t="s">
        <v>28</v>
      </c>
      <c r="H8014" s="26">
        <v>83</v>
      </c>
      <c r="I8014" s="24" t="s">
        <v>29</v>
      </c>
      <c r="J8014" s="36">
        <v>45973</v>
      </c>
      <c r="K8014" s="24" t="s">
        <v>22</v>
      </c>
    </row>
    <row r="8015" spans="1:11" x14ac:dyDescent="0.2">
      <c r="A8015" s="27" t="s">
        <v>18668</v>
      </c>
      <c r="B8015" s="27" t="s">
        <v>18669</v>
      </c>
      <c r="C8015" s="27" t="s">
        <v>97</v>
      </c>
      <c r="D8015" s="27" t="s">
        <v>17</v>
      </c>
      <c r="E8015" s="27" t="s">
        <v>18</v>
      </c>
      <c r="F8015" s="27" t="s">
        <v>19</v>
      </c>
      <c r="G8015" s="27" t="s">
        <v>28</v>
      </c>
      <c r="H8015" s="29">
        <v>40</v>
      </c>
      <c r="I8015" s="27" t="s">
        <v>29</v>
      </c>
      <c r="J8015" s="37">
        <v>45986</v>
      </c>
      <c r="K8015" s="27" t="s">
        <v>22</v>
      </c>
    </row>
    <row r="8016" spans="1:11" x14ac:dyDescent="0.2">
      <c r="A8016" s="24" t="s">
        <v>18670</v>
      </c>
      <c r="B8016" s="24" t="s">
        <v>18671</v>
      </c>
      <c r="C8016" s="24" t="s">
        <v>749</v>
      </c>
      <c r="D8016" s="24" t="s">
        <v>17</v>
      </c>
      <c r="E8016" s="24" t="s">
        <v>26</v>
      </c>
      <c r="F8016" s="24" t="s">
        <v>27</v>
      </c>
      <c r="G8016" s="24" t="s">
        <v>28</v>
      </c>
      <c r="H8016" s="26">
        <v>112</v>
      </c>
      <c r="I8016" s="24" t="s">
        <v>29</v>
      </c>
      <c r="J8016" s="36">
        <v>45979</v>
      </c>
      <c r="K8016" s="24" t="s">
        <v>22</v>
      </c>
    </row>
    <row r="8017" spans="1:11" x14ac:dyDescent="0.2">
      <c r="A8017" s="27" t="s">
        <v>18672</v>
      </c>
      <c r="B8017" s="27" t="s">
        <v>18673</v>
      </c>
      <c r="C8017" s="27" t="s">
        <v>18674</v>
      </c>
      <c r="D8017" s="27" t="s">
        <v>17</v>
      </c>
      <c r="E8017" s="27" t="s">
        <v>18</v>
      </c>
      <c r="F8017" s="27" t="s">
        <v>19</v>
      </c>
      <c r="G8017" s="27" t="s">
        <v>28</v>
      </c>
      <c r="H8017" s="29">
        <v>12</v>
      </c>
      <c r="I8017" s="27" t="s">
        <v>29</v>
      </c>
      <c r="J8017" s="37">
        <v>45972</v>
      </c>
      <c r="K8017" s="27" t="s">
        <v>22</v>
      </c>
    </row>
    <row r="8018" spans="1:11" x14ac:dyDescent="0.2">
      <c r="A8018" s="24" t="s">
        <v>18675</v>
      </c>
      <c r="B8018" s="24" t="s">
        <v>18676</v>
      </c>
      <c r="C8018" s="24" t="s">
        <v>1110</v>
      </c>
      <c r="D8018" s="24" t="s">
        <v>17</v>
      </c>
      <c r="E8018" s="24" t="s">
        <v>42</v>
      </c>
      <c r="F8018" s="24" t="s">
        <v>43</v>
      </c>
      <c r="G8018" s="24" t="s">
        <v>28</v>
      </c>
      <c r="H8018" s="26">
        <v>800</v>
      </c>
      <c r="I8018" s="24" t="s">
        <v>29</v>
      </c>
      <c r="J8018" s="36">
        <v>45973</v>
      </c>
      <c r="K8018" s="24" t="s">
        <v>22</v>
      </c>
    </row>
    <row r="8019" spans="1:11" x14ac:dyDescent="0.2">
      <c r="A8019" s="27" t="s">
        <v>18677</v>
      </c>
      <c r="B8019" s="27" t="s">
        <v>18678</v>
      </c>
      <c r="C8019" s="27" t="s">
        <v>18679</v>
      </c>
      <c r="D8019" s="27" t="s">
        <v>17</v>
      </c>
      <c r="E8019" s="27" t="s">
        <v>48</v>
      </c>
      <c r="F8019" s="27" t="s">
        <v>49</v>
      </c>
      <c r="G8019" s="27" t="s">
        <v>28</v>
      </c>
      <c r="H8019" s="29">
        <v>105</v>
      </c>
      <c r="I8019" s="27" t="s">
        <v>29</v>
      </c>
      <c r="J8019" s="37">
        <v>45986</v>
      </c>
      <c r="K8019" s="27" t="s">
        <v>22</v>
      </c>
    </row>
    <row r="8020" spans="1:11" x14ac:dyDescent="0.2">
      <c r="A8020" s="24" t="s">
        <v>18680</v>
      </c>
      <c r="B8020" s="24" t="s">
        <v>18681</v>
      </c>
      <c r="C8020" s="24" t="s">
        <v>280</v>
      </c>
      <c r="D8020" s="24" t="s">
        <v>17</v>
      </c>
      <c r="E8020" s="24" t="s">
        <v>18</v>
      </c>
      <c r="F8020" s="24" t="s">
        <v>19</v>
      </c>
      <c r="G8020" s="24" t="s">
        <v>217</v>
      </c>
      <c r="H8020" s="26">
        <v>40</v>
      </c>
      <c r="I8020" s="24" t="s">
        <v>29</v>
      </c>
      <c r="J8020" s="36">
        <v>45985</v>
      </c>
      <c r="K8020" s="24" t="s">
        <v>22</v>
      </c>
    </row>
    <row r="8021" spans="1:11" x14ac:dyDescent="0.2">
      <c r="A8021" s="27" t="s">
        <v>18682</v>
      </c>
      <c r="B8021" s="27" t="s">
        <v>18683</v>
      </c>
      <c r="C8021" s="27" t="s">
        <v>5398</v>
      </c>
      <c r="D8021" s="27" t="s">
        <v>17</v>
      </c>
      <c r="E8021" s="27" t="s">
        <v>18</v>
      </c>
      <c r="F8021" s="27" t="s">
        <v>19</v>
      </c>
      <c r="G8021" s="27" t="s">
        <v>28</v>
      </c>
      <c r="H8021" s="29">
        <v>10</v>
      </c>
      <c r="I8021" s="27" t="s">
        <v>29</v>
      </c>
      <c r="J8021" s="37">
        <v>45972</v>
      </c>
      <c r="K8021" s="27" t="s">
        <v>22</v>
      </c>
    </row>
    <row r="8022" spans="1:11" x14ac:dyDescent="0.2">
      <c r="A8022" s="24" t="s">
        <v>18684</v>
      </c>
      <c r="B8022" s="24" t="s">
        <v>18685</v>
      </c>
      <c r="C8022" s="24" t="s">
        <v>18686</v>
      </c>
      <c r="D8022" s="24" t="s">
        <v>17</v>
      </c>
      <c r="E8022" s="24" t="s">
        <v>48</v>
      </c>
      <c r="F8022" s="24" t="s">
        <v>49</v>
      </c>
      <c r="G8022" s="24" t="s">
        <v>217</v>
      </c>
      <c r="H8022" s="26">
        <v>60</v>
      </c>
      <c r="I8022" s="24" t="s">
        <v>29</v>
      </c>
      <c r="J8022" s="36">
        <v>45962</v>
      </c>
      <c r="K8022" s="24" t="s">
        <v>22</v>
      </c>
    </row>
    <row r="8023" spans="1:11" x14ac:dyDescent="0.2">
      <c r="A8023" s="27" t="s">
        <v>18687</v>
      </c>
      <c r="B8023" s="27" t="s">
        <v>18688</v>
      </c>
      <c r="C8023" s="27" t="s">
        <v>3489</v>
      </c>
      <c r="D8023" s="27" t="s">
        <v>17</v>
      </c>
      <c r="E8023" s="27" t="s">
        <v>18</v>
      </c>
      <c r="F8023" s="27" t="s">
        <v>19</v>
      </c>
      <c r="G8023" s="27" t="s">
        <v>28</v>
      </c>
      <c r="H8023" s="29">
        <v>76</v>
      </c>
      <c r="I8023" s="27" t="s">
        <v>29</v>
      </c>
      <c r="J8023" s="37">
        <v>45982</v>
      </c>
      <c r="K8023" s="27" t="s">
        <v>22</v>
      </c>
    </row>
    <row r="8024" spans="1:11" x14ac:dyDescent="0.2">
      <c r="A8024" s="24" t="s">
        <v>18689</v>
      </c>
      <c r="B8024" s="24" t="s">
        <v>18690</v>
      </c>
      <c r="C8024" s="24" t="s">
        <v>18691</v>
      </c>
      <c r="D8024" s="24" t="s">
        <v>17</v>
      </c>
      <c r="E8024" s="24" t="s">
        <v>26</v>
      </c>
      <c r="F8024" s="24" t="s">
        <v>27</v>
      </c>
      <c r="G8024" s="24" t="s">
        <v>28</v>
      </c>
      <c r="H8024" s="26">
        <v>55</v>
      </c>
      <c r="I8024" s="24" t="s">
        <v>29</v>
      </c>
      <c r="J8024" s="36">
        <v>45971</v>
      </c>
      <c r="K8024" s="24" t="s">
        <v>22</v>
      </c>
    </row>
    <row r="8025" spans="1:11" x14ac:dyDescent="0.2">
      <c r="A8025" s="27" t="s">
        <v>18692</v>
      </c>
      <c r="B8025" s="27" t="s">
        <v>18693</v>
      </c>
      <c r="C8025" s="27" t="s">
        <v>12358</v>
      </c>
      <c r="D8025" s="27" t="s">
        <v>17</v>
      </c>
      <c r="E8025" s="27" t="s">
        <v>33</v>
      </c>
      <c r="F8025" s="27" t="s">
        <v>34</v>
      </c>
      <c r="G8025" s="27" t="s">
        <v>217</v>
      </c>
      <c r="H8025" s="29">
        <v>600</v>
      </c>
      <c r="I8025" s="27" t="s">
        <v>29</v>
      </c>
      <c r="J8025" s="37">
        <v>45969</v>
      </c>
      <c r="K8025" s="27" t="s">
        <v>22</v>
      </c>
    </row>
    <row r="8026" spans="1:11" x14ac:dyDescent="0.2">
      <c r="A8026" s="24" t="s">
        <v>18694</v>
      </c>
      <c r="B8026" s="24" t="s">
        <v>18695</v>
      </c>
      <c r="C8026" s="24" t="s">
        <v>134</v>
      </c>
      <c r="D8026" s="24" t="s">
        <v>17</v>
      </c>
      <c r="E8026" s="24" t="s">
        <v>81</v>
      </c>
      <c r="F8026" s="24" t="s">
        <v>82</v>
      </c>
      <c r="G8026" s="24" t="s">
        <v>116</v>
      </c>
      <c r="H8026" s="26">
        <v>0</v>
      </c>
      <c r="I8026" s="24" t="s">
        <v>21</v>
      </c>
      <c r="J8026" s="36">
        <v>45976</v>
      </c>
      <c r="K8026" s="24" t="s">
        <v>22</v>
      </c>
    </row>
    <row r="8027" spans="1:11" x14ac:dyDescent="0.2">
      <c r="A8027" s="27" t="s">
        <v>18696</v>
      </c>
      <c r="B8027" s="27" t="s">
        <v>18697</v>
      </c>
      <c r="C8027" s="27" t="s">
        <v>5239</v>
      </c>
      <c r="D8027" s="27" t="s">
        <v>17</v>
      </c>
      <c r="E8027" s="27" t="s">
        <v>48</v>
      </c>
      <c r="F8027" s="27" t="s">
        <v>49</v>
      </c>
      <c r="G8027" s="27" t="s">
        <v>28</v>
      </c>
      <c r="H8027" s="29">
        <v>24</v>
      </c>
      <c r="I8027" s="27" t="s">
        <v>29</v>
      </c>
      <c r="J8027" s="37">
        <v>45990</v>
      </c>
      <c r="K8027" s="27" t="s">
        <v>22</v>
      </c>
    </row>
    <row r="8028" spans="1:11" x14ac:dyDescent="0.2">
      <c r="A8028" s="24" t="s">
        <v>18698</v>
      </c>
      <c r="B8028" s="24" t="s">
        <v>18699</v>
      </c>
      <c r="C8028" s="24" t="s">
        <v>18700</v>
      </c>
      <c r="D8028" s="24" t="s">
        <v>17</v>
      </c>
      <c r="E8028" s="24" t="s">
        <v>18</v>
      </c>
      <c r="F8028" s="24" t="s">
        <v>19</v>
      </c>
      <c r="G8028" s="24" t="s">
        <v>217</v>
      </c>
      <c r="H8028" s="26">
        <v>60</v>
      </c>
      <c r="I8028" s="24" t="s">
        <v>29</v>
      </c>
      <c r="J8028" s="36">
        <v>45962</v>
      </c>
      <c r="K8028" s="24" t="s">
        <v>22</v>
      </c>
    </row>
    <row r="8029" spans="1:11" x14ac:dyDescent="0.2">
      <c r="A8029" s="27" t="s">
        <v>18701</v>
      </c>
      <c r="B8029" s="27" t="s">
        <v>18702</v>
      </c>
      <c r="C8029" s="27" t="s">
        <v>331</v>
      </c>
      <c r="D8029" s="27" t="s">
        <v>17</v>
      </c>
      <c r="E8029" s="27" t="s">
        <v>48</v>
      </c>
      <c r="F8029" s="27" t="s">
        <v>49</v>
      </c>
      <c r="G8029" s="27" t="s">
        <v>28</v>
      </c>
      <c r="H8029" s="29">
        <v>160</v>
      </c>
      <c r="I8029" s="27" t="s">
        <v>29</v>
      </c>
      <c r="J8029" s="37">
        <v>45973</v>
      </c>
      <c r="K8029" s="27" t="s">
        <v>22</v>
      </c>
    </row>
    <row r="8030" spans="1:11" x14ac:dyDescent="0.2">
      <c r="A8030" s="24" t="s">
        <v>18703</v>
      </c>
      <c r="B8030" s="24" t="s">
        <v>18704</v>
      </c>
      <c r="C8030" s="24" t="s">
        <v>18705</v>
      </c>
      <c r="D8030" s="24" t="s">
        <v>17</v>
      </c>
      <c r="E8030" s="24" t="s">
        <v>42</v>
      </c>
      <c r="F8030" s="24" t="s">
        <v>43</v>
      </c>
      <c r="G8030" s="24" t="s">
        <v>217</v>
      </c>
      <c r="H8030" s="26">
        <v>200</v>
      </c>
      <c r="I8030" s="24" t="s">
        <v>29</v>
      </c>
      <c r="J8030" s="36">
        <v>45972</v>
      </c>
      <c r="K8030" s="24" t="s">
        <v>22</v>
      </c>
    </row>
    <row r="8031" spans="1:11" x14ac:dyDescent="0.2">
      <c r="A8031" s="27" t="s">
        <v>18706</v>
      </c>
      <c r="B8031" s="27" t="s">
        <v>18707</v>
      </c>
      <c r="C8031" s="27" t="s">
        <v>4391</v>
      </c>
      <c r="D8031" s="27" t="s">
        <v>17</v>
      </c>
      <c r="E8031" s="27" t="s">
        <v>48</v>
      </c>
      <c r="F8031" s="27" t="s">
        <v>49</v>
      </c>
      <c r="G8031" s="27" t="s">
        <v>28</v>
      </c>
      <c r="H8031" s="29">
        <v>40</v>
      </c>
      <c r="I8031" s="27" t="s">
        <v>29</v>
      </c>
      <c r="J8031" s="37">
        <v>45979</v>
      </c>
      <c r="K8031" s="27" t="s">
        <v>22</v>
      </c>
    </row>
    <row r="8032" spans="1:11" x14ac:dyDescent="0.2">
      <c r="A8032" s="24" t="s">
        <v>18708</v>
      </c>
      <c r="B8032" s="24" t="s">
        <v>18709</v>
      </c>
      <c r="C8032" s="24" t="s">
        <v>18710</v>
      </c>
      <c r="D8032" s="24" t="s">
        <v>17</v>
      </c>
      <c r="E8032" s="24" t="s">
        <v>26</v>
      </c>
      <c r="F8032" s="24" t="s">
        <v>27</v>
      </c>
      <c r="G8032" s="24" t="s">
        <v>227</v>
      </c>
      <c r="H8032" s="26">
        <v>20</v>
      </c>
      <c r="I8032" s="24" t="s">
        <v>29</v>
      </c>
      <c r="J8032" s="36">
        <v>46014</v>
      </c>
      <c r="K8032" s="24" t="s">
        <v>22</v>
      </c>
    </row>
    <row r="8033" spans="1:11" x14ac:dyDescent="0.2">
      <c r="A8033" s="27" t="s">
        <v>18711</v>
      </c>
      <c r="B8033" s="27" t="s">
        <v>18712</v>
      </c>
      <c r="C8033" s="27" t="s">
        <v>4628</v>
      </c>
      <c r="D8033" s="27" t="s">
        <v>17</v>
      </c>
      <c r="E8033" s="27" t="s">
        <v>48</v>
      </c>
      <c r="F8033" s="27" t="s">
        <v>49</v>
      </c>
      <c r="G8033" s="27" t="s">
        <v>28</v>
      </c>
      <c r="H8033" s="29">
        <v>25</v>
      </c>
      <c r="I8033" s="27" t="s">
        <v>29</v>
      </c>
      <c r="J8033" s="37">
        <v>45994</v>
      </c>
      <c r="K8033" s="27" t="s">
        <v>22</v>
      </c>
    </row>
    <row r="8034" spans="1:11" x14ac:dyDescent="0.2">
      <c r="A8034" s="24" t="s">
        <v>18713</v>
      </c>
      <c r="B8034" s="24" t="s">
        <v>18714</v>
      </c>
      <c r="C8034" s="24" t="s">
        <v>13620</v>
      </c>
      <c r="D8034" s="24" t="s">
        <v>17</v>
      </c>
      <c r="E8034" s="24" t="s">
        <v>18</v>
      </c>
      <c r="F8034" s="24" t="s">
        <v>19</v>
      </c>
      <c r="G8034" s="24" t="s">
        <v>217</v>
      </c>
      <c r="H8034" s="26">
        <v>64</v>
      </c>
      <c r="I8034" s="24" t="s">
        <v>29</v>
      </c>
      <c r="J8034" s="36">
        <v>46021</v>
      </c>
      <c r="K8034" s="24" t="s">
        <v>22</v>
      </c>
    </row>
    <row r="8035" spans="1:11" x14ac:dyDescent="0.2">
      <c r="A8035" s="27" t="s">
        <v>18715</v>
      </c>
      <c r="B8035" s="27" t="s">
        <v>18716</v>
      </c>
      <c r="C8035" s="27" t="s">
        <v>1470</v>
      </c>
      <c r="D8035" s="27" t="s">
        <v>17</v>
      </c>
      <c r="E8035" s="27" t="s">
        <v>18</v>
      </c>
      <c r="F8035" s="27" t="s">
        <v>19</v>
      </c>
      <c r="G8035" s="27" t="s">
        <v>217</v>
      </c>
      <c r="H8035" s="29">
        <v>84</v>
      </c>
      <c r="I8035" s="27" t="s">
        <v>29</v>
      </c>
      <c r="J8035" s="37">
        <v>45992</v>
      </c>
      <c r="K8035" s="27" t="s">
        <v>22</v>
      </c>
    </row>
    <row r="8036" spans="1:11" x14ac:dyDescent="0.2">
      <c r="A8036" s="24" t="s">
        <v>18717</v>
      </c>
      <c r="B8036" s="24" t="s">
        <v>18718</v>
      </c>
      <c r="C8036" s="24" t="s">
        <v>18719</v>
      </c>
      <c r="D8036" s="24" t="s">
        <v>17</v>
      </c>
      <c r="E8036" s="24" t="s">
        <v>18</v>
      </c>
      <c r="F8036" s="24" t="s">
        <v>19</v>
      </c>
      <c r="G8036" s="24" t="s">
        <v>217</v>
      </c>
      <c r="H8036" s="26">
        <v>70</v>
      </c>
      <c r="I8036" s="24" t="s">
        <v>29</v>
      </c>
      <c r="J8036" s="36">
        <v>45992</v>
      </c>
      <c r="K8036" s="24" t="s">
        <v>22</v>
      </c>
    </row>
    <row r="8037" spans="1:11" x14ac:dyDescent="0.2">
      <c r="A8037" s="27" t="s">
        <v>18720</v>
      </c>
      <c r="B8037" s="27" t="s">
        <v>18721</v>
      </c>
      <c r="C8037" s="27" t="s">
        <v>97</v>
      </c>
      <c r="D8037" s="27" t="s">
        <v>17</v>
      </c>
      <c r="E8037" s="27" t="s">
        <v>18</v>
      </c>
      <c r="F8037" s="27" t="s">
        <v>19</v>
      </c>
      <c r="G8037" s="27" t="s">
        <v>44</v>
      </c>
      <c r="H8037" s="29">
        <v>18</v>
      </c>
      <c r="I8037" s="27" t="s">
        <v>21</v>
      </c>
      <c r="J8037" s="37">
        <v>46003</v>
      </c>
      <c r="K8037" s="27" t="s">
        <v>22</v>
      </c>
    </row>
    <row r="8038" spans="1:11" x14ac:dyDescent="0.2">
      <c r="A8038" s="24" t="s">
        <v>18722</v>
      </c>
      <c r="B8038" s="24" t="s">
        <v>18723</v>
      </c>
      <c r="C8038" s="24" t="s">
        <v>18724</v>
      </c>
      <c r="D8038" s="24" t="s">
        <v>17</v>
      </c>
      <c r="E8038" s="24" t="s">
        <v>81</v>
      </c>
      <c r="F8038" s="24" t="s">
        <v>82</v>
      </c>
      <c r="G8038" s="24" t="s">
        <v>217</v>
      </c>
      <c r="H8038" s="26">
        <v>40</v>
      </c>
      <c r="I8038" s="24" t="s">
        <v>29</v>
      </c>
      <c r="J8038" s="36">
        <v>45996</v>
      </c>
      <c r="K8038" s="24" t="s">
        <v>22</v>
      </c>
    </row>
    <row r="8039" spans="1:11" x14ac:dyDescent="0.2">
      <c r="A8039" s="27" t="s">
        <v>18725</v>
      </c>
      <c r="B8039" s="27" t="s">
        <v>18726</v>
      </c>
      <c r="C8039" s="27" t="s">
        <v>8449</v>
      </c>
      <c r="D8039" s="27" t="s">
        <v>17</v>
      </c>
      <c r="E8039" s="27" t="s">
        <v>42</v>
      </c>
      <c r="F8039" s="27" t="s">
        <v>43</v>
      </c>
      <c r="G8039" s="27" t="s">
        <v>28</v>
      </c>
      <c r="H8039" s="29">
        <v>320</v>
      </c>
      <c r="I8039" s="27" t="s">
        <v>29</v>
      </c>
      <c r="J8039" s="37">
        <v>46000</v>
      </c>
      <c r="K8039" s="27" t="s">
        <v>22</v>
      </c>
    </row>
    <row r="8040" spans="1:11" x14ac:dyDescent="0.2">
      <c r="A8040" s="24" t="s">
        <v>18727</v>
      </c>
      <c r="B8040" s="24" t="s">
        <v>18728</v>
      </c>
      <c r="C8040" s="24" t="s">
        <v>429</v>
      </c>
      <c r="D8040" s="24" t="s">
        <v>17</v>
      </c>
      <c r="E8040" s="24" t="s">
        <v>81</v>
      </c>
      <c r="F8040" s="24" t="s">
        <v>82</v>
      </c>
      <c r="G8040" s="24" t="s">
        <v>217</v>
      </c>
      <c r="H8040" s="26">
        <v>92</v>
      </c>
      <c r="I8040" s="24" t="s">
        <v>29</v>
      </c>
      <c r="J8040" s="36">
        <v>46021</v>
      </c>
      <c r="K8040" s="24" t="s">
        <v>22</v>
      </c>
    </row>
    <row r="8041" spans="1:11" x14ac:dyDescent="0.2">
      <c r="A8041" s="27" t="s">
        <v>18729</v>
      </c>
      <c r="B8041" s="27" t="s">
        <v>18730</v>
      </c>
      <c r="C8041" s="27" t="s">
        <v>17196</v>
      </c>
      <c r="D8041" s="27" t="s">
        <v>17</v>
      </c>
      <c r="E8041" s="27" t="s">
        <v>26</v>
      </c>
      <c r="F8041" s="27" t="s">
        <v>27</v>
      </c>
      <c r="G8041" s="27" t="s">
        <v>28</v>
      </c>
      <c r="H8041" s="29">
        <v>255</v>
      </c>
      <c r="I8041" s="27" t="s">
        <v>29</v>
      </c>
      <c r="J8041" s="37">
        <v>45995</v>
      </c>
      <c r="K8041" s="27" t="s">
        <v>22</v>
      </c>
    </row>
    <row r="8042" spans="1:11" x14ac:dyDescent="0.2">
      <c r="A8042" s="24" t="s">
        <v>18731</v>
      </c>
      <c r="B8042" s="24" t="s">
        <v>18732</v>
      </c>
      <c r="C8042" s="24" t="s">
        <v>494</v>
      </c>
      <c r="D8042" s="24" t="s">
        <v>17</v>
      </c>
      <c r="E8042" s="24" t="s">
        <v>18</v>
      </c>
      <c r="F8042" s="24" t="s">
        <v>19</v>
      </c>
      <c r="G8042" s="24" t="s">
        <v>217</v>
      </c>
      <c r="H8042" s="26">
        <v>40</v>
      </c>
      <c r="I8042" s="24" t="s">
        <v>29</v>
      </c>
      <c r="J8042" s="36">
        <v>45992</v>
      </c>
      <c r="K8042" s="24" t="s">
        <v>22</v>
      </c>
    </row>
    <row r="8043" spans="1:11" x14ac:dyDescent="0.2">
      <c r="A8043" s="27" t="s">
        <v>18733</v>
      </c>
      <c r="B8043" s="27" t="s">
        <v>18734</v>
      </c>
      <c r="C8043" s="27" t="s">
        <v>2657</v>
      </c>
      <c r="D8043" s="27" t="s">
        <v>17</v>
      </c>
      <c r="E8043" s="27" t="s">
        <v>26</v>
      </c>
      <c r="F8043" s="27" t="s">
        <v>27</v>
      </c>
      <c r="G8043" s="27" t="s">
        <v>28</v>
      </c>
      <c r="H8043" s="29">
        <v>54</v>
      </c>
      <c r="I8043" s="27" t="s">
        <v>29</v>
      </c>
      <c r="J8043" s="37">
        <v>46022</v>
      </c>
      <c r="K8043" s="27" t="s">
        <v>22</v>
      </c>
    </row>
    <row r="8044" spans="1:11" x14ac:dyDescent="0.2">
      <c r="A8044" s="24" t="s">
        <v>18735</v>
      </c>
      <c r="B8044" s="24" t="s">
        <v>18736</v>
      </c>
      <c r="C8044" s="24" t="s">
        <v>14002</v>
      </c>
      <c r="D8044" s="24" t="s">
        <v>17</v>
      </c>
      <c r="E8044" s="24" t="s">
        <v>18</v>
      </c>
      <c r="F8044" s="24" t="s">
        <v>19</v>
      </c>
      <c r="G8044" s="24" t="s">
        <v>28</v>
      </c>
      <c r="H8044" s="26">
        <v>16</v>
      </c>
      <c r="I8044" s="24" t="s">
        <v>29</v>
      </c>
      <c r="J8044" s="36">
        <v>46006</v>
      </c>
      <c r="K8044" s="24" t="s">
        <v>22</v>
      </c>
    </row>
    <row r="8045" spans="1:11" x14ac:dyDescent="0.2">
      <c r="A8045" s="27" t="s">
        <v>18737</v>
      </c>
      <c r="B8045" s="27" t="s">
        <v>18738</v>
      </c>
      <c r="C8045" s="27" t="s">
        <v>18739</v>
      </c>
      <c r="D8045" s="27" t="s">
        <v>17</v>
      </c>
      <c r="E8045" s="27" t="s">
        <v>48</v>
      </c>
      <c r="F8045" s="27" t="s">
        <v>49</v>
      </c>
      <c r="G8045" s="27" t="s">
        <v>116</v>
      </c>
      <c r="H8045" s="29">
        <v>0</v>
      </c>
      <c r="I8045" s="27" t="s">
        <v>21</v>
      </c>
      <c r="J8045" s="37">
        <v>46006</v>
      </c>
      <c r="K8045" s="27" t="s">
        <v>22</v>
      </c>
    </row>
    <row r="8046" spans="1:11" x14ac:dyDescent="0.2">
      <c r="A8046" s="24" t="s">
        <v>18740</v>
      </c>
      <c r="B8046" s="24" t="s">
        <v>18741</v>
      </c>
      <c r="C8046" s="24" t="s">
        <v>2725</v>
      </c>
      <c r="D8046" s="24" t="s">
        <v>17</v>
      </c>
      <c r="E8046" s="24" t="s">
        <v>48</v>
      </c>
      <c r="F8046" s="24" t="s">
        <v>49</v>
      </c>
      <c r="G8046" s="24" t="s">
        <v>217</v>
      </c>
      <c r="H8046" s="26">
        <v>162</v>
      </c>
      <c r="I8046" s="24" t="s">
        <v>29</v>
      </c>
      <c r="J8046" s="36">
        <v>46006</v>
      </c>
      <c r="K8046" s="24" t="s">
        <v>22</v>
      </c>
    </row>
    <row r="8047" spans="1:11" x14ac:dyDescent="0.2">
      <c r="A8047" s="27" t="s">
        <v>18742</v>
      </c>
      <c r="B8047" s="27" t="s">
        <v>18743</v>
      </c>
      <c r="C8047" s="27" t="s">
        <v>644</v>
      </c>
      <c r="D8047" s="27" t="s">
        <v>17</v>
      </c>
      <c r="E8047" s="27" t="s">
        <v>42</v>
      </c>
      <c r="F8047" s="27" t="s">
        <v>43</v>
      </c>
      <c r="G8047" s="27" t="s">
        <v>28</v>
      </c>
      <c r="H8047" s="29">
        <v>300</v>
      </c>
      <c r="I8047" s="27" t="s">
        <v>29</v>
      </c>
      <c r="J8047" s="37">
        <v>46002</v>
      </c>
      <c r="K8047" s="27" t="s">
        <v>22</v>
      </c>
    </row>
    <row r="8048" spans="1:11" x14ac:dyDescent="0.2">
      <c r="A8048" s="24" t="s">
        <v>18744</v>
      </c>
      <c r="B8048" s="24" t="s">
        <v>18745</v>
      </c>
      <c r="C8048" s="24" t="s">
        <v>7607</v>
      </c>
      <c r="D8048" s="24" t="s">
        <v>17</v>
      </c>
      <c r="E8048" s="24" t="s">
        <v>48</v>
      </c>
      <c r="F8048" s="24" t="s">
        <v>49</v>
      </c>
      <c r="G8048" s="24" t="s">
        <v>28</v>
      </c>
      <c r="H8048" s="26">
        <v>50</v>
      </c>
      <c r="I8048" s="24" t="s">
        <v>29</v>
      </c>
      <c r="J8048" s="36">
        <v>45992</v>
      </c>
      <c r="K8048" s="24" t="s">
        <v>22</v>
      </c>
    </row>
    <row r="8049" spans="1:11" x14ac:dyDescent="0.2">
      <c r="A8049" s="27" t="s">
        <v>18746</v>
      </c>
      <c r="B8049" s="27" t="s">
        <v>18747</v>
      </c>
      <c r="C8049" s="27" t="s">
        <v>2355</v>
      </c>
      <c r="D8049" s="27" t="s">
        <v>17</v>
      </c>
      <c r="E8049" s="27" t="s">
        <v>48</v>
      </c>
      <c r="F8049" s="27" t="s">
        <v>49</v>
      </c>
      <c r="G8049" s="27" t="s">
        <v>28</v>
      </c>
      <c r="H8049" s="29">
        <v>780</v>
      </c>
      <c r="I8049" s="27" t="s">
        <v>29</v>
      </c>
      <c r="J8049" s="37">
        <v>46008</v>
      </c>
      <c r="K8049" s="27" t="s">
        <v>22</v>
      </c>
    </row>
    <row r="8050" spans="1:11" x14ac:dyDescent="0.2">
      <c r="A8050" s="24" t="s">
        <v>18748</v>
      </c>
      <c r="B8050" s="24" t="s">
        <v>18749</v>
      </c>
      <c r="C8050" s="24" t="s">
        <v>68</v>
      </c>
      <c r="D8050" s="24" t="s">
        <v>17</v>
      </c>
      <c r="E8050" s="24" t="s">
        <v>42</v>
      </c>
      <c r="F8050" s="24" t="s">
        <v>43</v>
      </c>
      <c r="G8050" s="24" t="s">
        <v>217</v>
      </c>
      <c r="H8050" s="26">
        <v>588</v>
      </c>
      <c r="I8050" s="24" t="s">
        <v>29</v>
      </c>
      <c r="J8050" s="36">
        <v>45992</v>
      </c>
      <c r="K8050" s="24" t="s">
        <v>22</v>
      </c>
    </row>
    <row r="8051" spans="1:11" x14ac:dyDescent="0.2">
      <c r="A8051" s="27" t="s">
        <v>18750</v>
      </c>
      <c r="B8051" s="27" t="s">
        <v>18751</v>
      </c>
      <c r="C8051" s="27" t="s">
        <v>18752</v>
      </c>
      <c r="D8051" s="27" t="s">
        <v>17</v>
      </c>
      <c r="E8051" s="27" t="s">
        <v>18</v>
      </c>
      <c r="F8051" s="27" t="s">
        <v>19</v>
      </c>
      <c r="G8051" s="27" t="s">
        <v>28</v>
      </c>
      <c r="H8051" s="29">
        <v>270</v>
      </c>
      <c r="I8051" s="27" t="s">
        <v>29</v>
      </c>
      <c r="J8051" s="37">
        <v>45993</v>
      </c>
      <c r="K8051" s="27" t="s">
        <v>22</v>
      </c>
    </row>
    <row r="8052" spans="1:11" x14ac:dyDescent="0.2">
      <c r="A8052" s="24" t="s">
        <v>18753</v>
      </c>
      <c r="B8052" s="24" t="s">
        <v>18754</v>
      </c>
      <c r="C8052" s="24" t="s">
        <v>11898</v>
      </c>
      <c r="D8052" s="24" t="s">
        <v>17</v>
      </c>
      <c r="E8052" s="24" t="s">
        <v>163</v>
      </c>
      <c r="F8052" s="24" t="s">
        <v>164</v>
      </c>
      <c r="G8052" s="24" t="s">
        <v>217</v>
      </c>
      <c r="H8052" s="26">
        <v>24</v>
      </c>
      <c r="I8052" s="24" t="s">
        <v>29</v>
      </c>
      <c r="J8052" s="36">
        <v>46001</v>
      </c>
      <c r="K8052" s="24" t="s">
        <v>22</v>
      </c>
    </row>
    <row r="8053" spans="1:11" x14ac:dyDescent="0.2">
      <c r="A8053" s="27" t="s">
        <v>18755</v>
      </c>
      <c r="B8053" s="27" t="s">
        <v>18756</v>
      </c>
      <c r="C8053" s="27" t="s">
        <v>2461</v>
      </c>
      <c r="D8053" s="27" t="s">
        <v>17</v>
      </c>
      <c r="E8053" s="27" t="s">
        <v>42</v>
      </c>
      <c r="F8053" s="27" t="s">
        <v>43</v>
      </c>
      <c r="G8053" s="27" t="s">
        <v>217</v>
      </c>
      <c r="H8053" s="29">
        <v>320</v>
      </c>
      <c r="I8053" s="27" t="s">
        <v>29</v>
      </c>
      <c r="J8053" s="37">
        <v>45992</v>
      </c>
      <c r="K8053" s="27" t="s">
        <v>22</v>
      </c>
    </row>
    <row r="8054" spans="1:11" x14ac:dyDescent="0.2">
      <c r="A8054" s="24" t="s">
        <v>18757</v>
      </c>
      <c r="B8054" s="24" t="s">
        <v>18758</v>
      </c>
      <c r="C8054" s="24" t="s">
        <v>18759</v>
      </c>
      <c r="D8054" s="24" t="s">
        <v>17</v>
      </c>
      <c r="E8054" s="24" t="s">
        <v>18</v>
      </c>
      <c r="F8054" s="24" t="s">
        <v>19</v>
      </c>
      <c r="G8054" s="24" t="s">
        <v>28</v>
      </c>
      <c r="H8054" s="26">
        <v>24</v>
      </c>
      <c r="I8054" s="24" t="s">
        <v>29</v>
      </c>
      <c r="J8054" s="36">
        <v>45993</v>
      </c>
      <c r="K8054" s="24" t="s">
        <v>22</v>
      </c>
    </row>
    <row r="8055" spans="1:11" x14ac:dyDescent="0.2">
      <c r="A8055" s="27" t="s">
        <v>18760</v>
      </c>
      <c r="B8055" s="27" t="s">
        <v>18761</v>
      </c>
      <c r="C8055" s="27" t="s">
        <v>11898</v>
      </c>
      <c r="D8055" s="27" t="s">
        <v>17</v>
      </c>
      <c r="E8055" s="27" t="s">
        <v>163</v>
      </c>
      <c r="F8055" s="27" t="s">
        <v>164</v>
      </c>
      <c r="G8055" s="27" t="s">
        <v>217</v>
      </c>
      <c r="H8055" s="29">
        <v>18</v>
      </c>
      <c r="I8055" s="27" t="s">
        <v>29</v>
      </c>
      <c r="J8055" s="37">
        <v>46006</v>
      </c>
      <c r="K8055" s="27" t="s">
        <v>22</v>
      </c>
    </row>
    <row r="8056" spans="1:11" x14ac:dyDescent="0.2">
      <c r="A8056" s="24" t="s">
        <v>18762</v>
      </c>
      <c r="B8056" s="24" t="s">
        <v>18763</v>
      </c>
      <c r="C8056" s="24" t="s">
        <v>9996</v>
      </c>
      <c r="D8056" s="24" t="s">
        <v>17</v>
      </c>
      <c r="E8056" s="24" t="s">
        <v>48</v>
      </c>
      <c r="F8056" s="24" t="s">
        <v>49</v>
      </c>
      <c r="G8056" s="24" t="s">
        <v>28</v>
      </c>
      <c r="H8056" s="26">
        <v>250</v>
      </c>
      <c r="I8056" s="24" t="s">
        <v>29</v>
      </c>
      <c r="J8056" s="36">
        <v>45996</v>
      </c>
      <c r="K8056" s="24" t="s">
        <v>22</v>
      </c>
    </row>
    <row r="8057" spans="1:11" x14ac:dyDescent="0.2">
      <c r="A8057" s="27" t="s">
        <v>18764</v>
      </c>
      <c r="B8057" s="27" t="s">
        <v>18765</v>
      </c>
      <c r="C8057" s="27" t="s">
        <v>13705</v>
      </c>
      <c r="D8057" s="27" t="s">
        <v>17</v>
      </c>
      <c r="E8057" s="27" t="s">
        <v>18</v>
      </c>
      <c r="F8057" s="27" t="s">
        <v>19</v>
      </c>
      <c r="G8057" s="27" t="s">
        <v>217</v>
      </c>
      <c r="H8057" s="29">
        <v>30</v>
      </c>
      <c r="I8057" s="27" t="s">
        <v>29</v>
      </c>
      <c r="J8057" s="37">
        <v>45992</v>
      </c>
      <c r="K8057" s="27" t="s">
        <v>22</v>
      </c>
    </row>
    <row r="8058" spans="1:11" x14ac:dyDescent="0.2">
      <c r="A8058" s="24" t="s">
        <v>18766</v>
      </c>
      <c r="B8058" s="24" t="s">
        <v>18767</v>
      </c>
      <c r="C8058" s="24" t="s">
        <v>595</v>
      </c>
      <c r="D8058" s="24" t="s">
        <v>17</v>
      </c>
      <c r="E8058" s="24" t="s">
        <v>18</v>
      </c>
      <c r="F8058" s="24" t="s">
        <v>19</v>
      </c>
      <c r="G8058" s="24" t="s">
        <v>28</v>
      </c>
      <c r="H8058" s="26">
        <v>170</v>
      </c>
      <c r="I8058" s="24" t="s">
        <v>29</v>
      </c>
      <c r="J8058" s="36">
        <v>46001</v>
      </c>
      <c r="K8058" s="24" t="s">
        <v>22</v>
      </c>
    </row>
    <row r="8059" spans="1:11" x14ac:dyDescent="0.2">
      <c r="A8059" s="27" t="s">
        <v>18768</v>
      </c>
      <c r="B8059" s="27" t="s">
        <v>18769</v>
      </c>
      <c r="C8059" s="27" t="s">
        <v>18770</v>
      </c>
      <c r="D8059" s="27" t="s">
        <v>17</v>
      </c>
      <c r="E8059" s="27" t="s">
        <v>18</v>
      </c>
      <c r="F8059" s="27" t="s">
        <v>19</v>
      </c>
      <c r="G8059" s="27" t="s">
        <v>28</v>
      </c>
      <c r="H8059" s="29">
        <v>27</v>
      </c>
      <c r="I8059" s="27" t="s">
        <v>29</v>
      </c>
      <c r="J8059" s="37">
        <v>46006</v>
      </c>
      <c r="K8059" s="27" t="s">
        <v>22</v>
      </c>
    </row>
    <row r="8060" spans="1:11" x14ac:dyDescent="0.2">
      <c r="A8060" s="24" t="s">
        <v>18771</v>
      </c>
      <c r="B8060" s="24" t="s">
        <v>18772</v>
      </c>
      <c r="C8060" s="24" t="s">
        <v>18773</v>
      </c>
      <c r="D8060" s="24" t="s">
        <v>17</v>
      </c>
      <c r="E8060" s="24" t="s">
        <v>18</v>
      </c>
      <c r="F8060" s="24" t="s">
        <v>19</v>
      </c>
      <c r="G8060" s="24" t="s">
        <v>257</v>
      </c>
      <c r="H8060" s="26">
        <v>40</v>
      </c>
      <c r="I8060" s="24" t="s">
        <v>29</v>
      </c>
      <c r="J8060" s="36">
        <v>46022</v>
      </c>
      <c r="K8060" s="24" t="s">
        <v>22</v>
      </c>
    </row>
    <row r="8061" spans="1:11" x14ac:dyDescent="0.2">
      <c r="A8061" s="27" t="s">
        <v>18774</v>
      </c>
      <c r="B8061" s="27" t="s">
        <v>18775</v>
      </c>
      <c r="C8061" s="27" t="s">
        <v>7320</v>
      </c>
      <c r="D8061" s="27" t="s">
        <v>17</v>
      </c>
      <c r="E8061" s="27" t="s">
        <v>42</v>
      </c>
      <c r="F8061" s="27" t="s">
        <v>43</v>
      </c>
      <c r="G8061" s="27" t="s">
        <v>28</v>
      </c>
      <c r="H8061" s="29">
        <v>300</v>
      </c>
      <c r="I8061" s="27" t="s">
        <v>29</v>
      </c>
      <c r="J8061" s="37">
        <v>45992</v>
      </c>
      <c r="K8061" s="27" t="s">
        <v>22</v>
      </c>
    </row>
    <row r="8062" spans="1:11" x14ac:dyDescent="0.2">
      <c r="A8062" s="24" t="s">
        <v>18776</v>
      </c>
      <c r="B8062" s="24" t="s">
        <v>18777</v>
      </c>
      <c r="C8062" s="24" t="s">
        <v>3801</v>
      </c>
      <c r="D8062" s="24" t="s">
        <v>17</v>
      </c>
      <c r="E8062" s="24" t="s">
        <v>18</v>
      </c>
      <c r="F8062" s="24" t="s">
        <v>19</v>
      </c>
      <c r="G8062" s="24" t="s">
        <v>28</v>
      </c>
      <c r="H8062" s="26">
        <v>24</v>
      </c>
      <c r="I8062" s="24" t="s">
        <v>29</v>
      </c>
      <c r="J8062" s="36">
        <v>46013</v>
      </c>
      <c r="K8062" s="24" t="s">
        <v>22</v>
      </c>
    </row>
    <row r="8063" spans="1:11" x14ac:dyDescent="0.2">
      <c r="A8063" s="27" t="s">
        <v>18778</v>
      </c>
      <c r="B8063" s="27" t="s">
        <v>18779</v>
      </c>
      <c r="C8063" s="27" t="s">
        <v>1425</v>
      </c>
      <c r="D8063" s="27" t="s">
        <v>17</v>
      </c>
      <c r="E8063" s="27" t="s">
        <v>48</v>
      </c>
      <c r="F8063" s="27" t="s">
        <v>49</v>
      </c>
      <c r="G8063" s="27" t="s">
        <v>28</v>
      </c>
      <c r="H8063" s="29">
        <v>50</v>
      </c>
      <c r="I8063" s="27" t="s">
        <v>29</v>
      </c>
      <c r="J8063" s="37">
        <v>46000</v>
      </c>
      <c r="K8063" s="27" t="s">
        <v>22</v>
      </c>
    </row>
    <row r="8064" spans="1:11" x14ac:dyDescent="0.2">
      <c r="A8064" s="24" t="s">
        <v>18780</v>
      </c>
      <c r="B8064" s="24" t="s">
        <v>18781</v>
      </c>
      <c r="C8064" s="24" t="s">
        <v>1177</v>
      </c>
      <c r="D8064" s="24" t="s">
        <v>17</v>
      </c>
      <c r="E8064" s="24" t="s">
        <v>48</v>
      </c>
      <c r="F8064" s="24" t="s">
        <v>49</v>
      </c>
      <c r="G8064" s="24" t="s">
        <v>28</v>
      </c>
      <c r="H8064" s="26">
        <v>12</v>
      </c>
      <c r="I8064" s="24" t="s">
        <v>29</v>
      </c>
      <c r="J8064" s="36">
        <v>45992</v>
      </c>
      <c r="K8064" s="24" t="s">
        <v>22</v>
      </c>
    </row>
    <row r="8065" spans="1:11" x14ac:dyDescent="0.2">
      <c r="A8065" s="27" t="s">
        <v>18782</v>
      </c>
      <c r="B8065" s="27" t="s">
        <v>18783</v>
      </c>
      <c r="C8065" s="27" t="s">
        <v>5439</v>
      </c>
      <c r="D8065" s="27" t="s">
        <v>17</v>
      </c>
      <c r="E8065" s="27" t="s">
        <v>48</v>
      </c>
      <c r="F8065" s="27" t="s">
        <v>49</v>
      </c>
      <c r="G8065" s="27" t="s">
        <v>227</v>
      </c>
      <c r="H8065" s="29">
        <v>175</v>
      </c>
      <c r="I8065" s="27" t="s">
        <v>29</v>
      </c>
      <c r="J8065" s="37">
        <v>46019</v>
      </c>
      <c r="K8065" s="27" t="s">
        <v>22</v>
      </c>
    </row>
    <row r="8066" spans="1:11" x14ac:dyDescent="0.2">
      <c r="A8066" s="24" t="s">
        <v>18784</v>
      </c>
      <c r="B8066" s="24" t="s">
        <v>18785</v>
      </c>
      <c r="C8066" s="24" t="s">
        <v>3076</v>
      </c>
      <c r="D8066" s="24" t="s">
        <v>17</v>
      </c>
      <c r="E8066" s="24" t="s">
        <v>18</v>
      </c>
      <c r="F8066" s="24" t="s">
        <v>19</v>
      </c>
      <c r="G8066" s="24" t="s">
        <v>28</v>
      </c>
      <c r="H8066" s="26">
        <v>252</v>
      </c>
      <c r="I8066" s="24" t="s">
        <v>29</v>
      </c>
      <c r="J8066" s="36">
        <v>45995</v>
      </c>
      <c r="K8066" s="24" t="s">
        <v>22</v>
      </c>
    </row>
    <row r="8067" spans="1:11" x14ac:dyDescent="0.2">
      <c r="A8067" s="27" t="s">
        <v>18786</v>
      </c>
      <c r="B8067" s="27" t="s">
        <v>18787</v>
      </c>
      <c r="C8067" s="27" t="s">
        <v>134</v>
      </c>
      <c r="D8067" s="27" t="s">
        <v>17</v>
      </c>
      <c r="E8067" s="27" t="s">
        <v>18</v>
      </c>
      <c r="F8067" s="27" t="s">
        <v>19</v>
      </c>
      <c r="G8067" s="27" t="s">
        <v>28</v>
      </c>
      <c r="H8067" s="29">
        <v>32</v>
      </c>
      <c r="I8067" s="27" t="s">
        <v>29</v>
      </c>
      <c r="J8067" s="37">
        <v>46022</v>
      </c>
      <c r="K8067" s="27" t="s">
        <v>22</v>
      </c>
    </row>
    <row r="8068" spans="1:11" x14ac:dyDescent="0.2">
      <c r="A8068" s="24" t="s">
        <v>18788</v>
      </c>
      <c r="B8068" s="24" t="s">
        <v>18789</v>
      </c>
      <c r="C8068" s="24" t="s">
        <v>12800</v>
      </c>
      <c r="D8068" s="24" t="s">
        <v>17</v>
      </c>
      <c r="E8068" s="24" t="s">
        <v>33</v>
      </c>
      <c r="F8068" s="24" t="s">
        <v>34</v>
      </c>
      <c r="G8068" s="24" t="s">
        <v>217</v>
      </c>
      <c r="H8068" s="26">
        <v>222</v>
      </c>
      <c r="I8068" s="24" t="s">
        <v>29</v>
      </c>
      <c r="J8068" s="36">
        <v>46010</v>
      </c>
      <c r="K8068" s="24" t="s">
        <v>22</v>
      </c>
    </row>
    <row r="8069" spans="1:11" x14ac:dyDescent="0.2">
      <c r="A8069" s="27" t="s">
        <v>18790</v>
      </c>
      <c r="B8069" s="27" t="s">
        <v>18791</v>
      </c>
      <c r="C8069" s="27" t="s">
        <v>7365</v>
      </c>
      <c r="D8069" s="27" t="s">
        <v>17</v>
      </c>
      <c r="E8069" s="27" t="s">
        <v>26</v>
      </c>
      <c r="F8069" s="27" t="s">
        <v>27</v>
      </c>
      <c r="G8069" s="27" t="s">
        <v>28</v>
      </c>
      <c r="H8069" s="29">
        <v>70</v>
      </c>
      <c r="I8069" s="27" t="s">
        <v>29</v>
      </c>
      <c r="J8069" s="37">
        <v>46017</v>
      </c>
      <c r="K8069" s="27" t="s">
        <v>22</v>
      </c>
    </row>
    <row r="8070" spans="1:11" x14ac:dyDescent="0.2">
      <c r="A8070" s="24" t="s">
        <v>18792</v>
      </c>
      <c r="B8070" s="24" t="s">
        <v>18793</v>
      </c>
      <c r="C8070" s="24" t="s">
        <v>489</v>
      </c>
      <c r="D8070" s="24" t="s">
        <v>17</v>
      </c>
      <c r="E8070" s="24" t="s">
        <v>42</v>
      </c>
      <c r="F8070" s="24" t="s">
        <v>43</v>
      </c>
      <c r="G8070" s="24" t="s">
        <v>217</v>
      </c>
      <c r="H8070" s="26">
        <v>630</v>
      </c>
      <c r="I8070" s="24" t="s">
        <v>29</v>
      </c>
      <c r="J8070" s="36">
        <v>46022</v>
      </c>
      <c r="K8070" s="24" t="s">
        <v>22</v>
      </c>
    </row>
    <row r="8071" spans="1:11" x14ac:dyDescent="0.2">
      <c r="A8071" s="27" t="s">
        <v>18794</v>
      </c>
      <c r="B8071" s="27" t="s">
        <v>18795</v>
      </c>
      <c r="C8071" s="27" t="s">
        <v>18796</v>
      </c>
      <c r="D8071" s="27" t="s">
        <v>17</v>
      </c>
      <c r="E8071" s="27" t="s">
        <v>48</v>
      </c>
      <c r="F8071" s="27" t="s">
        <v>49</v>
      </c>
      <c r="G8071" s="27" t="s">
        <v>217</v>
      </c>
      <c r="H8071" s="29">
        <v>60</v>
      </c>
      <c r="I8071" s="27" t="s">
        <v>29</v>
      </c>
      <c r="J8071" s="37">
        <v>45992</v>
      </c>
      <c r="K8071" s="27" t="s">
        <v>22</v>
      </c>
    </row>
    <row r="8072" spans="1:11" x14ac:dyDescent="0.2">
      <c r="A8072" s="24" t="s">
        <v>18797</v>
      </c>
      <c r="B8072" s="24" t="s">
        <v>18798</v>
      </c>
      <c r="C8072" s="24" t="s">
        <v>194</v>
      </c>
      <c r="D8072" s="24" t="s">
        <v>17</v>
      </c>
      <c r="E8072" s="24" t="s">
        <v>18</v>
      </c>
      <c r="F8072" s="24" t="s">
        <v>19</v>
      </c>
      <c r="G8072" s="24" t="s">
        <v>28</v>
      </c>
      <c r="H8072" s="26">
        <v>22</v>
      </c>
      <c r="I8072" s="24" t="s">
        <v>29</v>
      </c>
      <c r="J8072" s="36">
        <v>46001</v>
      </c>
      <c r="K8072" s="24" t="s">
        <v>22</v>
      </c>
    </row>
    <row r="8073" spans="1:11" x14ac:dyDescent="0.2">
      <c r="A8073" s="27" t="s">
        <v>18799</v>
      </c>
      <c r="B8073" s="27" t="s">
        <v>18800</v>
      </c>
      <c r="C8073" s="27" t="s">
        <v>106</v>
      </c>
      <c r="D8073" s="27" t="s">
        <v>17</v>
      </c>
      <c r="E8073" s="27" t="s">
        <v>18</v>
      </c>
      <c r="F8073" s="27" t="s">
        <v>19</v>
      </c>
      <c r="G8073" s="27" t="s">
        <v>44</v>
      </c>
      <c r="H8073" s="29">
        <v>12</v>
      </c>
      <c r="I8073" s="27" t="s">
        <v>21</v>
      </c>
      <c r="J8073" s="37">
        <v>46021</v>
      </c>
      <c r="K8073" s="27" t="s">
        <v>22</v>
      </c>
    </row>
    <row r="8074" spans="1:11" x14ac:dyDescent="0.2">
      <c r="A8074" s="24" t="s">
        <v>18801</v>
      </c>
      <c r="B8074" s="24" t="s">
        <v>18802</v>
      </c>
      <c r="C8074" s="24" t="s">
        <v>18803</v>
      </c>
      <c r="D8074" s="24" t="s">
        <v>17</v>
      </c>
      <c r="E8074" s="24" t="s">
        <v>48</v>
      </c>
      <c r="F8074" s="24" t="s">
        <v>49</v>
      </c>
      <c r="G8074" s="24" t="s">
        <v>28</v>
      </c>
      <c r="H8074" s="26">
        <v>40</v>
      </c>
      <c r="I8074" s="24" t="s">
        <v>29</v>
      </c>
      <c r="J8074" s="36">
        <v>45992</v>
      </c>
      <c r="K8074" s="24" t="s">
        <v>22</v>
      </c>
    </row>
    <row r="8075" spans="1:11" x14ac:dyDescent="0.2">
      <c r="A8075" s="27" t="s">
        <v>18804</v>
      </c>
      <c r="B8075" s="27" t="s">
        <v>18805</v>
      </c>
      <c r="C8075" s="27" t="s">
        <v>2309</v>
      </c>
      <c r="D8075" s="27" t="s">
        <v>17</v>
      </c>
      <c r="E8075" s="27" t="s">
        <v>42</v>
      </c>
      <c r="F8075" s="27" t="s">
        <v>43</v>
      </c>
      <c r="G8075" s="27" t="s">
        <v>217</v>
      </c>
      <c r="H8075" s="29">
        <v>110</v>
      </c>
      <c r="I8075" s="27" t="s">
        <v>29</v>
      </c>
      <c r="J8075" s="37">
        <v>45992</v>
      </c>
      <c r="K8075" s="27" t="s">
        <v>22</v>
      </c>
    </row>
    <row r="8076" spans="1:11" x14ac:dyDescent="0.2">
      <c r="A8076" s="24" t="s">
        <v>18806</v>
      </c>
      <c r="B8076" s="24" t="s">
        <v>18807</v>
      </c>
      <c r="C8076" s="24" t="s">
        <v>18808</v>
      </c>
      <c r="D8076" s="24" t="s">
        <v>17</v>
      </c>
      <c r="E8076" s="24" t="s">
        <v>18</v>
      </c>
      <c r="F8076" s="24" t="s">
        <v>19</v>
      </c>
      <c r="G8076" s="24" t="s">
        <v>28</v>
      </c>
      <c r="H8076" s="26">
        <v>48</v>
      </c>
      <c r="I8076" s="24" t="s">
        <v>29</v>
      </c>
      <c r="J8076" s="36">
        <v>45997</v>
      </c>
      <c r="K8076" s="24" t="s">
        <v>22</v>
      </c>
    </row>
    <row r="8077" spans="1:11" x14ac:dyDescent="0.2">
      <c r="A8077" s="27" t="s">
        <v>18809</v>
      </c>
      <c r="B8077" s="27" t="s">
        <v>18810</v>
      </c>
      <c r="C8077" s="27" t="s">
        <v>2257</v>
      </c>
      <c r="D8077" s="27" t="s">
        <v>17</v>
      </c>
      <c r="E8077" s="27" t="s">
        <v>42</v>
      </c>
      <c r="F8077" s="27" t="s">
        <v>43</v>
      </c>
      <c r="G8077" s="27" t="s">
        <v>217</v>
      </c>
      <c r="H8077" s="29">
        <v>150</v>
      </c>
      <c r="I8077" s="27" t="s">
        <v>29</v>
      </c>
      <c r="J8077" s="37">
        <v>45992</v>
      </c>
      <c r="K8077" s="27" t="s">
        <v>22</v>
      </c>
    </row>
    <row r="8078" spans="1:11" x14ac:dyDescent="0.2">
      <c r="A8078" s="24" t="s">
        <v>18811</v>
      </c>
      <c r="B8078" s="24" t="s">
        <v>18812</v>
      </c>
      <c r="C8078" s="24" t="s">
        <v>14297</v>
      </c>
      <c r="D8078" s="24" t="s">
        <v>17</v>
      </c>
      <c r="E8078" s="24" t="s">
        <v>26</v>
      </c>
      <c r="F8078" s="24" t="s">
        <v>27</v>
      </c>
      <c r="G8078" s="24" t="s">
        <v>217</v>
      </c>
      <c r="H8078" s="26">
        <v>62</v>
      </c>
      <c r="I8078" s="24" t="s">
        <v>29</v>
      </c>
      <c r="J8078" s="36">
        <v>45992</v>
      </c>
      <c r="K8078" s="24" t="s">
        <v>22</v>
      </c>
    </row>
    <row r="8079" spans="1:11" x14ac:dyDescent="0.2">
      <c r="A8079" s="27" t="s">
        <v>18813</v>
      </c>
      <c r="B8079" s="27" t="s">
        <v>18814</v>
      </c>
      <c r="C8079" s="27" t="s">
        <v>18815</v>
      </c>
      <c r="D8079" s="27" t="s">
        <v>17</v>
      </c>
      <c r="E8079" s="27" t="s">
        <v>18</v>
      </c>
      <c r="F8079" s="27" t="s">
        <v>19</v>
      </c>
      <c r="G8079" s="27" t="s">
        <v>217</v>
      </c>
      <c r="H8079" s="29">
        <v>40</v>
      </c>
      <c r="I8079" s="27" t="s">
        <v>29</v>
      </c>
      <c r="J8079" s="37">
        <v>45992</v>
      </c>
      <c r="K8079" s="27" t="s">
        <v>22</v>
      </c>
    </row>
    <row r="8080" spans="1:11" x14ac:dyDescent="0.2">
      <c r="A8080" s="24" t="s">
        <v>18816</v>
      </c>
      <c r="B8080" s="24" t="s">
        <v>18817</v>
      </c>
      <c r="C8080" s="24" t="s">
        <v>13620</v>
      </c>
      <c r="D8080" s="24" t="s">
        <v>17</v>
      </c>
      <c r="E8080" s="24" t="s">
        <v>18</v>
      </c>
      <c r="F8080" s="24" t="s">
        <v>19</v>
      </c>
      <c r="G8080" s="24" t="s">
        <v>217</v>
      </c>
      <c r="H8080" s="26">
        <v>48</v>
      </c>
      <c r="I8080" s="24" t="s">
        <v>29</v>
      </c>
      <c r="J8080" s="36">
        <v>45992</v>
      </c>
      <c r="K8080" s="24" t="s">
        <v>22</v>
      </c>
    </row>
    <row r="8081" spans="1:11" x14ac:dyDescent="0.2">
      <c r="A8081" s="27" t="s">
        <v>18818</v>
      </c>
      <c r="B8081" s="27" t="s">
        <v>18819</v>
      </c>
      <c r="C8081" s="27" t="s">
        <v>4966</v>
      </c>
      <c r="D8081" s="27" t="s">
        <v>17</v>
      </c>
      <c r="E8081" s="27" t="s">
        <v>18</v>
      </c>
      <c r="F8081" s="27" t="s">
        <v>19</v>
      </c>
      <c r="G8081" s="27" t="s">
        <v>217</v>
      </c>
      <c r="H8081" s="29">
        <v>36</v>
      </c>
      <c r="I8081" s="27" t="s">
        <v>29</v>
      </c>
      <c r="J8081" s="37">
        <v>45992</v>
      </c>
      <c r="K8081" s="27" t="s">
        <v>22</v>
      </c>
    </row>
    <row r="8082" spans="1:11" x14ac:dyDescent="0.2">
      <c r="A8082" s="24" t="s">
        <v>18820</v>
      </c>
      <c r="B8082" s="24" t="s">
        <v>18821</v>
      </c>
      <c r="C8082" s="24" t="s">
        <v>2331</v>
      </c>
      <c r="D8082" s="24" t="s">
        <v>17</v>
      </c>
      <c r="E8082" s="24" t="s">
        <v>48</v>
      </c>
      <c r="F8082" s="24" t="s">
        <v>49</v>
      </c>
      <c r="G8082" s="24" t="s">
        <v>28</v>
      </c>
      <c r="H8082" s="26">
        <v>105</v>
      </c>
      <c r="I8082" s="24" t="s">
        <v>29</v>
      </c>
      <c r="J8082" s="36">
        <v>45995</v>
      </c>
      <c r="K8082" s="24" t="s">
        <v>22</v>
      </c>
    </row>
    <row r="8083" spans="1:11" x14ac:dyDescent="0.2">
      <c r="A8083" s="27" t="s">
        <v>18822</v>
      </c>
      <c r="B8083" s="27" t="s">
        <v>18823</v>
      </c>
      <c r="C8083" s="27" t="s">
        <v>904</v>
      </c>
      <c r="D8083" s="27" t="s">
        <v>17</v>
      </c>
      <c r="E8083" s="27" t="s">
        <v>42</v>
      </c>
      <c r="F8083" s="27" t="s">
        <v>43</v>
      </c>
      <c r="G8083" s="27" t="s">
        <v>28</v>
      </c>
      <c r="H8083" s="29">
        <v>99</v>
      </c>
      <c r="I8083" s="27" t="s">
        <v>29</v>
      </c>
      <c r="J8083" s="37">
        <v>45996</v>
      </c>
      <c r="K8083" s="27" t="s">
        <v>22</v>
      </c>
    </row>
    <row r="8084" spans="1:11" x14ac:dyDescent="0.2">
      <c r="A8084" s="24" t="s">
        <v>18824</v>
      </c>
      <c r="B8084" s="24" t="s">
        <v>18825</v>
      </c>
      <c r="C8084" s="24" t="s">
        <v>12058</v>
      </c>
      <c r="D8084" s="24" t="s">
        <v>17</v>
      </c>
      <c r="E8084" s="24" t="s">
        <v>18</v>
      </c>
      <c r="F8084" s="24" t="s">
        <v>19</v>
      </c>
      <c r="G8084" s="24" t="s">
        <v>217</v>
      </c>
      <c r="H8084" s="26">
        <v>60</v>
      </c>
      <c r="I8084" s="24" t="s">
        <v>29</v>
      </c>
      <c r="J8084" s="36">
        <v>45992</v>
      </c>
      <c r="K8084" s="24" t="s">
        <v>22</v>
      </c>
    </row>
    <row r="8085" spans="1:11" x14ac:dyDescent="0.2">
      <c r="A8085" s="27" t="s">
        <v>18826</v>
      </c>
      <c r="B8085" s="27" t="s">
        <v>18827</v>
      </c>
      <c r="C8085" s="27" t="s">
        <v>277</v>
      </c>
      <c r="D8085" s="27" t="s">
        <v>17</v>
      </c>
      <c r="E8085" s="27" t="s">
        <v>81</v>
      </c>
      <c r="F8085" s="27" t="s">
        <v>82</v>
      </c>
      <c r="G8085" s="27" t="s">
        <v>28</v>
      </c>
      <c r="H8085" s="29">
        <v>12</v>
      </c>
      <c r="I8085" s="27" t="s">
        <v>29</v>
      </c>
      <c r="J8085" s="37">
        <v>46002</v>
      </c>
      <c r="K8085" s="27" t="s">
        <v>22</v>
      </c>
    </row>
    <row r="8086" spans="1:11" x14ac:dyDescent="0.2">
      <c r="A8086" s="24" t="s">
        <v>18828</v>
      </c>
      <c r="B8086" s="24" t="s">
        <v>18829</v>
      </c>
      <c r="C8086" s="24" t="s">
        <v>4261</v>
      </c>
      <c r="D8086" s="24" t="s">
        <v>17</v>
      </c>
      <c r="E8086" s="24" t="s">
        <v>18</v>
      </c>
      <c r="F8086" s="24" t="s">
        <v>19</v>
      </c>
      <c r="G8086" s="24" t="s">
        <v>28</v>
      </c>
      <c r="H8086" s="26">
        <v>104</v>
      </c>
      <c r="I8086" s="24" t="s">
        <v>29</v>
      </c>
      <c r="J8086" s="36">
        <v>46021</v>
      </c>
      <c r="K8086" s="24" t="s">
        <v>22</v>
      </c>
    </row>
    <row r="8087" spans="1:11" x14ac:dyDescent="0.2">
      <c r="A8087" s="27" t="s">
        <v>18830</v>
      </c>
      <c r="B8087" s="27" t="s">
        <v>18831</v>
      </c>
      <c r="C8087" s="27" t="s">
        <v>18832</v>
      </c>
      <c r="D8087" s="27" t="s">
        <v>17</v>
      </c>
      <c r="E8087" s="27" t="s">
        <v>18</v>
      </c>
      <c r="F8087" s="27" t="s">
        <v>19</v>
      </c>
      <c r="G8087" s="27" t="s">
        <v>116</v>
      </c>
      <c r="H8087" s="29">
        <v>0</v>
      </c>
      <c r="I8087" s="27" t="s">
        <v>21</v>
      </c>
      <c r="J8087" s="37">
        <v>45992</v>
      </c>
      <c r="K8087" s="27" t="s">
        <v>22</v>
      </c>
    </row>
    <row r="8088" spans="1:11" x14ac:dyDescent="0.2">
      <c r="A8088" s="24" t="s">
        <v>18833</v>
      </c>
      <c r="B8088" s="24" t="s">
        <v>18834</v>
      </c>
      <c r="C8088" s="24" t="s">
        <v>14256</v>
      </c>
      <c r="D8088" s="24" t="s">
        <v>17</v>
      </c>
      <c r="E8088" s="24" t="s">
        <v>48</v>
      </c>
      <c r="F8088" s="24" t="s">
        <v>49</v>
      </c>
      <c r="G8088" s="24" t="s">
        <v>28</v>
      </c>
      <c r="H8088" s="26">
        <v>40</v>
      </c>
      <c r="I8088" s="24" t="s">
        <v>29</v>
      </c>
      <c r="J8088" s="36">
        <v>46000</v>
      </c>
      <c r="K8088" s="24" t="s">
        <v>22</v>
      </c>
    </row>
    <row r="8089" spans="1:11" x14ac:dyDescent="0.2">
      <c r="A8089" s="27" t="s">
        <v>18835</v>
      </c>
      <c r="B8089" s="27" t="s">
        <v>18836</v>
      </c>
      <c r="C8089" s="27" t="s">
        <v>325</v>
      </c>
      <c r="D8089" s="27" t="s">
        <v>17</v>
      </c>
      <c r="E8089" s="27" t="s">
        <v>48</v>
      </c>
      <c r="F8089" s="27" t="s">
        <v>49</v>
      </c>
      <c r="G8089" s="27" t="s">
        <v>217</v>
      </c>
      <c r="H8089" s="29">
        <v>60</v>
      </c>
      <c r="I8089" s="27" t="s">
        <v>29</v>
      </c>
      <c r="J8089" s="37">
        <v>45993</v>
      </c>
      <c r="K8089" s="27" t="s">
        <v>22</v>
      </c>
    </row>
    <row r="8090" spans="1:11" x14ac:dyDescent="0.2">
      <c r="A8090" s="24" t="s">
        <v>18837</v>
      </c>
      <c r="B8090" s="24" t="s">
        <v>18838</v>
      </c>
      <c r="C8090" s="24" t="s">
        <v>5164</v>
      </c>
      <c r="D8090" s="24" t="s">
        <v>17</v>
      </c>
      <c r="E8090" s="24" t="s">
        <v>48</v>
      </c>
      <c r="F8090" s="24" t="s">
        <v>49</v>
      </c>
      <c r="G8090" s="24" t="s">
        <v>217</v>
      </c>
      <c r="H8090" s="26">
        <v>99</v>
      </c>
      <c r="I8090" s="24" t="s">
        <v>29</v>
      </c>
      <c r="J8090" s="36">
        <v>45992</v>
      </c>
      <c r="K8090" s="24" t="s">
        <v>22</v>
      </c>
    </row>
    <row r="8091" spans="1:11" x14ac:dyDescent="0.2">
      <c r="A8091" s="27" t="s">
        <v>18839</v>
      </c>
      <c r="B8091" s="27" t="s">
        <v>18840</v>
      </c>
      <c r="C8091" s="27" t="s">
        <v>18841</v>
      </c>
      <c r="D8091" s="27" t="s">
        <v>17</v>
      </c>
      <c r="E8091" s="27" t="s">
        <v>26</v>
      </c>
      <c r="F8091" s="27" t="s">
        <v>27</v>
      </c>
      <c r="G8091" s="27" t="s">
        <v>217</v>
      </c>
      <c r="H8091" s="29">
        <v>49</v>
      </c>
      <c r="I8091" s="27" t="s">
        <v>29</v>
      </c>
      <c r="J8091" s="37">
        <v>46021</v>
      </c>
      <c r="K8091" s="27" t="s">
        <v>22</v>
      </c>
    </row>
    <row r="8092" spans="1:11" x14ac:dyDescent="0.2">
      <c r="A8092" s="24" t="s">
        <v>18842</v>
      </c>
      <c r="B8092" s="24" t="s">
        <v>18843</v>
      </c>
      <c r="C8092" s="24" t="s">
        <v>277</v>
      </c>
      <c r="D8092" s="24" t="s">
        <v>17</v>
      </c>
      <c r="E8092" s="24" t="s">
        <v>18</v>
      </c>
      <c r="F8092" s="24" t="s">
        <v>19</v>
      </c>
      <c r="G8092" s="24" t="s">
        <v>28</v>
      </c>
      <c r="H8092" s="26">
        <v>70</v>
      </c>
      <c r="I8092" s="24" t="s">
        <v>29</v>
      </c>
      <c r="J8092" s="36">
        <v>46003</v>
      </c>
      <c r="K8092" s="24" t="s">
        <v>22</v>
      </c>
    </row>
    <row r="8093" spans="1:11" x14ac:dyDescent="0.2">
      <c r="A8093" s="27" t="s">
        <v>18844</v>
      </c>
      <c r="B8093" s="27" t="s">
        <v>18845</v>
      </c>
      <c r="C8093" s="27" t="s">
        <v>97</v>
      </c>
      <c r="D8093" s="27" t="s">
        <v>17</v>
      </c>
      <c r="E8093" s="27" t="s">
        <v>42</v>
      </c>
      <c r="F8093" s="27" t="s">
        <v>43</v>
      </c>
      <c r="G8093" s="27" t="s">
        <v>28</v>
      </c>
      <c r="H8093" s="29">
        <v>1100</v>
      </c>
      <c r="I8093" s="27" t="s">
        <v>29</v>
      </c>
      <c r="J8093" s="37">
        <v>46020</v>
      </c>
      <c r="K8093" s="27" t="s">
        <v>22</v>
      </c>
    </row>
    <row r="8094" spans="1:11" x14ac:dyDescent="0.2">
      <c r="A8094" s="24" t="s">
        <v>18846</v>
      </c>
      <c r="B8094" s="24" t="s">
        <v>18847</v>
      </c>
      <c r="C8094" s="24" t="s">
        <v>8138</v>
      </c>
      <c r="D8094" s="24" t="s">
        <v>17</v>
      </c>
      <c r="E8094" s="24" t="s">
        <v>42</v>
      </c>
      <c r="F8094" s="24" t="s">
        <v>43</v>
      </c>
      <c r="G8094" s="24" t="s">
        <v>28</v>
      </c>
      <c r="H8094" s="26">
        <v>360</v>
      </c>
      <c r="I8094" s="24" t="s">
        <v>29</v>
      </c>
      <c r="J8094" s="36">
        <v>46013</v>
      </c>
      <c r="K8094" s="24" t="s">
        <v>22</v>
      </c>
    </row>
    <row r="8095" spans="1:11" x14ac:dyDescent="0.2">
      <c r="A8095" s="27" t="s">
        <v>18848</v>
      </c>
      <c r="B8095" s="27" t="s">
        <v>18849</v>
      </c>
      <c r="C8095" s="27" t="s">
        <v>1110</v>
      </c>
      <c r="D8095" s="27" t="s">
        <v>17</v>
      </c>
      <c r="E8095" s="27" t="s">
        <v>48</v>
      </c>
      <c r="F8095" s="27" t="s">
        <v>49</v>
      </c>
      <c r="G8095" s="27" t="s">
        <v>28</v>
      </c>
      <c r="H8095" s="29">
        <v>160</v>
      </c>
      <c r="I8095" s="27" t="s">
        <v>29</v>
      </c>
      <c r="J8095" s="37">
        <v>45996</v>
      </c>
      <c r="K8095" s="27" t="s">
        <v>22</v>
      </c>
    </row>
    <row r="8096" spans="1:11" x14ac:dyDescent="0.2">
      <c r="A8096" s="24" t="s">
        <v>18850</v>
      </c>
      <c r="B8096" s="24" t="s">
        <v>18851</v>
      </c>
      <c r="C8096" s="24" t="s">
        <v>1059</v>
      </c>
      <c r="D8096" s="24" t="s">
        <v>17</v>
      </c>
      <c r="E8096" s="24" t="s">
        <v>18</v>
      </c>
      <c r="F8096" s="24" t="s">
        <v>19</v>
      </c>
      <c r="G8096" s="24" t="s">
        <v>217</v>
      </c>
      <c r="H8096" s="26">
        <v>60</v>
      </c>
      <c r="I8096" s="24" t="s">
        <v>29</v>
      </c>
      <c r="J8096" s="36">
        <v>45992</v>
      </c>
      <c r="K8096" s="24" t="s">
        <v>22</v>
      </c>
    </row>
    <row r="8097" spans="1:11" x14ac:dyDescent="0.2">
      <c r="A8097" s="27" t="s">
        <v>18852</v>
      </c>
      <c r="B8097" s="27" t="s">
        <v>18853</v>
      </c>
      <c r="C8097" s="27" t="s">
        <v>8750</v>
      </c>
      <c r="D8097" s="27" t="s">
        <v>17</v>
      </c>
      <c r="E8097" s="27" t="s">
        <v>26</v>
      </c>
      <c r="F8097" s="27" t="s">
        <v>27</v>
      </c>
      <c r="G8097" s="27" t="s">
        <v>28</v>
      </c>
      <c r="H8097" s="29">
        <v>9</v>
      </c>
      <c r="I8097" s="27" t="s">
        <v>29</v>
      </c>
      <c r="J8097" s="37">
        <v>46006</v>
      </c>
      <c r="K8097" s="27" t="s">
        <v>22</v>
      </c>
    </row>
    <row r="8098" spans="1:11" x14ac:dyDescent="0.2">
      <c r="A8098" s="24" t="s">
        <v>18854</v>
      </c>
      <c r="B8098" s="24" t="s">
        <v>18855</v>
      </c>
      <c r="C8098" s="24" t="s">
        <v>18856</v>
      </c>
      <c r="D8098" s="24" t="s">
        <v>17</v>
      </c>
      <c r="E8098" s="24" t="s">
        <v>42</v>
      </c>
      <c r="F8098" s="24" t="s">
        <v>43</v>
      </c>
      <c r="G8098" s="24" t="s">
        <v>217</v>
      </c>
      <c r="H8098" s="26">
        <v>240</v>
      </c>
      <c r="I8098" s="24" t="s">
        <v>29</v>
      </c>
      <c r="J8098" s="36">
        <v>46022</v>
      </c>
      <c r="K8098" s="24" t="s">
        <v>22</v>
      </c>
    </row>
    <row r="8099" spans="1:11" x14ac:dyDescent="0.2">
      <c r="A8099" s="27" t="s">
        <v>18857</v>
      </c>
      <c r="B8099" s="27" t="s">
        <v>18858</v>
      </c>
      <c r="C8099" s="27" t="s">
        <v>1147</v>
      </c>
      <c r="D8099" s="27" t="s">
        <v>17</v>
      </c>
      <c r="E8099" s="27" t="s">
        <v>48</v>
      </c>
      <c r="F8099" s="27" t="s">
        <v>49</v>
      </c>
      <c r="G8099" s="27" t="s">
        <v>28</v>
      </c>
      <c r="H8099" s="29">
        <v>118</v>
      </c>
      <c r="I8099" s="27" t="s">
        <v>29</v>
      </c>
      <c r="J8099" s="37">
        <v>46022</v>
      </c>
      <c r="K8099" s="27" t="s">
        <v>22</v>
      </c>
    </row>
    <row r="8100" spans="1:11" x14ac:dyDescent="0.2">
      <c r="A8100" s="24" t="s">
        <v>18859</v>
      </c>
      <c r="B8100" s="24" t="s">
        <v>18860</v>
      </c>
      <c r="C8100" s="24" t="s">
        <v>1158</v>
      </c>
      <c r="D8100" s="24" t="s">
        <v>17</v>
      </c>
      <c r="E8100" s="24" t="s">
        <v>48</v>
      </c>
      <c r="F8100" s="24" t="s">
        <v>49</v>
      </c>
      <c r="G8100" s="24" t="s">
        <v>28</v>
      </c>
      <c r="H8100" s="26">
        <v>60</v>
      </c>
      <c r="I8100" s="24" t="s">
        <v>29</v>
      </c>
      <c r="J8100" s="36">
        <v>46010</v>
      </c>
      <c r="K8100" s="24" t="s">
        <v>22</v>
      </c>
    </row>
    <row r="8101" spans="1:11" x14ac:dyDescent="0.2">
      <c r="A8101" s="27" t="s">
        <v>18861</v>
      </c>
      <c r="B8101" s="27" t="s">
        <v>18862</v>
      </c>
      <c r="C8101" s="27" t="s">
        <v>595</v>
      </c>
      <c r="D8101" s="27" t="s">
        <v>17</v>
      </c>
      <c r="E8101" s="27" t="s">
        <v>18</v>
      </c>
      <c r="F8101" s="27" t="s">
        <v>19</v>
      </c>
      <c r="G8101" s="27" t="s">
        <v>28</v>
      </c>
      <c r="H8101" s="29">
        <v>180</v>
      </c>
      <c r="I8101" s="27" t="s">
        <v>29</v>
      </c>
      <c r="J8101" s="37">
        <v>46011</v>
      </c>
      <c r="K8101" s="27" t="s">
        <v>22</v>
      </c>
    </row>
    <row r="8102" spans="1:11" x14ac:dyDescent="0.2">
      <c r="A8102" s="24" t="s">
        <v>18863</v>
      </c>
      <c r="B8102" s="24" t="s">
        <v>18864</v>
      </c>
      <c r="C8102" s="24" t="s">
        <v>213</v>
      </c>
      <c r="D8102" s="24" t="s">
        <v>17</v>
      </c>
      <c r="E8102" s="24" t="s">
        <v>33</v>
      </c>
      <c r="F8102" s="24" t="s">
        <v>34</v>
      </c>
      <c r="G8102" s="24" t="s">
        <v>28</v>
      </c>
      <c r="H8102" s="26">
        <v>550</v>
      </c>
      <c r="I8102" s="24" t="s">
        <v>29</v>
      </c>
      <c r="J8102" s="36">
        <v>46000</v>
      </c>
      <c r="K8102" s="24" t="s">
        <v>22</v>
      </c>
    </row>
    <row r="8103" spans="1:11" x14ac:dyDescent="0.2">
      <c r="A8103" s="27" t="s">
        <v>18865</v>
      </c>
      <c r="B8103" s="27" t="s">
        <v>18866</v>
      </c>
      <c r="C8103" s="27" t="s">
        <v>85</v>
      </c>
      <c r="D8103" s="27" t="s">
        <v>17</v>
      </c>
      <c r="E8103" s="27" t="s">
        <v>42</v>
      </c>
      <c r="F8103" s="27" t="s">
        <v>43</v>
      </c>
      <c r="G8103" s="27" t="s">
        <v>28</v>
      </c>
      <c r="H8103" s="29">
        <v>250</v>
      </c>
      <c r="I8103" s="27" t="s">
        <v>29</v>
      </c>
      <c r="J8103" s="37">
        <v>46006</v>
      </c>
      <c r="K8103" s="27" t="s">
        <v>22</v>
      </c>
    </row>
    <row r="8104" spans="1:11" x14ac:dyDescent="0.2">
      <c r="A8104" s="24" t="s">
        <v>18867</v>
      </c>
      <c r="B8104" s="24" t="s">
        <v>18868</v>
      </c>
      <c r="C8104" s="24" t="s">
        <v>18869</v>
      </c>
      <c r="D8104" s="24" t="s">
        <v>17</v>
      </c>
      <c r="E8104" s="24" t="s">
        <v>48</v>
      </c>
      <c r="F8104" s="24" t="s">
        <v>49</v>
      </c>
      <c r="G8104" s="24" t="s">
        <v>28</v>
      </c>
      <c r="H8104" s="26">
        <v>18</v>
      </c>
      <c r="I8104" s="24" t="s">
        <v>29</v>
      </c>
      <c r="J8104" s="36">
        <v>46020</v>
      </c>
      <c r="K8104" s="24" t="s">
        <v>22</v>
      </c>
    </row>
    <row r="8105" spans="1:11" x14ac:dyDescent="0.2">
      <c r="A8105" s="27" t="s">
        <v>18870</v>
      </c>
      <c r="B8105" s="27" t="s">
        <v>18871</v>
      </c>
      <c r="C8105" s="27" t="s">
        <v>2779</v>
      </c>
      <c r="D8105" s="27" t="s">
        <v>17</v>
      </c>
      <c r="E8105" s="27" t="s">
        <v>18</v>
      </c>
      <c r="F8105" s="27" t="s">
        <v>19</v>
      </c>
      <c r="G8105" s="27" t="s">
        <v>28</v>
      </c>
      <c r="H8105" s="29">
        <v>86</v>
      </c>
      <c r="I8105" s="27" t="s">
        <v>29</v>
      </c>
      <c r="J8105" s="37">
        <v>46002</v>
      </c>
      <c r="K8105" s="27" t="s">
        <v>22</v>
      </c>
    </row>
    <row r="8106" spans="1:11" x14ac:dyDescent="0.2">
      <c r="A8106" s="24" t="s">
        <v>18872</v>
      </c>
      <c r="B8106" s="24" t="s">
        <v>18873</v>
      </c>
      <c r="C8106" s="24" t="s">
        <v>18874</v>
      </c>
      <c r="D8106" s="24" t="s">
        <v>17</v>
      </c>
      <c r="E8106" s="24" t="s">
        <v>42</v>
      </c>
      <c r="F8106" s="24" t="s">
        <v>43</v>
      </c>
      <c r="G8106" s="24" t="s">
        <v>28</v>
      </c>
      <c r="H8106" s="26">
        <v>300</v>
      </c>
      <c r="I8106" s="24" t="s">
        <v>29</v>
      </c>
      <c r="J8106" s="36">
        <v>46008</v>
      </c>
      <c r="K8106" s="24" t="s">
        <v>22</v>
      </c>
    </row>
    <row r="8107" spans="1:11" x14ac:dyDescent="0.2">
      <c r="A8107" s="27" t="s">
        <v>18875</v>
      </c>
      <c r="B8107" s="27" t="s">
        <v>18876</v>
      </c>
      <c r="C8107" s="27" t="s">
        <v>18773</v>
      </c>
      <c r="D8107" s="27" t="s">
        <v>17</v>
      </c>
      <c r="E8107" s="27" t="s">
        <v>18</v>
      </c>
      <c r="F8107" s="27" t="s">
        <v>19</v>
      </c>
      <c r="G8107" s="27" t="s">
        <v>257</v>
      </c>
      <c r="H8107" s="29">
        <v>20</v>
      </c>
      <c r="I8107" s="27" t="s">
        <v>29</v>
      </c>
      <c r="J8107" s="37">
        <v>46022</v>
      </c>
      <c r="K8107" s="27" t="s">
        <v>22</v>
      </c>
    </row>
    <row r="8108" spans="1:11" x14ac:dyDescent="0.2">
      <c r="A8108" s="24" t="s">
        <v>18877</v>
      </c>
      <c r="B8108" s="24" t="s">
        <v>18878</v>
      </c>
      <c r="C8108" s="24" t="s">
        <v>251</v>
      </c>
      <c r="D8108" s="24" t="s">
        <v>17</v>
      </c>
      <c r="E8108" s="24" t="s">
        <v>48</v>
      </c>
      <c r="F8108" s="24" t="s">
        <v>49</v>
      </c>
      <c r="G8108" s="24" t="s">
        <v>28</v>
      </c>
      <c r="H8108" s="26">
        <v>80</v>
      </c>
      <c r="I8108" s="24" t="s">
        <v>29</v>
      </c>
      <c r="J8108" s="36">
        <v>45999</v>
      </c>
      <c r="K8108" s="24" t="s">
        <v>22</v>
      </c>
    </row>
    <row r="8109" spans="1:11" x14ac:dyDescent="0.2">
      <c r="A8109" s="27" t="s">
        <v>18879</v>
      </c>
      <c r="B8109" s="27" t="s">
        <v>18880</v>
      </c>
      <c r="C8109" s="27" t="s">
        <v>526</v>
      </c>
      <c r="D8109" s="27" t="s">
        <v>17</v>
      </c>
      <c r="E8109" s="27" t="s">
        <v>42</v>
      </c>
      <c r="F8109" s="27" t="s">
        <v>43</v>
      </c>
      <c r="G8109" s="27" t="s">
        <v>28</v>
      </c>
      <c r="H8109" s="29">
        <v>920</v>
      </c>
      <c r="I8109" s="27" t="s">
        <v>29</v>
      </c>
      <c r="J8109" s="37">
        <v>46013</v>
      </c>
      <c r="K8109" s="27" t="s">
        <v>22</v>
      </c>
    </row>
    <row r="8110" spans="1:11" x14ac:dyDescent="0.2">
      <c r="A8110" s="24" t="s">
        <v>18881</v>
      </c>
      <c r="B8110" s="24" t="s">
        <v>18882</v>
      </c>
      <c r="C8110" s="24" t="s">
        <v>1315</v>
      </c>
      <c r="D8110" s="24" t="s">
        <v>17</v>
      </c>
      <c r="E8110" s="24" t="s">
        <v>18</v>
      </c>
      <c r="F8110" s="24" t="s">
        <v>19</v>
      </c>
      <c r="G8110" s="24" t="s">
        <v>217</v>
      </c>
      <c r="H8110" s="26">
        <v>44</v>
      </c>
      <c r="I8110" s="24" t="s">
        <v>29</v>
      </c>
      <c r="J8110" s="36">
        <v>45992</v>
      </c>
      <c r="K8110" s="24" t="s">
        <v>22</v>
      </c>
    </row>
    <row r="8111" spans="1:11" x14ac:dyDescent="0.2">
      <c r="A8111" s="27" t="s">
        <v>18883</v>
      </c>
      <c r="B8111" s="27" t="s">
        <v>18884</v>
      </c>
      <c r="C8111" s="27" t="s">
        <v>213</v>
      </c>
      <c r="D8111" s="27" t="s">
        <v>17</v>
      </c>
      <c r="E8111" s="27" t="s">
        <v>26</v>
      </c>
      <c r="F8111" s="27" t="s">
        <v>27</v>
      </c>
      <c r="G8111" s="27" t="s">
        <v>28</v>
      </c>
      <c r="H8111" s="29">
        <v>138</v>
      </c>
      <c r="I8111" s="27" t="s">
        <v>29</v>
      </c>
      <c r="J8111" s="37">
        <v>45992</v>
      </c>
      <c r="K8111" s="27" t="s">
        <v>22</v>
      </c>
    </row>
    <row r="8112" spans="1:11" x14ac:dyDescent="0.2">
      <c r="A8112" s="24" t="s">
        <v>18885</v>
      </c>
      <c r="B8112" s="24" t="s">
        <v>18886</v>
      </c>
      <c r="C8112" s="24" t="s">
        <v>172</v>
      </c>
      <c r="D8112" s="24" t="s">
        <v>17</v>
      </c>
      <c r="E8112" s="24" t="s">
        <v>18</v>
      </c>
      <c r="F8112" s="24" t="s">
        <v>19</v>
      </c>
      <c r="G8112" s="24" t="s">
        <v>217</v>
      </c>
      <c r="H8112" s="26">
        <v>9</v>
      </c>
      <c r="I8112" s="24" t="s">
        <v>29</v>
      </c>
      <c r="J8112" s="36">
        <v>45992</v>
      </c>
      <c r="K8112" s="24" t="s">
        <v>22</v>
      </c>
    </row>
    <row r="8113" spans="1:11" x14ac:dyDescent="0.2">
      <c r="A8113" s="27" t="s">
        <v>18887</v>
      </c>
      <c r="B8113" s="27" t="s">
        <v>18888</v>
      </c>
      <c r="C8113" s="27" t="s">
        <v>14798</v>
      </c>
      <c r="D8113" s="27" t="s">
        <v>17</v>
      </c>
      <c r="E8113" s="27" t="s">
        <v>18</v>
      </c>
      <c r="F8113" s="27" t="s">
        <v>19</v>
      </c>
      <c r="G8113" s="27" t="s">
        <v>28</v>
      </c>
      <c r="H8113" s="29">
        <v>15</v>
      </c>
      <c r="I8113" s="27" t="s">
        <v>29</v>
      </c>
      <c r="J8113" s="37">
        <v>45992</v>
      </c>
      <c r="K8113" s="27" t="s">
        <v>22</v>
      </c>
    </row>
    <row r="8114" spans="1:11" x14ac:dyDescent="0.2">
      <c r="A8114" s="24" t="s">
        <v>18889</v>
      </c>
      <c r="B8114" s="24" t="s">
        <v>18890</v>
      </c>
      <c r="C8114" s="24" t="s">
        <v>1161</v>
      </c>
      <c r="D8114" s="24" t="s">
        <v>17</v>
      </c>
      <c r="E8114" s="24" t="s">
        <v>48</v>
      </c>
      <c r="F8114" s="24" t="s">
        <v>49</v>
      </c>
      <c r="G8114" s="24" t="s">
        <v>28</v>
      </c>
      <c r="H8114" s="26">
        <v>400</v>
      </c>
      <c r="I8114" s="24" t="s">
        <v>29</v>
      </c>
      <c r="J8114" s="36">
        <v>46014</v>
      </c>
      <c r="K8114" s="24" t="s">
        <v>22</v>
      </c>
    </row>
    <row r="8115" spans="1:11" x14ac:dyDescent="0.2">
      <c r="A8115" s="27" t="s">
        <v>18891</v>
      </c>
      <c r="B8115" s="27" t="s">
        <v>18892</v>
      </c>
      <c r="C8115" s="27" t="s">
        <v>17252</v>
      </c>
      <c r="D8115" s="27" t="s">
        <v>17</v>
      </c>
      <c r="E8115" s="27" t="s">
        <v>81</v>
      </c>
      <c r="F8115" s="27" t="s">
        <v>82</v>
      </c>
      <c r="G8115" s="27" t="s">
        <v>217</v>
      </c>
      <c r="H8115" s="29">
        <v>172</v>
      </c>
      <c r="I8115" s="27" t="s">
        <v>29</v>
      </c>
      <c r="J8115" s="37">
        <v>45992</v>
      </c>
      <c r="K8115" s="27" t="s">
        <v>22</v>
      </c>
    </row>
    <row r="8116" spans="1:11" x14ac:dyDescent="0.2">
      <c r="A8116" s="24" t="s">
        <v>18893</v>
      </c>
      <c r="B8116" s="24" t="s">
        <v>18894</v>
      </c>
      <c r="C8116" s="24" t="s">
        <v>18895</v>
      </c>
      <c r="D8116" s="24" t="s">
        <v>17</v>
      </c>
      <c r="E8116" s="24" t="s">
        <v>42</v>
      </c>
      <c r="F8116" s="24" t="s">
        <v>43</v>
      </c>
      <c r="G8116" s="24" t="s">
        <v>28</v>
      </c>
      <c r="H8116" s="26">
        <v>300</v>
      </c>
      <c r="I8116" s="24" t="s">
        <v>29</v>
      </c>
      <c r="J8116" s="36">
        <v>45999</v>
      </c>
      <c r="K8116" s="24" t="s">
        <v>22</v>
      </c>
    </row>
    <row r="8117" spans="1:11" x14ac:dyDescent="0.2">
      <c r="A8117" s="27" t="s">
        <v>18896</v>
      </c>
      <c r="B8117" s="27" t="s">
        <v>18897</v>
      </c>
      <c r="C8117" s="27" t="s">
        <v>1161</v>
      </c>
      <c r="D8117" s="27" t="s">
        <v>17</v>
      </c>
      <c r="E8117" s="27" t="s">
        <v>18</v>
      </c>
      <c r="F8117" s="27" t="s">
        <v>19</v>
      </c>
      <c r="G8117" s="27" t="s">
        <v>28</v>
      </c>
      <c r="H8117" s="29">
        <v>80</v>
      </c>
      <c r="I8117" s="27" t="s">
        <v>29</v>
      </c>
      <c r="J8117" s="37">
        <v>46021</v>
      </c>
      <c r="K8117" s="27" t="s">
        <v>22</v>
      </c>
    </row>
    <row r="8118" spans="1:11" x14ac:dyDescent="0.2">
      <c r="A8118" s="24" t="s">
        <v>18898</v>
      </c>
      <c r="B8118" s="24" t="s">
        <v>18899</v>
      </c>
      <c r="C8118" s="24" t="s">
        <v>97</v>
      </c>
      <c r="D8118" s="24" t="s">
        <v>17</v>
      </c>
      <c r="E8118" s="24" t="s">
        <v>48</v>
      </c>
      <c r="F8118" s="24" t="s">
        <v>49</v>
      </c>
      <c r="G8118" s="24" t="s">
        <v>28</v>
      </c>
      <c r="H8118" s="26">
        <v>218</v>
      </c>
      <c r="I8118" s="24" t="s">
        <v>29</v>
      </c>
      <c r="J8118" s="36">
        <v>45996</v>
      </c>
      <c r="K8118" s="24" t="s">
        <v>22</v>
      </c>
    </row>
    <row r="8119" spans="1:11" x14ac:dyDescent="0.2">
      <c r="A8119" s="27" t="s">
        <v>18900</v>
      </c>
      <c r="B8119" s="27" t="s">
        <v>18901</v>
      </c>
      <c r="C8119" s="27" t="s">
        <v>551</v>
      </c>
      <c r="D8119" s="27" t="s">
        <v>17</v>
      </c>
      <c r="E8119" s="27" t="s">
        <v>48</v>
      </c>
      <c r="F8119" s="27" t="s">
        <v>49</v>
      </c>
      <c r="G8119" s="27" t="s">
        <v>28</v>
      </c>
      <c r="H8119" s="29">
        <v>222</v>
      </c>
      <c r="I8119" s="27" t="s">
        <v>29</v>
      </c>
      <c r="J8119" s="37">
        <v>46013</v>
      </c>
      <c r="K8119" s="27" t="s">
        <v>22</v>
      </c>
    </row>
    <row r="8120" spans="1:11" x14ac:dyDescent="0.2">
      <c r="A8120" s="24" t="s">
        <v>18902</v>
      </c>
      <c r="B8120" s="24" t="s">
        <v>18903</v>
      </c>
      <c r="C8120" s="24" t="s">
        <v>18904</v>
      </c>
      <c r="D8120" s="24" t="s">
        <v>17</v>
      </c>
      <c r="E8120" s="24" t="s">
        <v>48</v>
      </c>
      <c r="F8120" s="24" t="s">
        <v>49</v>
      </c>
      <c r="G8120" s="24" t="s">
        <v>28</v>
      </c>
      <c r="H8120" s="26">
        <v>1100</v>
      </c>
      <c r="I8120" s="24" t="s">
        <v>29</v>
      </c>
      <c r="J8120" s="36">
        <v>45995</v>
      </c>
      <c r="K8120" s="24" t="s">
        <v>22</v>
      </c>
    </row>
    <row r="8121" spans="1:11" x14ac:dyDescent="0.2">
      <c r="A8121" s="27" t="s">
        <v>18905</v>
      </c>
      <c r="B8121" s="27" t="s">
        <v>18906</v>
      </c>
      <c r="C8121" s="27" t="s">
        <v>18907</v>
      </c>
      <c r="D8121" s="27" t="s">
        <v>17</v>
      </c>
      <c r="E8121" s="27" t="s">
        <v>42</v>
      </c>
      <c r="F8121" s="27" t="s">
        <v>43</v>
      </c>
      <c r="G8121" s="27" t="s">
        <v>28</v>
      </c>
      <c r="H8121" s="29">
        <v>212</v>
      </c>
      <c r="I8121" s="27" t="s">
        <v>29</v>
      </c>
      <c r="J8121" s="37">
        <v>46020</v>
      </c>
      <c r="K8121" s="27" t="s">
        <v>22</v>
      </c>
    </row>
    <row r="8122" spans="1:11" x14ac:dyDescent="0.2">
      <c r="A8122" s="24" t="s">
        <v>18908</v>
      </c>
      <c r="B8122" s="24" t="s">
        <v>18909</v>
      </c>
      <c r="C8122" s="24" t="s">
        <v>705</v>
      </c>
      <c r="D8122" s="24" t="s">
        <v>17</v>
      </c>
      <c r="E8122" s="24" t="s">
        <v>48</v>
      </c>
      <c r="F8122" s="24" t="s">
        <v>49</v>
      </c>
      <c r="G8122" s="24" t="s">
        <v>28</v>
      </c>
      <c r="H8122" s="26">
        <v>172</v>
      </c>
      <c r="I8122" s="24" t="s">
        <v>29</v>
      </c>
      <c r="J8122" s="36">
        <v>46013</v>
      </c>
      <c r="K8122" s="24" t="s">
        <v>22</v>
      </c>
    </row>
    <row r="8123" spans="1:11" x14ac:dyDescent="0.2">
      <c r="A8123" s="27" t="s">
        <v>18910</v>
      </c>
      <c r="B8123" s="27" t="s">
        <v>18911</v>
      </c>
      <c r="C8123" s="27" t="s">
        <v>1799</v>
      </c>
      <c r="D8123" s="27" t="s">
        <v>17</v>
      </c>
      <c r="E8123" s="27" t="s">
        <v>18</v>
      </c>
      <c r="F8123" s="27" t="s">
        <v>19</v>
      </c>
      <c r="G8123" s="27" t="s">
        <v>217</v>
      </c>
      <c r="H8123" s="29">
        <v>114</v>
      </c>
      <c r="I8123" s="27" t="s">
        <v>29</v>
      </c>
      <c r="J8123" s="37">
        <v>46006</v>
      </c>
      <c r="K8123" s="27" t="s">
        <v>22</v>
      </c>
    </row>
    <row r="8124" spans="1:11" x14ac:dyDescent="0.2">
      <c r="A8124" s="24" t="s">
        <v>18912</v>
      </c>
      <c r="B8124" s="24" t="s">
        <v>18913</v>
      </c>
      <c r="C8124" s="24" t="s">
        <v>13263</v>
      </c>
      <c r="D8124" s="24" t="s">
        <v>17</v>
      </c>
      <c r="E8124" s="24" t="s">
        <v>18</v>
      </c>
      <c r="F8124" s="24" t="s">
        <v>19</v>
      </c>
      <c r="G8124" s="24" t="s">
        <v>116</v>
      </c>
      <c r="H8124" s="26">
        <v>0</v>
      </c>
      <c r="I8124" s="24" t="s">
        <v>21</v>
      </c>
      <c r="J8124" s="36">
        <v>45992</v>
      </c>
      <c r="K8124" s="24" t="s">
        <v>22</v>
      </c>
    </row>
    <row r="8125" spans="1:11" x14ac:dyDescent="0.2">
      <c r="A8125" s="27" t="s">
        <v>18914</v>
      </c>
      <c r="B8125" s="27" t="s">
        <v>18915</v>
      </c>
      <c r="C8125" s="27" t="s">
        <v>18916</v>
      </c>
      <c r="D8125" s="27" t="s">
        <v>17</v>
      </c>
      <c r="E8125" s="27" t="s">
        <v>26</v>
      </c>
      <c r="F8125" s="27" t="s">
        <v>27</v>
      </c>
      <c r="G8125" s="27" t="s">
        <v>28</v>
      </c>
      <c r="H8125" s="29">
        <v>227</v>
      </c>
      <c r="I8125" s="27" t="s">
        <v>29</v>
      </c>
      <c r="J8125" s="37">
        <v>45994</v>
      </c>
      <c r="K8125" s="27" t="s">
        <v>22</v>
      </c>
    </row>
    <row r="8126" spans="1:11" x14ac:dyDescent="0.2">
      <c r="A8126" s="24" t="s">
        <v>18917</v>
      </c>
      <c r="B8126" s="24" t="s">
        <v>18918</v>
      </c>
      <c r="C8126" s="24" t="s">
        <v>618</v>
      </c>
      <c r="D8126" s="24" t="s">
        <v>17</v>
      </c>
      <c r="E8126" s="24" t="s">
        <v>26</v>
      </c>
      <c r="F8126" s="24" t="s">
        <v>27</v>
      </c>
      <c r="G8126" s="24" t="s">
        <v>217</v>
      </c>
      <c r="H8126" s="26">
        <v>502</v>
      </c>
      <c r="I8126" s="24" t="s">
        <v>29</v>
      </c>
      <c r="J8126" s="36">
        <v>46010</v>
      </c>
      <c r="K8126" s="24" t="s">
        <v>22</v>
      </c>
    </row>
    <row r="8127" spans="1:11" x14ac:dyDescent="0.2">
      <c r="A8127" s="27" t="s">
        <v>18919</v>
      </c>
      <c r="B8127" s="27" t="s">
        <v>18920</v>
      </c>
      <c r="C8127" s="27" t="s">
        <v>208</v>
      </c>
      <c r="D8127" s="27" t="s">
        <v>17</v>
      </c>
      <c r="E8127" s="27" t="s">
        <v>48</v>
      </c>
      <c r="F8127" s="27" t="s">
        <v>49</v>
      </c>
      <c r="G8127" s="27" t="s">
        <v>28</v>
      </c>
      <c r="H8127" s="29">
        <v>144</v>
      </c>
      <c r="I8127" s="27" t="s">
        <v>29</v>
      </c>
      <c r="J8127" s="37">
        <v>46020</v>
      </c>
      <c r="K8127" s="27" t="s">
        <v>22</v>
      </c>
    </row>
    <row r="8128" spans="1:11" x14ac:dyDescent="0.2">
      <c r="A8128" s="24" t="s">
        <v>18921</v>
      </c>
      <c r="B8128" s="24" t="s">
        <v>18922</v>
      </c>
      <c r="C8128" s="24" t="s">
        <v>5746</v>
      </c>
      <c r="D8128" s="24" t="s">
        <v>17</v>
      </c>
      <c r="E8128" s="24" t="s">
        <v>48</v>
      </c>
      <c r="F8128" s="24" t="s">
        <v>49</v>
      </c>
      <c r="G8128" s="24" t="s">
        <v>28</v>
      </c>
      <c r="H8128" s="26">
        <v>31</v>
      </c>
      <c r="I8128" s="24" t="s">
        <v>29</v>
      </c>
      <c r="J8128" s="36">
        <v>46002</v>
      </c>
      <c r="K8128" s="24" t="s">
        <v>22</v>
      </c>
    </row>
    <row r="8129" spans="1:11" x14ac:dyDescent="0.2">
      <c r="A8129" s="27" t="s">
        <v>18923</v>
      </c>
      <c r="B8129" s="27" t="s">
        <v>18924</v>
      </c>
      <c r="C8129" s="27" t="s">
        <v>5103</v>
      </c>
      <c r="D8129" s="27" t="s">
        <v>17</v>
      </c>
      <c r="E8129" s="27" t="s">
        <v>48</v>
      </c>
      <c r="F8129" s="27" t="s">
        <v>49</v>
      </c>
      <c r="G8129" s="27" t="s">
        <v>28</v>
      </c>
      <c r="H8129" s="29">
        <v>136</v>
      </c>
      <c r="I8129" s="27" t="s">
        <v>29</v>
      </c>
      <c r="J8129" s="37">
        <v>46008</v>
      </c>
      <c r="K8129" s="27" t="s">
        <v>22</v>
      </c>
    </row>
    <row r="8130" spans="1:11" x14ac:dyDescent="0.2">
      <c r="A8130" s="24" t="s">
        <v>18925</v>
      </c>
      <c r="B8130" s="24" t="s">
        <v>18926</v>
      </c>
      <c r="C8130" s="24" t="s">
        <v>494</v>
      </c>
      <c r="D8130" s="24" t="s">
        <v>17</v>
      </c>
      <c r="E8130" s="24" t="s">
        <v>18</v>
      </c>
      <c r="F8130" s="24" t="s">
        <v>19</v>
      </c>
      <c r="G8130" s="24" t="s">
        <v>28</v>
      </c>
      <c r="H8130" s="26">
        <v>66</v>
      </c>
      <c r="I8130" s="24" t="s">
        <v>29</v>
      </c>
      <c r="J8130" s="36">
        <v>46009</v>
      </c>
      <c r="K8130" s="24" t="s">
        <v>22</v>
      </c>
    </row>
    <row r="8131" spans="1:11" x14ac:dyDescent="0.2">
      <c r="A8131" s="27" t="s">
        <v>18927</v>
      </c>
      <c r="B8131" s="27" t="s">
        <v>18928</v>
      </c>
      <c r="C8131" s="27" t="s">
        <v>9399</v>
      </c>
      <c r="D8131" s="27" t="s">
        <v>17</v>
      </c>
      <c r="E8131" s="27" t="s">
        <v>26</v>
      </c>
      <c r="F8131" s="27" t="s">
        <v>27</v>
      </c>
      <c r="G8131" s="27" t="s">
        <v>116</v>
      </c>
      <c r="H8131" s="29">
        <v>0</v>
      </c>
      <c r="I8131" s="27" t="s">
        <v>21</v>
      </c>
      <c r="J8131" s="37">
        <v>45992</v>
      </c>
      <c r="K8131" s="27" t="s">
        <v>22</v>
      </c>
    </row>
    <row r="8132" spans="1:11" x14ac:dyDescent="0.2">
      <c r="A8132" s="24" t="s">
        <v>18929</v>
      </c>
      <c r="B8132" s="24" t="s">
        <v>18930</v>
      </c>
      <c r="C8132" s="24" t="s">
        <v>9996</v>
      </c>
      <c r="D8132" s="24" t="s">
        <v>17</v>
      </c>
      <c r="E8132" s="24" t="s">
        <v>48</v>
      </c>
      <c r="F8132" s="24" t="s">
        <v>49</v>
      </c>
      <c r="G8132" s="24" t="s">
        <v>28</v>
      </c>
      <c r="H8132" s="26">
        <v>100</v>
      </c>
      <c r="I8132" s="24" t="s">
        <v>29</v>
      </c>
      <c r="J8132" s="36">
        <v>46014</v>
      </c>
      <c r="K8132" s="24" t="s">
        <v>22</v>
      </c>
    </row>
    <row r="8133" spans="1:11" x14ac:dyDescent="0.2">
      <c r="A8133" s="27" t="s">
        <v>18931</v>
      </c>
      <c r="B8133" s="27" t="s">
        <v>18932</v>
      </c>
      <c r="C8133" s="27" t="s">
        <v>97</v>
      </c>
      <c r="D8133" s="27" t="s">
        <v>17</v>
      </c>
      <c r="E8133" s="27" t="s">
        <v>42</v>
      </c>
      <c r="F8133" s="27" t="s">
        <v>43</v>
      </c>
      <c r="G8133" s="27" t="s">
        <v>28</v>
      </c>
      <c r="H8133" s="29">
        <v>1100</v>
      </c>
      <c r="I8133" s="27" t="s">
        <v>29</v>
      </c>
      <c r="J8133" s="37">
        <v>45995</v>
      </c>
      <c r="K8133" s="27" t="s">
        <v>22</v>
      </c>
    </row>
    <row r="8134" spans="1:11" x14ac:dyDescent="0.2">
      <c r="A8134" s="24" t="s">
        <v>18933</v>
      </c>
      <c r="B8134" s="24" t="s">
        <v>18934</v>
      </c>
      <c r="C8134" s="24" t="s">
        <v>251</v>
      </c>
      <c r="D8134" s="24" t="s">
        <v>17</v>
      </c>
      <c r="E8134" s="24" t="s">
        <v>48</v>
      </c>
      <c r="F8134" s="24" t="s">
        <v>49</v>
      </c>
      <c r="G8134" s="24" t="s">
        <v>28</v>
      </c>
      <c r="H8134" s="26">
        <v>200</v>
      </c>
      <c r="I8134" s="24" t="s">
        <v>29</v>
      </c>
      <c r="J8134" s="36">
        <v>45996</v>
      </c>
      <c r="K8134" s="24" t="s">
        <v>22</v>
      </c>
    </row>
    <row r="8135" spans="1:11" x14ac:dyDescent="0.2">
      <c r="A8135" s="27" t="s">
        <v>18935</v>
      </c>
      <c r="B8135" s="27" t="s">
        <v>18936</v>
      </c>
      <c r="C8135" s="27" t="s">
        <v>708</v>
      </c>
      <c r="D8135" s="27" t="s">
        <v>17</v>
      </c>
      <c r="E8135" s="27" t="s">
        <v>26</v>
      </c>
      <c r="F8135" s="27" t="s">
        <v>27</v>
      </c>
      <c r="G8135" s="27" t="s">
        <v>28</v>
      </c>
      <c r="H8135" s="29">
        <v>72</v>
      </c>
      <c r="I8135" s="27" t="s">
        <v>29</v>
      </c>
      <c r="J8135" s="37">
        <v>46008</v>
      </c>
      <c r="K8135" s="27" t="s">
        <v>22</v>
      </c>
    </row>
    <row r="8136" spans="1:11" x14ac:dyDescent="0.2">
      <c r="A8136" s="24" t="s">
        <v>18937</v>
      </c>
      <c r="B8136" s="24" t="s">
        <v>18938</v>
      </c>
      <c r="C8136" s="24" t="s">
        <v>18939</v>
      </c>
      <c r="D8136" s="24" t="s">
        <v>17</v>
      </c>
      <c r="E8136" s="24" t="s">
        <v>48</v>
      </c>
      <c r="F8136" s="24" t="s">
        <v>49</v>
      </c>
      <c r="G8136" s="24" t="s">
        <v>217</v>
      </c>
      <c r="H8136" s="26">
        <v>126</v>
      </c>
      <c r="I8136" s="24" t="s">
        <v>29</v>
      </c>
      <c r="J8136" s="36">
        <v>45992</v>
      </c>
      <c r="K8136" s="24" t="s">
        <v>22</v>
      </c>
    </row>
    <row r="8137" spans="1:11" x14ac:dyDescent="0.2">
      <c r="A8137" s="27" t="s">
        <v>18940</v>
      </c>
      <c r="B8137" s="27" t="s">
        <v>18941</v>
      </c>
      <c r="C8137" s="27" t="s">
        <v>1833</v>
      </c>
      <c r="D8137" s="27" t="s">
        <v>17</v>
      </c>
      <c r="E8137" s="27" t="s">
        <v>48</v>
      </c>
      <c r="F8137" s="27" t="s">
        <v>49</v>
      </c>
      <c r="G8137" s="27" t="s">
        <v>44</v>
      </c>
      <c r="H8137" s="29">
        <v>120</v>
      </c>
      <c r="I8137" s="27" t="s">
        <v>29</v>
      </c>
      <c r="J8137" s="37">
        <v>46020</v>
      </c>
      <c r="K8137" s="27" t="s">
        <v>22</v>
      </c>
    </row>
    <row r="8138" spans="1:11" x14ac:dyDescent="0.2">
      <c r="A8138" s="24" t="s">
        <v>18942</v>
      </c>
      <c r="B8138" s="24" t="s">
        <v>18943</v>
      </c>
      <c r="C8138" s="24" t="s">
        <v>18944</v>
      </c>
      <c r="D8138" s="24" t="s">
        <v>17</v>
      </c>
      <c r="E8138" s="24" t="s">
        <v>42</v>
      </c>
      <c r="F8138" s="24" t="s">
        <v>43</v>
      </c>
      <c r="G8138" s="24" t="s">
        <v>28</v>
      </c>
      <c r="H8138" s="26">
        <v>40</v>
      </c>
      <c r="I8138" s="24" t="s">
        <v>29</v>
      </c>
      <c r="J8138" s="36">
        <v>45997</v>
      </c>
      <c r="K8138" s="24" t="s">
        <v>22</v>
      </c>
    </row>
    <row r="8139" spans="1:11" x14ac:dyDescent="0.2">
      <c r="A8139" s="27" t="s">
        <v>18945</v>
      </c>
      <c r="B8139" s="27" t="s">
        <v>18946</v>
      </c>
      <c r="C8139" s="27" t="s">
        <v>2309</v>
      </c>
      <c r="D8139" s="27" t="s">
        <v>17</v>
      </c>
      <c r="E8139" s="27" t="s">
        <v>18</v>
      </c>
      <c r="F8139" s="27" t="s">
        <v>19</v>
      </c>
      <c r="G8139" s="27" t="s">
        <v>217</v>
      </c>
      <c r="H8139" s="29">
        <v>74</v>
      </c>
      <c r="I8139" s="27" t="s">
        <v>29</v>
      </c>
      <c r="J8139" s="37">
        <v>46018</v>
      </c>
      <c r="K8139" s="27" t="s">
        <v>22</v>
      </c>
    </row>
    <row r="8140" spans="1:11" x14ac:dyDescent="0.2">
      <c r="A8140" s="24" t="s">
        <v>18947</v>
      </c>
      <c r="B8140" s="24" t="s">
        <v>18948</v>
      </c>
      <c r="C8140" s="24" t="s">
        <v>792</v>
      </c>
      <c r="D8140" s="24" t="s">
        <v>17</v>
      </c>
      <c r="E8140" s="24" t="s">
        <v>18</v>
      </c>
      <c r="F8140" s="24" t="s">
        <v>19</v>
      </c>
      <c r="G8140" s="24" t="s">
        <v>20</v>
      </c>
      <c r="H8140" s="26">
        <v>58</v>
      </c>
      <c r="I8140" s="24" t="s">
        <v>21</v>
      </c>
      <c r="J8140" s="36">
        <v>46000</v>
      </c>
      <c r="K8140" s="24" t="s">
        <v>22</v>
      </c>
    </row>
    <row r="8141" spans="1:11" x14ac:dyDescent="0.2">
      <c r="A8141" s="27" t="s">
        <v>18949</v>
      </c>
      <c r="B8141" s="27" t="s">
        <v>18950</v>
      </c>
      <c r="C8141" s="27" t="s">
        <v>11607</v>
      </c>
      <c r="D8141" s="27" t="s">
        <v>17</v>
      </c>
      <c r="E8141" s="27" t="s">
        <v>163</v>
      </c>
      <c r="F8141" s="27" t="s">
        <v>164</v>
      </c>
      <c r="G8141" s="27" t="s">
        <v>217</v>
      </c>
      <c r="H8141" s="29">
        <v>15</v>
      </c>
      <c r="I8141" s="27" t="s">
        <v>29</v>
      </c>
      <c r="J8141" s="37">
        <v>46021</v>
      </c>
      <c r="K8141" s="27" t="s">
        <v>22</v>
      </c>
    </row>
    <row r="8142" spans="1:11" x14ac:dyDescent="0.2">
      <c r="A8142" s="24" t="s">
        <v>18951</v>
      </c>
      <c r="B8142" s="24" t="s">
        <v>18952</v>
      </c>
      <c r="C8142" s="24" t="s">
        <v>8628</v>
      </c>
      <c r="D8142" s="24" t="s">
        <v>17</v>
      </c>
      <c r="E8142" s="24" t="s">
        <v>18</v>
      </c>
      <c r="F8142" s="24" t="s">
        <v>19</v>
      </c>
      <c r="G8142" s="24" t="s">
        <v>217</v>
      </c>
      <c r="H8142" s="26">
        <v>18</v>
      </c>
      <c r="I8142" s="24" t="s">
        <v>29</v>
      </c>
      <c r="J8142" s="36">
        <v>45992</v>
      </c>
      <c r="K8142" s="24" t="s">
        <v>22</v>
      </c>
    </row>
    <row r="8143" spans="1:11" x14ac:dyDescent="0.2">
      <c r="A8143" s="27" t="s">
        <v>18953</v>
      </c>
      <c r="B8143" s="27" t="s">
        <v>18954</v>
      </c>
      <c r="C8143" s="27" t="s">
        <v>41</v>
      </c>
      <c r="D8143" s="27" t="s">
        <v>17</v>
      </c>
      <c r="E8143" s="27" t="s">
        <v>81</v>
      </c>
      <c r="F8143" s="27" t="s">
        <v>82</v>
      </c>
      <c r="G8143" s="27" t="s">
        <v>28</v>
      </c>
      <c r="H8143" s="29">
        <v>20</v>
      </c>
      <c r="I8143" s="27" t="s">
        <v>29</v>
      </c>
      <c r="J8143" s="37">
        <v>46010</v>
      </c>
      <c r="K8143" s="27" t="s">
        <v>22</v>
      </c>
    </row>
    <row r="8144" spans="1:11" x14ac:dyDescent="0.2">
      <c r="A8144" s="24" t="s">
        <v>18955</v>
      </c>
      <c r="B8144" s="24" t="s">
        <v>18956</v>
      </c>
      <c r="C8144" s="24" t="s">
        <v>7365</v>
      </c>
      <c r="D8144" s="24" t="s">
        <v>17</v>
      </c>
      <c r="E8144" s="24" t="s">
        <v>18</v>
      </c>
      <c r="F8144" s="24" t="s">
        <v>19</v>
      </c>
      <c r="G8144" s="24" t="s">
        <v>28</v>
      </c>
      <c r="H8144" s="26">
        <v>42</v>
      </c>
      <c r="I8144" s="24" t="s">
        <v>29</v>
      </c>
      <c r="J8144" s="36">
        <v>46007</v>
      </c>
      <c r="K8144" s="24" t="s">
        <v>22</v>
      </c>
    </row>
    <row r="8145" spans="1:11" x14ac:dyDescent="0.2">
      <c r="A8145" s="27" t="s">
        <v>18957</v>
      </c>
      <c r="B8145" s="27" t="s">
        <v>18958</v>
      </c>
      <c r="C8145" s="27" t="s">
        <v>10637</v>
      </c>
      <c r="D8145" s="27" t="s">
        <v>17</v>
      </c>
      <c r="E8145" s="27" t="s">
        <v>18</v>
      </c>
      <c r="F8145" s="27" t="s">
        <v>19</v>
      </c>
      <c r="G8145" s="27" t="s">
        <v>28</v>
      </c>
      <c r="H8145" s="29">
        <v>100</v>
      </c>
      <c r="I8145" s="27" t="s">
        <v>29</v>
      </c>
      <c r="J8145" s="37">
        <v>46021</v>
      </c>
      <c r="K8145" s="27" t="s">
        <v>22</v>
      </c>
    </row>
    <row r="8146" spans="1:11" x14ac:dyDescent="0.2">
      <c r="A8146" s="24" t="s">
        <v>18959</v>
      </c>
      <c r="B8146" s="24" t="s">
        <v>18960</v>
      </c>
      <c r="C8146" s="24" t="s">
        <v>15192</v>
      </c>
      <c r="D8146" s="24" t="s">
        <v>17</v>
      </c>
      <c r="E8146" s="24" t="s">
        <v>18</v>
      </c>
      <c r="F8146" s="24" t="s">
        <v>19</v>
      </c>
      <c r="G8146" s="24" t="s">
        <v>20</v>
      </c>
      <c r="H8146" s="26">
        <v>18</v>
      </c>
      <c r="I8146" s="24" t="s">
        <v>21</v>
      </c>
      <c r="J8146" s="36">
        <v>46006</v>
      </c>
      <c r="K8146" s="24" t="s">
        <v>22</v>
      </c>
    </row>
    <row r="8147" spans="1:11" x14ac:dyDescent="0.2">
      <c r="A8147" s="27" t="s">
        <v>18961</v>
      </c>
      <c r="B8147" s="27" t="s">
        <v>18962</v>
      </c>
      <c r="C8147" s="27" t="s">
        <v>6235</v>
      </c>
      <c r="D8147" s="27" t="s">
        <v>17</v>
      </c>
      <c r="E8147" s="27" t="s">
        <v>18</v>
      </c>
      <c r="F8147" s="27" t="s">
        <v>19</v>
      </c>
      <c r="G8147" s="27" t="s">
        <v>44</v>
      </c>
      <c r="H8147" s="29">
        <v>50</v>
      </c>
      <c r="I8147" s="27" t="s">
        <v>21</v>
      </c>
      <c r="J8147" s="37">
        <v>46000</v>
      </c>
      <c r="K8147" s="27" t="s">
        <v>22</v>
      </c>
    </row>
    <row r="8148" spans="1:11" x14ac:dyDescent="0.2">
      <c r="A8148" s="24" t="s">
        <v>18963</v>
      </c>
      <c r="B8148" s="24" t="s">
        <v>18964</v>
      </c>
      <c r="C8148" s="24" t="s">
        <v>429</v>
      </c>
      <c r="D8148" s="24" t="s">
        <v>17</v>
      </c>
      <c r="E8148" s="24" t="s">
        <v>42</v>
      </c>
      <c r="F8148" s="24" t="s">
        <v>43</v>
      </c>
      <c r="G8148" s="24" t="s">
        <v>28</v>
      </c>
      <c r="H8148" s="26">
        <v>180</v>
      </c>
      <c r="I8148" s="24" t="s">
        <v>29</v>
      </c>
      <c r="J8148" s="36">
        <v>46020</v>
      </c>
      <c r="K8148" s="24" t="s">
        <v>22</v>
      </c>
    </row>
    <row r="8149" spans="1:11" x14ac:dyDescent="0.2">
      <c r="A8149" s="27" t="s">
        <v>18965</v>
      </c>
      <c r="B8149" s="27" t="s">
        <v>18966</v>
      </c>
      <c r="C8149" s="27" t="s">
        <v>1283</v>
      </c>
      <c r="D8149" s="27" t="s">
        <v>17</v>
      </c>
      <c r="E8149" s="27" t="s">
        <v>42</v>
      </c>
      <c r="F8149" s="27" t="s">
        <v>43</v>
      </c>
      <c r="G8149" s="27" t="s">
        <v>28</v>
      </c>
      <c r="H8149" s="29">
        <v>246</v>
      </c>
      <c r="I8149" s="27" t="s">
        <v>29</v>
      </c>
      <c r="J8149" s="37">
        <v>46021</v>
      </c>
      <c r="K8149" s="27" t="s">
        <v>22</v>
      </c>
    </row>
    <row r="8150" spans="1:11" x14ac:dyDescent="0.2">
      <c r="A8150" s="24" t="s">
        <v>18967</v>
      </c>
      <c r="B8150" s="24" t="s">
        <v>18968</v>
      </c>
      <c r="C8150" s="24" t="s">
        <v>3878</v>
      </c>
      <c r="D8150" s="24" t="s">
        <v>17</v>
      </c>
      <c r="E8150" s="24" t="s">
        <v>42</v>
      </c>
      <c r="F8150" s="24" t="s">
        <v>43</v>
      </c>
      <c r="G8150" s="24" t="s">
        <v>28</v>
      </c>
      <c r="H8150" s="26">
        <v>330</v>
      </c>
      <c r="I8150" s="24" t="s">
        <v>29</v>
      </c>
      <c r="J8150" s="36">
        <v>46001</v>
      </c>
      <c r="K8150" s="24" t="s">
        <v>22</v>
      </c>
    </row>
    <row r="8151" spans="1:11" x14ac:dyDescent="0.2">
      <c r="A8151" s="27" t="s">
        <v>18969</v>
      </c>
      <c r="B8151" s="27" t="s">
        <v>18970</v>
      </c>
      <c r="C8151" s="27" t="s">
        <v>18971</v>
      </c>
      <c r="D8151" s="27" t="s">
        <v>17</v>
      </c>
      <c r="E8151" s="27" t="s">
        <v>18</v>
      </c>
      <c r="F8151" s="27" t="s">
        <v>19</v>
      </c>
      <c r="G8151" s="27" t="s">
        <v>28</v>
      </c>
      <c r="H8151" s="29">
        <v>60</v>
      </c>
      <c r="I8151" s="27" t="s">
        <v>29</v>
      </c>
      <c r="J8151" s="37">
        <v>46022</v>
      </c>
      <c r="K8151" s="27" t="s">
        <v>22</v>
      </c>
    </row>
    <row r="8152" spans="1:11" x14ac:dyDescent="0.2">
      <c r="A8152" s="24" t="s">
        <v>18972</v>
      </c>
      <c r="B8152" s="24" t="s">
        <v>18973</v>
      </c>
      <c r="C8152" s="24" t="s">
        <v>18974</v>
      </c>
      <c r="D8152" s="24" t="s">
        <v>17</v>
      </c>
      <c r="E8152" s="24" t="s">
        <v>26</v>
      </c>
      <c r="F8152" s="24" t="s">
        <v>27</v>
      </c>
      <c r="G8152" s="24" t="s">
        <v>28</v>
      </c>
      <c r="H8152" s="26">
        <v>75</v>
      </c>
      <c r="I8152" s="24" t="s">
        <v>29</v>
      </c>
      <c r="J8152" s="36">
        <v>46021</v>
      </c>
      <c r="K8152" s="24" t="s">
        <v>22</v>
      </c>
    </row>
    <row r="8153" spans="1:11" x14ac:dyDescent="0.2">
      <c r="A8153" s="27" t="s">
        <v>18975</v>
      </c>
      <c r="B8153" s="27" t="s">
        <v>18976</v>
      </c>
      <c r="C8153" s="27" t="s">
        <v>18977</v>
      </c>
      <c r="D8153" s="27" t="s">
        <v>17</v>
      </c>
      <c r="E8153" s="27" t="s">
        <v>42</v>
      </c>
      <c r="F8153" s="27" t="s">
        <v>43</v>
      </c>
      <c r="G8153" s="27" t="s">
        <v>28</v>
      </c>
      <c r="H8153" s="29">
        <v>60</v>
      </c>
      <c r="I8153" s="27" t="s">
        <v>29</v>
      </c>
      <c r="J8153" s="37">
        <v>45992</v>
      </c>
      <c r="K8153" s="27" t="s">
        <v>22</v>
      </c>
    </row>
    <row r="8154" spans="1:11" x14ac:dyDescent="0.2">
      <c r="A8154" s="24" t="s">
        <v>18978</v>
      </c>
      <c r="B8154" s="24" t="s">
        <v>18979</v>
      </c>
      <c r="C8154" s="24" t="s">
        <v>12305</v>
      </c>
      <c r="D8154" s="24" t="s">
        <v>17</v>
      </c>
      <c r="E8154" s="24" t="s">
        <v>48</v>
      </c>
      <c r="F8154" s="24" t="s">
        <v>49</v>
      </c>
      <c r="G8154" s="24" t="s">
        <v>28</v>
      </c>
      <c r="H8154" s="26">
        <v>800</v>
      </c>
      <c r="I8154" s="24" t="s">
        <v>29</v>
      </c>
      <c r="J8154" s="36">
        <v>45996</v>
      </c>
      <c r="K8154" s="24" t="s">
        <v>22</v>
      </c>
    </row>
    <row r="8155" spans="1:11" x14ac:dyDescent="0.2">
      <c r="A8155" s="27" t="s">
        <v>18980</v>
      </c>
      <c r="B8155" s="27" t="s">
        <v>18981</v>
      </c>
      <c r="C8155" s="27" t="s">
        <v>10599</v>
      </c>
      <c r="D8155" s="27" t="s">
        <v>17</v>
      </c>
      <c r="E8155" s="27" t="s">
        <v>42</v>
      </c>
      <c r="F8155" s="27" t="s">
        <v>43</v>
      </c>
      <c r="G8155" s="27" t="s">
        <v>217</v>
      </c>
      <c r="H8155" s="29">
        <v>350</v>
      </c>
      <c r="I8155" s="27" t="s">
        <v>29</v>
      </c>
      <c r="J8155" s="37">
        <v>45992</v>
      </c>
      <c r="K8155" s="27" t="s">
        <v>22</v>
      </c>
    </row>
    <row r="8156" spans="1:11" x14ac:dyDescent="0.2">
      <c r="A8156" s="24" t="s">
        <v>18982</v>
      </c>
      <c r="B8156" s="24" t="s">
        <v>18983</v>
      </c>
      <c r="C8156" s="24" t="s">
        <v>18984</v>
      </c>
      <c r="D8156" s="24" t="s">
        <v>17</v>
      </c>
      <c r="E8156" s="24" t="s">
        <v>48</v>
      </c>
      <c r="F8156" s="24" t="s">
        <v>49</v>
      </c>
      <c r="G8156" s="24" t="s">
        <v>28</v>
      </c>
      <c r="H8156" s="26">
        <v>70</v>
      </c>
      <c r="I8156" s="24" t="s">
        <v>29</v>
      </c>
      <c r="J8156" s="36">
        <v>46015</v>
      </c>
      <c r="K8156" s="24" t="s">
        <v>22</v>
      </c>
    </row>
    <row r="8157" spans="1:11" x14ac:dyDescent="0.2">
      <c r="A8157" s="27" t="s">
        <v>18985</v>
      </c>
      <c r="B8157" s="27" t="s">
        <v>18986</v>
      </c>
      <c r="C8157" s="27" t="s">
        <v>128</v>
      </c>
      <c r="D8157" s="27" t="s">
        <v>17</v>
      </c>
      <c r="E8157" s="27" t="s">
        <v>42</v>
      </c>
      <c r="F8157" s="27" t="s">
        <v>43</v>
      </c>
      <c r="G8157" s="27" t="s">
        <v>28</v>
      </c>
      <c r="H8157" s="29">
        <v>138</v>
      </c>
      <c r="I8157" s="27" t="s">
        <v>29</v>
      </c>
      <c r="J8157" s="37">
        <v>45992</v>
      </c>
      <c r="K8157" s="27" t="s">
        <v>22</v>
      </c>
    </row>
    <row r="8158" spans="1:11" x14ac:dyDescent="0.2">
      <c r="A8158" s="24" t="s">
        <v>18987</v>
      </c>
      <c r="B8158" s="24" t="s">
        <v>18988</v>
      </c>
      <c r="C8158" s="24" t="s">
        <v>5771</v>
      </c>
      <c r="D8158" s="24" t="s">
        <v>17</v>
      </c>
      <c r="E8158" s="24" t="s">
        <v>42</v>
      </c>
      <c r="F8158" s="24" t="s">
        <v>43</v>
      </c>
      <c r="G8158" s="24" t="s">
        <v>28</v>
      </c>
      <c r="H8158" s="26">
        <v>705</v>
      </c>
      <c r="I8158" s="24" t="s">
        <v>29</v>
      </c>
      <c r="J8158" s="36">
        <v>45992</v>
      </c>
      <c r="K8158" s="24" t="s">
        <v>22</v>
      </c>
    </row>
    <row r="8159" spans="1:11" x14ac:dyDescent="0.2">
      <c r="A8159" s="27" t="s">
        <v>18989</v>
      </c>
      <c r="B8159" s="27" t="s">
        <v>18990</v>
      </c>
      <c r="C8159" s="27" t="s">
        <v>55</v>
      </c>
      <c r="D8159" s="27" t="s">
        <v>17</v>
      </c>
      <c r="E8159" s="27" t="s">
        <v>18</v>
      </c>
      <c r="F8159" s="27" t="s">
        <v>19</v>
      </c>
      <c r="G8159" s="27" t="s">
        <v>44</v>
      </c>
      <c r="H8159" s="29">
        <v>30</v>
      </c>
      <c r="I8159" s="27" t="s">
        <v>29</v>
      </c>
      <c r="J8159" s="37">
        <v>46009</v>
      </c>
      <c r="K8159" s="27" t="s">
        <v>22</v>
      </c>
    </row>
    <row r="8160" spans="1:11" x14ac:dyDescent="0.2">
      <c r="A8160" s="24" t="s">
        <v>18991</v>
      </c>
      <c r="B8160" s="24" t="s">
        <v>18992</v>
      </c>
      <c r="C8160" s="24" t="s">
        <v>18993</v>
      </c>
      <c r="D8160" s="24" t="s">
        <v>17</v>
      </c>
      <c r="E8160" s="24" t="s">
        <v>18</v>
      </c>
      <c r="F8160" s="24" t="s">
        <v>19</v>
      </c>
      <c r="G8160" s="24" t="s">
        <v>28</v>
      </c>
      <c r="H8160" s="26">
        <v>24</v>
      </c>
      <c r="I8160" s="24" t="s">
        <v>29</v>
      </c>
      <c r="J8160" s="36">
        <v>45994</v>
      </c>
      <c r="K8160" s="24" t="s">
        <v>22</v>
      </c>
    </row>
    <row r="8161" spans="1:11" x14ac:dyDescent="0.2">
      <c r="A8161" s="27" t="s">
        <v>18994</v>
      </c>
      <c r="B8161" s="27" t="s">
        <v>18995</v>
      </c>
      <c r="C8161" s="27" t="s">
        <v>301</v>
      </c>
      <c r="D8161" s="27" t="s">
        <v>17</v>
      </c>
      <c r="E8161" s="27" t="s">
        <v>42</v>
      </c>
      <c r="F8161" s="27" t="s">
        <v>43</v>
      </c>
      <c r="G8161" s="27" t="s">
        <v>28</v>
      </c>
      <c r="H8161" s="29">
        <v>800</v>
      </c>
      <c r="I8161" s="27" t="s">
        <v>29</v>
      </c>
      <c r="J8161" s="37">
        <v>46010</v>
      </c>
      <c r="K8161" s="27" t="s">
        <v>22</v>
      </c>
    </row>
    <row r="8162" spans="1:11" x14ac:dyDescent="0.2">
      <c r="A8162" s="24" t="s">
        <v>18996</v>
      </c>
      <c r="B8162" s="24" t="s">
        <v>18997</v>
      </c>
      <c r="C8162" s="24" t="s">
        <v>18998</v>
      </c>
      <c r="D8162" s="24" t="s">
        <v>17</v>
      </c>
      <c r="E8162" s="24" t="s">
        <v>26</v>
      </c>
      <c r="F8162" s="24" t="s">
        <v>27</v>
      </c>
      <c r="G8162" s="24" t="s">
        <v>217</v>
      </c>
      <c r="H8162" s="26">
        <v>21</v>
      </c>
      <c r="I8162" s="24" t="s">
        <v>29</v>
      </c>
      <c r="J8162" s="36">
        <v>45992</v>
      </c>
      <c r="K8162" s="24" t="s">
        <v>22</v>
      </c>
    </row>
    <row r="8163" spans="1:11" x14ac:dyDescent="0.2">
      <c r="A8163" s="27" t="s">
        <v>18999</v>
      </c>
      <c r="B8163" s="27" t="s">
        <v>19000</v>
      </c>
      <c r="C8163" s="27" t="s">
        <v>5315</v>
      </c>
      <c r="D8163" s="27" t="s">
        <v>17</v>
      </c>
      <c r="E8163" s="27" t="s">
        <v>18</v>
      </c>
      <c r="F8163" s="27" t="s">
        <v>19</v>
      </c>
      <c r="G8163" s="27" t="s">
        <v>44</v>
      </c>
      <c r="H8163" s="29">
        <v>6</v>
      </c>
      <c r="I8163" s="27" t="s">
        <v>21</v>
      </c>
      <c r="J8163" s="37">
        <v>46002</v>
      </c>
      <c r="K8163" s="27" t="s">
        <v>22</v>
      </c>
    </row>
    <row r="8164" spans="1:11" x14ac:dyDescent="0.2">
      <c r="A8164" s="24" t="s">
        <v>19001</v>
      </c>
      <c r="B8164" s="24" t="s">
        <v>19002</v>
      </c>
      <c r="C8164" s="24" t="s">
        <v>19003</v>
      </c>
      <c r="D8164" s="24" t="s">
        <v>17</v>
      </c>
      <c r="E8164" s="24" t="s">
        <v>18</v>
      </c>
      <c r="F8164" s="24" t="s">
        <v>19</v>
      </c>
      <c r="G8164" s="24" t="s">
        <v>28</v>
      </c>
      <c r="H8164" s="26">
        <v>155</v>
      </c>
      <c r="I8164" s="24" t="s">
        <v>29</v>
      </c>
      <c r="J8164" s="36">
        <v>45992</v>
      </c>
      <c r="K8164" s="24" t="s">
        <v>22</v>
      </c>
    </row>
    <row r="8165" spans="1:11" x14ac:dyDescent="0.2">
      <c r="A8165" s="27" t="s">
        <v>19004</v>
      </c>
      <c r="B8165" s="27" t="s">
        <v>19005</v>
      </c>
      <c r="C8165" s="27" t="s">
        <v>19006</v>
      </c>
      <c r="D8165" s="27" t="s">
        <v>17</v>
      </c>
      <c r="E8165" s="27" t="s">
        <v>18</v>
      </c>
      <c r="F8165" s="27" t="s">
        <v>19</v>
      </c>
      <c r="G8165" s="27" t="s">
        <v>28</v>
      </c>
      <c r="H8165" s="29">
        <v>10</v>
      </c>
      <c r="I8165" s="27" t="s">
        <v>29</v>
      </c>
      <c r="J8165" s="37">
        <v>46011</v>
      </c>
      <c r="K8165" s="27" t="s">
        <v>22</v>
      </c>
    </row>
    <row r="8166" spans="1:11" x14ac:dyDescent="0.2">
      <c r="A8166" s="24" t="s">
        <v>19007</v>
      </c>
      <c r="B8166" s="24" t="s">
        <v>19008</v>
      </c>
      <c r="C8166" s="24" t="s">
        <v>827</v>
      </c>
      <c r="D8166" s="24" t="s">
        <v>17</v>
      </c>
      <c r="E8166" s="24" t="s">
        <v>18</v>
      </c>
      <c r="F8166" s="24" t="s">
        <v>19</v>
      </c>
      <c r="G8166" s="24" t="s">
        <v>217</v>
      </c>
      <c r="H8166" s="26">
        <v>108</v>
      </c>
      <c r="I8166" s="24" t="s">
        <v>29</v>
      </c>
      <c r="J8166" s="36">
        <v>45992</v>
      </c>
      <c r="K8166" s="24" t="s">
        <v>22</v>
      </c>
    </row>
    <row r="8167" spans="1:11" x14ac:dyDescent="0.2">
      <c r="A8167" s="27" t="s">
        <v>19009</v>
      </c>
      <c r="B8167" s="27" t="s">
        <v>19010</v>
      </c>
      <c r="C8167" s="27" t="s">
        <v>19011</v>
      </c>
      <c r="D8167" s="27" t="s">
        <v>17</v>
      </c>
      <c r="E8167" s="27" t="s">
        <v>81</v>
      </c>
      <c r="F8167" s="27" t="s">
        <v>82</v>
      </c>
      <c r="G8167" s="27" t="s">
        <v>28</v>
      </c>
      <c r="H8167" s="29">
        <v>30</v>
      </c>
      <c r="I8167" s="27" t="s">
        <v>29</v>
      </c>
      <c r="J8167" s="37">
        <v>45992</v>
      </c>
      <c r="K8167" s="27" t="s">
        <v>22</v>
      </c>
    </row>
    <row r="8168" spans="1:11" x14ac:dyDescent="0.2">
      <c r="A8168" s="24" t="s">
        <v>19012</v>
      </c>
      <c r="B8168" s="24" t="s">
        <v>19013</v>
      </c>
      <c r="C8168" s="24" t="s">
        <v>55</v>
      </c>
      <c r="D8168" s="24" t="s">
        <v>17</v>
      </c>
      <c r="E8168" s="24" t="s">
        <v>48</v>
      </c>
      <c r="F8168" s="24" t="s">
        <v>49</v>
      </c>
      <c r="G8168" s="24" t="s">
        <v>28</v>
      </c>
      <c r="H8168" s="26">
        <v>130</v>
      </c>
      <c r="I8168" s="24" t="s">
        <v>29</v>
      </c>
      <c r="J8168" s="36">
        <v>46010</v>
      </c>
      <c r="K8168" s="24" t="s">
        <v>22</v>
      </c>
    </row>
    <row r="8169" spans="1:11" x14ac:dyDescent="0.2">
      <c r="A8169" s="27" t="s">
        <v>19014</v>
      </c>
      <c r="B8169" s="27" t="s">
        <v>19015</v>
      </c>
      <c r="C8169" s="27" t="s">
        <v>19016</v>
      </c>
      <c r="D8169" s="27" t="s">
        <v>17</v>
      </c>
      <c r="E8169" s="27" t="s">
        <v>48</v>
      </c>
      <c r="F8169" s="27" t="s">
        <v>49</v>
      </c>
      <c r="G8169" s="27" t="s">
        <v>28</v>
      </c>
      <c r="H8169" s="29">
        <v>10</v>
      </c>
      <c r="I8169" s="27" t="s">
        <v>29</v>
      </c>
      <c r="J8169" s="37">
        <v>45993</v>
      </c>
      <c r="K8169" s="27" t="s">
        <v>22</v>
      </c>
    </row>
    <row r="8170" spans="1:11" x14ac:dyDescent="0.2">
      <c r="A8170" s="24" t="s">
        <v>19017</v>
      </c>
      <c r="B8170" s="24" t="s">
        <v>19018</v>
      </c>
      <c r="C8170" s="24" t="s">
        <v>18773</v>
      </c>
      <c r="D8170" s="24" t="s">
        <v>17</v>
      </c>
      <c r="E8170" s="24" t="s">
        <v>26</v>
      </c>
      <c r="F8170" s="24" t="s">
        <v>27</v>
      </c>
      <c r="G8170" s="24" t="s">
        <v>257</v>
      </c>
      <c r="H8170" s="26">
        <v>30</v>
      </c>
      <c r="I8170" s="24" t="s">
        <v>29</v>
      </c>
      <c r="J8170" s="36">
        <v>46022</v>
      </c>
      <c r="K8170" s="24" t="s">
        <v>22</v>
      </c>
    </row>
    <row r="8171" spans="1:11" x14ac:dyDescent="0.2">
      <c r="A8171" s="27" t="s">
        <v>19019</v>
      </c>
      <c r="B8171" s="27" t="s">
        <v>19020</v>
      </c>
      <c r="C8171" s="27" t="s">
        <v>19021</v>
      </c>
      <c r="D8171" s="27" t="s">
        <v>17</v>
      </c>
      <c r="E8171" s="27" t="s">
        <v>42</v>
      </c>
      <c r="F8171" s="27" t="s">
        <v>43</v>
      </c>
      <c r="G8171" s="27" t="s">
        <v>28</v>
      </c>
      <c r="H8171" s="29">
        <v>320</v>
      </c>
      <c r="I8171" s="27" t="s">
        <v>29</v>
      </c>
      <c r="J8171" s="37">
        <v>46006</v>
      </c>
      <c r="K8171" s="27" t="s">
        <v>22</v>
      </c>
    </row>
    <row r="8172" spans="1:11" x14ac:dyDescent="0.2">
      <c r="A8172" s="24" t="s">
        <v>19022</v>
      </c>
      <c r="B8172" s="24" t="s">
        <v>19023</v>
      </c>
      <c r="C8172" s="24" t="s">
        <v>7864</v>
      </c>
      <c r="D8172" s="24" t="s">
        <v>17</v>
      </c>
      <c r="E8172" s="24" t="s">
        <v>18</v>
      </c>
      <c r="F8172" s="24" t="s">
        <v>19</v>
      </c>
      <c r="G8172" s="24" t="s">
        <v>28</v>
      </c>
      <c r="H8172" s="26">
        <v>60</v>
      </c>
      <c r="I8172" s="24" t="s">
        <v>29</v>
      </c>
      <c r="J8172" s="36">
        <v>45996</v>
      </c>
      <c r="K8172" s="24" t="s">
        <v>22</v>
      </c>
    </row>
    <row r="8173" spans="1:11" x14ac:dyDescent="0.2">
      <c r="A8173" s="27" t="s">
        <v>19024</v>
      </c>
      <c r="B8173" s="27" t="s">
        <v>19025</v>
      </c>
      <c r="C8173" s="27" t="s">
        <v>7191</v>
      </c>
      <c r="D8173" s="27" t="s">
        <v>17</v>
      </c>
      <c r="E8173" s="27" t="s">
        <v>18</v>
      </c>
      <c r="F8173" s="27" t="s">
        <v>19</v>
      </c>
      <c r="G8173" s="27" t="s">
        <v>217</v>
      </c>
      <c r="H8173" s="29">
        <v>48</v>
      </c>
      <c r="I8173" s="27" t="s">
        <v>29</v>
      </c>
      <c r="J8173" s="37">
        <v>46022</v>
      </c>
      <c r="K8173" s="27" t="s">
        <v>22</v>
      </c>
    </row>
    <row r="8174" spans="1:11" x14ac:dyDescent="0.2">
      <c r="A8174" s="24" t="s">
        <v>19026</v>
      </c>
      <c r="B8174" s="24" t="s">
        <v>19027</v>
      </c>
      <c r="C8174" s="24" t="s">
        <v>3208</v>
      </c>
      <c r="D8174" s="24" t="s">
        <v>17</v>
      </c>
      <c r="E8174" s="24" t="s">
        <v>42</v>
      </c>
      <c r="F8174" s="24" t="s">
        <v>43</v>
      </c>
      <c r="G8174" s="24" t="s">
        <v>28</v>
      </c>
      <c r="H8174" s="26">
        <v>3500</v>
      </c>
      <c r="I8174" s="24" t="s">
        <v>29</v>
      </c>
      <c r="J8174" s="36">
        <v>46020</v>
      </c>
      <c r="K8174" s="24" t="s">
        <v>22</v>
      </c>
    </row>
    <row r="8175" spans="1:11" x14ac:dyDescent="0.2">
      <c r="A8175" s="27" t="s">
        <v>19028</v>
      </c>
      <c r="B8175" s="27" t="s">
        <v>19029</v>
      </c>
      <c r="C8175" s="27" t="s">
        <v>19030</v>
      </c>
      <c r="D8175" s="27" t="s">
        <v>17</v>
      </c>
      <c r="E8175" s="27" t="s">
        <v>42</v>
      </c>
      <c r="F8175" s="27" t="s">
        <v>43</v>
      </c>
      <c r="G8175" s="27" t="s">
        <v>28</v>
      </c>
      <c r="H8175" s="29">
        <v>180</v>
      </c>
      <c r="I8175" s="27" t="s">
        <v>29</v>
      </c>
      <c r="J8175" s="37">
        <v>46020</v>
      </c>
      <c r="K8175" s="27" t="s">
        <v>22</v>
      </c>
    </row>
    <row r="8176" spans="1:11" x14ac:dyDescent="0.2">
      <c r="A8176" s="24" t="s">
        <v>19031</v>
      </c>
      <c r="B8176" s="24" t="s">
        <v>19032</v>
      </c>
      <c r="C8176" s="24" t="s">
        <v>1663</v>
      </c>
      <c r="D8176" s="24" t="s">
        <v>17</v>
      </c>
      <c r="E8176" s="24" t="s">
        <v>163</v>
      </c>
      <c r="F8176" s="24" t="s">
        <v>164</v>
      </c>
      <c r="G8176" s="24" t="s">
        <v>28</v>
      </c>
      <c r="H8176" s="26">
        <v>254</v>
      </c>
      <c r="I8176" s="24" t="s">
        <v>29</v>
      </c>
      <c r="J8176" s="36">
        <v>46020</v>
      </c>
      <c r="K8176" s="24" t="s">
        <v>22</v>
      </c>
    </row>
    <row r="8177" spans="1:11" x14ac:dyDescent="0.2">
      <c r="A8177" s="27" t="s">
        <v>19033</v>
      </c>
      <c r="B8177" s="27" t="s">
        <v>19034</v>
      </c>
      <c r="C8177" s="27" t="s">
        <v>526</v>
      </c>
      <c r="D8177" s="27" t="s">
        <v>17</v>
      </c>
      <c r="E8177" s="27" t="s">
        <v>42</v>
      </c>
      <c r="F8177" s="27" t="s">
        <v>43</v>
      </c>
      <c r="G8177" s="27" t="s">
        <v>28</v>
      </c>
      <c r="H8177" s="29">
        <v>7140</v>
      </c>
      <c r="I8177" s="27" t="s">
        <v>29</v>
      </c>
      <c r="J8177" s="37">
        <v>45992</v>
      </c>
      <c r="K8177" s="27" t="s">
        <v>22</v>
      </c>
    </row>
    <row r="8178" spans="1:11" x14ac:dyDescent="0.2">
      <c r="A8178" s="24" t="s">
        <v>19035</v>
      </c>
      <c r="B8178" s="24" t="s">
        <v>19036</v>
      </c>
      <c r="C8178" s="24" t="s">
        <v>19037</v>
      </c>
      <c r="D8178" s="24" t="s">
        <v>17</v>
      </c>
      <c r="E8178" s="24" t="s">
        <v>18</v>
      </c>
      <c r="F8178" s="24" t="s">
        <v>19</v>
      </c>
      <c r="G8178" s="24" t="s">
        <v>28</v>
      </c>
      <c r="H8178" s="26">
        <v>18</v>
      </c>
      <c r="I8178" s="24" t="s">
        <v>29</v>
      </c>
      <c r="J8178" s="36">
        <v>46009</v>
      </c>
      <c r="K8178" s="24" t="s">
        <v>22</v>
      </c>
    </row>
    <row r="8179" spans="1:11" x14ac:dyDescent="0.2">
      <c r="A8179" s="27" t="s">
        <v>19038</v>
      </c>
      <c r="B8179" s="27" t="s">
        <v>19039</v>
      </c>
      <c r="C8179" s="27" t="s">
        <v>2048</v>
      </c>
      <c r="D8179" s="27" t="s">
        <v>17</v>
      </c>
      <c r="E8179" s="27" t="s">
        <v>42</v>
      </c>
      <c r="F8179" s="27" t="s">
        <v>43</v>
      </c>
      <c r="G8179" s="27" t="s">
        <v>217</v>
      </c>
      <c r="H8179" s="29">
        <v>472</v>
      </c>
      <c r="I8179" s="27" t="s">
        <v>29</v>
      </c>
      <c r="J8179" s="37">
        <v>46022</v>
      </c>
      <c r="K8179" s="27" t="s">
        <v>22</v>
      </c>
    </row>
    <row r="8180" spans="1:11" x14ac:dyDescent="0.2">
      <c r="A8180" s="24" t="s">
        <v>19040</v>
      </c>
      <c r="B8180" s="24" t="s">
        <v>19041</v>
      </c>
      <c r="C8180" s="24" t="s">
        <v>4714</v>
      </c>
      <c r="D8180" s="24" t="s">
        <v>17</v>
      </c>
      <c r="E8180" s="24" t="s">
        <v>48</v>
      </c>
      <c r="F8180" s="24" t="s">
        <v>49</v>
      </c>
      <c r="G8180" s="24" t="s">
        <v>28</v>
      </c>
      <c r="H8180" s="26">
        <v>40</v>
      </c>
      <c r="I8180" s="24" t="s">
        <v>29</v>
      </c>
      <c r="J8180" s="36">
        <v>46009</v>
      </c>
      <c r="K8180" s="24" t="s">
        <v>22</v>
      </c>
    </row>
    <row r="8181" spans="1:11" x14ac:dyDescent="0.2">
      <c r="A8181" s="27" t="s">
        <v>19042</v>
      </c>
      <c r="B8181" s="27" t="s">
        <v>19043</v>
      </c>
      <c r="C8181" s="27" t="s">
        <v>19044</v>
      </c>
      <c r="D8181" s="27" t="s">
        <v>17</v>
      </c>
      <c r="E8181" s="27" t="s">
        <v>48</v>
      </c>
      <c r="F8181" s="27" t="s">
        <v>49</v>
      </c>
      <c r="G8181" s="27" t="s">
        <v>217</v>
      </c>
      <c r="H8181" s="29">
        <v>62</v>
      </c>
      <c r="I8181" s="27" t="s">
        <v>29</v>
      </c>
      <c r="J8181" s="37">
        <v>45992</v>
      </c>
      <c r="K8181" s="27" t="s">
        <v>22</v>
      </c>
    </row>
    <row r="8182" spans="1:11" x14ac:dyDescent="0.2">
      <c r="A8182" s="24" t="s">
        <v>19045</v>
      </c>
      <c r="B8182" s="24" t="s">
        <v>19046</v>
      </c>
      <c r="C8182" s="24" t="s">
        <v>19047</v>
      </c>
      <c r="D8182" s="24" t="s">
        <v>17</v>
      </c>
      <c r="E8182" s="24" t="s">
        <v>81</v>
      </c>
      <c r="F8182" s="24" t="s">
        <v>82</v>
      </c>
      <c r="G8182" s="24" t="s">
        <v>28</v>
      </c>
      <c r="H8182" s="26">
        <v>146</v>
      </c>
      <c r="I8182" s="24" t="s">
        <v>29</v>
      </c>
      <c r="J8182" s="36">
        <v>46002</v>
      </c>
      <c r="K8182" s="24" t="s">
        <v>22</v>
      </c>
    </row>
    <row r="8183" spans="1:11" x14ac:dyDescent="0.2">
      <c r="A8183" s="27" t="s">
        <v>19048</v>
      </c>
      <c r="B8183" s="27" t="s">
        <v>19049</v>
      </c>
      <c r="C8183" s="27" t="s">
        <v>146</v>
      </c>
      <c r="D8183" s="27" t="s">
        <v>17</v>
      </c>
      <c r="E8183" s="27" t="s">
        <v>42</v>
      </c>
      <c r="F8183" s="27" t="s">
        <v>43</v>
      </c>
      <c r="G8183" s="27" t="s">
        <v>28</v>
      </c>
      <c r="H8183" s="29">
        <v>1250</v>
      </c>
      <c r="I8183" s="27" t="s">
        <v>29</v>
      </c>
      <c r="J8183" s="37">
        <v>46003</v>
      </c>
      <c r="K8183" s="27" t="s">
        <v>22</v>
      </c>
    </row>
    <row r="8184" spans="1:11" x14ac:dyDescent="0.2">
      <c r="A8184" s="24" t="s">
        <v>19050</v>
      </c>
      <c r="B8184" s="24" t="s">
        <v>19051</v>
      </c>
      <c r="C8184" s="24" t="s">
        <v>9855</v>
      </c>
      <c r="D8184" s="24" t="s">
        <v>17</v>
      </c>
      <c r="E8184" s="24" t="s">
        <v>18</v>
      </c>
      <c r="F8184" s="24" t="s">
        <v>19</v>
      </c>
      <c r="G8184" s="24" t="s">
        <v>28</v>
      </c>
      <c r="H8184" s="26">
        <v>16</v>
      </c>
      <c r="I8184" s="24" t="s">
        <v>29</v>
      </c>
      <c r="J8184" s="36">
        <v>46016</v>
      </c>
      <c r="K8184" s="24" t="s">
        <v>22</v>
      </c>
    </row>
    <row r="8185" spans="1:11" x14ac:dyDescent="0.2">
      <c r="A8185" s="27" t="s">
        <v>19052</v>
      </c>
      <c r="B8185" s="27" t="s">
        <v>19053</v>
      </c>
      <c r="C8185" s="27" t="s">
        <v>702</v>
      </c>
      <c r="D8185" s="27" t="s">
        <v>17</v>
      </c>
      <c r="E8185" s="27" t="s">
        <v>18</v>
      </c>
      <c r="F8185" s="27" t="s">
        <v>19</v>
      </c>
      <c r="G8185" s="27" t="s">
        <v>28</v>
      </c>
      <c r="H8185" s="29">
        <v>18</v>
      </c>
      <c r="I8185" s="27" t="s">
        <v>29</v>
      </c>
      <c r="J8185" s="37">
        <v>46018</v>
      </c>
      <c r="K8185" s="27" t="s">
        <v>22</v>
      </c>
    </row>
    <row r="8186" spans="1:11" x14ac:dyDescent="0.2">
      <c r="A8186" s="24" t="s">
        <v>19054</v>
      </c>
      <c r="B8186" s="24" t="s">
        <v>19055</v>
      </c>
      <c r="C8186" s="24" t="s">
        <v>266</v>
      </c>
      <c r="D8186" s="24" t="s">
        <v>17</v>
      </c>
      <c r="E8186" s="24" t="s">
        <v>18</v>
      </c>
      <c r="F8186" s="24" t="s">
        <v>19</v>
      </c>
      <c r="G8186" s="24" t="s">
        <v>28</v>
      </c>
      <c r="H8186" s="26">
        <v>40</v>
      </c>
      <c r="I8186" s="24" t="s">
        <v>29</v>
      </c>
      <c r="J8186" s="36">
        <v>46005</v>
      </c>
      <c r="K8186" s="24" t="s">
        <v>22</v>
      </c>
    </row>
    <row r="8187" spans="1:11" x14ac:dyDescent="0.2">
      <c r="A8187" s="27" t="s">
        <v>19056</v>
      </c>
      <c r="B8187" s="27" t="s">
        <v>19057</v>
      </c>
      <c r="C8187" s="27" t="s">
        <v>2550</v>
      </c>
      <c r="D8187" s="27" t="s">
        <v>17</v>
      </c>
      <c r="E8187" s="27" t="s">
        <v>18</v>
      </c>
      <c r="F8187" s="27" t="s">
        <v>19</v>
      </c>
      <c r="G8187" s="27" t="s">
        <v>217</v>
      </c>
      <c r="H8187" s="29">
        <v>24</v>
      </c>
      <c r="I8187" s="27" t="s">
        <v>29</v>
      </c>
      <c r="J8187" s="37">
        <v>45992</v>
      </c>
      <c r="K8187" s="27" t="s">
        <v>22</v>
      </c>
    </row>
    <row r="8188" spans="1:11" x14ac:dyDescent="0.2">
      <c r="A8188" s="24" t="s">
        <v>19058</v>
      </c>
      <c r="B8188" s="24" t="s">
        <v>19059</v>
      </c>
      <c r="C8188" s="24" t="s">
        <v>687</v>
      </c>
      <c r="D8188" s="24" t="s">
        <v>17</v>
      </c>
      <c r="E8188" s="24" t="s">
        <v>18</v>
      </c>
      <c r="F8188" s="24" t="s">
        <v>19</v>
      </c>
      <c r="G8188" s="24" t="s">
        <v>28</v>
      </c>
      <c r="H8188" s="26">
        <v>36</v>
      </c>
      <c r="I8188" s="24" t="s">
        <v>29</v>
      </c>
      <c r="J8188" s="36">
        <v>46006</v>
      </c>
      <c r="K8188" s="24" t="s">
        <v>22</v>
      </c>
    </row>
    <row r="8189" spans="1:11" x14ac:dyDescent="0.2">
      <c r="A8189" s="27" t="s">
        <v>19060</v>
      </c>
      <c r="B8189" s="27" t="s">
        <v>19061</v>
      </c>
      <c r="C8189" s="27" t="s">
        <v>9361</v>
      </c>
      <c r="D8189" s="27" t="s">
        <v>17</v>
      </c>
      <c r="E8189" s="27" t="s">
        <v>48</v>
      </c>
      <c r="F8189" s="27" t="s">
        <v>49</v>
      </c>
      <c r="G8189" s="27" t="s">
        <v>28</v>
      </c>
      <c r="H8189" s="29">
        <v>20</v>
      </c>
      <c r="I8189" s="27" t="s">
        <v>29</v>
      </c>
      <c r="J8189" s="37">
        <v>45994</v>
      </c>
      <c r="K8189" s="27" t="s">
        <v>22</v>
      </c>
    </row>
    <row r="8190" spans="1:11" x14ac:dyDescent="0.2">
      <c r="A8190" s="24" t="s">
        <v>19062</v>
      </c>
      <c r="B8190" s="24" t="s">
        <v>19063</v>
      </c>
      <c r="C8190" s="24" t="s">
        <v>19064</v>
      </c>
      <c r="D8190" s="24" t="s">
        <v>17</v>
      </c>
      <c r="E8190" s="24" t="s">
        <v>18</v>
      </c>
      <c r="F8190" s="24" t="s">
        <v>19</v>
      </c>
      <c r="G8190" s="24" t="s">
        <v>28</v>
      </c>
      <c r="H8190" s="26">
        <v>44</v>
      </c>
      <c r="I8190" s="24" t="s">
        <v>29</v>
      </c>
      <c r="J8190" s="36">
        <v>46002</v>
      </c>
      <c r="K8190" s="24" t="s">
        <v>22</v>
      </c>
    </row>
    <row r="8191" spans="1:11" x14ac:dyDescent="0.2">
      <c r="A8191" s="27" t="s">
        <v>19065</v>
      </c>
      <c r="B8191" s="27" t="s">
        <v>19066</v>
      </c>
      <c r="C8191" s="27" t="s">
        <v>85</v>
      </c>
      <c r="D8191" s="27" t="s">
        <v>17</v>
      </c>
      <c r="E8191" s="27" t="s">
        <v>18</v>
      </c>
      <c r="F8191" s="27" t="s">
        <v>19</v>
      </c>
      <c r="G8191" s="27" t="s">
        <v>28</v>
      </c>
      <c r="H8191" s="29">
        <v>66</v>
      </c>
      <c r="I8191" s="27" t="s">
        <v>29</v>
      </c>
      <c r="J8191" s="37">
        <v>46008</v>
      </c>
      <c r="K8191" s="27" t="s">
        <v>22</v>
      </c>
    </row>
    <row r="8192" spans="1:11" x14ac:dyDescent="0.2">
      <c r="A8192" s="24" t="s">
        <v>19067</v>
      </c>
      <c r="B8192" s="24" t="s">
        <v>19068</v>
      </c>
      <c r="C8192" s="24" t="s">
        <v>1053</v>
      </c>
      <c r="D8192" s="24" t="s">
        <v>17</v>
      </c>
      <c r="E8192" s="24" t="s">
        <v>18</v>
      </c>
      <c r="F8192" s="24" t="s">
        <v>19</v>
      </c>
      <c r="G8192" s="24" t="s">
        <v>28</v>
      </c>
      <c r="H8192" s="26">
        <v>42</v>
      </c>
      <c r="I8192" s="24" t="s">
        <v>29</v>
      </c>
      <c r="J8192" s="36">
        <v>46006</v>
      </c>
      <c r="K8192" s="24" t="s">
        <v>22</v>
      </c>
    </row>
    <row r="8193" spans="1:11" x14ac:dyDescent="0.2">
      <c r="A8193" s="27" t="s">
        <v>19069</v>
      </c>
      <c r="B8193" s="27" t="s">
        <v>19070</v>
      </c>
      <c r="C8193" s="27" t="s">
        <v>19071</v>
      </c>
      <c r="D8193" s="27" t="s">
        <v>17</v>
      </c>
      <c r="E8193" s="27" t="s">
        <v>18</v>
      </c>
      <c r="F8193" s="27" t="s">
        <v>19</v>
      </c>
      <c r="G8193" s="27" t="s">
        <v>217</v>
      </c>
      <c r="H8193" s="29">
        <v>20</v>
      </c>
      <c r="I8193" s="27" t="s">
        <v>29</v>
      </c>
      <c r="J8193" s="37">
        <v>45992</v>
      </c>
      <c r="K8193" s="27" t="s">
        <v>22</v>
      </c>
    </row>
    <row r="8194" spans="1:11" x14ac:dyDescent="0.2">
      <c r="A8194" s="24" t="s">
        <v>19072</v>
      </c>
      <c r="B8194" s="24" t="s">
        <v>19073</v>
      </c>
      <c r="C8194" s="24" t="s">
        <v>1050</v>
      </c>
      <c r="D8194" s="24" t="s">
        <v>17</v>
      </c>
      <c r="E8194" s="24" t="s">
        <v>48</v>
      </c>
      <c r="F8194" s="24" t="s">
        <v>49</v>
      </c>
      <c r="G8194" s="24" t="s">
        <v>28</v>
      </c>
      <c r="H8194" s="26">
        <v>318</v>
      </c>
      <c r="I8194" s="24" t="s">
        <v>29</v>
      </c>
      <c r="J8194" s="36">
        <v>46009</v>
      </c>
      <c r="K8194" s="24" t="s">
        <v>22</v>
      </c>
    </row>
    <row r="8195" spans="1:11" x14ac:dyDescent="0.2">
      <c r="A8195" s="27" t="s">
        <v>19074</v>
      </c>
      <c r="B8195" s="27" t="s">
        <v>19075</v>
      </c>
      <c r="C8195" s="27" t="s">
        <v>8382</v>
      </c>
      <c r="D8195" s="27" t="s">
        <v>17</v>
      </c>
      <c r="E8195" s="27" t="s">
        <v>18</v>
      </c>
      <c r="F8195" s="27" t="s">
        <v>19</v>
      </c>
      <c r="G8195" s="27" t="s">
        <v>217</v>
      </c>
      <c r="H8195" s="29">
        <v>24</v>
      </c>
      <c r="I8195" s="27" t="s">
        <v>29</v>
      </c>
      <c r="J8195" s="37">
        <v>46022</v>
      </c>
      <c r="K8195" s="27" t="s">
        <v>22</v>
      </c>
    </row>
    <row r="8196" spans="1:11" x14ac:dyDescent="0.2">
      <c r="A8196" s="24" t="s">
        <v>19076</v>
      </c>
      <c r="B8196" s="24" t="s">
        <v>19077</v>
      </c>
      <c r="C8196" s="24" t="s">
        <v>55</v>
      </c>
      <c r="D8196" s="24" t="s">
        <v>17</v>
      </c>
      <c r="E8196" s="24" t="s">
        <v>48</v>
      </c>
      <c r="F8196" s="24" t="s">
        <v>49</v>
      </c>
      <c r="G8196" s="24" t="s">
        <v>28</v>
      </c>
      <c r="H8196" s="26">
        <v>180</v>
      </c>
      <c r="I8196" s="24" t="s">
        <v>29</v>
      </c>
      <c r="J8196" s="36">
        <v>46003</v>
      </c>
      <c r="K8196" s="24" t="s">
        <v>22</v>
      </c>
    </row>
    <row r="8197" spans="1:11" x14ac:dyDescent="0.2">
      <c r="A8197" s="27" t="s">
        <v>19078</v>
      </c>
      <c r="B8197" s="27" t="s">
        <v>19079</v>
      </c>
      <c r="C8197" s="27" t="s">
        <v>6457</v>
      </c>
      <c r="D8197" s="27" t="s">
        <v>17</v>
      </c>
      <c r="E8197" s="27" t="s">
        <v>48</v>
      </c>
      <c r="F8197" s="27" t="s">
        <v>49</v>
      </c>
      <c r="G8197" s="27" t="s">
        <v>28</v>
      </c>
      <c r="H8197" s="29">
        <v>70</v>
      </c>
      <c r="I8197" s="27" t="s">
        <v>29</v>
      </c>
      <c r="J8197" s="37">
        <v>46009</v>
      </c>
      <c r="K8197" s="27" t="s">
        <v>22</v>
      </c>
    </row>
    <row r="8198" spans="1:11" x14ac:dyDescent="0.2">
      <c r="A8198" s="24" t="s">
        <v>19080</v>
      </c>
      <c r="B8198" s="24" t="s">
        <v>19081</v>
      </c>
      <c r="C8198" s="24" t="s">
        <v>11216</v>
      </c>
      <c r="D8198" s="24" t="s">
        <v>17</v>
      </c>
      <c r="E8198" s="24" t="s">
        <v>18</v>
      </c>
      <c r="F8198" s="24" t="s">
        <v>19</v>
      </c>
      <c r="G8198" s="24" t="s">
        <v>28</v>
      </c>
      <c r="H8198" s="26">
        <v>30</v>
      </c>
      <c r="I8198" s="24" t="s">
        <v>29</v>
      </c>
      <c r="J8198" s="36">
        <v>46001</v>
      </c>
      <c r="K8198" s="24" t="s">
        <v>22</v>
      </c>
    </row>
    <row r="8199" spans="1:11" x14ac:dyDescent="0.2">
      <c r="A8199" s="27" t="s">
        <v>19082</v>
      </c>
      <c r="B8199" s="27" t="s">
        <v>19083</v>
      </c>
      <c r="C8199" s="27" t="s">
        <v>19084</v>
      </c>
      <c r="D8199" s="27" t="s">
        <v>17</v>
      </c>
      <c r="E8199" s="27" t="s">
        <v>48</v>
      </c>
      <c r="F8199" s="27" t="s">
        <v>49</v>
      </c>
      <c r="G8199" s="27" t="s">
        <v>217</v>
      </c>
      <c r="H8199" s="29">
        <v>36</v>
      </c>
      <c r="I8199" s="27" t="s">
        <v>29</v>
      </c>
      <c r="J8199" s="37">
        <v>45992</v>
      </c>
      <c r="K8199" s="27" t="s">
        <v>22</v>
      </c>
    </row>
    <row r="8200" spans="1:11" x14ac:dyDescent="0.2">
      <c r="A8200" s="24" t="s">
        <v>19085</v>
      </c>
      <c r="B8200" s="24" t="s">
        <v>19086</v>
      </c>
      <c r="C8200" s="24" t="s">
        <v>19087</v>
      </c>
      <c r="D8200" s="24" t="s">
        <v>17</v>
      </c>
      <c r="E8200" s="24" t="s">
        <v>18</v>
      </c>
      <c r="F8200" s="24" t="s">
        <v>19</v>
      </c>
      <c r="G8200" s="24" t="s">
        <v>217</v>
      </c>
      <c r="H8200" s="26">
        <v>20</v>
      </c>
      <c r="I8200" s="24" t="s">
        <v>29</v>
      </c>
      <c r="J8200" s="36">
        <v>46011</v>
      </c>
      <c r="K8200" s="24" t="s">
        <v>22</v>
      </c>
    </row>
    <row r="8201" spans="1:11" x14ac:dyDescent="0.2">
      <c r="A8201" s="27" t="s">
        <v>19088</v>
      </c>
      <c r="B8201" s="27" t="s">
        <v>19089</v>
      </c>
      <c r="C8201" s="27" t="s">
        <v>19090</v>
      </c>
      <c r="D8201" s="27" t="s">
        <v>17</v>
      </c>
      <c r="E8201" s="27" t="s">
        <v>18</v>
      </c>
      <c r="F8201" s="27" t="s">
        <v>19</v>
      </c>
      <c r="G8201" s="27" t="s">
        <v>28</v>
      </c>
      <c r="H8201" s="29">
        <v>30</v>
      </c>
      <c r="I8201" s="27" t="s">
        <v>29</v>
      </c>
      <c r="J8201" s="37">
        <v>46010</v>
      </c>
      <c r="K8201" s="27" t="s">
        <v>22</v>
      </c>
    </row>
    <row r="8202" spans="1:11" x14ac:dyDescent="0.2">
      <c r="A8202" s="24" t="s">
        <v>19091</v>
      </c>
      <c r="B8202" s="24" t="s">
        <v>19092</v>
      </c>
      <c r="C8202" s="24" t="s">
        <v>194</v>
      </c>
      <c r="D8202" s="24" t="s">
        <v>17</v>
      </c>
      <c r="E8202" s="24" t="s">
        <v>18</v>
      </c>
      <c r="F8202" s="24" t="s">
        <v>19</v>
      </c>
      <c r="G8202" s="24" t="s">
        <v>28</v>
      </c>
      <c r="H8202" s="26">
        <v>16</v>
      </c>
      <c r="I8202" s="24" t="s">
        <v>29</v>
      </c>
      <c r="J8202" s="36">
        <v>46001</v>
      </c>
      <c r="K8202" s="24" t="s">
        <v>22</v>
      </c>
    </row>
    <row r="8203" spans="1:11" x14ac:dyDescent="0.2">
      <c r="A8203" s="27" t="s">
        <v>19093</v>
      </c>
      <c r="B8203" s="27" t="s">
        <v>19094</v>
      </c>
      <c r="C8203" s="27" t="s">
        <v>551</v>
      </c>
      <c r="D8203" s="27" t="s">
        <v>17</v>
      </c>
      <c r="E8203" s="27" t="s">
        <v>18</v>
      </c>
      <c r="F8203" s="27" t="s">
        <v>19</v>
      </c>
      <c r="G8203" s="27" t="s">
        <v>28</v>
      </c>
      <c r="H8203" s="29">
        <v>36</v>
      </c>
      <c r="I8203" s="27" t="s">
        <v>29</v>
      </c>
      <c r="J8203" s="37">
        <v>45995</v>
      </c>
      <c r="K8203" s="27" t="s">
        <v>22</v>
      </c>
    </row>
    <row r="8204" spans="1:11" x14ac:dyDescent="0.2">
      <c r="A8204" s="24" t="s">
        <v>19095</v>
      </c>
      <c r="B8204" s="24" t="s">
        <v>19096</v>
      </c>
      <c r="C8204" s="24" t="s">
        <v>19097</v>
      </c>
      <c r="D8204" s="24" t="s">
        <v>17</v>
      </c>
      <c r="E8204" s="24" t="s">
        <v>18</v>
      </c>
      <c r="F8204" s="24" t="s">
        <v>19</v>
      </c>
      <c r="G8204" s="24" t="s">
        <v>217</v>
      </c>
      <c r="H8204" s="26">
        <v>24</v>
      </c>
      <c r="I8204" s="24" t="s">
        <v>29</v>
      </c>
      <c r="J8204" s="36">
        <v>45992</v>
      </c>
      <c r="K8204" s="24" t="s">
        <v>22</v>
      </c>
    </row>
    <row r="8205" spans="1:11" x14ac:dyDescent="0.2">
      <c r="A8205" s="27" t="s">
        <v>19098</v>
      </c>
      <c r="B8205" s="27" t="s">
        <v>19099</v>
      </c>
      <c r="C8205" s="27" t="s">
        <v>85</v>
      </c>
      <c r="D8205" s="27" t="s">
        <v>17</v>
      </c>
      <c r="E8205" s="27" t="s">
        <v>48</v>
      </c>
      <c r="F8205" s="27" t="s">
        <v>49</v>
      </c>
      <c r="G8205" s="27" t="s">
        <v>28</v>
      </c>
      <c r="H8205" s="29">
        <v>195</v>
      </c>
      <c r="I8205" s="27" t="s">
        <v>29</v>
      </c>
      <c r="J8205" s="37">
        <v>46009</v>
      </c>
      <c r="K8205" s="27" t="s">
        <v>22</v>
      </c>
    </row>
    <row r="8206" spans="1:11" x14ac:dyDescent="0.2">
      <c r="A8206" s="24" t="s">
        <v>19100</v>
      </c>
      <c r="B8206" s="24" t="s">
        <v>19101</v>
      </c>
      <c r="C8206" s="24" t="s">
        <v>548</v>
      </c>
      <c r="D8206" s="24" t="s">
        <v>17</v>
      </c>
      <c r="E8206" s="24" t="s">
        <v>18</v>
      </c>
      <c r="F8206" s="24" t="s">
        <v>19</v>
      </c>
      <c r="G8206" s="24" t="s">
        <v>217</v>
      </c>
      <c r="H8206" s="26">
        <v>20</v>
      </c>
      <c r="I8206" s="24" t="s">
        <v>29</v>
      </c>
      <c r="J8206" s="36">
        <v>46006</v>
      </c>
      <c r="K8206" s="24" t="s">
        <v>22</v>
      </c>
    </row>
    <row r="8207" spans="1:11" x14ac:dyDescent="0.2">
      <c r="A8207" s="27" t="s">
        <v>19102</v>
      </c>
      <c r="B8207" s="27" t="s">
        <v>19103</v>
      </c>
      <c r="C8207" s="27" t="s">
        <v>16932</v>
      </c>
      <c r="D8207" s="27" t="s">
        <v>17</v>
      </c>
      <c r="E8207" s="27" t="s">
        <v>18</v>
      </c>
      <c r="F8207" s="27" t="s">
        <v>19</v>
      </c>
      <c r="G8207" s="27" t="s">
        <v>28</v>
      </c>
      <c r="H8207" s="29">
        <v>90</v>
      </c>
      <c r="I8207" s="27" t="s">
        <v>29</v>
      </c>
      <c r="J8207" s="37">
        <v>46006</v>
      </c>
      <c r="K8207" s="27" t="s">
        <v>22</v>
      </c>
    </row>
    <row r="8208" spans="1:11" x14ac:dyDescent="0.2">
      <c r="A8208" s="24" t="s">
        <v>19104</v>
      </c>
      <c r="B8208" s="24" t="s">
        <v>19105</v>
      </c>
      <c r="C8208" s="24" t="s">
        <v>11607</v>
      </c>
      <c r="D8208" s="24" t="s">
        <v>17</v>
      </c>
      <c r="E8208" s="24" t="s">
        <v>18</v>
      </c>
      <c r="F8208" s="24" t="s">
        <v>19</v>
      </c>
      <c r="G8208" s="24" t="s">
        <v>217</v>
      </c>
      <c r="H8208" s="26">
        <v>12</v>
      </c>
      <c r="I8208" s="24" t="s">
        <v>29</v>
      </c>
      <c r="J8208" s="36">
        <v>46018</v>
      </c>
      <c r="K8208" s="24" t="s">
        <v>22</v>
      </c>
    </row>
    <row r="8209" spans="1:11" x14ac:dyDescent="0.2">
      <c r="A8209" s="27" t="s">
        <v>19106</v>
      </c>
      <c r="B8209" s="27" t="s">
        <v>19107</v>
      </c>
      <c r="C8209" s="27" t="s">
        <v>13582</v>
      </c>
      <c r="D8209" s="27" t="s">
        <v>17</v>
      </c>
      <c r="E8209" s="27" t="s">
        <v>18</v>
      </c>
      <c r="F8209" s="27" t="s">
        <v>19</v>
      </c>
      <c r="G8209" s="27" t="s">
        <v>217</v>
      </c>
      <c r="H8209" s="29">
        <v>26</v>
      </c>
      <c r="I8209" s="27" t="s">
        <v>29</v>
      </c>
      <c r="J8209" s="37">
        <v>45992</v>
      </c>
      <c r="K8209" s="27" t="s">
        <v>22</v>
      </c>
    </row>
    <row r="8210" spans="1:11" x14ac:dyDescent="0.2">
      <c r="A8210" s="24" t="s">
        <v>19108</v>
      </c>
      <c r="B8210" s="24" t="s">
        <v>19109</v>
      </c>
      <c r="C8210" s="24" t="s">
        <v>3141</v>
      </c>
      <c r="D8210" s="24" t="s">
        <v>17</v>
      </c>
      <c r="E8210" s="24" t="s">
        <v>163</v>
      </c>
      <c r="F8210" s="24" t="s">
        <v>164</v>
      </c>
      <c r="G8210" s="24" t="s">
        <v>28</v>
      </c>
      <c r="H8210" s="26">
        <v>36</v>
      </c>
      <c r="I8210" s="24" t="s">
        <v>29</v>
      </c>
      <c r="J8210" s="36">
        <v>45992</v>
      </c>
      <c r="K8210" s="24" t="s">
        <v>22</v>
      </c>
    </row>
    <row r="8211" spans="1:11" x14ac:dyDescent="0.2">
      <c r="A8211" s="27" t="s">
        <v>19110</v>
      </c>
      <c r="B8211" s="27" t="s">
        <v>19111</v>
      </c>
      <c r="C8211" s="27" t="s">
        <v>8768</v>
      </c>
      <c r="D8211" s="27" t="s">
        <v>17</v>
      </c>
      <c r="E8211" s="27" t="s">
        <v>42</v>
      </c>
      <c r="F8211" s="27" t="s">
        <v>43</v>
      </c>
      <c r="G8211" s="27" t="s">
        <v>227</v>
      </c>
      <c r="H8211" s="29">
        <v>35</v>
      </c>
      <c r="I8211" s="27" t="s">
        <v>29</v>
      </c>
      <c r="J8211" s="37">
        <v>46002</v>
      </c>
      <c r="K8211" s="27" t="s">
        <v>22</v>
      </c>
    </row>
    <row r="8212" spans="1:11" x14ac:dyDescent="0.2">
      <c r="A8212" s="24" t="s">
        <v>19112</v>
      </c>
      <c r="B8212" s="24" t="s">
        <v>19113</v>
      </c>
      <c r="C8212" s="24" t="s">
        <v>19114</v>
      </c>
      <c r="D8212" s="24" t="s">
        <v>17</v>
      </c>
      <c r="E8212" s="24" t="s">
        <v>48</v>
      </c>
      <c r="F8212" s="24" t="s">
        <v>49</v>
      </c>
      <c r="G8212" s="24" t="s">
        <v>28</v>
      </c>
      <c r="H8212" s="26">
        <v>110</v>
      </c>
      <c r="I8212" s="24" t="s">
        <v>29</v>
      </c>
      <c r="J8212" s="36">
        <v>46021</v>
      </c>
      <c r="K8212" s="24" t="s">
        <v>22</v>
      </c>
    </row>
    <row r="8213" spans="1:11" x14ac:dyDescent="0.2">
      <c r="A8213" s="27" t="s">
        <v>19115</v>
      </c>
      <c r="B8213" s="27" t="s">
        <v>19116</v>
      </c>
      <c r="C8213" s="27" t="s">
        <v>8851</v>
      </c>
      <c r="D8213" s="27" t="s">
        <v>17</v>
      </c>
      <c r="E8213" s="27" t="s">
        <v>26</v>
      </c>
      <c r="F8213" s="27" t="s">
        <v>27</v>
      </c>
      <c r="G8213" s="27" t="s">
        <v>28</v>
      </c>
      <c r="H8213" s="29">
        <v>60</v>
      </c>
      <c r="I8213" s="27" t="s">
        <v>29</v>
      </c>
      <c r="J8213" s="37">
        <v>46001</v>
      </c>
      <c r="K8213" s="27" t="s">
        <v>22</v>
      </c>
    </row>
    <row r="8214" spans="1:11" x14ac:dyDescent="0.2">
      <c r="A8214" s="24" t="s">
        <v>19117</v>
      </c>
      <c r="B8214" s="24" t="s">
        <v>19118</v>
      </c>
      <c r="C8214" s="24" t="s">
        <v>13620</v>
      </c>
      <c r="D8214" s="24" t="s">
        <v>17</v>
      </c>
      <c r="E8214" s="24" t="s">
        <v>18</v>
      </c>
      <c r="F8214" s="24" t="s">
        <v>19</v>
      </c>
      <c r="G8214" s="24" t="s">
        <v>217</v>
      </c>
      <c r="H8214" s="26">
        <v>138</v>
      </c>
      <c r="I8214" s="24" t="s">
        <v>29</v>
      </c>
      <c r="J8214" s="36">
        <v>45996</v>
      </c>
      <c r="K8214" s="24" t="s">
        <v>22</v>
      </c>
    </row>
    <row r="8215" spans="1:11" x14ac:dyDescent="0.2">
      <c r="A8215" s="27" t="s">
        <v>19119</v>
      </c>
      <c r="B8215" s="27" t="s">
        <v>19120</v>
      </c>
      <c r="C8215" s="27" t="s">
        <v>7701</v>
      </c>
      <c r="D8215" s="27" t="s">
        <v>17</v>
      </c>
      <c r="E8215" s="27" t="s">
        <v>48</v>
      </c>
      <c r="F8215" s="27" t="s">
        <v>49</v>
      </c>
      <c r="G8215" s="27" t="s">
        <v>28</v>
      </c>
      <c r="H8215" s="29">
        <v>20</v>
      </c>
      <c r="I8215" s="27" t="s">
        <v>29</v>
      </c>
      <c r="J8215" s="37">
        <v>46014</v>
      </c>
      <c r="K8215" s="27" t="s">
        <v>22</v>
      </c>
    </row>
    <row r="8216" spans="1:11" x14ac:dyDescent="0.2">
      <c r="A8216" s="24" t="s">
        <v>19121</v>
      </c>
      <c r="B8216" s="24" t="s">
        <v>19122</v>
      </c>
      <c r="C8216" s="24" t="s">
        <v>1737</v>
      </c>
      <c r="D8216" s="24" t="s">
        <v>17</v>
      </c>
      <c r="E8216" s="24" t="s">
        <v>42</v>
      </c>
      <c r="F8216" s="24" t="s">
        <v>43</v>
      </c>
      <c r="G8216" s="24" t="s">
        <v>28</v>
      </c>
      <c r="H8216" s="26">
        <v>420</v>
      </c>
      <c r="I8216" s="24" t="s">
        <v>29</v>
      </c>
      <c r="J8216" s="36">
        <v>46003</v>
      </c>
      <c r="K8216" s="24" t="s">
        <v>22</v>
      </c>
    </row>
    <row r="8217" spans="1:11" x14ac:dyDescent="0.2">
      <c r="A8217" s="27" t="s">
        <v>19123</v>
      </c>
      <c r="B8217" s="27" t="s">
        <v>19124</v>
      </c>
      <c r="C8217" s="27" t="s">
        <v>9954</v>
      </c>
      <c r="D8217" s="27" t="s">
        <v>17</v>
      </c>
      <c r="E8217" s="27" t="s">
        <v>48</v>
      </c>
      <c r="F8217" s="27" t="s">
        <v>49</v>
      </c>
      <c r="G8217" s="27" t="s">
        <v>28</v>
      </c>
      <c r="H8217" s="29">
        <v>60</v>
      </c>
      <c r="I8217" s="27" t="s">
        <v>29</v>
      </c>
      <c r="J8217" s="37">
        <v>46013</v>
      </c>
      <c r="K8217" s="27" t="s">
        <v>22</v>
      </c>
    </row>
    <row r="8218" spans="1:11" x14ac:dyDescent="0.2">
      <c r="A8218" s="24" t="s">
        <v>19125</v>
      </c>
      <c r="B8218" s="24" t="s">
        <v>19126</v>
      </c>
      <c r="C8218" s="24" t="s">
        <v>19127</v>
      </c>
      <c r="D8218" s="24" t="s">
        <v>17</v>
      </c>
      <c r="E8218" s="24" t="s">
        <v>48</v>
      </c>
      <c r="F8218" s="24" t="s">
        <v>49</v>
      </c>
      <c r="G8218" s="24" t="s">
        <v>28</v>
      </c>
      <c r="H8218" s="26">
        <v>80</v>
      </c>
      <c r="I8218" s="24" t="s">
        <v>29</v>
      </c>
      <c r="J8218" s="36">
        <v>46003</v>
      </c>
      <c r="K8218" s="24" t="s">
        <v>22</v>
      </c>
    </row>
    <row r="8219" spans="1:11" x14ac:dyDescent="0.2">
      <c r="A8219" s="27" t="s">
        <v>19128</v>
      </c>
      <c r="B8219" s="27" t="s">
        <v>19129</v>
      </c>
      <c r="C8219" s="27" t="s">
        <v>1161</v>
      </c>
      <c r="D8219" s="27" t="s">
        <v>17</v>
      </c>
      <c r="E8219" s="27" t="s">
        <v>26</v>
      </c>
      <c r="F8219" s="27" t="s">
        <v>27</v>
      </c>
      <c r="G8219" s="27" t="s">
        <v>28</v>
      </c>
      <c r="H8219" s="29">
        <v>100</v>
      </c>
      <c r="I8219" s="27" t="s">
        <v>29</v>
      </c>
      <c r="J8219" s="37">
        <v>45993</v>
      </c>
      <c r="K8219" s="27" t="s">
        <v>22</v>
      </c>
    </row>
    <row r="8220" spans="1:11" x14ac:dyDescent="0.2">
      <c r="A8220" s="24" t="s">
        <v>19130</v>
      </c>
      <c r="B8220" s="24" t="s">
        <v>19131</v>
      </c>
      <c r="C8220" s="24" t="s">
        <v>213</v>
      </c>
      <c r="D8220" s="24" t="s">
        <v>17</v>
      </c>
      <c r="E8220" s="24" t="s">
        <v>18</v>
      </c>
      <c r="F8220" s="24" t="s">
        <v>19</v>
      </c>
      <c r="G8220" s="24" t="s">
        <v>28</v>
      </c>
      <c r="H8220" s="26">
        <v>76</v>
      </c>
      <c r="I8220" s="24" t="s">
        <v>29</v>
      </c>
      <c r="J8220" s="36">
        <v>46002</v>
      </c>
      <c r="K8220" s="24" t="s">
        <v>22</v>
      </c>
    </row>
    <row r="8221" spans="1:11" x14ac:dyDescent="0.2">
      <c r="A8221" s="27" t="s">
        <v>19132</v>
      </c>
      <c r="B8221" s="27" t="s">
        <v>19133</v>
      </c>
      <c r="C8221" s="27" t="s">
        <v>494</v>
      </c>
      <c r="D8221" s="27" t="s">
        <v>17</v>
      </c>
      <c r="E8221" s="27" t="s">
        <v>48</v>
      </c>
      <c r="F8221" s="27" t="s">
        <v>49</v>
      </c>
      <c r="G8221" s="27" t="s">
        <v>28</v>
      </c>
      <c r="H8221" s="29">
        <v>195</v>
      </c>
      <c r="I8221" s="27" t="s">
        <v>29</v>
      </c>
      <c r="J8221" s="37">
        <v>46013</v>
      </c>
      <c r="K8221" s="27" t="s">
        <v>22</v>
      </c>
    </row>
    <row r="8222" spans="1:11" x14ac:dyDescent="0.2">
      <c r="A8222" s="24" t="s">
        <v>19134</v>
      </c>
      <c r="B8222" s="24" t="s">
        <v>19135</v>
      </c>
      <c r="C8222" s="24" t="s">
        <v>904</v>
      </c>
      <c r="D8222" s="24" t="s">
        <v>17</v>
      </c>
      <c r="E8222" s="24" t="s">
        <v>18</v>
      </c>
      <c r="F8222" s="24" t="s">
        <v>19</v>
      </c>
      <c r="G8222" s="24" t="s">
        <v>28</v>
      </c>
      <c r="H8222" s="26">
        <v>84</v>
      </c>
      <c r="I8222" s="24" t="s">
        <v>29</v>
      </c>
      <c r="J8222" s="36">
        <v>45992</v>
      </c>
      <c r="K8222" s="24" t="s">
        <v>22</v>
      </c>
    </row>
    <row r="8223" spans="1:11" x14ac:dyDescent="0.2">
      <c r="A8223" s="27" t="s">
        <v>19136</v>
      </c>
      <c r="B8223" s="27" t="s">
        <v>19137</v>
      </c>
      <c r="C8223" s="27" t="s">
        <v>12800</v>
      </c>
      <c r="D8223" s="27" t="s">
        <v>17</v>
      </c>
      <c r="E8223" s="27" t="s">
        <v>42</v>
      </c>
      <c r="F8223" s="27" t="s">
        <v>43</v>
      </c>
      <c r="G8223" s="27" t="s">
        <v>28</v>
      </c>
      <c r="H8223" s="29">
        <v>104</v>
      </c>
      <c r="I8223" s="27" t="s">
        <v>29</v>
      </c>
      <c r="J8223" s="37">
        <v>45994</v>
      </c>
      <c r="K8223" s="27" t="s">
        <v>22</v>
      </c>
    </row>
    <row r="8224" spans="1:11" x14ac:dyDescent="0.2">
      <c r="A8224" s="24" t="s">
        <v>19138</v>
      </c>
      <c r="B8224" s="24" t="s">
        <v>19139</v>
      </c>
      <c r="C8224" s="24" t="s">
        <v>827</v>
      </c>
      <c r="D8224" s="24" t="s">
        <v>17</v>
      </c>
      <c r="E8224" s="24" t="s">
        <v>18</v>
      </c>
      <c r="F8224" s="24" t="s">
        <v>19</v>
      </c>
      <c r="G8224" s="24" t="s">
        <v>44</v>
      </c>
      <c r="H8224" s="26">
        <v>108</v>
      </c>
      <c r="I8224" s="24" t="s">
        <v>29</v>
      </c>
      <c r="J8224" s="36">
        <v>46002</v>
      </c>
      <c r="K8224" s="24" t="s">
        <v>22</v>
      </c>
    </row>
    <row r="8225" spans="1:11" x14ac:dyDescent="0.2">
      <c r="A8225" s="27" t="s">
        <v>19140</v>
      </c>
      <c r="B8225" s="27" t="s">
        <v>19141</v>
      </c>
      <c r="C8225" s="27" t="s">
        <v>19142</v>
      </c>
      <c r="D8225" s="27" t="s">
        <v>17</v>
      </c>
      <c r="E8225" s="27" t="s">
        <v>18</v>
      </c>
      <c r="F8225" s="27" t="s">
        <v>19</v>
      </c>
      <c r="G8225" s="27" t="s">
        <v>28</v>
      </c>
      <c r="H8225" s="29">
        <v>51</v>
      </c>
      <c r="I8225" s="27" t="s">
        <v>29</v>
      </c>
      <c r="J8225" s="37">
        <v>46009</v>
      </c>
      <c r="K8225" s="27" t="s">
        <v>22</v>
      </c>
    </row>
    <row r="8226" spans="1:11" x14ac:dyDescent="0.2">
      <c r="A8226" s="24" t="s">
        <v>19143</v>
      </c>
      <c r="B8226" s="24" t="s">
        <v>19144</v>
      </c>
      <c r="C8226" s="24" t="s">
        <v>19145</v>
      </c>
      <c r="D8226" s="24" t="s">
        <v>17</v>
      </c>
      <c r="E8226" s="24" t="s">
        <v>18</v>
      </c>
      <c r="F8226" s="24" t="s">
        <v>19</v>
      </c>
      <c r="G8226" s="24" t="s">
        <v>217</v>
      </c>
      <c r="H8226" s="26">
        <v>30</v>
      </c>
      <c r="I8226" s="24" t="s">
        <v>29</v>
      </c>
      <c r="J8226" s="36">
        <v>45992</v>
      </c>
      <c r="K8226" s="24" t="s">
        <v>22</v>
      </c>
    </row>
    <row r="8227" spans="1:11" x14ac:dyDescent="0.2">
      <c r="A8227" s="27" t="s">
        <v>19146</v>
      </c>
      <c r="B8227" s="27" t="s">
        <v>19147</v>
      </c>
      <c r="C8227" s="27" t="s">
        <v>19148</v>
      </c>
      <c r="D8227" s="27" t="s">
        <v>17</v>
      </c>
      <c r="E8227" s="27" t="s">
        <v>18</v>
      </c>
      <c r="F8227" s="27" t="s">
        <v>19</v>
      </c>
      <c r="G8227" s="27" t="s">
        <v>28</v>
      </c>
      <c r="H8227" s="29">
        <v>226</v>
      </c>
      <c r="I8227" s="27" t="s">
        <v>29</v>
      </c>
      <c r="J8227" s="37">
        <v>46010</v>
      </c>
      <c r="K8227" s="27" t="s">
        <v>22</v>
      </c>
    </row>
    <row r="8228" spans="1:11" x14ac:dyDescent="0.2">
      <c r="A8228" s="24" t="s">
        <v>19149</v>
      </c>
      <c r="B8228" s="24" t="s">
        <v>19150</v>
      </c>
      <c r="C8228" s="24" t="s">
        <v>19151</v>
      </c>
      <c r="D8228" s="24" t="s">
        <v>17</v>
      </c>
      <c r="E8228" s="24" t="s">
        <v>18</v>
      </c>
      <c r="F8228" s="24" t="s">
        <v>19</v>
      </c>
      <c r="G8228" s="24" t="s">
        <v>28</v>
      </c>
      <c r="H8228" s="26">
        <v>180</v>
      </c>
      <c r="I8228" s="24" t="s">
        <v>29</v>
      </c>
      <c r="J8228" s="36">
        <v>46020</v>
      </c>
      <c r="K8228" s="24" t="s">
        <v>22</v>
      </c>
    </row>
    <row r="8229" spans="1:11" x14ac:dyDescent="0.2">
      <c r="A8229" s="27" t="s">
        <v>19152</v>
      </c>
      <c r="B8229" s="27" t="s">
        <v>19153</v>
      </c>
      <c r="C8229" s="27" t="s">
        <v>19154</v>
      </c>
      <c r="D8229" s="27" t="s">
        <v>17</v>
      </c>
      <c r="E8229" s="27" t="s">
        <v>26</v>
      </c>
      <c r="F8229" s="27" t="s">
        <v>27</v>
      </c>
      <c r="G8229" s="27" t="s">
        <v>217</v>
      </c>
      <c r="H8229" s="29">
        <v>48</v>
      </c>
      <c r="I8229" s="27" t="s">
        <v>29</v>
      </c>
      <c r="J8229" s="37">
        <v>45992</v>
      </c>
      <c r="K8229" s="27" t="s">
        <v>22</v>
      </c>
    </row>
    <row r="8230" spans="1:11" x14ac:dyDescent="0.2">
      <c r="A8230" s="24" t="s">
        <v>19155</v>
      </c>
      <c r="B8230" s="24" t="s">
        <v>19156</v>
      </c>
      <c r="C8230" s="24" t="s">
        <v>5009</v>
      </c>
      <c r="D8230" s="24" t="s">
        <v>17</v>
      </c>
      <c r="E8230" s="24" t="s">
        <v>48</v>
      </c>
      <c r="F8230" s="24" t="s">
        <v>49</v>
      </c>
      <c r="G8230" s="24" t="s">
        <v>28</v>
      </c>
      <c r="H8230" s="26">
        <v>16</v>
      </c>
      <c r="I8230" s="24" t="s">
        <v>29</v>
      </c>
      <c r="J8230" s="36">
        <v>45995</v>
      </c>
      <c r="K8230" s="24" t="s">
        <v>22</v>
      </c>
    </row>
    <row r="8231" spans="1:11" x14ac:dyDescent="0.2">
      <c r="A8231" s="27" t="s">
        <v>19157</v>
      </c>
      <c r="B8231" s="27" t="s">
        <v>19158</v>
      </c>
      <c r="C8231" s="27" t="s">
        <v>19159</v>
      </c>
      <c r="D8231" s="27" t="s">
        <v>17</v>
      </c>
      <c r="E8231" s="27" t="s">
        <v>163</v>
      </c>
      <c r="F8231" s="27" t="s">
        <v>164</v>
      </c>
      <c r="G8231" s="27" t="s">
        <v>28</v>
      </c>
      <c r="H8231" s="29">
        <v>18</v>
      </c>
      <c r="I8231" s="27" t="s">
        <v>29</v>
      </c>
      <c r="J8231" s="37">
        <v>46022</v>
      </c>
      <c r="K8231" s="27" t="s">
        <v>22</v>
      </c>
    </row>
    <row r="8232" spans="1:11" x14ac:dyDescent="0.2">
      <c r="A8232" s="24" t="s">
        <v>19160</v>
      </c>
      <c r="B8232" s="24" t="s">
        <v>19161</v>
      </c>
      <c r="C8232" s="24" t="s">
        <v>354</v>
      </c>
      <c r="D8232" s="24" t="s">
        <v>17</v>
      </c>
      <c r="E8232" s="24" t="s">
        <v>18</v>
      </c>
      <c r="F8232" s="24" t="s">
        <v>19</v>
      </c>
      <c r="G8232" s="24" t="s">
        <v>28</v>
      </c>
      <c r="H8232" s="26">
        <v>128</v>
      </c>
      <c r="I8232" s="24" t="s">
        <v>29</v>
      </c>
      <c r="J8232" s="36">
        <v>46000</v>
      </c>
      <c r="K8232" s="24" t="s">
        <v>22</v>
      </c>
    </row>
    <row r="8233" spans="1:11" x14ac:dyDescent="0.2">
      <c r="A8233" s="27" t="s">
        <v>19162</v>
      </c>
      <c r="B8233" s="27" t="s">
        <v>19163</v>
      </c>
      <c r="C8233" s="27" t="s">
        <v>55</v>
      </c>
      <c r="D8233" s="27" t="s">
        <v>17</v>
      </c>
      <c r="E8233" s="27" t="s">
        <v>18</v>
      </c>
      <c r="F8233" s="27" t="s">
        <v>19</v>
      </c>
      <c r="G8233" s="27" t="s">
        <v>44</v>
      </c>
      <c r="H8233" s="29">
        <v>60</v>
      </c>
      <c r="I8233" s="27" t="s">
        <v>29</v>
      </c>
      <c r="J8233" s="37">
        <v>46020</v>
      </c>
      <c r="K8233" s="27" t="s">
        <v>22</v>
      </c>
    </row>
    <row r="8234" spans="1:11" x14ac:dyDescent="0.2">
      <c r="A8234" s="24" t="s">
        <v>19164</v>
      </c>
      <c r="B8234" s="24" t="s">
        <v>19165</v>
      </c>
      <c r="C8234" s="24" t="s">
        <v>19166</v>
      </c>
      <c r="D8234" s="24" t="s">
        <v>17</v>
      </c>
      <c r="E8234" s="24" t="s">
        <v>48</v>
      </c>
      <c r="F8234" s="24" t="s">
        <v>49</v>
      </c>
      <c r="G8234" s="24" t="s">
        <v>217</v>
      </c>
      <c r="H8234" s="26">
        <v>60</v>
      </c>
      <c r="I8234" s="24" t="s">
        <v>29</v>
      </c>
      <c r="J8234" s="36">
        <v>45992</v>
      </c>
      <c r="K8234" s="24" t="s">
        <v>22</v>
      </c>
    </row>
    <row r="8235" spans="1:11" x14ac:dyDescent="0.2">
      <c r="A8235" s="27" t="s">
        <v>19167</v>
      </c>
      <c r="B8235" s="27" t="s">
        <v>19168</v>
      </c>
      <c r="C8235" s="27" t="s">
        <v>1307</v>
      </c>
      <c r="D8235" s="27" t="s">
        <v>17</v>
      </c>
      <c r="E8235" s="27" t="s">
        <v>18</v>
      </c>
      <c r="F8235" s="27" t="s">
        <v>19</v>
      </c>
      <c r="G8235" s="27" t="s">
        <v>28</v>
      </c>
      <c r="H8235" s="29">
        <v>38</v>
      </c>
      <c r="I8235" s="27" t="s">
        <v>29</v>
      </c>
      <c r="J8235" s="37">
        <v>46002</v>
      </c>
      <c r="K8235" s="27" t="s">
        <v>22</v>
      </c>
    </row>
    <row r="8236" spans="1:11" x14ac:dyDescent="0.2">
      <c r="A8236" s="24" t="s">
        <v>19169</v>
      </c>
      <c r="B8236" s="24" t="s">
        <v>19170</v>
      </c>
      <c r="C8236" s="24" t="s">
        <v>10723</v>
      </c>
      <c r="D8236" s="24" t="s">
        <v>17</v>
      </c>
      <c r="E8236" s="24" t="s">
        <v>18</v>
      </c>
      <c r="F8236" s="24" t="s">
        <v>19</v>
      </c>
      <c r="G8236" s="24" t="s">
        <v>28</v>
      </c>
      <c r="H8236" s="26">
        <v>32</v>
      </c>
      <c r="I8236" s="24" t="s">
        <v>29</v>
      </c>
      <c r="J8236" s="36">
        <v>46016</v>
      </c>
      <c r="K8236" s="24" t="s">
        <v>22</v>
      </c>
    </row>
    <row r="8237" spans="1:11" x14ac:dyDescent="0.2">
      <c r="A8237" s="27" t="s">
        <v>19171</v>
      </c>
      <c r="B8237" s="27" t="s">
        <v>19172</v>
      </c>
      <c r="C8237" s="27" t="s">
        <v>11081</v>
      </c>
      <c r="D8237" s="27" t="s">
        <v>17</v>
      </c>
      <c r="E8237" s="27" t="s">
        <v>48</v>
      </c>
      <c r="F8237" s="27" t="s">
        <v>49</v>
      </c>
      <c r="G8237" s="27" t="s">
        <v>28</v>
      </c>
      <c r="H8237" s="29">
        <v>40</v>
      </c>
      <c r="I8237" s="27" t="s">
        <v>29</v>
      </c>
      <c r="J8237" s="37">
        <v>45992</v>
      </c>
      <c r="K8237" s="27" t="s">
        <v>22</v>
      </c>
    </row>
    <row r="8238" spans="1:11" x14ac:dyDescent="0.2">
      <c r="A8238" s="24" t="s">
        <v>19173</v>
      </c>
      <c r="B8238" s="24" t="s">
        <v>19174</v>
      </c>
      <c r="C8238" s="24" t="s">
        <v>301</v>
      </c>
      <c r="D8238" s="24" t="s">
        <v>17</v>
      </c>
      <c r="E8238" s="24" t="s">
        <v>18</v>
      </c>
      <c r="F8238" s="24" t="s">
        <v>19</v>
      </c>
      <c r="G8238" s="24" t="s">
        <v>116</v>
      </c>
      <c r="H8238" s="26">
        <v>0</v>
      </c>
      <c r="I8238" s="24" t="s">
        <v>21</v>
      </c>
      <c r="J8238" s="36">
        <v>46017</v>
      </c>
      <c r="K8238" s="24" t="s">
        <v>22</v>
      </c>
    </row>
    <row r="8239" spans="1:11" x14ac:dyDescent="0.2">
      <c r="A8239" s="27" t="s">
        <v>19175</v>
      </c>
      <c r="B8239" s="27" t="s">
        <v>19176</v>
      </c>
      <c r="C8239" s="27" t="s">
        <v>2015</v>
      </c>
      <c r="D8239" s="27" t="s">
        <v>17</v>
      </c>
      <c r="E8239" s="27" t="s">
        <v>18</v>
      </c>
      <c r="F8239" s="27" t="s">
        <v>19</v>
      </c>
      <c r="G8239" s="27" t="s">
        <v>28</v>
      </c>
      <c r="H8239" s="29">
        <v>150</v>
      </c>
      <c r="I8239" s="27" t="s">
        <v>29</v>
      </c>
      <c r="J8239" s="37">
        <v>45992</v>
      </c>
      <c r="K8239" s="27" t="s">
        <v>22</v>
      </c>
    </row>
    <row r="8240" spans="1:11" x14ac:dyDescent="0.2">
      <c r="A8240" s="24" t="s">
        <v>19177</v>
      </c>
      <c r="B8240" s="24" t="s">
        <v>19178</v>
      </c>
      <c r="C8240" s="24" t="s">
        <v>146</v>
      </c>
      <c r="D8240" s="24" t="s">
        <v>17</v>
      </c>
      <c r="E8240" s="24" t="s">
        <v>42</v>
      </c>
      <c r="F8240" s="24" t="s">
        <v>43</v>
      </c>
      <c r="G8240" s="24" t="s">
        <v>28</v>
      </c>
      <c r="H8240" s="26">
        <v>450</v>
      </c>
      <c r="I8240" s="24" t="s">
        <v>29</v>
      </c>
      <c r="J8240" s="36">
        <v>45994</v>
      </c>
      <c r="K8240" s="24" t="s">
        <v>22</v>
      </c>
    </row>
    <row r="8241" spans="1:11" x14ac:dyDescent="0.2">
      <c r="A8241" s="27" t="s">
        <v>19179</v>
      </c>
      <c r="B8241" s="27" t="s">
        <v>19180</v>
      </c>
      <c r="C8241" s="27" t="s">
        <v>19181</v>
      </c>
      <c r="D8241" s="27" t="s">
        <v>17</v>
      </c>
      <c r="E8241" s="27" t="s">
        <v>18</v>
      </c>
      <c r="F8241" s="27" t="s">
        <v>19</v>
      </c>
      <c r="G8241" s="27" t="s">
        <v>28</v>
      </c>
      <c r="H8241" s="29">
        <v>100</v>
      </c>
      <c r="I8241" s="27" t="s">
        <v>29</v>
      </c>
      <c r="J8241" s="37">
        <v>46010</v>
      </c>
      <c r="K8241" s="27" t="s">
        <v>22</v>
      </c>
    </row>
    <row r="8242" spans="1:11" x14ac:dyDescent="0.2">
      <c r="A8242" s="24" t="s">
        <v>19182</v>
      </c>
      <c r="B8242" s="24" t="s">
        <v>19183</v>
      </c>
      <c r="C8242" s="24" t="s">
        <v>5913</v>
      </c>
      <c r="D8242" s="24" t="s">
        <v>17</v>
      </c>
      <c r="E8242" s="24" t="s">
        <v>48</v>
      </c>
      <c r="F8242" s="24" t="s">
        <v>49</v>
      </c>
      <c r="G8242" s="24" t="s">
        <v>28</v>
      </c>
      <c r="H8242" s="26">
        <v>51</v>
      </c>
      <c r="I8242" s="24" t="s">
        <v>29</v>
      </c>
      <c r="J8242" s="36">
        <v>45999</v>
      </c>
      <c r="K8242" s="24" t="s">
        <v>22</v>
      </c>
    </row>
    <row r="8243" spans="1:11" x14ac:dyDescent="0.2">
      <c r="A8243" s="27" t="s">
        <v>19184</v>
      </c>
      <c r="B8243" s="27" t="s">
        <v>19185</v>
      </c>
      <c r="C8243" s="27" t="s">
        <v>2484</v>
      </c>
      <c r="D8243" s="27" t="s">
        <v>17</v>
      </c>
      <c r="E8243" s="27" t="s">
        <v>18</v>
      </c>
      <c r="F8243" s="27" t="s">
        <v>19</v>
      </c>
      <c r="G8243" s="27" t="s">
        <v>28</v>
      </c>
      <c r="H8243" s="29">
        <v>392</v>
      </c>
      <c r="I8243" s="27" t="s">
        <v>29</v>
      </c>
      <c r="J8243" s="37">
        <v>46001</v>
      </c>
      <c r="K8243" s="27" t="s">
        <v>22</v>
      </c>
    </row>
    <row r="8244" spans="1:11" x14ac:dyDescent="0.2">
      <c r="A8244" s="24" t="s">
        <v>19186</v>
      </c>
      <c r="B8244" s="24" t="s">
        <v>19187</v>
      </c>
      <c r="C8244" s="24" t="s">
        <v>5388</v>
      </c>
      <c r="D8244" s="24" t="s">
        <v>17</v>
      </c>
      <c r="E8244" s="24" t="s">
        <v>42</v>
      </c>
      <c r="F8244" s="24" t="s">
        <v>43</v>
      </c>
      <c r="G8244" s="24" t="s">
        <v>44</v>
      </c>
      <c r="H8244" s="26">
        <v>12000</v>
      </c>
      <c r="I8244" s="24" t="s">
        <v>29</v>
      </c>
      <c r="J8244" s="36">
        <v>46006</v>
      </c>
      <c r="K8244" s="24" t="s">
        <v>22</v>
      </c>
    </row>
    <row r="8245" spans="1:11" x14ac:dyDescent="0.2">
      <c r="A8245" s="27" t="s">
        <v>19188</v>
      </c>
      <c r="B8245" s="27" t="s">
        <v>19189</v>
      </c>
      <c r="C8245" s="27" t="s">
        <v>19190</v>
      </c>
      <c r="D8245" s="27" t="s">
        <v>17</v>
      </c>
      <c r="E8245" s="27" t="s">
        <v>48</v>
      </c>
      <c r="F8245" s="27" t="s">
        <v>49</v>
      </c>
      <c r="G8245" s="27" t="s">
        <v>44</v>
      </c>
      <c r="H8245" s="29">
        <v>68</v>
      </c>
      <c r="I8245" s="27" t="s">
        <v>21</v>
      </c>
      <c r="J8245" s="37">
        <v>45994</v>
      </c>
      <c r="K8245" s="27" t="s">
        <v>22</v>
      </c>
    </row>
    <row r="8246" spans="1:11" x14ac:dyDescent="0.2">
      <c r="A8246" s="24" t="s">
        <v>19191</v>
      </c>
      <c r="B8246" s="24" t="s">
        <v>19192</v>
      </c>
      <c r="C8246" s="24" t="s">
        <v>2669</v>
      </c>
      <c r="D8246" s="24" t="s">
        <v>17</v>
      </c>
      <c r="E8246" s="24" t="s">
        <v>48</v>
      </c>
      <c r="F8246" s="24" t="s">
        <v>49</v>
      </c>
      <c r="G8246" s="24" t="s">
        <v>28</v>
      </c>
      <c r="H8246" s="26">
        <v>20</v>
      </c>
      <c r="I8246" s="24" t="s">
        <v>29</v>
      </c>
      <c r="J8246" s="36">
        <v>45992</v>
      </c>
      <c r="K8246" s="24" t="s">
        <v>22</v>
      </c>
    </row>
    <row r="8247" spans="1:11" x14ac:dyDescent="0.2">
      <c r="A8247" s="27" t="s">
        <v>19193</v>
      </c>
      <c r="B8247" s="27" t="s">
        <v>19194</v>
      </c>
      <c r="C8247" s="27" t="s">
        <v>19195</v>
      </c>
      <c r="D8247" s="27" t="s">
        <v>17</v>
      </c>
      <c r="E8247" s="27" t="s">
        <v>18</v>
      </c>
      <c r="F8247" s="27" t="s">
        <v>19</v>
      </c>
      <c r="G8247" s="27" t="s">
        <v>28</v>
      </c>
      <c r="H8247" s="29">
        <v>171</v>
      </c>
      <c r="I8247" s="27" t="s">
        <v>29</v>
      </c>
      <c r="J8247" s="37">
        <v>45992</v>
      </c>
      <c r="K8247" s="27" t="s">
        <v>22</v>
      </c>
    </row>
    <row r="8248" spans="1:11" x14ac:dyDescent="0.2">
      <c r="A8248" s="24" t="s">
        <v>19196</v>
      </c>
      <c r="B8248" s="24" t="s">
        <v>19197</v>
      </c>
      <c r="C8248" s="24" t="s">
        <v>194</v>
      </c>
      <c r="D8248" s="24" t="s">
        <v>17</v>
      </c>
      <c r="E8248" s="24" t="s">
        <v>18</v>
      </c>
      <c r="F8248" s="24" t="s">
        <v>19</v>
      </c>
      <c r="G8248" s="24" t="s">
        <v>217</v>
      </c>
      <c r="H8248" s="26">
        <v>33</v>
      </c>
      <c r="I8248" s="24" t="s">
        <v>29</v>
      </c>
      <c r="J8248" s="36">
        <v>45992</v>
      </c>
      <c r="K8248" s="24" t="s">
        <v>22</v>
      </c>
    </row>
    <row r="8249" spans="1:11" x14ac:dyDescent="0.2">
      <c r="A8249" s="27" t="s">
        <v>19198</v>
      </c>
      <c r="B8249" s="27" t="s">
        <v>19199</v>
      </c>
      <c r="C8249" s="27" t="s">
        <v>844</v>
      </c>
      <c r="D8249" s="27" t="s">
        <v>17</v>
      </c>
      <c r="E8249" s="27" t="s">
        <v>26</v>
      </c>
      <c r="F8249" s="27" t="s">
        <v>27</v>
      </c>
      <c r="G8249" s="27" t="s">
        <v>28</v>
      </c>
      <c r="H8249" s="29">
        <v>266</v>
      </c>
      <c r="I8249" s="27" t="s">
        <v>29</v>
      </c>
      <c r="J8249" s="37">
        <v>45994</v>
      </c>
      <c r="K8249" s="27" t="s">
        <v>22</v>
      </c>
    </row>
    <row r="8250" spans="1:11" x14ac:dyDescent="0.2">
      <c r="A8250" s="24" t="s">
        <v>19200</v>
      </c>
      <c r="B8250" s="24" t="s">
        <v>19201</v>
      </c>
      <c r="C8250" s="24" t="s">
        <v>1283</v>
      </c>
      <c r="D8250" s="24" t="s">
        <v>17</v>
      </c>
      <c r="E8250" s="24" t="s">
        <v>42</v>
      </c>
      <c r="F8250" s="24" t="s">
        <v>43</v>
      </c>
      <c r="G8250" s="24" t="s">
        <v>28</v>
      </c>
      <c r="H8250" s="26">
        <v>292</v>
      </c>
      <c r="I8250" s="24" t="s">
        <v>29</v>
      </c>
      <c r="J8250" s="36">
        <v>46020</v>
      </c>
      <c r="K8250" s="24" t="s">
        <v>22</v>
      </c>
    </row>
    <row r="8251" spans="1:11" x14ac:dyDescent="0.2">
      <c r="A8251" s="27" t="s">
        <v>19202</v>
      </c>
      <c r="B8251" s="27" t="s">
        <v>19203</v>
      </c>
      <c r="C8251" s="27" t="s">
        <v>208</v>
      </c>
      <c r="D8251" s="27" t="s">
        <v>17</v>
      </c>
      <c r="E8251" s="27" t="s">
        <v>48</v>
      </c>
      <c r="F8251" s="27" t="s">
        <v>49</v>
      </c>
      <c r="G8251" s="27" t="s">
        <v>28</v>
      </c>
      <c r="H8251" s="29">
        <v>37</v>
      </c>
      <c r="I8251" s="27" t="s">
        <v>29</v>
      </c>
      <c r="J8251" s="37">
        <v>45993</v>
      </c>
      <c r="K8251" s="27" t="s">
        <v>22</v>
      </c>
    </row>
    <row r="8252" spans="1:11" x14ac:dyDescent="0.2">
      <c r="A8252" s="24" t="s">
        <v>19204</v>
      </c>
      <c r="B8252" s="24" t="s">
        <v>19205</v>
      </c>
      <c r="C8252" s="24" t="s">
        <v>134</v>
      </c>
      <c r="D8252" s="24" t="s">
        <v>17</v>
      </c>
      <c r="E8252" s="24" t="s">
        <v>33</v>
      </c>
      <c r="F8252" s="24" t="s">
        <v>34</v>
      </c>
      <c r="G8252" s="24" t="s">
        <v>28</v>
      </c>
      <c r="H8252" s="26">
        <v>990</v>
      </c>
      <c r="I8252" s="24" t="s">
        <v>29</v>
      </c>
      <c r="J8252" s="36">
        <v>46022</v>
      </c>
      <c r="K8252" s="24" t="s">
        <v>22</v>
      </c>
    </row>
    <row r="8253" spans="1:11" x14ac:dyDescent="0.2">
      <c r="A8253" s="27" t="s">
        <v>19206</v>
      </c>
      <c r="B8253" s="27" t="s">
        <v>19207</v>
      </c>
      <c r="C8253" s="27" t="s">
        <v>17278</v>
      </c>
      <c r="D8253" s="27" t="s">
        <v>17</v>
      </c>
      <c r="E8253" s="27" t="s">
        <v>163</v>
      </c>
      <c r="F8253" s="27" t="s">
        <v>164</v>
      </c>
      <c r="G8253" s="27" t="s">
        <v>28</v>
      </c>
      <c r="H8253" s="29">
        <v>30</v>
      </c>
      <c r="I8253" s="27" t="s">
        <v>29</v>
      </c>
      <c r="J8253" s="37">
        <v>46007</v>
      </c>
      <c r="K8253" s="27" t="s">
        <v>22</v>
      </c>
    </row>
    <row r="8254" spans="1:11" x14ac:dyDescent="0.2">
      <c r="A8254" s="24" t="s">
        <v>19208</v>
      </c>
      <c r="B8254" s="24" t="s">
        <v>19209</v>
      </c>
      <c r="C8254" s="24" t="s">
        <v>19210</v>
      </c>
      <c r="D8254" s="24" t="s">
        <v>17</v>
      </c>
      <c r="E8254" s="24" t="s">
        <v>163</v>
      </c>
      <c r="F8254" s="24" t="s">
        <v>164</v>
      </c>
      <c r="G8254" s="24" t="s">
        <v>116</v>
      </c>
      <c r="H8254" s="26">
        <v>0</v>
      </c>
      <c r="I8254" s="24" t="s">
        <v>21</v>
      </c>
      <c r="J8254" s="36">
        <v>45992</v>
      </c>
      <c r="K8254" s="24" t="s">
        <v>22</v>
      </c>
    </row>
    <row r="8255" spans="1:11" x14ac:dyDescent="0.2">
      <c r="A8255" s="27" t="s">
        <v>19211</v>
      </c>
      <c r="B8255" s="27" t="s">
        <v>19212</v>
      </c>
      <c r="C8255" s="27" t="s">
        <v>18643</v>
      </c>
      <c r="D8255" s="27" t="s">
        <v>17</v>
      </c>
      <c r="E8255" s="27" t="s">
        <v>18</v>
      </c>
      <c r="F8255" s="27" t="s">
        <v>19</v>
      </c>
      <c r="G8255" s="27" t="s">
        <v>217</v>
      </c>
      <c r="H8255" s="29">
        <v>24</v>
      </c>
      <c r="I8255" s="27" t="s">
        <v>29</v>
      </c>
      <c r="J8255" s="37">
        <v>45992</v>
      </c>
      <c r="K8255" s="27" t="s">
        <v>22</v>
      </c>
    </row>
    <row r="8256" spans="1:11" x14ac:dyDescent="0.2">
      <c r="A8256" s="24" t="s">
        <v>19213</v>
      </c>
      <c r="B8256" s="24" t="s">
        <v>19214</v>
      </c>
      <c r="C8256" s="24" t="s">
        <v>15974</v>
      </c>
      <c r="D8256" s="24" t="s">
        <v>17</v>
      </c>
      <c r="E8256" s="24" t="s">
        <v>26</v>
      </c>
      <c r="F8256" s="24" t="s">
        <v>27</v>
      </c>
      <c r="G8256" s="24" t="s">
        <v>28</v>
      </c>
      <c r="H8256" s="26">
        <v>30</v>
      </c>
      <c r="I8256" s="24" t="s">
        <v>29</v>
      </c>
      <c r="J8256" s="36">
        <v>46020</v>
      </c>
      <c r="K8256" s="24" t="s">
        <v>22</v>
      </c>
    </row>
    <row r="8257" spans="1:11" x14ac:dyDescent="0.2">
      <c r="A8257" s="27" t="s">
        <v>19215</v>
      </c>
      <c r="B8257" s="27" t="s">
        <v>19216</v>
      </c>
      <c r="C8257" s="27" t="s">
        <v>437</v>
      </c>
      <c r="D8257" s="27" t="s">
        <v>17</v>
      </c>
      <c r="E8257" s="27" t="s">
        <v>42</v>
      </c>
      <c r="F8257" s="27" t="s">
        <v>43</v>
      </c>
      <c r="G8257" s="27" t="s">
        <v>28</v>
      </c>
      <c r="H8257" s="29">
        <v>250</v>
      </c>
      <c r="I8257" s="27" t="s">
        <v>29</v>
      </c>
      <c r="J8257" s="37">
        <v>46010</v>
      </c>
      <c r="K8257" s="27" t="s">
        <v>22</v>
      </c>
    </row>
    <row r="8258" spans="1:11" x14ac:dyDescent="0.2">
      <c r="A8258" s="24" t="s">
        <v>19217</v>
      </c>
      <c r="B8258" s="24" t="s">
        <v>19218</v>
      </c>
      <c r="C8258" s="24" t="s">
        <v>19219</v>
      </c>
      <c r="D8258" s="24" t="s">
        <v>17</v>
      </c>
      <c r="E8258" s="24" t="s">
        <v>48</v>
      </c>
      <c r="F8258" s="24" t="s">
        <v>49</v>
      </c>
      <c r="G8258" s="24" t="s">
        <v>28</v>
      </c>
      <c r="H8258" s="26">
        <v>300</v>
      </c>
      <c r="I8258" s="24" t="s">
        <v>29</v>
      </c>
      <c r="J8258" s="36">
        <v>46007</v>
      </c>
      <c r="K8258" s="24" t="s">
        <v>22</v>
      </c>
    </row>
    <row r="8259" spans="1:11" x14ac:dyDescent="0.2">
      <c r="A8259" s="27" t="s">
        <v>19220</v>
      </c>
      <c r="B8259" s="27" t="s">
        <v>19221</v>
      </c>
      <c r="C8259" s="27" t="s">
        <v>792</v>
      </c>
      <c r="D8259" s="27" t="s">
        <v>17</v>
      </c>
      <c r="E8259" s="27" t="s">
        <v>18</v>
      </c>
      <c r="F8259" s="27" t="s">
        <v>19</v>
      </c>
      <c r="G8259" s="27" t="s">
        <v>28</v>
      </c>
      <c r="H8259" s="29">
        <v>60</v>
      </c>
      <c r="I8259" s="27" t="s">
        <v>29</v>
      </c>
      <c r="J8259" s="37">
        <v>45994</v>
      </c>
      <c r="K8259" s="27" t="s">
        <v>22</v>
      </c>
    </row>
    <row r="8260" spans="1:11" x14ac:dyDescent="0.2">
      <c r="A8260" s="24" t="s">
        <v>19222</v>
      </c>
      <c r="B8260" s="24" t="s">
        <v>19223</v>
      </c>
      <c r="C8260" s="24" t="s">
        <v>2550</v>
      </c>
      <c r="D8260" s="24" t="s">
        <v>17</v>
      </c>
      <c r="E8260" s="24" t="s">
        <v>18</v>
      </c>
      <c r="F8260" s="24" t="s">
        <v>19</v>
      </c>
      <c r="G8260" s="24" t="s">
        <v>217</v>
      </c>
      <c r="H8260" s="26">
        <v>32</v>
      </c>
      <c r="I8260" s="24" t="s">
        <v>29</v>
      </c>
      <c r="J8260" s="36">
        <v>45992</v>
      </c>
      <c r="K8260" s="24" t="s">
        <v>22</v>
      </c>
    </row>
    <row r="8261" spans="1:11" x14ac:dyDescent="0.2">
      <c r="A8261" s="27" t="s">
        <v>19224</v>
      </c>
      <c r="B8261" s="27" t="s">
        <v>19225</v>
      </c>
      <c r="C8261" s="27" t="s">
        <v>437</v>
      </c>
      <c r="D8261" s="27" t="s">
        <v>17</v>
      </c>
      <c r="E8261" s="27" t="s">
        <v>18</v>
      </c>
      <c r="F8261" s="27" t="s">
        <v>19</v>
      </c>
      <c r="G8261" s="27" t="s">
        <v>28</v>
      </c>
      <c r="H8261" s="29">
        <v>340</v>
      </c>
      <c r="I8261" s="27" t="s">
        <v>29</v>
      </c>
      <c r="J8261" s="37">
        <v>46006</v>
      </c>
      <c r="K8261" s="27" t="s">
        <v>22</v>
      </c>
    </row>
    <row r="8262" spans="1:11" x14ac:dyDescent="0.2">
      <c r="A8262" s="24" t="s">
        <v>19226</v>
      </c>
      <c r="B8262" s="24" t="s">
        <v>19227</v>
      </c>
      <c r="C8262" s="24" t="s">
        <v>14459</v>
      </c>
      <c r="D8262" s="24" t="s">
        <v>17</v>
      </c>
      <c r="E8262" s="24" t="s">
        <v>33</v>
      </c>
      <c r="F8262" s="24" t="s">
        <v>34</v>
      </c>
      <c r="G8262" s="24" t="s">
        <v>217</v>
      </c>
      <c r="H8262" s="26">
        <v>270</v>
      </c>
      <c r="I8262" s="24" t="s">
        <v>29</v>
      </c>
      <c r="J8262" s="36">
        <v>45992</v>
      </c>
      <c r="K8262" s="24" t="s">
        <v>22</v>
      </c>
    </row>
    <row r="8263" spans="1:11" x14ac:dyDescent="0.2">
      <c r="A8263" s="27" t="s">
        <v>19228</v>
      </c>
      <c r="B8263" s="27" t="s">
        <v>19229</v>
      </c>
      <c r="C8263" s="27" t="s">
        <v>71</v>
      </c>
      <c r="D8263" s="27" t="s">
        <v>17</v>
      </c>
      <c r="E8263" s="27" t="s">
        <v>26</v>
      </c>
      <c r="F8263" s="27" t="s">
        <v>27</v>
      </c>
      <c r="G8263" s="27" t="s">
        <v>217</v>
      </c>
      <c r="H8263" s="29">
        <v>290</v>
      </c>
      <c r="I8263" s="27" t="s">
        <v>29</v>
      </c>
      <c r="J8263" s="37">
        <v>46021</v>
      </c>
      <c r="K8263" s="27" t="s">
        <v>22</v>
      </c>
    </row>
    <row r="8264" spans="1:11" x14ac:dyDescent="0.2">
      <c r="A8264" s="24" t="s">
        <v>19230</v>
      </c>
      <c r="B8264" s="24" t="s">
        <v>19231</v>
      </c>
      <c r="C8264" s="24" t="s">
        <v>19232</v>
      </c>
      <c r="D8264" s="24" t="s">
        <v>17</v>
      </c>
      <c r="E8264" s="24" t="s">
        <v>18</v>
      </c>
      <c r="F8264" s="24" t="s">
        <v>19</v>
      </c>
      <c r="G8264" s="24" t="s">
        <v>28</v>
      </c>
      <c r="H8264" s="26">
        <v>30</v>
      </c>
      <c r="I8264" s="24" t="s">
        <v>29</v>
      </c>
      <c r="J8264" s="36">
        <v>46009</v>
      </c>
      <c r="K8264" s="24" t="s">
        <v>22</v>
      </c>
    </row>
    <row r="8265" spans="1:11" x14ac:dyDescent="0.2">
      <c r="A8265" s="27" t="s">
        <v>19233</v>
      </c>
      <c r="B8265" s="27" t="s">
        <v>19234</v>
      </c>
      <c r="C8265" s="27" t="s">
        <v>14320</v>
      </c>
      <c r="D8265" s="27" t="s">
        <v>17</v>
      </c>
      <c r="E8265" s="27" t="s">
        <v>18</v>
      </c>
      <c r="F8265" s="27" t="s">
        <v>19</v>
      </c>
      <c r="G8265" s="27" t="s">
        <v>28</v>
      </c>
      <c r="H8265" s="29">
        <v>48</v>
      </c>
      <c r="I8265" s="27" t="s">
        <v>29</v>
      </c>
      <c r="J8265" s="37">
        <v>45993</v>
      </c>
      <c r="K8265" s="27" t="s">
        <v>22</v>
      </c>
    </row>
    <row r="8266" spans="1:11" x14ac:dyDescent="0.2">
      <c r="A8266" s="24" t="s">
        <v>19235</v>
      </c>
      <c r="B8266" s="24" t="s">
        <v>19236</v>
      </c>
      <c r="C8266" s="24" t="s">
        <v>18773</v>
      </c>
      <c r="D8266" s="24" t="s">
        <v>17</v>
      </c>
      <c r="E8266" s="24" t="s">
        <v>26</v>
      </c>
      <c r="F8266" s="24" t="s">
        <v>27</v>
      </c>
      <c r="G8266" s="24" t="s">
        <v>257</v>
      </c>
      <c r="H8266" s="26">
        <v>40</v>
      </c>
      <c r="I8266" s="24" t="s">
        <v>29</v>
      </c>
      <c r="J8266" s="36">
        <v>46022</v>
      </c>
      <c r="K8266" s="24" t="s">
        <v>22</v>
      </c>
    </row>
    <row r="8267" spans="1:11" x14ac:dyDescent="0.2">
      <c r="A8267" s="27" t="s">
        <v>19237</v>
      </c>
      <c r="B8267" s="27" t="s">
        <v>19238</v>
      </c>
      <c r="C8267" s="27" t="s">
        <v>19239</v>
      </c>
      <c r="D8267" s="27" t="s">
        <v>17</v>
      </c>
      <c r="E8267" s="27" t="s">
        <v>18</v>
      </c>
      <c r="F8267" s="27" t="s">
        <v>19</v>
      </c>
      <c r="G8267" s="27" t="s">
        <v>28</v>
      </c>
      <c r="H8267" s="29">
        <v>24</v>
      </c>
      <c r="I8267" s="27" t="s">
        <v>29</v>
      </c>
      <c r="J8267" s="37">
        <v>45992</v>
      </c>
      <c r="K8267" s="27" t="s">
        <v>22</v>
      </c>
    </row>
    <row r="8268" spans="1:11" x14ac:dyDescent="0.2">
      <c r="A8268" s="24" t="s">
        <v>19240</v>
      </c>
      <c r="B8268" s="24" t="s">
        <v>19241</v>
      </c>
      <c r="C8268" s="24" t="s">
        <v>13182</v>
      </c>
      <c r="D8268" s="24" t="s">
        <v>17</v>
      </c>
      <c r="E8268" s="24" t="s">
        <v>42</v>
      </c>
      <c r="F8268" s="24" t="s">
        <v>43</v>
      </c>
      <c r="G8268" s="24" t="s">
        <v>28</v>
      </c>
      <c r="H8268" s="26">
        <v>766</v>
      </c>
      <c r="I8268" s="24" t="s">
        <v>29</v>
      </c>
      <c r="J8268" s="36">
        <v>46001</v>
      </c>
      <c r="K8268" s="24" t="s">
        <v>22</v>
      </c>
    </row>
    <row r="8269" spans="1:11" x14ac:dyDescent="0.2">
      <c r="A8269" s="27" t="s">
        <v>19242</v>
      </c>
      <c r="B8269" s="27" t="s">
        <v>19243</v>
      </c>
      <c r="C8269" s="27" t="s">
        <v>526</v>
      </c>
      <c r="D8269" s="27" t="s">
        <v>17</v>
      </c>
      <c r="E8269" s="27" t="s">
        <v>42</v>
      </c>
      <c r="F8269" s="27" t="s">
        <v>43</v>
      </c>
      <c r="G8269" s="27" t="s">
        <v>28</v>
      </c>
      <c r="H8269" s="29">
        <v>450</v>
      </c>
      <c r="I8269" s="27" t="s">
        <v>29</v>
      </c>
      <c r="J8269" s="37">
        <v>46003</v>
      </c>
      <c r="K8269" s="27" t="s">
        <v>22</v>
      </c>
    </row>
    <row r="8270" spans="1:11" x14ac:dyDescent="0.2">
      <c r="A8270" s="24" t="s">
        <v>19244</v>
      </c>
      <c r="B8270" s="24" t="s">
        <v>19245</v>
      </c>
      <c r="C8270" s="24" t="s">
        <v>2287</v>
      </c>
      <c r="D8270" s="24" t="s">
        <v>17</v>
      </c>
      <c r="E8270" s="24" t="s">
        <v>42</v>
      </c>
      <c r="F8270" s="24" t="s">
        <v>43</v>
      </c>
      <c r="G8270" s="24" t="s">
        <v>217</v>
      </c>
      <c r="H8270" s="26">
        <v>560</v>
      </c>
      <c r="I8270" s="24" t="s">
        <v>29</v>
      </c>
      <c r="J8270" s="36">
        <v>45992</v>
      </c>
      <c r="K8270" s="24" t="s">
        <v>22</v>
      </c>
    </row>
    <row r="8271" spans="1:11" x14ac:dyDescent="0.2">
      <c r="A8271" s="27" t="s">
        <v>19246</v>
      </c>
      <c r="B8271" s="27" t="s">
        <v>19247</v>
      </c>
      <c r="C8271" s="27" t="s">
        <v>3048</v>
      </c>
      <c r="D8271" s="27" t="s">
        <v>17</v>
      </c>
      <c r="E8271" s="27" t="s">
        <v>26</v>
      </c>
      <c r="F8271" s="27" t="s">
        <v>27</v>
      </c>
      <c r="G8271" s="27" t="s">
        <v>28</v>
      </c>
      <c r="H8271" s="29">
        <v>147</v>
      </c>
      <c r="I8271" s="27" t="s">
        <v>29</v>
      </c>
      <c r="J8271" s="37">
        <v>46007</v>
      </c>
      <c r="K8271" s="27" t="s">
        <v>22</v>
      </c>
    </row>
    <row r="8272" spans="1:11" x14ac:dyDescent="0.2">
      <c r="A8272" s="24" t="s">
        <v>19248</v>
      </c>
      <c r="B8272" s="24" t="s">
        <v>19249</v>
      </c>
      <c r="C8272" s="24" t="s">
        <v>19250</v>
      </c>
      <c r="D8272" s="24" t="s">
        <v>17</v>
      </c>
      <c r="E8272" s="24" t="s">
        <v>26</v>
      </c>
      <c r="F8272" s="24" t="s">
        <v>27</v>
      </c>
      <c r="G8272" s="24" t="s">
        <v>28</v>
      </c>
      <c r="H8272" s="26">
        <v>170</v>
      </c>
      <c r="I8272" s="24" t="s">
        <v>29</v>
      </c>
      <c r="J8272" s="36">
        <v>46008</v>
      </c>
      <c r="K8272" s="24" t="s">
        <v>22</v>
      </c>
    </row>
    <row r="8273" spans="1:11" x14ac:dyDescent="0.2">
      <c r="A8273" s="27" t="s">
        <v>19251</v>
      </c>
      <c r="B8273" s="27" t="s">
        <v>19252</v>
      </c>
      <c r="C8273" s="27" t="s">
        <v>388</v>
      </c>
      <c r="D8273" s="27" t="s">
        <v>17</v>
      </c>
      <c r="E8273" s="27" t="s">
        <v>42</v>
      </c>
      <c r="F8273" s="27" t="s">
        <v>43</v>
      </c>
      <c r="G8273" s="27" t="s">
        <v>44</v>
      </c>
      <c r="H8273" s="29">
        <v>80</v>
      </c>
      <c r="I8273" s="27" t="s">
        <v>21</v>
      </c>
      <c r="J8273" s="37">
        <v>45992</v>
      </c>
      <c r="K8273" s="27" t="s">
        <v>22</v>
      </c>
    </row>
    <row r="8274" spans="1:11" x14ac:dyDescent="0.2">
      <c r="A8274" s="24" t="s">
        <v>19253</v>
      </c>
      <c r="B8274" s="24" t="s">
        <v>19254</v>
      </c>
      <c r="C8274" s="24" t="s">
        <v>429</v>
      </c>
      <c r="D8274" s="24" t="s">
        <v>17</v>
      </c>
      <c r="E8274" s="24" t="s">
        <v>48</v>
      </c>
      <c r="F8274" s="24" t="s">
        <v>49</v>
      </c>
      <c r="G8274" s="24" t="s">
        <v>28</v>
      </c>
      <c r="H8274" s="26">
        <v>403</v>
      </c>
      <c r="I8274" s="24" t="s">
        <v>29</v>
      </c>
      <c r="J8274" s="36">
        <v>46022</v>
      </c>
      <c r="K8274" s="24" t="s">
        <v>22</v>
      </c>
    </row>
    <row r="8275" spans="1:11" x14ac:dyDescent="0.2">
      <c r="A8275" s="27" t="s">
        <v>19255</v>
      </c>
      <c r="B8275" s="27" t="s">
        <v>19256</v>
      </c>
      <c r="C8275" s="27" t="s">
        <v>3444</v>
      </c>
      <c r="D8275" s="27" t="s">
        <v>17</v>
      </c>
      <c r="E8275" s="27" t="s">
        <v>163</v>
      </c>
      <c r="F8275" s="27" t="s">
        <v>164</v>
      </c>
      <c r="G8275" s="27" t="s">
        <v>28</v>
      </c>
      <c r="H8275" s="29">
        <v>15</v>
      </c>
      <c r="I8275" s="27" t="s">
        <v>29</v>
      </c>
      <c r="J8275" s="37">
        <v>46003</v>
      </c>
      <c r="K8275" s="27" t="s">
        <v>22</v>
      </c>
    </row>
    <row r="8276" spans="1:11" x14ac:dyDescent="0.2">
      <c r="A8276" s="24" t="s">
        <v>19257</v>
      </c>
      <c r="B8276" s="24" t="s">
        <v>19258</v>
      </c>
      <c r="C8276" s="24" t="s">
        <v>2669</v>
      </c>
      <c r="D8276" s="24" t="s">
        <v>17</v>
      </c>
      <c r="E8276" s="24" t="s">
        <v>42</v>
      </c>
      <c r="F8276" s="24" t="s">
        <v>43</v>
      </c>
      <c r="G8276" s="24" t="s">
        <v>217</v>
      </c>
      <c r="H8276" s="26">
        <v>201</v>
      </c>
      <c r="I8276" s="24" t="s">
        <v>29</v>
      </c>
      <c r="J8276" s="36">
        <v>45992</v>
      </c>
      <c r="K8276" s="24" t="s">
        <v>22</v>
      </c>
    </row>
    <row r="8277" spans="1:11" x14ac:dyDescent="0.2">
      <c r="A8277" s="27" t="s">
        <v>19259</v>
      </c>
      <c r="B8277" s="27" t="s">
        <v>19260</v>
      </c>
      <c r="C8277" s="27" t="s">
        <v>379</v>
      </c>
      <c r="D8277" s="27" t="s">
        <v>17</v>
      </c>
      <c r="E8277" s="27" t="s">
        <v>18</v>
      </c>
      <c r="F8277" s="27" t="s">
        <v>19</v>
      </c>
      <c r="G8277" s="27" t="s">
        <v>20</v>
      </c>
      <c r="H8277" s="29">
        <v>40</v>
      </c>
      <c r="I8277" s="27" t="s">
        <v>21</v>
      </c>
      <c r="J8277" s="37">
        <v>45992</v>
      </c>
      <c r="K8277" s="27" t="s">
        <v>22</v>
      </c>
    </row>
    <row r="8278" spans="1:11" x14ac:dyDescent="0.2">
      <c r="A8278" s="24" t="s">
        <v>19261</v>
      </c>
      <c r="B8278" s="24" t="s">
        <v>19262</v>
      </c>
      <c r="C8278" s="24" t="s">
        <v>134</v>
      </c>
      <c r="D8278" s="24" t="s">
        <v>17</v>
      </c>
      <c r="E8278" s="24" t="s">
        <v>18</v>
      </c>
      <c r="F8278" s="24" t="s">
        <v>19</v>
      </c>
      <c r="G8278" s="24" t="s">
        <v>28</v>
      </c>
      <c r="H8278" s="26">
        <v>106</v>
      </c>
      <c r="I8278" s="24" t="s">
        <v>29</v>
      </c>
      <c r="J8278" s="36">
        <v>46014</v>
      </c>
      <c r="K8278" s="24" t="s">
        <v>22</v>
      </c>
    </row>
    <row r="8279" spans="1:11" x14ac:dyDescent="0.2">
      <c r="A8279" s="27" t="s">
        <v>19263</v>
      </c>
      <c r="B8279" s="27" t="s">
        <v>19264</v>
      </c>
      <c r="C8279" s="27" t="s">
        <v>15192</v>
      </c>
      <c r="D8279" s="27" t="s">
        <v>17</v>
      </c>
      <c r="E8279" s="27" t="s">
        <v>42</v>
      </c>
      <c r="F8279" s="27" t="s">
        <v>43</v>
      </c>
      <c r="G8279" s="27" t="s">
        <v>28</v>
      </c>
      <c r="H8279" s="29">
        <v>1200</v>
      </c>
      <c r="I8279" s="27" t="s">
        <v>29</v>
      </c>
      <c r="J8279" s="37">
        <v>46021</v>
      </c>
      <c r="K8279" s="27" t="s">
        <v>22</v>
      </c>
    </row>
    <row r="8280" spans="1:11" x14ac:dyDescent="0.2">
      <c r="A8280" s="24" t="s">
        <v>19265</v>
      </c>
      <c r="B8280" s="24" t="s">
        <v>19266</v>
      </c>
      <c r="C8280" s="24" t="s">
        <v>1346</v>
      </c>
      <c r="D8280" s="24" t="s">
        <v>17</v>
      </c>
      <c r="E8280" s="24" t="s">
        <v>26</v>
      </c>
      <c r="F8280" s="24" t="s">
        <v>27</v>
      </c>
      <c r="G8280" s="24" t="s">
        <v>217</v>
      </c>
      <c r="H8280" s="26">
        <v>110</v>
      </c>
      <c r="I8280" s="24" t="s">
        <v>29</v>
      </c>
      <c r="J8280" s="36">
        <v>46001</v>
      </c>
      <c r="K8280" s="24" t="s">
        <v>22</v>
      </c>
    </row>
    <row r="8281" spans="1:11" x14ac:dyDescent="0.2">
      <c r="A8281" s="27" t="s">
        <v>19267</v>
      </c>
      <c r="B8281" s="27" t="s">
        <v>19268</v>
      </c>
      <c r="C8281" s="27" t="s">
        <v>14588</v>
      </c>
      <c r="D8281" s="27" t="s">
        <v>17</v>
      </c>
      <c r="E8281" s="27" t="s">
        <v>18</v>
      </c>
      <c r="F8281" s="27" t="s">
        <v>19</v>
      </c>
      <c r="G8281" s="27" t="s">
        <v>28</v>
      </c>
      <c r="H8281" s="29">
        <v>20</v>
      </c>
      <c r="I8281" s="27" t="s">
        <v>29</v>
      </c>
      <c r="J8281" s="37">
        <v>45995</v>
      </c>
      <c r="K8281" s="27" t="s">
        <v>22</v>
      </c>
    </row>
    <row r="8282" spans="1:11" x14ac:dyDescent="0.2">
      <c r="A8282" s="24" t="s">
        <v>19269</v>
      </c>
      <c r="B8282" s="24" t="s">
        <v>19270</v>
      </c>
      <c r="C8282" s="24" t="s">
        <v>1876</v>
      </c>
      <c r="D8282" s="24" t="s">
        <v>17</v>
      </c>
      <c r="E8282" s="24" t="s">
        <v>42</v>
      </c>
      <c r="F8282" s="24" t="s">
        <v>43</v>
      </c>
      <c r="G8282" s="24" t="s">
        <v>28</v>
      </c>
      <c r="H8282" s="26">
        <v>632</v>
      </c>
      <c r="I8282" s="24" t="s">
        <v>29</v>
      </c>
      <c r="J8282" s="36">
        <v>46020</v>
      </c>
      <c r="K8282" s="24" t="s">
        <v>22</v>
      </c>
    </row>
    <row r="8283" spans="1:11" x14ac:dyDescent="0.2">
      <c r="A8283" s="27" t="s">
        <v>19271</v>
      </c>
      <c r="B8283" s="27" t="s">
        <v>19272</v>
      </c>
      <c r="C8283" s="27" t="s">
        <v>8596</v>
      </c>
      <c r="D8283" s="27" t="s">
        <v>17</v>
      </c>
      <c r="E8283" s="27" t="s">
        <v>18</v>
      </c>
      <c r="F8283" s="27" t="s">
        <v>19</v>
      </c>
      <c r="G8283" s="27" t="s">
        <v>28</v>
      </c>
      <c r="H8283" s="29">
        <v>9</v>
      </c>
      <c r="I8283" s="27" t="s">
        <v>29</v>
      </c>
      <c r="J8283" s="37">
        <v>45993</v>
      </c>
      <c r="K8283" s="27" t="s">
        <v>22</v>
      </c>
    </row>
    <row r="8284" spans="1:11" x14ac:dyDescent="0.2">
      <c r="A8284" s="24" t="s">
        <v>19273</v>
      </c>
      <c r="B8284" s="24" t="s">
        <v>19274</v>
      </c>
      <c r="C8284" s="24" t="s">
        <v>19275</v>
      </c>
      <c r="D8284" s="24" t="s">
        <v>17</v>
      </c>
      <c r="E8284" s="24" t="s">
        <v>26</v>
      </c>
      <c r="F8284" s="24" t="s">
        <v>27</v>
      </c>
      <c r="G8284" s="24" t="s">
        <v>217</v>
      </c>
      <c r="H8284" s="26">
        <v>221</v>
      </c>
      <c r="I8284" s="24" t="s">
        <v>29</v>
      </c>
      <c r="J8284" s="36">
        <v>46022</v>
      </c>
      <c r="K8284" s="24" t="s">
        <v>22</v>
      </c>
    </row>
    <row r="8285" spans="1:11" x14ac:dyDescent="0.2">
      <c r="A8285" s="27" t="s">
        <v>19276</v>
      </c>
      <c r="B8285" s="27" t="s">
        <v>19277</v>
      </c>
      <c r="C8285" s="27" t="s">
        <v>1005</v>
      </c>
      <c r="D8285" s="27" t="s">
        <v>17</v>
      </c>
      <c r="E8285" s="27" t="s">
        <v>48</v>
      </c>
      <c r="F8285" s="27" t="s">
        <v>49</v>
      </c>
      <c r="G8285" s="27" t="s">
        <v>28</v>
      </c>
      <c r="H8285" s="29">
        <v>80</v>
      </c>
      <c r="I8285" s="27" t="s">
        <v>29</v>
      </c>
      <c r="J8285" s="37">
        <v>46001</v>
      </c>
      <c r="K8285" s="27" t="s">
        <v>22</v>
      </c>
    </row>
    <row r="8286" spans="1:11" x14ac:dyDescent="0.2">
      <c r="A8286" s="24" t="s">
        <v>19278</v>
      </c>
      <c r="B8286" s="24" t="s">
        <v>19279</v>
      </c>
      <c r="C8286" s="24" t="s">
        <v>97</v>
      </c>
      <c r="D8286" s="24" t="s">
        <v>17</v>
      </c>
      <c r="E8286" s="24" t="s">
        <v>18</v>
      </c>
      <c r="F8286" s="24" t="s">
        <v>19</v>
      </c>
      <c r="G8286" s="24" t="s">
        <v>28</v>
      </c>
      <c r="H8286" s="26">
        <v>48</v>
      </c>
      <c r="I8286" s="24" t="s">
        <v>29</v>
      </c>
      <c r="J8286" s="36">
        <v>45993</v>
      </c>
      <c r="K8286" s="24" t="s">
        <v>22</v>
      </c>
    </row>
    <row r="8287" spans="1:11" x14ac:dyDescent="0.2">
      <c r="A8287" s="27" t="s">
        <v>19280</v>
      </c>
      <c r="B8287" s="27" t="s">
        <v>19281</v>
      </c>
      <c r="C8287" s="27" t="s">
        <v>19282</v>
      </c>
      <c r="D8287" s="27" t="s">
        <v>17</v>
      </c>
      <c r="E8287" s="27" t="s">
        <v>42</v>
      </c>
      <c r="F8287" s="27" t="s">
        <v>43</v>
      </c>
      <c r="G8287" s="27" t="s">
        <v>217</v>
      </c>
      <c r="H8287" s="29">
        <v>740</v>
      </c>
      <c r="I8287" s="27" t="s">
        <v>29</v>
      </c>
      <c r="J8287" s="37">
        <v>45992</v>
      </c>
      <c r="K8287" s="27" t="s">
        <v>22</v>
      </c>
    </row>
    <row r="8288" spans="1:11" x14ac:dyDescent="0.2">
      <c r="A8288" s="24" t="s">
        <v>19283</v>
      </c>
      <c r="B8288" s="24" t="s">
        <v>19284</v>
      </c>
      <c r="C8288" s="24" t="s">
        <v>8104</v>
      </c>
      <c r="D8288" s="24" t="s">
        <v>17</v>
      </c>
      <c r="E8288" s="24" t="s">
        <v>18</v>
      </c>
      <c r="F8288" s="24" t="s">
        <v>19</v>
      </c>
      <c r="G8288" s="24" t="s">
        <v>28</v>
      </c>
      <c r="H8288" s="26">
        <v>80</v>
      </c>
      <c r="I8288" s="24" t="s">
        <v>29</v>
      </c>
      <c r="J8288" s="36">
        <v>46017</v>
      </c>
      <c r="K8288" s="24" t="s">
        <v>22</v>
      </c>
    </row>
    <row r="8289" spans="1:11" x14ac:dyDescent="0.2">
      <c r="A8289" s="27" t="s">
        <v>19285</v>
      </c>
      <c r="B8289" s="27" t="s">
        <v>19286</v>
      </c>
      <c r="C8289" s="27" t="s">
        <v>19287</v>
      </c>
      <c r="D8289" s="27" t="s">
        <v>17</v>
      </c>
      <c r="E8289" s="27" t="s">
        <v>48</v>
      </c>
      <c r="F8289" s="27" t="s">
        <v>49</v>
      </c>
      <c r="G8289" s="27" t="s">
        <v>28</v>
      </c>
      <c r="H8289" s="29">
        <v>54</v>
      </c>
      <c r="I8289" s="27" t="s">
        <v>29</v>
      </c>
      <c r="J8289" s="37">
        <v>46009</v>
      </c>
      <c r="K8289" s="27" t="s">
        <v>22</v>
      </c>
    </row>
    <row r="8290" spans="1:11" x14ac:dyDescent="0.2">
      <c r="A8290" s="24" t="s">
        <v>19288</v>
      </c>
      <c r="B8290" s="24" t="s">
        <v>19289</v>
      </c>
      <c r="C8290" s="24" t="s">
        <v>415</v>
      </c>
      <c r="D8290" s="24" t="s">
        <v>17</v>
      </c>
      <c r="E8290" s="24" t="s">
        <v>48</v>
      </c>
      <c r="F8290" s="24" t="s">
        <v>49</v>
      </c>
      <c r="G8290" s="24" t="s">
        <v>28</v>
      </c>
      <c r="H8290" s="26">
        <v>92</v>
      </c>
      <c r="I8290" s="24" t="s">
        <v>29</v>
      </c>
      <c r="J8290" s="36">
        <v>46007</v>
      </c>
      <c r="K8290" s="24" t="s">
        <v>22</v>
      </c>
    </row>
    <row r="8291" spans="1:11" x14ac:dyDescent="0.2">
      <c r="A8291" s="27" t="s">
        <v>19290</v>
      </c>
      <c r="B8291" s="27" t="s">
        <v>19291</v>
      </c>
      <c r="C8291" s="27" t="s">
        <v>14417</v>
      </c>
      <c r="D8291" s="27" t="s">
        <v>17</v>
      </c>
      <c r="E8291" s="27" t="s">
        <v>26</v>
      </c>
      <c r="F8291" s="27" t="s">
        <v>27</v>
      </c>
      <c r="G8291" s="27" t="s">
        <v>28</v>
      </c>
      <c r="H8291" s="29">
        <v>110</v>
      </c>
      <c r="I8291" s="27" t="s">
        <v>29</v>
      </c>
      <c r="J8291" s="37">
        <v>45993</v>
      </c>
      <c r="K8291" s="27" t="s">
        <v>22</v>
      </c>
    </row>
    <row r="8292" spans="1:11" x14ac:dyDescent="0.2">
      <c r="A8292" s="24" t="s">
        <v>19292</v>
      </c>
      <c r="B8292" s="24" t="s">
        <v>19293</v>
      </c>
      <c r="C8292" s="24" t="s">
        <v>55</v>
      </c>
      <c r="D8292" s="24" t="s">
        <v>17</v>
      </c>
      <c r="E8292" s="24" t="s">
        <v>18</v>
      </c>
      <c r="F8292" s="24" t="s">
        <v>19</v>
      </c>
      <c r="G8292" s="24" t="s">
        <v>28</v>
      </c>
      <c r="H8292" s="26">
        <v>52</v>
      </c>
      <c r="I8292" s="24" t="s">
        <v>29</v>
      </c>
      <c r="J8292" s="36">
        <v>46013</v>
      </c>
      <c r="K8292" s="24" t="s">
        <v>22</v>
      </c>
    </row>
    <row r="8293" spans="1:11" x14ac:dyDescent="0.2">
      <c r="A8293" s="27" t="s">
        <v>19294</v>
      </c>
      <c r="B8293" s="27" t="s">
        <v>19295</v>
      </c>
      <c r="C8293" s="27" t="s">
        <v>19296</v>
      </c>
      <c r="D8293" s="27" t="s">
        <v>17</v>
      </c>
      <c r="E8293" s="27" t="s">
        <v>18</v>
      </c>
      <c r="F8293" s="27" t="s">
        <v>19</v>
      </c>
      <c r="G8293" s="27" t="s">
        <v>28</v>
      </c>
      <c r="H8293" s="29">
        <v>60</v>
      </c>
      <c r="I8293" s="27" t="s">
        <v>29</v>
      </c>
      <c r="J8293" s="37">
        <v>45996</v>
      </c>
      <c r="K8293" s="27" t="s">
        <v>22</v>
      </c>
    </row>
    <row r="8294" spans="1:11" x14ac:dyDescent="0.2">
      <c r="A8294" s="24" t="s">
        <v>19297</v>
      </c>
      <c r="B8294" s="24" t="s">
        <v>19298</v>
      </c>
      <c r="C8294" s="24" t="s">
        <v>1110</v>
      </c>
      <c r="D8294" s="24" t="s">
        <v>17</v>
      </c>
      <c r="E8294" s="24" t="s">
        <v>18</v>
      </c>
      <c r="F8294" s="24" t="s">
        <v>19</v>
      </c>
      <c r="G8294" s="24" t="s">
        <v>28</v>
      </c>
      <c r="H8294" s="26">
        <v>128</v>
      </c>
      <c r="I8294" s="24" t="s">
        <v>29</v>
      </c>
      <c r="J8294" s="36">
        <v>46013</v>
      </c>
      <c r="K8294" s="24" t="s">
        <v>22</v>
      </c>
    </row>
    <row r="8295" spans="1:11" x14ac:dyDescent="0.2">
      <c r="A8295" s="27" t="s">
        <v>19299</v>
      </c>
      <c r="B8295" s="27" t="s">
        <v>19300</v>
      </c>
      <c r="C8295" s="27" t="s">
        <v>13620</v>
      </c>
      <c r="D8295" s="27" t="s">
        <v>17</v>
      </c>
      <c r="E8295" s="27" t="s">
        <v>18</v>
      </c>
      <c r="F8295" s="27" t="s">
        <v>19</v>
      </c>
      <c r="G8295" s="27" t="s">
        <v>28</v>
      </c>
      <c r="H8295" s="29">
        <v>56</v>
      </c>
      <c r="I8295" s="27" t="s">
        <v>29</v>
      </c>
      <c r="J8295" s="37">
        <v>46016</v>
      </c>
      <c r="K8295" s="27" t="s">
        <v>22</v>
      </c>
    </row>
    <row r="8296" spans="1:11" x14ac:dyDescent="0.2">
      <c r="A8296" s="24" t="s">
        <v>19301</v>
      </c>
      <c r="B8296" s="24" t="s">
        <v>19302</v>
      </c>
      <c r="C8296" s="24" t="s">
        <v>19303</v>
      </c>
      <c r="D8296" s="24" t="s">
        <v>17</v>
      </c>
      <c r="E8296" s="24" t="s">
        <v>48</v>
      </c>
      <c r="F8296" s="24" t="s">
        <v>49</v>
      </c>
      <c r="G8296" s="24" t="s">
        <v>28</v>
      </c>
      <c r="H8296" s="26">
        <v>150</v>
      </c>
      <c r="I8296" s="24" t="s">
        <v>29</v>
      </c>
      <c r="J8296" s="36">
        <v>46015</v>
      </c>
      <c r="K8296" s="24" t="s">
        <v>22</v>
      </c>
    </row>
    <row r="8297" spans="1:11" x14ac:dyDescent="0.2">
      <c r="A8297" s="27" t="s">
        <v>19304</v>
      </c>
      <c r="B8297" s="27" t="s">
        <v>19305</v>
      </c>
      <c r="C8297" s="27" t="s">
        <v>708</v>
      </c>
      <c r="D8297" s="27" t="s">
        <v>17</v>
      </c>
      <c r="E8297" s="27" t="s">
        <v>18</v>
      </c>
      <c r="F8297" s="27" t="s">
        <v>19</v>
      </c>
      <c r="G8297" s="27" t="s">
        <v>28</v>
      </c>
      <c r="H8297" s="29">
        <v>90</v>
      </c>
      <c r="I8297" s="27" t="s">
        <v>29</v>
      </c>
      <c r="J8297" s="37">
        <v>46013</v>
      </c>
      <c r="K8297" s="27" t="s">
        <v>22</v>
      </c>
    </row>
    <row r="8298" spans="1:11" x14ac:dyDescent="0.2">
      <c r="A8298" s="24" t="s">
        <v>19306</v>
      </c>
      <c r="B8298" s="24" t="s">
        <v>19307</v>
      </c>
      <c r="C8298" s="24" t="s">
        <v>1417</v>
      </c>
      <c r="D8298" s="24" t="s">
        <v>17</v>
      </c>
      <c r="E8298" s="24" t="s">
        <v>48</v>
      </c>
      <c r="F8298" s="24" t="s">
        <v>49</v>
      </c>
      <c r="G8298" s="24" t="s">
        <v>28</v>
      </c>
      <c r="H8298" s="26">
        <v>60</v>
      </c>
      <c r="I8298" s="24" t="s">
        <v>29</v>
      </c>
      <c r="J8298" s="36">
        <v>46003</v>
      </c>
      <c r="K8298" s="24" t="s">
        <v>22</v>
      </c>
    </row>
    <row r="8299" spans="1:11" x14ac:dyDescent="0.2">
      <c r="A8299" s="27" t="s">
        <v>19308</v>
      </c>
      <c r="B8299" s="27" t="s">
        <v>19309</v>
      </c>
      <c r="C8299" s="27" t="s">
        <v>2547</v>
      </c>
      <c r="D8299" s="27" t="s">
        <v>17</v>
      </c>
      <c r="E8299" s="27" t="s">
        <v>18</v>
      </c>
      <c r="F8299" s="27" t="s">
        <v>19</v>
      </c>
      <c r="G8299" s="27" t="s">
        <v>28</v>
      </c>
      <c r="H8299" s="29">
        <v>10</v>
      </c>
      <c r="I8299" s="27" t="s">
        <v>29</v>
      </c>
      <c r="J8299" s="37">
        <v>46022</v>
      </c>
      <c r="K8299" s="27" t="s">
        <v>22</v>
      </c>
    </row>
    <row r="8300" spans="1:11" x14ac:dyDescent="0.2">
      <c r="A8300" s="24" t="s">
        <v>19310</v>
      </c>
      <c r="B8300" s="24" t="s">
        <v>19311</v>
      </c>
      <c r="C8300" s="24" t="s">
        <v>526</v>
      </c>
      <c r="D8300" s="24" t="s">
        <v>17</v>
      </c>
      <c r="E8300" s="24" t="s">
        <v>42</v>
      </c>
      <c r="F8300" s="24" t="s">
        <v>43</v>
      </c>
      <c r="G8300" s="24" t="s">
        <v>28</v>
      </c>
      <c r="H8300" s="26">
        <v>1035</v>
      </c>
      <c r="I8300" s="24" t="s">
        <v>29</v>
      </c>
      <c r="J8300" s="36">
        <v>46006</v>
      </c>
      <c r="K8300" s="24" t="s">
        <v>22</v>
      </c>
    </row>
    <row r="8301" spans="1:11" x14ac:dyDescent="0.2">
      <c r="A8301" s="27" t="s">
        <v>19312</v>
      </c>
      <c r="B8301" s="27" t="s">
        <v>19313</v>
      </c>
      <c r="C8301" s="27" t="s">
        <v>1050</v>
      </c>
      <c r="D8301" s="27" t="s">
        <v>17</v>
      </c>
      <c r="E8301" s="27" t="s">
        <v>26</v>
      </c>
      <c r="F8301" s="27" t="s">
        <v>27</v>
      </c>
      <c r="G8301" s="27" t="s">
        <v>217</v>
      </c>
      <c r="H8301" s="29">
        <v>116</v>
      </c>
      <c r="I8301" s="27" t="s">
        <v>29</v>
      </c>
      <c r="J8301" s="37">
        <v>46014</v>
      </c>
      <c r="K8301" s="27" t="s">
        <v>22</v>
      </c>
    </row>
    <row r="8302" spans="1:11" x14ac:dyDescent="0.2">
      <c r="A8302" s="24" t="s">
        <v>19314</v>
      </c>
      <c r="B8302" s="24" t="s">
        <v>19315</v>
      </c>
      <c r="C8302" s="24" t="s">
        <v>1737</v>
      </c>
      <c r="D8302" s="24" t="s">
        <v>17</v>
      </c>
      <c r="E8302" s="24" t="s">
        <v>26</v>
      </c>
      <c r="F8302" s="24" t="s">
        <v>27</v>
      </c>
      <c r="G8302" s="24" t="s">
        <v>217</v>
      </c>
      <c r="H8302" s="26">
        <v>400</v>
      </c>
      <c r="I8302" s="24" t="s">
        <v>29</v>
      </c>
      <c r="J8302" s="36">
        <v>45992</v>
      </c>
      <c r="K8302" s="24" t="s">
        <v>22</v>
      </c>
    </row>
    <row r="8303" spans="1:11" x14ac:dyDescent="0.2">
      <c r="A8303" s="27" t="s">
        <v>19316</v>
      </c>
      <c r="B8303" s="27" t="s">
        <v>19317</v>
      </c>
      <c r="C8303" s="27" t="s">
        <v>19318</v>
      </c>
      <c r="D8303" s="27" t="s">
        <v>17</v>
      </c>
      <c r="E8303" s="27" t="s">
        <v>26</v>
      </c>
      <c r="F8303" s="27" t="s">
        <v>27</v>
      </c>
      <c r="G8303" s="27" t="s">
        <v>28</v>
      </c>
      <c r="H8303" s="29">
        <v>12</v>
      </c>
      <c r="I8303" s="27" t="s">
        <v>29</v>
      </c>
      <c r="J8303" s="37">
        <v>46010</v>
      </c>
      <c r="K8303" s="27" t="s">
        <v>22</v>
      </c>
    </row>
    <row r="8304" spans="1:11" x14ac:dyDescent="0.2">
      <c r="A8304" s="24" t="s">
        <v>19319</v>
      </c>
      <c r="B8304" s="24" t="s">
        <v>19320</v>
      </c>
      <c r="C8304" s="24" t="s">
        <v>678</v>
      </c>
      <c r="D8304" s="24" t="s">
        <v>17</v>
      </c>
      <c r="E8304" s="24" t="s">
        <v>48</v>
      </c>
      <c r="F8304" s="24" t="s">
        <v>49</v>
      </c>
      <c r="G8304" s="24" t="s">
        <v>217</v>
      </c>
      <c r="H8304" s="26">
        <v>10</v>
      </c>
      <c r="I8304" s="24" t="s">
        <v>29</v>
      </c>
      <c r="J8304" s="36">
        <v>46006</v>
      </c>
      <c r="K8304" s="24" t="s">
        <v>22</v>
      </c>
    </row>
    <row r="8305" spans="1:11" x14ac:dyDescent="0.2">
      <c r="A8305" s="27" t="s">
        <v>19321</v>
      </c>
      <c r="B8305" s="27" t="s">
        <v>19322</v>
      </c>
      <c r="C8305" s="27" t="s">
        <v>10475</v>
      </c>
      <c r="D8305" s="27" t="s">
        <v>17</v>
      </c>
      <c r="E8305" s="27" t="s">
        <v>48</v>
      </c>
      <c r="F8305" s="27" t="s">
        <v>49</v>
      </c>
      <c r="G8305" s="27" t="s">
        <v>28</v>
      </c>
      <c r="H8305" s="29">
        <v>180</v>
      </c>
      <c r="I8305" s="27" t="s">
        <v>29</v>
      </c>
      <c r="J8305" s="37">
        <v>45996</v>
      </c>
      <c r="K8305" s="27" t="s">
        <v>22</v>
      </c>
    </row>
    <row r="8306" spans="1:11" x14ac:dyDescent="0.2">
      <c r="A8306" s="24" t="s">
        <v>19323</v>
      </c>
      <c r="B8306" s="24" t="s">
        <v>19324</v>
      </c>
      <c r="C8306" s="24" t="s">
        <v>3539</v>
      </c>
      <c r="D8306" s="24" t="s">
        <v>17</v>
      </c>
      <c r="E8306" s="24" t="s">
        <v>42</v>
      </c>
      <c r="F8306" s="24" t="s">
        <v>43</v>
      </c>
      <c r="G8306" s="24" t="s">
        <v>28</v>
      </c>
      <c r="H8306" s="26">
        <v>1096</v>
      </c>
      <c r="I8306" s="24" t="s">
        <v>29</v>
      </c>
      <c r="J8306" s="36">
        <v>45999</v>
      </c>
      <c r="K8306" s="24" t="s">
        <v>22</v>
      </c>
    </row>
    <row r="8307" spans="1:11" x14ac:dyDescent="0.2">
      <c r="A8307" s="27" t="s">
        <v>19325</v>
      </c>
      <c r="B8307" s="27" t="s">
        <v>19326</v>
      </c>
      <c r="C8307" s="27" t="s">
        <v>2669</v>
      </c>
      <c r="D8307" s="27" t="s">
        <v>17</v>
      </c>
      <c r="E8307" s="27" t="s">
        <v>48</v>
      </c>
      <c r="F8307" s="27" t="s">
        <v>49</v>
      </c>
      <c r="G8307" s="27" t="s">
        <v>217</v>
      </c>
      <c r="H8307" s="29">
        <v>245</v>
      </c>
      <c r="I8307" s="27" t="s">
        <v>29</v>
      </c>
      <c r="J8307" s="37">
        <v>45992</v>
      </c>
      <c r="K8307" s="27" t="s">
        <v>22</v>
      </c>
    </row>
    <row r="8308" spans="1:11" x14ac:dyDescent="0.2">
      <c r="A8308" s="24" t="s">
        <v>19327</v>
      </c>
      <c r="B8308" s="24" t="s">
        <v>19328</v>
      </c>
      <c r="C8308" s="24" t="s">
        <v>19329</v>
      </c>
      <c r="D8308" s="24" t="s">
        <v>17</v>
      </c>
      <c r="E8308" s="24" t="s">
        <v>42</v>
      </c>
      <c r="F8308" s="24" t="s">
        <v>43</v>
      </c>
      <c r="G8308" s="24" t="s">
        <v>28</v>
      </c>
      <c r="H8308" s="26">
        <v>162</v>
      </c>
      <c r="I8308" s="24" t="s">
        <v>29</v>
      </c>
      <c r="J8308" s="36">
        <v>46014</v>
      </c>
      <c r="K8308" s="24" t="s">
        <v>22</v>
      </c>
    </row>
    <row r="8309" spans="1:11" x14ac:dyDescent="0.2">
      <c r="A8309" s="27" t="s">
        <v>19330</v>
      </c>
      <c r="B8309" s="27" t="s">
        <v>19331</v>
      </c>
      <c r="C8309" s="27" t="s">
        <v>12611</v>
      </c>
      <c r="D8309" s="27" t="s">
        <v>17</v>
      </c>
      <c r="E8309" s="27" t="s">
        <v>42</v>
      </c>
      <c r="F8309" s="27" t="s">
        <v>43</v>
      </c>
      <c r="G8309" s="27" t="s">
        <v>28</v>
      </c>
      <c r="H8309" s="29">
        <v>100</v>
      </c>
      <c r="I8309" s="27" t="s">
        <v>29</v>
      </c>
      <c r="J8309" s="37">
        <v>46013</v>
      </c>
      <c r="K8309" s="27" t="s">
        <v>22</v>
      </c>
    </row>
    <row r="8310" spans="1:11" x14ac:dyDescent="0.2">
      <c r="A8310" s="24" t="s">
        <v>19332</v>
      </c>
      <c r="B8310" s="24" t="s">
        <v>19333</v>
      </c>
      <c r="C8310" s="24" t="s">
        <v>11254</v>
      </c>
      <c r="D8310" s="24" t="s">
        <v>17</v>
      </c>
      <c r="E8310" s="24" t="s">
        <v>48</v>
      </c>
      <c r="F8310" s="24" t="s">
        <v>49</v>
      </c>
      <c r="G8310" s="24" t="s">
        <v>28</v>
      </c>
      <c r="H8310" s="26">
        <v>164</v>
      </c>
      <c r="I8310" s="24" t="s">
        <v>29</v>
      </c>
      <c r="J8310" s="36">
        <v>45992</v>
      </c>
      <c r="K8310" s="24" t="s">
        <v>22</v>
      </c>
    </row>
    <row r="8311" spans="1:11" x14ac:dyDescent="0.2">
      <c r="A8311" s="27" t="s">
        <v>19334</v>
      </c>
      <c r="B8311" s="27" t="s">
        <v>19335</v>
      </c>
      <c r="C8311" s="27" t="s">
        <v>19336</v>
      </c>
      <c r="D8311" s="27" t="s">
        <v>17</v>
      </c>
      <c r="E8311" s="27" t="s">
        <v>81</v>
      </c>
      <c r="F8311" s="27" t="s">
        <v>82</v>
      </c>
      <c r="G8311" s="27" t="s">
        <v>217</v>
      </c>
      <c r="H8311" s="29">
        <v>40</v>
      </c>
      <c r="I8311" s="27" t="s">
        <v>29</v>
      </c>
      <c r="J8311" s="37">
        <v>45992</v>
      </c>
      <c r="K8311" s="27" t="s">
        <v>22</v>
      </c>
    </row>
    <row r="8312" spans="1:11" x14ac:dyDescent="0.2">
      <c r="A8312" s="24" t="s">
        <v>19337</v>
      </c>
      <c r="B8312" s="24" t="s">
        <v>19338</v>
      </c>
      <c r="C8312" s="24" t="s">
        <v>14302</v>
      </c>
      <c r="D8312" s="24" t="s">
        <v>17</v>
      </c>
      <c r="E8312" s="24" t="s">
        <v>18</v>
      </c>
      <c r="F8312" s="24" t="s">
        <v>19</v>
      </c>
      <c r="G8312" s="24" t="s">
        <v>217</v>
      </c>
      <c r="H8312" s="26">
        <v>30</v>
      </c>
      <c r="I8312" s="24" t="s">
        <v>29</v>
      </c>
      <c r="J8312" s="36">
        <v>45992</v>
      </c>
      <c r="K8312" s="24" t="s">
        <v>22</v>
      </c>
    </row>
    <row r="8313" spans="1:11" x14ac:dyDescent="0.2">
      <c r="A8313" s="27" t="s">
        <v>19339</v>
      </c>
      <c r="B8313" s="27" t="s">
        <v>19340</v>
      </c>
      <c r="C8313" s="27" t="s">
        <v>213</v>
      </c>
      <c r="D8313" s="27" t="s">
        <v>17</v>
      </c>
      <c r="E8313" s="27" t="s">
        <v>42</v>
      </c>
      <c r="F8313" s="27" t="s">
        <v>43</v>
      </c>
      <c r="G8313" s="27" t="s">
        <v>28</v>
      </c>
      <c r="H8313" s="29">
        <v>32000</v>
      </c>
      <c r="I8313" s="27" t="s">
        <v>29</v>
      </c>
      <c r="J8313" s="37">
        <v>46001</v>
      </c>
      <c r="K8313" s="27" t="s">
        <v>22</v>
      </c>
    </row>
    <row r="8314" spans="1:11" x14ac:dyDescent="0.2">
      <c r="A8314" s="24" t="s">
        <v>19341</v>
      </c>
      <c r="B8314" s="24" t="s">
        <v>19342</v>
      </c>
      <c r="C8314" s="24" t="s">
        <v>595</v>
      </c>
      <c r="D8314" s="24" t="s">
        <v>17</v>
      </c>
      <c r="E8314" s="24" t="s">
        <v>26</v>
      </c>
      <c r="F8314" s="24" t="s">
        <v>27</v>
      </c>
      <c r="G8314" s="24" t="s">
        <v>217</v>
      </c>
      <c r="H8314" s="26">
        <v>88</v>
      </c>
      <c r="I8314" s="24" t="s">
        <v>29</v>
      </c>
      <c r="J8314" s="36">
        <v>45992</v>
      </c>
      <c r="K8314" s="24" t="s">
        <v>22</v>
      </c>
    </row>
    <row r="8315" spans="1:11" x14ac:dyDescent="0.2">
      <c r="A8315" s="27" t="s">
        <v>19343</v>
      </c>
      <c r="B8315" s="27" t="s">
        <v>19344</v>
      </c>
      <c r="C8315" s="27" t="s">
        <v>6098</v>
      </c>
      <c r="D8315" s="27" t="s">
        <v>17</v>
      </c>
      <c r="E8315" s="27" t="s">
        <v>48</v>
      </c>
      <c r="F8315" s="27" t="s">
        <v>49</v>
      </c>
      <c r="G8315" s="27" t="s">
        <v>28</v>
      </c>
      <c r="H8315" s="29">
        <v>92</v>
      </c>
      <c r="I8315" s="27" t="s">
        <v>29</v>
      </c>
      <c r="J8315" s="37">
        <v>46007</v>
      </c>
      <c r="K8315" s="27" t="s">
        <v>22</v>
      </c>
    </row>
    <row r="8316" spans="1:11" x14ac:dyDescent="0.2">
      <c r="A8316" s="24" t="s">
        <v>19345</v>
      </c>
      <c r="B8316" s="24" t="s">
        <v>19346</v>
      </c>
      <c r="C8316" s="24" t="s">
        <v>19154</v>
      </c>
      <c r="D8316" s="24" t="s">
        <v>17</v>
      </c>
      <c r="E8316" s="24" t="s">
        <v>18</v>
      </c>
      <c r="F8316" s="24" t="s">
        <v>19</v>
      </c>
      <c r="G8316" s="24" t="s">
        <v>217</v>
      </c>
      <c r="H8316" s="26">
        <v>20</v>
      </c>
      <c r="I8316" s="24" t="s">
        <v>29</v>
      </c>
      <c r="J8316" s="36">
        <v>45992</v>
      </c>
      <c r="K8316" s="24" t="s">
        <v>22</v>
      </c>
    </row>
    <row r="8317" spans="1:11" x14ac:dyDescent="0.2">
      <c r="A8317" s="27" t="s">
        <v>19347</v>
      </c>
      <c r="B8317" s="27" t="s">
        <v>19348</v>
      </c>
      <c r="C8317" s="27" t="s">
        <v>874</v>
      </c>
      <c r="D8317" s="27" t="s">
        <v>17</v>
      </c>
      <c r="E8317" s="27" t="s">
        <v>48</v>
      </c>
      <c r="F8317" s="27" t="s">
        <v>49</v>
      </c>
      <c r="G8317" s="27" t="s">
        <v>217</v>
      </c>
      <c r="H8317" s="29">
        <v>80</v>
      </c>
      <c r="I8317" s="27" t="s">
        <v>29</v>
      </c>
      <c r="J8317" s="37">
        <v>45992</v>
      </c>
      <c r="K8317" s="27" t="s">
        <v>22</v>
      </c>
    </row>
    <row r="8318" spans="1:11" x14ac:dyDescent="0.2">
      <c r="A8318" s="24" t="s">
        <v>19349</v>
      </c>
      <c r="B8318" s="24" t="s">
        <v>19350</v>
      </c>
      <c r="C8318" s="24" t="s">
        <v>97</v>
      </c>
      <c r="D8318" s="24" t="s">
        <v>17</v>
      </c>
      <c r="E8318" s="24" t="s">
        <v>48</v>
      </c>
      <c r="F8318" s="24" t="s">
        <v>49</v>
      </c>
      <c r="G8318" s="24" t="s">
        <v>28</v>
      </c>
      <c r="H8318" s="26">
        <v>320</v>
      </c>
      <c r="I8318" s="24" t="s">
        <v>29</v>
      </c>
      <c r="J8318" s="36">
        <v>46006</v>
      </c>
      <c r="K8318" s="24" t="s">
        <v>22</v>
      </c>
    </row>
    <row r="8319" spans="1:11" x14ac:dyDescent="0.2">
      <c r="A8319" s="27" t="s">
        <v>19351</v>
      </c>
      <c r="B8319" s="27" t="s">
        <v>19352</v>
      </c>
      <c r="C8319" s="27" t="s">
        <v>146</v>
      </c>
      <c r="D8319" s="27" t="s">
        <v>17</v>
      </c>
      <c r="E8319" s="27" t="s">
        <v>26</v>
      </c>
      <c r="F8319" s="27" t="s">
        <v>27</v>
      </c>
      <c r="G8319" s="27" t="s">
        <v>28</v>
      </c>
      <c r="H8319" s="29">
        <v>40</v>
      </c>
      <c r="I8319" s="27" t="s">
        <v>29</v>
      </c>
      <c r="J8319" s="37">
        <v>46021</v>
      </c>
      <c r="K8319" s="27" t="s">
        <v>22</v>
      </c>
    </row>
    <row r="8320" spans="1:11" x14ac:dyDescent="0.2">
      <c r="A8320" s="24" t="s">
        <v>19353</v>
      </c>
      <c r="B8320" s="24" t="s">
        <v>19354</v>
      </c>
      <c r="C8320" s="24" t="s">
        <v>331</v>
      </c>
      <c r="D8320" s="24" t="s">
        <v>17</v>
      </c>
      <c r="E8320" s="24" t="s">
        <v>48</v>
      </c>
      <c r="F8320" s="24" t="s">
        <v>49</v>
      </c>
      <c r="G8320" s="24" t="s">
        <v>28</v>
      </c>
      <c r="H8320" s="26">
        <v>56</v>
      </c>
      <c r="I8320" s="24" t="s">
        <v>29</v>
      </c>
      <c r="J8320" s="36">
        <v>46020</v>
      </c>
      <c r="K8320" s="24" t="s">
        <v>22</v>
      </c>
    </row>
    <row r="8321" spans="1:11" x14ac:dyDescent="0.2">
      <c r="A8321" s="27" t="s">
        <v>19355</v>
      </c>
      <c r="B8321" s="27" t="s">
        <v>19356</v>
      </c>
      <c r="C8321" s="27" t="s">
        <v>19357</v>
      </c>
      <c r="D8321" s="27" t="s">
        <v>17</v>
      </c>
      <c r="E8321" s="27" t="s">
        <v>42</v>
      </c>
      <c r="F8321" s="27" t="s">
        <v>43</v>
      </c>
      <c r="G8321" s="27" t="s">
        <v>28</v>
      </c>
      <c r="H8321" s="29">
        <v>56</v>
      </c>
      <c r="I8321" s="27" t="s">
        <v>29</v>
      </c>
      <c r="J8321" s="37">
        <v>46008</v>
      </c>
      <c r="K8321" s="27" t="s">
        <v>22</v>
      </c>
    </row>
    <row r="8322" spans="1:11" x14ac:dyDescent="0.2">
      <c r="A8322" s="24" t="s">
        <v>19358</v>
      </c>
      <c r="B8322" s="24" t="s">
        <v>19359</v>
      </c>
      <c r="C8322" s="24" t="s">
        <v>1059</v>
      </c>
      <c r="D8322" s="24" t="s">
        <v>17</v>
      </c>
      <c r="E8322" s="24" t="s">
        <v>18</v>
      </c>
      <c r="F8322" s="24" t="s">
        <v>19</v>
      </c>
      <c r="G8322" s="24" t="s">
        <v>217</v>
      </c>
      <c r="H8322" s="26">
        <v>44</v>
      </c>
      <c r="I8322" s="24" t="s">
        <v>29</v>
      </c>
      <c r="J8322" s="36">
        <v>45992</v>
      </c>
      <c r="K8322" s="24" t="s">
        <v>22</v>
      </c>
    </row>
    <row r="8323" spans="1:11" x14ac:dyDescent="0.2">
      <c r="A8323" s="27" t="s">
        <v>19360</v>
      </c>
      <c r="B8323" s="27" t="s">
        <v>19361</v>
      </c>
      <c r="C8323" s="27" t="s">
        <v>277</v>
      </c>
      <c r="D8323" s="27" t="s">
        <v>17</v>
      </c>
      <c r="E8323" s="27" t="s">
        <v>18</v>
      </c>
      <c r="F8323" s="27" t="s">
        <v>19</v>
      </c>
      <c r="G8323" s="27" t="s">
        <v>28</v>
      </c>
      <c r="H8323" s="29">
        <v>104</v>
      </c>
      <c r="I8323" s="27" t="s">
        <v>29</v>
      </c>
      <c r="J8323" s="37">
        <v>46009</v>
      </c>
      <c r="K8323" s="27" t="s">
        <v>22</v>
      </c>
    </row>
    <row r="8324" spans="1:11" x14ac:dyDescent="0.2">
      <c r="A8324" s="24" t="s">
        <v>19362</v>
      </c>
      <c r="B8324" s="24" t="s">
        <v>19363</v>
      </c>
      <c r="C8324" s="24" t="s">
        <v>409</v>
      </c>
      <c r="D8324" s="24" t="s">
        <v>17</v>
      </c>
      <c r="E8324" s="24" t="s">
        <v>18</v>
      </c>
      <c r="F8324" s="24" t="s">
        <v>19</v>
      </c>
      <c r="G8324" s="24" t="s">
        <v>217</v>
      </c>
      <c r="H8324" s="26">
        <v>60</v>
      </c>
      <c r="I8324" s="24" t="s">
        <v>29</v>
      </c>
      <c r="J8324" s="36">
        <v>46010</v>
      </c>
      <c r="K8324" s="24" t="s">
        <v>22</v>
      </c>
    </row>
    <row r="8325" spans="1:11" x14ac:dyDescent="0.2">
      <c r="A8325" s="27" t="s">
        <v>19364</v>
      </c>
      <c r="B8325" s="27" t="s">
        <v>19365</v>
      </c>
      <c r="C8325" s="27" t="s">
        <v>97</v>
      </c>
      <c r="D8325" s="27" t="s">
        <v>17</v>
      </c>
      <c r="E8325" s="27" t="s">
        <v>18</v>
      </c>
      <c r="F8325" s="27" t="s">
        <v>19</v>
      </c>
      <c r="G8325" s="27" t="s">
        <v>28</v>
      </c>
      <c r="H8325" s="29">
        <v>31</v>
      </c>
      <c r="I8325" s="27" t="s">
        <v>29</v>
      </c>
      <c r="J8325" s="37">
        <v>45992</v>
      </c>
      <c r="K8325" s="27" t="s">
        <v>22</v>
      </c>
    </row>
    <row r="8326" spans="1:11" x14ac:dyDescent="0.2">
      <c r="A8326" s="24" t="s">
        <v>19366</v>
      </c>
      <c r="B8326" s="24" t="s">
        <v>19367</v>
      </c>
      <c r="C8326" s="24" t="s">
        <v>19368</v>
      </c>
      <c r="D8326" s="24" t="s">
        <v>17</v>
      </c>
      <c r="E8326" s="24" t="s">
        <v>18</v>
      </c>
      <c r="F8326" s="24" t="s">
        <v>19</v>
      </c>
      <c r="G8326" s="24" t="s">
        <v>217</v>
      </c>
      <c r="H8326" s="26">
        <v>80</v>
      </c>
      <c r="I8326" s="24" t="s">
        <v>29</v>
      </c>
      <c r="J8326" s="36">
        <v>46014</v>
      </c>
      <c r="K8326" s="24" t="s">
        <v>22</v>
      </c>
    </row>
    <row r="8327" spans="1:11" x14ac:dyDescent="0.2">
      <c r="A8327" s="27" t="s">
        <v>19369</v>
      </c>
      <c r="B8327" s="27" t="s">
        <v>19370</v>
      </c>
      <c r="C8327" s="27" t="s">
        <v>19371</v>
      </c>
      <c r="D8327" s="27" t="s">
        <v>17</v>
      </c>
      <c r="E8327" s="27" t="s">
        <v>48</v>
      </c>
      <c r="F8327" s="27" t="s">
        <v>49</v>
      </c>
      <c r="G8327" s="27" t="s">
        <v>28</v>
      </c>
      <c r="H8327" s="29">
        <v>100</v>
      </c>
      <c r="I8327" s="27" t="s">
        <v>29</v>
      </c>
      <c r="J8327" s="37">
        <v>46000</v>
      </c>
      <c r="K8327" s="27" t="s">
        <v>22</v>
      </c>
    </row>
    <row r="8328" spans="1:11" x14ac:dyDescent="0.2">
      <c r="A8328" s="24" t="s">
        <v>19372</v>
      </c>
      <c r="B8328" s="24" t="s">
        <v>19373</v>
      </c>
      <c r="C8328" s="24" t="s">
        <v>2015</v>
      </c>
      <c r="D8328" s="24" t="s">
        <v>17</v>
      </c>
      <c r="E8328" s="24" t="s">
        <v>18</v>
      </c>
      <c r="F8328" s="24" t="s">
        <v>19</v>
      </c>
      <c r="G8328" s="24" t="s">
        <v>227</v>
      </c>
      <c r="H8328" s="26">
        <v>38</v>
      </c>
      <c r="I8328" s="24" t="s">
        <v>29</v>
      </c>
      <c r="J8328" s="36">
        <v>46019</v>
      </c>
      <c r="K8328" s="24" t="s">
        <v>22</v>
      </c>
    </row>
    <row r="8329" spans="1:11" x14ac:dyDescent="0.2">
      <c r="A8329" s="27" t="s">
        <v>19374</v>
      </c>
      <c r="B8329" s="27" t="s">
        <v>19375</v>
      </c>
      <c r="C8329" s="27" t="s">
        <v>18773</v>
      </c>
      <c r="D8329" s="27" t="s">
        <v>17</v>
      </c>
      <c r="E8329" s="27" t="s">
        <v>18</v>
      </c>
      <c r="F8329" s="27" t="s">
        <v>19</v>
      </c>
      <c r="G8329" s="27" t="s">
        <v>257</v>
      </c>
      <c r="H8329" s="29">
        <v>24</v>
      </c>
      <c r="I8329" s="27" t="s">
        <v>29</v>
      </c>
      <c r="J8329" s="37">
        <v>46022</v>
      </c>
      <c r="K8329" s="27" t="s">
        <v>22</v>
      </c>
    </row>
    <row r="8330" spans="1:11" x14ac:dyDescent="0.2">
      <c r="A8330" s="24" t="s">
        <v>19376</v>
      </c>
      <c r="B8330" s="24" t="s">
        <v>19377</v>
      </c>
      <c r="C8330" s="24" t="s">
        <v>1766</v>
      </c>
      <c r="D8330" s="24" t="s">
        <v>17</v>
      </c>
      <c r="E8330" s="24" t="s">
        <v>48</v>
      </c>
      <c r="F8330" s="24" t="s">
        <v>49</v>
      </c>
      <c r="G8330" s="24" t="s">
        <v>28</v>
      </c>
      <c r="H8330" s="26">
        <v>192</v>
      </c>
      <c r="I8330" s="24" t="s">
        <v>29</v>
      </c>
      <c r="J8330" s="36">
        <v>46002</v>
      </c>
      <c r="K8330" s="24" t="s">
        <v>22</v>
      </c>
    </row>
    <row r="8331" spans="1:11" x14ac:dyDescent="0.2">
      <c r="A8331" s="27" t="s">
        <v>19378</v>
      </c>
      <c r="B8331" s="27" t="s">
        <v>19379</v>
      </c>
      <c r="C8331" s="27" t="s">
        <v>91</v>
      </c>
      <c r="D8331" s="27" t="s">
        <v>17</v>
      </c>
      <c r="E8331" s="27" t="s">
        <v>26</v>
      </c>
      <c r="F8331" s="27" t="s">
        <v>27</v>
      </c>
      <c r="G8331" s="27" t="s">
        <v>28</v>
      </c>
      <c r="H8331" s="29">
        <v>188</v>
      </c>
      <c r="I8331" s="27" t="s">
        <v>29</v>
      </c>
      <c r="J8331" s="37">
        <v>46008</v>
      </c>
      <c r="K8331" s="27" t="s">
        <v>22</v>
      </c>
    </row>
    <row r="8332" spans="1:11" x14ac:dyDescent="0.2">
      <c r="A8332" s="24" t="s">
        <v>19380</v>
      </c>
      <c r="B8332" s="24" t="s">
        <v>19381</v>
      </c>
      <c r="C8332" s="24" t="s">
        <v>18832</v>
      </c>
      <c r="D8332" s="24" t="s">
        <v>17</v>
      </c>
      <c r="E8332" s="24" t="s">
        <v>48</v>
      </c>
      <c r="F8332" s="24" t="s">
        <v>49</v>
      </c>
      <c r="G8332" s="24" t="s">
        <v>217</v>
      </c>
      <c r="H8332" s="26">
        <v>188</v>
      </c>
      <c r="I8332" s="24" t="s">
        <v>29</v>
      </c>
      <c r="J8332" s="36">
        <v>46011</v>
      </c>
      <c r="K8332" s="24" t="s">
        <v>22</v>
      </c>
    </row>
    <row r="8333" spans="1:11" x14ac:dyDescent="0.2">
      <c r="A8333" s="27" t="s">
        <v>19382</v>
      </c>
      <c r="B8333" s="27" t="s">
        <v>19383</v>
      </c>
      <c r="C8333" s="27" t="s">
        <v>2657</v>
      </c>
      <c r="D8333" s="27" t="s">
        <v>17</v>
      </c>
      <c r="E8333" s="27" t="s">
        <v>26</v>
      </c>
      <c r="F8333" s="27" t="s">
        <v>27</v>
      </c>
      <c r="G8333" s="27" t="s">
        <v>28</v>
      </c>
      <c r="H8333" s="29">
        <v>51</v>
      </c>
      <c r="I8333" s="27" t="s">
        <v>29</v>
      </c>
      <c r="J8333" s="37">
        <v>46017</v>
      </c>
      <c r="K8333" s="27" t="s">
        <v>22</v>
      </c>
    </row>
    <row r="8334" spans="1:11" x14ac:dyDescent="0.2">
      <c r="A8334" s="24" t="s">
        <v>19384</v>
      </c>
      <c r="B8334" s="24" t="s">
        <v>19385</v>
      </c>
      <c r="C8334" s="24" t="s">
        <v>1307</v>
      </c>
      <c r="D8334" s="24" t="s">
        <v>17</v>
      </c>
      <c r="E8334" s="24" t="s">
        <v>48</v>
      </c>
      <c r="F8334" s="24" t="s">
        <v>49</v>
      </c>
      <c r="G8334" s="24" t="s">
        <v>217</v>
      </c>
      <c r="H8334" s="26">
        <v>48</v>
      </c>
      <c r="I8334" s="24" t="s">
        <v>29</v>
      </c>
      <c r="J8334" s="36">
        <v>45992</v>
      </c>
      <c r="K8334" s="24" t="s">
        <v>22</v>
      </c>
    </row>
    <row r="8335" spans="1:11" x14ac:dyDescent="0.2">
      <c r="A8335" s="27" t="s">
        <v>19386</v>
      </c>
      <c r="B8335" s="27" t="s">
        <v>19387</v>
      </c>
      <c r="C8335" s="27" t="s">
        <v>97</v>
      </c>
      <c r="D8335" s="27" t="s">
        <v>17</v>
      </c>
      <c r="E8335" s="27" t="s">
        <v>81</v>
      </c>
      <c r="F8335" s="27" t="s">
        <v>82</v>
      </c>
      <c r="G8335" s="27" t="s">
        <v>28</v>
      </c>
      <c r="H8335" s="29">
        <v>150</v>
      </c>
      <c r="I8335" s="27" t="s">
        <v>29</v>
      </c>
      <c r="J8335" s="37">
        <v>46010</v>
      </c>
      <c r="K8335" s="27" t="s">
        <v>22</v>
      </c>
    </row>
    <row r="8336" spans="1:11" x14ac:dyDescent="0.2">
      <c r="A8336" s="24" t="s">
        <v>19388</v>
      </c>
      <c r="B8336" s="24" t="s">
        <v>19389</v>
      </c>
      <c r="C8336" s="24" t="s">
        <v>97</v>
      </c>
      <c r="D8336" s="24" t="s">
        <v>17</v>
      </c>
      <c r="E8336" s="24" t="s">
        <v>48</v>
      </c>
      <c r="F8336" s="24" t="s">
        <v>49</v>
      </c>
      <c r="G8336" s="24" t="s">
        <v>28</v>
      </c>
      <c r="H8336" s="26">
        <v>230</v>
      </c>
      <c r="I8336" s="24" t="s">
        <v>29</v>
      </c>
      <c r="J8336" s="36">
        <v>46001</v>
      </c>
      <c r="K8336" s="24" t="s">
        <v>22</v>
      </c>
    </row>
    <row r="8337" spans="1:11" x14ac:dyDescent="0.2">
      <c r="A8337" s="27" t="s">
        <v>19390</v>
      </c>
      <c r="B8337" s="27" t="s">
        <v>19391</v>
      </c>
      <c r="C8337" s="27" t="s">
        <v>19392</v>
      </c>
      <c r="D8337" s="27" t="s">
        <v>17</v>
      </c>
      <c r="E8337" s="27" t="s">
        <v>163</v>
      </c>
      <c r="F8337" s="27" t="s">
        <v>164</v>
      </c>
      <c r="G8337" s="27" t="s">
        <v>217</v>
      </c>
      <c r="H8337" s="29">
        <v>10</v>
      </c>
      <c r="I8337" s="27" t="s">
        <v>29</v>
      </c>
      <c r="J8337" s="37">
        <v>45992</v>
      </c>
      <c r="K8337" s="27" t="s">
        <v>22</v>
      </c>
    </row>
    <row r="8338" spans="1:11" x14ac:dyDescent="0.2">
      <c r="A8338" s="24" t="s">
        <v>19393</v>
      </c>
      <c r="B8338" s="24" t="s">
        <v>19394</v>
      </c>
      <c r="C8338" s="24" t="s">
        <v>331</v>
      </c>
      <c r="D8338" s="24" t="s">
        <v>17</v>
      </c>
      <c r="E8338" s="24" t="s">
        <v>42</v>
      </c>
      <c r="F8338" s="24" t="s">
        <v>43</v>
      </c>
      <c r="G8338" s="24" t="s">
        <v>28</v>
      </c>
      <c r="H8338" s="26">
        <v>466</v>
      </c>
      <c r="I8338" s="24" t="s">
        <v>29</v>
      </c>
      <c r="J8338" s="36">
        <v>46000</v>
      </c>
      <c r="K8338" s="24" t="s">
        <v>22</v>
      </c>
    </row>
    <row r="8339" spans="1:11" x14ac:dyDescent="0.2">
      <c r="A8339" s="27" t="s">
        <v>19395</v>
      </c>
      <c r="B8339" s="27" t="s">
        <v>19396</v>
      </c>
      <c r="C8339" s="27" t="s">
        <v>19397</v>
      </c>
      <c r="D8339" s="27" t="s">
        <v>17</v>
      </c>
      <c r="E8339" s="27" t="s">
        <v>18</v>
      </c>
      <c r="F8339" s="27" t="s">
        <v>19</v>
      </c>
      <c r="G8339" s="27" t="s">
        <v>28</v>
      </c>
      <c r="H8339" s="29">
        <v>18</v>
      </c>
      <c r="I8339" s="27" t="s">
        <v>29</v>
      </c>
      <c r="J8339" s="37">
        <v>46014</v>
      </c>
      <c r="K8339" s="27" t="s">
        <v>22</v>
      </c>
    </row>
    <row r="8340" spans="1:11" x14ac:dyDescent="0.2">
      <c r="A8340" s="24" t="s">
        <v>19398</v>
      </c>
      <c r="B8340" s="24" t="s">
        <v>19399</v>
      </c>
      <c r="C8340" s="24" t="s">
        <v>213</v>
      </c>
      <c r="D8340" s="24" t="s">
        <v>17</v>
      </c>
      <c r="E8340" s="24" t="s">
        <v>18</v>
      </c>
      <c r="F8340" s="24" t="s">
        <v>19</v>
      </c>
      <c r="G8340" s="24" t="s">
        <v>28</v>
      </c>
      <c r="H8340" s="26">
        <v>260</v>
      </c>
      <c r="I8340" s="24" t="s">
        <v>29</v>
      </c>
      <c r="J8340" s="36">
        <v>46007</v>
      </c>
      <c r="K8340" s="24" t="s">
        <v>22</v>
      </c>
    </row>
    <row r="8341" spans="1:11" x14ac:dyDescent="0.2">
      <c r="A8341" s="27" t="s">
        <v>19400</v>
      </c>
      <c r="B8341" s="27" t="s">
        <v>19401</v>
      </c>
      <c r="C8341" s="27" t="s">
        <v>19402</v>
      </c>
      <c r="D8341" s="27" t="s">
        <v>17</v>
      </c>
      <c r="E8341" s="27" t="s">
        <v>81</v>
      </c>
      <c r="F8341" s="27" t="s">
        <v>82</v>
      </c>
      <c r="G8341" s="27" t="s">
        <v>28</v>
      </c>
      <c r="H8341" s="29">
        <v>150</v>
      </c>
      <c r="I8341" s="27" t="s">
        <v>29</v>
      </c>
      <c r="J8341" s="37">
        <v>46001</v>
      </c>
      <c r="K8341" s="27" t="s">
        <v>22</v>
      </c>
    </row>
    <row r="8342" spans="1:11" x14ac:dyDescent="0.2">
      <c r="A8342" s="24" t="s">
        <v>19403</v>
      </c>
      <c r="B8342" s="24" t="s">
        <v>19404</v>
      </c>
      <c r="C8342" s="24" t="s">
        <v>11724</v>
      </c>
      <c r="D8342" s="24" t="s">
        <v>17</v>
      </c>
      <c r="E8342" s="24" t="s">
        <v>48</v>
      </c>
      <c r="F8342" s="24" t="s">
        <v>49</v>
      </c>
      <c r="G8342" s="24" t="s">
        <v>28</v>
      </c>
      <c r="H8342" s="26">
        <v>230</v>
      </c>
      <c r="I8342" s="24" t="s">
        <v>29</v>
      </c>
      <c r="J8342" s="36">
        <v>46013</v>
      </c>
      <c r="K8342" s="24" t="s">
        <v>22</v>
      </c>
    </row>
    <row r="8343" spans="1:11" x14ac:dyDescent="0.2">
      <c r="A8343" s="27" t="s">
        <v>19405</v>
      </c>
      <c r="B8343" s="27" t="s">
        <v>19406</v>
      </c>
      <c r="C8343" s="27" t="s">
        <v>749</v>
      </c>
      <c r="D8343" s="27" t="s">
        <v>17</v>
      </c>
      <c r="E8343" s="27" t="s">
        <v>26</v>
      </c>
      <c r="F8343" s="27" t="s">
        <v>27</v>
      </c>
      <c r="G8343" s="27" t="s">
        <v>28</v>
      </c>
      <c r="H8343" s="29">
        <v>78</v>
      </c>
      <c r="I8343" s="27" t="s">
        <v>29</v>
      </c>
      <c r="J8343" s="37">
        <v>46013</v>
      </c>
      <c r="K8343" s="27" t="s">
        <v>22</v>
      </c>
    </row>
    <row r="8344" spans="1:11" x14ac:dyDescent="0.2">
      <c r="A8344" s="24" t="s">
        <v>19407</v>
      </c>
      <c r="B8344" s="24" t="s">
        <v>19408</v>
      </c>
      <c r="C8344" s="24" t="s">
        <v>19409</v>
      </c>
      <c r="D8344" s="24" t="s">
        <v>17</v>
      </c>
      <c r="E8344" s="24" t="s">
        <v>26</v>
      </c>
      <c r="F8344" s="24" t="s">
        <v>27</v>
      </c>
      <c r="G8344" s="24" t="s">
        <v>217</v>
      </c>
      <c r="H8344" s="26">
        <v>39</v>
      </c>
      <c r="I8344" s="24" t="s">
        <v>29</v>
      </c>
      <c r="J8344" s="36">
        <v>45992</v>
      </c>
      <c r="K8344" s="24" t="s">
        <v>22</v>
      </c>
    </row>
    <row r="8345" spans="1:11" x14ac:dyDescent="0.2">
      <c r="A8345" s="27" t="s">
        <v>19410</v>
      </c>
      <c r="B8345" s="27" t="s">
        <v>19411</v>
      </c>
      <c r="C8345" s="27" t="s">
        <v>10338</v>
      </c>
      <c r="D8345" s="27" t="s">
        <v>17</v>
      </c>
      <c r="E8345" s="27" t="s">
        <v>48</v>
      </c>
      <c r="F8345" s="27" t="s">
        <v>49</v>
      </c>
      <c r="G8345" s="27" t="s">
        <v>28</v>
      </c>
      <c r="H8345" s="29">
        <v>60</v>
      </c>
      <c r="I8345" s="27" t="s">
        <v>29</v>
      </c>
      <c r="J8345" s="37">
        <v>45994</v>
      </c>
      <c r="K8345" s="27" t="s">
        <v>22</v>
      </c>
    </row>
    <row r="8346" spans="1:11" x14ac:dyDescent="0.2">
      <c r="A8346" s="24" t="s">
        <v>19412</v>
      </c>
      <c r="B8346" s="24" t="s">
        <v>19413</v>
      </c>
      <c r="C8346" s="24" t="s">
        <v>844</v>
      </c>
      <c r="D8346" s="24" t="s">
        <v>17</v>
      </c>
      <c r="E8346" s="24" t="s">
        <v>42</v>
      </c>
      <c r="F8346" s="24" t="s">
        <v>43</v>
      </c>
      <c r="G8346" s="24" t="s">
        <v>28</v>
      </c>
      <c r="H8346" s="26">
        <v>508</v>
      </c>
      <c r="I8346" s="24" t="s">
        <v>29</v>
      </c>
      <c r="J8346" s="36">
        <v>46015</v>
      </c>
      <c r="K8346" s="24" t="s">
        <v>22</v>
      </c>
    </row>
    <row r="8347" spans="1:11" x14ac:dyDescent="0.2">
      <c r="A8347" s="27" t="s">
        <v>19414</v>
      </c>
      <c r="B8347" s="27" t="s">
        <v>19415</v>
      </c>
      <c r="C8347" s="27" t="s">
        <v>19416</v>
      </c>
      <c r="D8347" s="27" t="s">
        <v>17</v>
      </c>
      <c r="E8347" s="27" t="s">
        <v>18</v>
      </c>
      <c r="F8347" s="27" t="s">
        <v>19</v>
      </c>
      <c r="G8347" s="27" t="s">
        <v>217</v>
      </c>
      <c r="H8347" s="29">
        <v>60</v>
      </c>
      <c r="I8347" s="27" t="s">
        <v>29</v>
      </c>
      <c r="J8347" s="37">
        <v>45992</v>
      </c>
      <c r="K8347" s="27" t="s">
        <v>22</v>
      </c>
    </row>
    <row r="8348" spans="1:11" x14ac:dyDescent="0.2">
      <c r="A8348" s="24" t="s">
        <v>19417</v>
      </c>
      <c r="B8348" s="24" t="s">
        <v>19418</v>
      </c>
      <c r="C8348" s="24" t="s">
        <v>708</v>
      </c>
      <c r="D8348" s="24" t="s">
        <v>17</v>
      </c>
      <c r="E8348" s="24" t="s">
        <v>18</v>
      </c>
      <c r="F8348" s="24" t="s">
        <v>19</v>
      </c>
      <c r="G8348" s="24" t="s">
        <v>28</v>
      </c>
      <c r="H8348" s="26">
        <v>46</v>
      </c>
      <c r="I8348" s="24" t="s">
        <v>29</v>
      </c>
      <c r="J8348" s="36">
        <v>45996</v>
      </c>
      <c r="K8348" s="24" t="s">
        <v>22</v>
      </c>
    </row>
    <row r="8349" spans="1:11" x14ac:dyDescent="0.2">
      <c r="A8349" s="27" t="s">
        <v>19419</v>
      </c>
      <c r="B8349" s="27" t="s">
        <v>19420</v>
      </c>
      <c r="C8349" s="27" t="s">
        <v>4448</v>
      </c>
      <c r="D8349" s="27" t="s">
        <v>17</v>
      </c>
      <c r="E8349" s="27" t="s">
        <v>42</v>
      </c>
      <c r="F8349" s="27" t="s">
        <v>43</v>
      </c>
      <c r="G8349" s="27" t="s">
        <v>28</v>
      </c>
      <c r="H8349" s="29">
        <v>30</v>
      </c>
      <c r="I8349" s="27" t="s">
        <v>29</v>
      </c>
      <c r="J8349" s="37">
        <v>45992</v>
      </c>
      <c r="K8349" s="27" t="s">
        <v>22</v>
      </c>
    </row>
    <row r="8350" spans="1:11" x14ac:dyDescent="0.2">
      <c r="A8350" s="24" t="s">
        <v>19421</v>
      </c>
      <c r="B8350" s="24" t="s">
        <v>19422</v>
      </c>
      <c r="C8350" s="24" t="s">
        <v>97</v>
      </c>
      <c r="D8350" s="24" t="s">
        <v>17</v>
      </c>
      <c r="E8350" s="24" t="s">
        <v>18</v>
      </c>
      <c r="F8350" s="24" t="s">
        <v>19</v>
      </c>
      <c r="G8350" s="24" t="s">
        <v>28</v>
      </c>
      <c r="H8350" s="26">
        <v>24</v>
      </c>
      <c r="I8350" s="24" t="s">
        <v>29</v>
      </c>
      <c r="J8350" s="36">
        <v>46000</v>
      </c>
      <c r="K8350" s="24" t="s">
        <v>22</v>
      </c>
    </row>
    <row r="8351" spans="1:11" x14ac:dyDescent="0.2">
      <c r="A8351" s="27" t="s">
        <v>19423</v>
      </c>
      <c r="B8351" s="27" t="s">
        <v>19424</v>
      </c>
      <c r="C8351" s="27" t="s">
        <v>301</v>
      </c>
      <c r="D8351" s="27" t="s">
        <v>17</v>
      </c>
      <c r="E8351" s="27" t="s">
        <v>42</v>
      </c>
      <c r="F8351" s="27" t="s">
        <v>43</v>
      </c>
      <c r="G8351" s="27" t="s">
        <v>28</v>
      </c>
      <c r="H8351" s="29">
        <v>500</v>
      </c>
      <c r="I8351" s="27" t="s">
        <v>29</v>
      </c>
      <c r="J8351" s="37">
        <v>45994</v>
      </c>
      <c r="K8351" s="27" t="s">
        <v>22</v>
      </c>
    </row>
    <row r="8352" spans="1:11" x14ac:dyDescent="0.2">
      <c r="A8352" s="24" t="s">
        <v>19425</v>
      </c>
      <c r="B8352" s="24" t="s">
        <v>19426</v>
      </c>
      <c r="C8352" s="24" t="s">
        <v>213</v>
      </c>
      <c r="D8352" s="24" t="s">
        <v>17</v>
      </c>
      <c r="E8352" s="24" t="s">
        <v>42</v>
      </c>
      <c r="F8352" s="24" t="s">
        <v>43</v>
      </c>
      <c r="G8352" s="24" t="s">
        <v>28</v>
      </c>
      <c r="H8352" s="26">
        <v>800</v>
      </c>
      <c r="I8352" s="24" t="s">
        <v>29</v>
      </c>
      <c r="J8352" s="36">
        <v>46002</v>
      </c>
      <c r="K8352" s="24" t="s">
        <v>22</v>
      </c>
    </row>
    <row r="8353" spans="1:11" x14ac:dyDescent="0.2">
      <c r="A8353" s="27" t="s">
        <v>19427</v>
      </c>
      <c r="B8353" s="27" t="s">
        <v>19428</v>
      </c>
      <c r="C8353" s="27" t="s">
        <v>11686</v>
      </c>
      <c r="D8353" s="27" t="s">
        <v>17</v>
      </c>
      <c r="E8353" s="27" t="s">
        <v>163</v>
      </c>
      <c r="F8353" s="27" t="s">
        <v>164</v>
      </c>
      <c r="G8353" s="27" t="s">
        <v>217</v>
      </c>
      <c r="H8353" s="29">
        <v>9</v>
      </c>
      <c r="I8353" s="27" t="s">
        <v>29</v>
      </c>
      <c r="J8353" s="37">
        <v>46022</v>
      </c>
      <c r="K8353" s="27" t="s">
        <v>22</v>
      </c>
    </row>
    <row r="8354" spans="1:11" x14ac:dyDescent="0.2">
      <c r="A8354" s="24" t="s">
        <v>19429</v>
      </c>
      <c r="B8354" s="24" t="s">
        <v>19430</v>
      </c>
      <c r="C8354" s="24" t="s">
        <v>3048</v>
      </c>
      <c r="D8354" s="24" t="s">
        <v>17</v>
      </c>
      <c r="E8354" s="24" t="s">
        <v>18</v>
      </c>
      <c r="F8354" s="24" t="s">
        <v>19</v>
      </c>
      <c r="G8354" s="24" t="s">
        <v>20</v>
      </c>
      <c r="H8354" s="26">
        <v>18</v>
      </c>
      <c r="I8354" s="24" t="s">
        <v>21</v>
      </c>
      <c r="J8354" s="36">
        <v>46002</v>
      </c>
      <c r="K8354" s="24" t="s">
        <v>22</v>
      </c>
    </row>
    <row r="8355" spans="1:11" x14ac:dyDescent="0.2">
      <c r="A8355" s="27" t="s">
        <v>19431</v>
      </c>
      <c r="B8355" s="27" t="s">
        <v>19432</v>
      </c>
      <c r="C8355" s="27" t="s">
        <v>2669</v>
      </c>
      <c r="D8355" s="27" t="s">
        <v>17</v>
      </c>
      <c r="E8355" s="27" t="s">
        <v>48</v>
      </c>
      <c r="F8355" s="27" t="s">
        <v>49</v>
      </c>
      <c r="G8355" s="27" t="s">
        <v>28</v>
      </c>
      <c r="H8355" s="29">
        <v>75</v>
      </c>
      <c r="I8355" s="27" t="s">
        <v>29</v>
      </c>
      <c r="J8355" s="37">
        <v>46022</v>
      </c>
      <c r="K8355" s="27" t="s">
        <v>22</v>
      </c>
    </row>
    <row r="8356" spans="1:11" x14ac:dyDescent="0.2">
      <c r="A8356" s="24" t="s">
        <v>19433</v>
      </c>
      <c r="B8356" s="24" t="s">
        <v>19434</v>
      </c>
      <c r="C8356" s="24" t="s">
        <v>10855</v>
      </c>
      <c r="D8356" s="24" t="s">
        <v>17</v>
      </c>
      <c r="E8356" s="24" t="s">
        <v>42</v>
      </c>
      <c r="F8356" s="24" t="s">
        <v>43</v>
      </c>
      <c r="G8356" s="24" t="s">
        <v>28</v>
      </c>
      <c r="H8356" s="26">
        <v>150</v>
      </c>
      <c r="I8356" s="24" t="s">
        <v>29</v>
      </c>
      <c r="J8356" s="36">
        <v>46002</v>
      </c>
      <c r="K8356" s="24" t="s">
        <v>22</v>
      </c>
    </row>
    <row r="8357" spans="1:11" x14ac:dyDescent="0.2">
      <c r="A8357" s="27" t="s">
        <v>19435</v>
      </c>
      <c r="B8357" s="27" t="s">
        <v>19436</v>
      </c>
      <c r="C8357" s="27" t="s">
        <v>1444</v>
      </c>
      <c r="D8357" s="27" t="s">
        <v>17</v>
      </c>
      <c r="E8357" s="27" t="s">
        <v>48</v>
      </c>
      <c r="F8357" s="27" t="s">
        <v>49</v>
      </c>
      <c r="G8357" s="27" t="s">
        <v>217</v>
      </c>
      <c r="H8357" s="29">
        <v>80</v>
      </c>
      <c r="I8357" s="27" t="s">
        <v>29</v>
      </c>
      <c r="J8357" s="37">
        <v>46011</v>
      </c>
      <c r="K8357" s="27" t="s">
        <v>22</v>
      </c>
    </row>
    <row r="8358" spans="1:11" x14ac:dyDescent="0.2">
      <c r="A8358" s="24" t="s">
        <v>19437</v>
      </c>
      <c r="B8358" s="24" t="s">
        <v>19438</v>
      </c>
      <c r="C8358" s="24" t="s">
        <v>19439</v>
      </c>
      <c r="D8358" s="24" t="s">
        <v>17</v>
      </c>
      <c r="E8358" s="24" t="s">
        <v>26</v>
      </c>
      <c r="F8358" s="24" t="s">
        <v>27</v>
      </c>
      <c r="G8358" s="24" t="s">
        <v>28</v>
      </c>
      <c r="H8358" s="26">
        <v>66</v>
      </c>
      <c r="I8358" s="24" t="s">
        <v>29</v>
      </c>
      <c r="J8358" s="36">
        <v>46013</v>
      </c>
      <c r="K8358" s="24" t="s">
        <v>22</v>
      </c>
    </row>
    <row r="8359" spans="1:11" x14ac:dyDescent="0.2">
      <c r="A8359" s="27" t="s">
        <v>19440</v>
      </c>
      <c r="B8359" s="27" t="s">
        <v>19441</v>
      </c>
      <c r="C8359" s="27" t="s">
        <v>3156</v>
      </c>
      <c r="D8359" s="27" t="s">
        <v>17</v>
      </c>
      <c r="E8359" s="27" t="s">
        <v>18</v>
      </c>
      <c r="F8359" s="27" t="s">
        <v>19</v>
      </c>
      <c r="G8359" s="27" t="s">
        <v>28</v>
      </c>
      <c r="H8359" s="29">
        <v>24</v>
      </c>
      <c r="I8359" s="27" t="s">
        <v>29</v>
      </c>
      <c r="J8359" s="37">
        <v>45994</v>
      </c>
      <c r="K8359" s="27" t="s">
        <v>22</v>
      </c>
    </row>
    <row r="8360" spans="1:11" x14ac:dyDescent="0.2">
      <c r="A8360" s="24" t="s">
        <v>19442</v>
      </c>
      <c r="B8360" s="24" t="s">
        <v>19443</v>
      </c>
      <c r="C8360" s="24" t="s">
        <v>2817</v>
      </c>
      <c r="D8360" s="24" t="s">
        <v>17</v>
      </c>
      <c r="E8360" s="24" t="s">
        <v>42</v>
      </c>
      <c r="F8360" s="24" t="s">
        <v>43</v>
      </c>
      <c r="G8360" s="24" t="s">
        <v>217</v>
      </c>
      <c r="H8360" s="26">
        <v>360</v>
      </c>
      <c r="I8360" s="24" t="s">
        <v>29</v>
      </c>
      <c r="J8360" s="36">
        <v>45992</v>
      </c>
      <c r="K8360" s="24" t="s">
        <v>22</v>
      </c>
    </row>
    <row r="8361" spans="1:11" x14ac:dyDescent="0.2">
      <c r="A8361" s="27" t="s">
        <v>19444</v>
      </c>
      <c r="B8361" s="27" t="s">
        <v>19445</v>
      </c>
      <c r="C8361" s="27" t="s">
        <v>19446</v>
      </c>
      <c r="D8361" s="27" t="s">
        <v>17</v>
      </c>
      <c r="E8361" s="27" t="s">
        <v>33</v>
      </c>
      <c r="F8361" s="27" t="s">
        <v>34</v>
      </c>
      <c r="G8361" s="27" t="s">
        <v>28</v>
      </c>
      <c r="H8361" s="29">
        <v>129</v>
      </c>
      <c r="I8361" s="27" t="s">
        <v>29</v>
      </c>
      <c r="J8361" s="37">
        <v>46001</v>
      </c>
      <c r="K8361" s="27" t="s">
        <v>22</v>
      </c>
    </row>
    <row r="8362" spans="1:11" x14ac:dyDescent="0.2">
      <c r="A8362" s="24" t="s">
        <v>19447</v>
      </c>
      <c r="B8362" s="24" t="s">
        <v>19448</v>
      </c>
      <c r="C8362" s="24" t="s">
        <v>1663</v>
      </c>
      <c r="D8362" s="24" t="s">
        <v>17</v>
      </c>
      <c r="E8362" s="24" t="s">
        <v>48</v>
      </c>
      <c r="F8362" s="24" t="s">
        <v>49</v>
      </c>
      <c r="G8362" s="24" t="s">
        <v>217</v>
      </c>
      <c r="H8362" s="26">
        <v>100</v>
      </c>
      <c r="I8362" s="24" t="s">
        <v>29</v>
      </c>
      <c r="J8362" s="36">
        <v>46020</v>
      </c>
      <c r="K8362" s="24" t="s">
        <v>22</v>
      </c>
    </row>
    <row r="8363" spans="1:11" x14ac:dyDescent="0.2">
      <c r="A8363" s="27" t="s">
        <v>19449</v>
      </c>
      <c r="B8363" s="27" t="s">
        <v>19450</v>
      </c>
      <c r="C8363" s="27" t="s">
        <v>19451</v>
      </c>
      <c r="D8363" s="27" t="s">
        <v>17</v>
      </c>
      <c r="E8363" s="27" t="s">
        <v>163</v>
      </c>
      <c r="F8363" s="27" t="s">
        <v>164</v>
      </c>
      <c r="G8363" s="27" t="s">
        <v>28</v>
      </c>
      <c r="H8363" s="29">
        <v>24</v>
      </c>
      <c r="I8363" s="27" t="s">
        <v>29</v>
      </c>
      <c r="J8363" s="37">
        <v>46006</v>
      </c>
      <c r="K8363" s="27" t="s">
        <v>22</v>
      </c>
    </row>
    <row r="8364" spans="1:11" x14ac:dyDescent="0.2">
      <c r="A8364" s="24" t="s">
        <v>19452</v>
      </c>
      <c r="B8364" s="24" t="s">
        <v>19453</v>
      </c>
      <c r="C8364" s="24" t="s">
        <v>7320</v>
      </c>
      <c r="D8364" s="24" t="s">
        <v>17</v>
      </c>
      <c r="E8364" s="24" t="s">
        <v>18</v>
      </c>
      <c r="F8364" s="24" t="s">
        <v>19</v>
      </c>
      <c r="G8364" s="24" t="s">
        <v>28</v>
      </c>
      <c r="H8364" s="26">
        <v>24</v>
      </c>
      <c r="I8364" s="24" t="s">
        <v>29</v>
      </c>
      <c r="J8364" s="36">
        <v>46014</v>
      </c>
      <c r="K8364" s="24" t="s">
        <v>22</v>
      </c>
    </row>
    <row r="8365" spans="1:11" x14ac:dyDescent="0.2">
      <c r="A8365" s="27" t="s">
        <v>19454</v>
      </c>
      <c r="B8365" s="27" t="s">
        <v>19455</v>
      </c>
      <c r="C8365" s="27" t="s">
        <v>526</v>
      </c>
      <c r="D8365" s="27" t="s">
        <v>17</v>
      </c>
      <c r="E8365" s="27" t="s">
        <v>18</v>
      </c>
      <c r="F8365" s="27" t="s">
        <v>19</v>
      </c>
      <c r="G8365" s="27" t="s">
        <v>28</v>
      </c>
      <c r="H8365" s="29">
        <v>134</v>
      </c>
      <c r="I8365" s="27" t="s">
        <v>29</v>
      </c>
      <c r="J8365" s="37">
        <v>45993</v>
      </c>
      <c r="K8365" s="27" t="s">
        <v>22</v>
      </c>
    </row>
    <row r="8366" spans="1:11" x14ac:dyDescent="0.2">
      <c r="A8366" s="24" t="s">
        <v>19456</v>
      </c>
      <c r="B8366" s="24" t="s">
        <v>19457</v>
      </c>
      <c r="C8366" s="24" t="s">
        <v>595</v>
      </c>
      <c r="D8366" s="24" t="s">
        <v>17</v>
      </c>
      <c r="E8366" s="24" t="s">
        <v>48</v>
      </c>
      <c r="F8366" s="24" t="s">
        <v>49</v>
      </c>
      <c r="G8366" s="24" t="s">
        <v>217</v>
      </c>
      <c r="H8366" s="26">
        <v>120</v>
      </c>
      <c r="I8366" s="24" t="s">
        <v>29</v>
      </c>
      <c r="J8366" s="36">
        <v>46010</v>
      </c>
      <c r="K8366" s="24" t="s">
        <v>22</v>
      </c>
    </row>
    <row r="8367" spans="1:11" x14ac:dyDescent="0.2">
      <c r="A8367" s="27" t="s">
        <v>19458</v>
      </c>
      <c r="B8367" s="27" t="s">
        <v>19459</v>
      </c>
      <c r="C8367" s="27" t="s">
        <v>19460</v>
      </c>
      <c r="D8367" s="27" t="s">
        <v>17</v>
      </c>
      <c r="E8367" s="27" t="s">
        <v>26</v>
      </c>
      <c r="F8367" s="27" t="s">
        <v>27</v>
      </c>
      <c r="G8367" s="27" t="s">
        <v>217</v>
      </c>
      <c r="H8367" s="29">
        <v>72</v>
      </c>
      <c r="I8367" s="27" t="s">
        <v>29</v>
      </c>
      <c r="J8367" s="37">
        <v>45992</v>
      </c>
      <c r="K8367" s="27" t="s">
        <v>22</v>
      </c>
    </row>
    <row r="8368" spans="1:11" x14ac:dyDescent="0.2">
      <c r="A8368" s="24" t="s">
        <v>19461</v>
      </c>
      <c r="B8368" s="24" t="s">
        <v>19462</v>
      </c>
      <c r="C8368" s="24" t="s">
        <v>19463</v>
      </c>
      <c r="D8368" s="24" t="s">
        <v>17</v>
      </c>
      <c r="E8368" s="24" t="s">
        <v>42</v>
      </c>
      <c r="F8368" s="24" t="s">
        <v>43</v>
      </c>
      <c r="G8368" s="24" t="s">
        <v>217</v>
      </c>
      <c r="H8368" s="26">
        <v>300</v>
      </c>
      <c r="I8368" s="24" t="s">
        <v>29</v>
      </c>
      <c r="J8368" s="36">
        <v>46006</v>
      </c>
      <c r="K8368" s="24" t="s">
        <v>22</v>
      </c>
    </row>
    <row r="8369" spans="1:11" x14ac:dyDescent="0.2">
      <c r="A8369" s="27" t="s">
        <v>19464</v>
      </c>
      <c r="B8369" s="27" t="s">
        <v>19465</v>
      </c>
      <c r="C8369" s="27" t="s">
        <v>146</v>
      </c>
      <c r="D8369" s="27" t="s">
        <v>17</v>
      </c>
      <c r="E8369" s="27" t="s">
        <v>18</v>
      </c>
      <c r="F8369" s="27" t="s">
        <v>19</v>
      </c>
      <c r="G8369" s="27" t="s">
        <v>28</v>
      </c>
      <c r="H8369" s="29">
        <v>84</v>
      </c>
      <c r="I8369" s="27" t="s">
        <v>29</v>
      </c>
      <c r="J8369" s="37">
        <v>45994</v>
      </c>
      <c r="K8369" s="27" t="s">
        <v>22</v>
      </c>
    </row>
    <row r="8370" spans="1:11" x14ac:dyDescent="0.2">
      <c r="A8370" s="24" t="s">
        <v>19466</v>
      </c>
      <c r="B8370" s="24" t="s">
        <v>19467</v>
      </c>
      <c r="C8370" s="24" t="s">
        <v>213</v>
      </c>
      <c r="D8370" s="24" t="s">
        <v>17</v>
      </c>
      <c r="E8370" s="24" t="s">
        <v>42</v>
      </c>
      <c r="F8370" s="24" t="s">
        <v>43</v>
      </c>
      <c r="G8370" s="24" t="s">
        <v>28</v>
      </c>
      <c r="H8370" s="26">
        <v>500</v>
      </c>
      <c r="I8370" s="24" t="s">
        <v>29</v>
      </c>
      <c r="J8370" s="36">
        <v>45993</v>
      </c>
      <c r="K8370" s="24" t="s">
        <v>22</v>
      </c>
    </row>
    <row r="8371" spans="1:11" x14ac:dyDescent="0.2">
      <c r="A8371" s="27" t="s">
        <v>19468</v>
      </c>
      <c r="B8371" s="27" t="s">
        <v>19469</v>
      </c>
      <c r="C8371" s="27" t="s">
        <v>309</v>
      </c>
      <c r="D8371" s="27" t="s">
        <v>17</v>
      </c>
      <c r="E8371" s="27" t="s">
        <v>26</v>
      </c>
      <c r="F8371" s="27" t="s">
        <v>27</v>
      </c>
      <c r="G8371" s="27" t="s">
        <v>217</v>
      </c>
      <c r="H8371" s="29">
        <v>127</v>
      </c>
      <c r="I8371" s="27" t="s">
        <v>29</v>
      </c>
      <c r="J8371" s="37">
        <v>45992</v>
      </c>
      <c r="K8371" s="27" t="s">
        <v>22</v>
      </c>
    </row>
    <row r="8372" spans="1:11" x14ac:dyDescent="0.2">
      <c r="A8372" s="24" t="s">
        <v>19470</v>
      </c>
      <c r="B8372" s="24" t="s">
        <v>19471</v>
      </c>
      <c r="C8372" s="24" t="s">
        <v>18773</v>
      </c>
      <c r="D8372" s="24" t="s">
        <v>17</v>
      </c>
      <c r="E8372" s="24" t="s">
        <v>26</v>
      </c>
      <c r="F8372" s="24" t="s">
        <v>27</v>
      </c>
      <c r="G8372" s="24" t="s">
        <v>257</v>
      </c>
      <c r="H8372" s="26">
        <v>60</v>
      </c>
      <c r="I8372" s="24" t="s">
        <v>29</v>
      </c>
      <c r="J8372" s="36">
        <v>46022</v>
      </c>
      <c r="K8372" s="24" t="s">
        <v>22</v>
      </c>
    </row>
    <row r="8373" spans="1:11" x14ac:dyDescent="0.2">
      <c r="A8373" s="27" t="s">
        <v>19472</v>
      </c>
      <c r="B8373" s="27" t="s">
        <v>19473</v>
      </c>
      <c r="C8373" s="27" t="s">
        <v>526</v>
      </c>
      <c r="D8373" s="27" t="s">
        <v>17</v>
      </c>
      <c r="E8373" s="27" t="s">
        <v>18</v>
      </c>
      <c r="F8373" s="27" t="s">
        <v>19</v>
      </c>
      <c r="G8373" s="27" t="s">
        <v>28</v>
      </c>
      <c r="H8373" s="29">
        <v>20</v>
      </c>
      <c r="I8373" s="27" t="s">
        <v>29</v>
      </c>
      <c r="J8373" s="37">
        <v>46020</v>
      </c>
      <c r="K8373" s="27" t="s">
        <v>22</v>
      </c>
    </row>
    <row r="8374" spans="1:11" x14ac:dyDescent="0.2">
      <c r="A8374" s="24" t="s">
        <v>19474</v>
      </c>
      <c r="B8374" s="24" t="s">
        <v>19475</v>
      </c>
      <c r="C8374" s="24" t="s">
        <v>1158</v>
      </c>
      <c r="D8374" s="24" t="s">
        <v>17</v>
      </c>
      <c r="E8374" s="24" t="s">
        <v>48</v>
      </c>
      <c r="F8374" s="24" t="s">
        <v>49</v>
      </c>
      <c r="G8374" s="24" t="s">
        <v>28</v>
      </c>
      <c r="H8374" s="26">
        <v>70</v>
      </c>
      <c r="I8374" s="24" t="s">
        <v>29</v>
      </c>
      <c r="J8374" s="36">
        <v>46010</v>
      </c>
      <c r="K8374" s="24" t="s">
        <v>22</v>
      </c>
    </row>
    <row r="8375" spans="1:11" x14ac:dyDescent="0.2">
      <c r="A8375" s="27" t="s">
        <v>19476</v>
      </c>
      <c r="B8375" s="27" t="s">
        <v>19477</v>
      </c>
      <c r="C8375" s="27" t="s">
        <v>749</v>
      </c>
      <c r="D8375" s="27" t="s">
        <v>17</v>
      </c>
      <c r="E8375" s="27" t="s">
        <v>48</v>
      </c>
      <c r="F8375" s="27" t="s">
        <v>49</v>
      </c>
      <c r="G8375" s="27" t="s">
        <v>217</v>
      </c>
      <c r="H8375" s="29">
        <v>36</v>
      </c>
      <c r="I8375" s="27" t="s">
        <v>29</v>
      </c>
      <c r="J8375" s="37">
        <v>45992</v>
      </c>
      <c r="K8375" s="27" t="s">
        <v>22</v>
      </c>
    </row>
    <row r="8376" spans="1:11" x14ac:dyDescent="0.2">
      <c r="A8376" s="24" t="s">
        <v>19478</v>
      </c>
      <c r="B8376" s="24" t="s">
        <v>19479</v>
      </c>
      <c r="C8376" s="24" t="s">
        <v>437</v>
      </c>
      <c r="D8376" s="24" t="s">
        <v>17</v>
      </c>
      <c r="E8376" s="24" t="s">
        <v>26</v>
      </c>
      <c r="F8376" s="24" t="s">
        <v>27</v>
      </c>
      <c r="G8376" s="24" t="s">
        <v>28</v>
      </c>
      <c r="H8376" s="26">
        <v>104</v>
      </c>
      <c r="I8376" s="24" t="s">
        <v>29</v>
      </c>
      <c r="J8376" s="36">
        <v>45999</v>
      </c>
      <c r="K8376" s="24" t="s">
        <v>22</v>
      </c>
    </row>
    <row r="8377" spans="1:11" x14ac:dyDescent="0.2">
      <c r="A8377" s="27" t="s">
        <v>19480</v>
      </c>
      <c r="B8377" s="27" t="s">
        <v>19481</v>
      </c>
      <c r="C8377" s="27" t="s">
        <v>19087</v>
      </c>
      <c r="D8377" s="27" t="s">
        <v>17</v>
      </c>
      <c r="E8377" s="27" t="s">
        <v>48</v>
      </c>
      <c r="F8377" s="27" t="s">
        <v>49</v>
      </c>
      <c r="G8377" s="27" t="s">
        <v>217</v>
      </c>
      <c r="H8377" s="29">
        <v>60</v>
      </c>
      <c r="I8377" s="27" t="s">
        <v>29</v>
      </c>
      <c r="J8377" s="37">
        <v>46006</v>
      </c>
      <c r="K8377" s="27" t="s">
        <v>22</v>
      </c>
    </row>
    <row r="8378" spans="1:11" x14ac:dyDescent="0.2">
      <c r="A8378" s="24" t="s">
        <v>19482</v>
      </c>
      <c r="B8378" s="24" t="s">
        <v>19483</v>
      </c>
      <c r="C8378" s="24" t="s">
        <v>298</v>
      </c>
      <c r="D8378" s="24" t="s">
        <v>17</v>
      </c>
      <c r="E8378" s="24" t="s">
        <v>48</v>
      </c>
      <c r="F8378" s="24" t="s">
        <v>49</v>
      </c>
      <c r="G8378" s="24" t="s">
        <v>217</v>
      </c>
      <c r="H8378" s="26">
        <v>400</v>
      </c>
      <c r="I8378" s="24" t="s">
        <v>29</v>
      </c>
      <c r="J8378" s="36">
        <v>45992</v>
      </c>
      <c r="K8378" s="24" t="s">
        <v>22</v>
      </c>
    </row>
    <row r="8379" spans="1:11" x14ac:dyDescent="0.2">
      <c r="A8379" s="27" t="s">
        <v>19484</v>
      </c>
      <c r="B8379" s="27" t="s">
        <v>19485</v>
      </c>
      <c r="C8379" s="27" t="s">
        <v>16815</v>
      </c>
      <c r="D8379" s="27" t="s">
        <v>17</v>
      </c>
      <c r="E8379" s="27" t="s">
        <v>48</v>
      </c>
      <c r="F8379" s="27" t="s">
        <v>49</v>
      </c>
      <c r="G8379" s="27" t="s">
        <v>28</v>
      </c>
      <c r="H8379" s="29">
        <v>64</v>
      </c>
      <c r="I8379" s="27" t="s">
        <v>29</v>
      </c>
      <c r="J8379" s="37">
        <v>46013</v>
      </c>
      <c r="K8379" s="27" t="s">
        <v>22</v>
      </c>
    </row>
    <row r="8380" spans="1:11" x14ac:dyDescent="0.2">
      <c r="A8380" s="24" t="s">
        <v>19486</v>
      </c>
      <c r="B8380" s="24" t="s">
        <v>19487</v>
      </c>
      <c r="C8380" s="24" t="s">
        <v>2621</v>
      </c>
      <c r="D8380" s="24" t="s">
        <v>17</v>
      </c>
      <c r="E8380" s="24" t="s">
        <v>48</v>
      </c>
      <c r="F8380" s="24" t="s">
        <v>49</v>
      </c>
      <c r="G8380" s="24" t="s">
        <v>44</v>
      </c>
      <c r="H8380" s="26">
        <v>105</v>
      </c>
      <c r="I8380" s="24" t="s">
        <v>29</v>
      </c>
      <c r="J8380" s="36">
        <v>46006</v>
      </c>
      <c r="K8380" s="24" t="s">
        <v>22</v>
      </c>
    </row>
    <row r="8381" spans="1:11" x14ac:dyDescent="0.2">
      <c r="A8381" s="27" t="s">
        <v>19488</v>
      </c>
      <c r="B8381" s="27" t="s">
        <v>19489</v>
      </c>
      <c r="C8381" s="27" t="s">
        <v>68</v>
      </c>
      <c r="D8381" s="27" t="s">
        <v>17</v>
      </c>
      <c r="E8381" s="27" t="s">
        <v>42</v>
      </c>
      <c r="F8381" s="27" t="s">
        <v>43</v>
      </c>
      <c r="G8381" s="27" t="s">
        <v>28</v>
      </c>
      <c r="H8381" s="29">
        <v>156</v>
      </c>
      <c r="I8381" s="27" t="s">
        <v>29</v>
      </c>
      <c r="J8381" s="37">
        <v>45996</v>
      </c>
      <c r="K8381" s="27" t="s">
        <v>22</v>
      </c>
    </row>
    <row r="8382" spans="1:11" x14ac:dyDescent="0.2">
      <c r="A8382" s="24" t="s">
        <v>19490</v>
      </c>
      <c r="B8382" s="24" t="s">
        <v>19491</v>
      </c>
      <c r="C8382" s="24" t="s">
        <v>1103</v>
      </c>
      <c r="D8382" s="24" t="s">
        <v>17</v>
      </c>
      <c r="E8382" s="24" t="s">
        <v>26</v>
      </c>
      <c r="F8382" s="24" t="s">
        <v>27</v>
      </c>
      <c r="G8382" s="24" t="s">
        <v>28</v>
      </c>
      <c r="H8382" s="26">
        <v>180</v>
      </c>
      <c r="I8382" s="24" t="s">
        <v>29</v>
      </c>
      <c r="J8382" s="36">
        <v>46008</v>
      </c>
      <c r="K8382" s="24" t="s">
        <v>22</v>
      </c>
    </row>
    <row r="8383" spans="1:11" x14ac:dyDescent="0.2">
      <c r="A8383" s="27" t="s">
        <v>19492</v>
      </c>
      <c r="B8383" s="27" t="s">
        <v>19493</v>
      </c>
      <c r="C8383" s="27" t="s">
        <v>19494</v>
      </c>
      <c r="D8383" s="27" t="s">
        <v>17</v>
      </c>
      <c r="E8383" s="27" t="s">
        <v>26</v>
      </c>
      <c r="F8383" s="27" t="s">
        <v>27</v>
      </c>
      <c r="G8383" s="27" t="s">
        <v>217</v>
      </c>
      <c r="H8383" s="29">
        <v>143</v>
      </c>
      <c r="I8383" s="27" t="s">
        <v>29</v>
      </c>
      <c r="J8383" s="37">
        <v>45992</v>
      </c>
      <c r="K8383" s="27" t="s">
        <v>22</v>
      </c>
    </row>
    <row r="8384" spans="1:11" x14ac:dyDescent="0.2">
      <c r="A8384" s="24" t="s">
        <v>19495</v>
      </c>
      <c r="B8384" s="24" t="s">
        <v>19496</v>
      </c>
      <c r="C8384" s="24" t="s">
        <v>2779</v>
      </c>
      <c r="D8384" s="24" t="s">
        <v>17</v>
      </c>
      <c r="E8384" s="24" t="s">
        <v>18</v>
      </c>
      <c r="F8384" s="24" t="s">
        <v>19</v>
      </c>
      <c r="G8384" s="24" t="s">
        <v>28</v>
      </c>
      <c r="H8384" s="26">
        <v>105</v>
      </c>
      <c r="I8384" s="24" t="s">
        <v>29</v>
      </c>
      <c r="J8384" s="36">
        <v>46002</v>
      </c>
      <c r="K8384" s="24" t="s">
        <v>22</v>
      </c>
    </row>
    <row r="8385" spans="1:11" x14ac:dyDescent="0.2">
      <c r="A8385" s="27" t="s">
        <v>19497</v>
      </c>
      <c r="B8385" s="27" t="s">
        <v>19498</v>
      </c>
      <c r="C8385" s="27" t="s">
        <v>1895</v>
      </c>
      <c r="D8385" s="27" t="s">
        <v>17</v>
      </c>
      <c r="E8385" s="27" t="s">
        <v>48</v>
      </c>
      <c r="F8385" s="27" t="s">
        <v>49</v>
      </c>
      <c r="G8385" s="27" t="s">
        <v>217</v>
      </c>
      <c r="H8385" s="29">
        <v>180</v>
      </c>
      <c r="I8385" s="27" t="s">
        <v>29</v>
      </c>
      <c r="J8385" s="37">
        <v>46022</v>
      </c>
      <c r="K8385" s="27" t="s">
        <v>22</v>
      </c>
    </row>
    <row r="8386" spans="1:11" x14ac:dyDescent="0.2">
      <c r="A8386" s="24" t="s">
        <v>19499</v>
      </c>
      <c r="B8386" s="24" t="s">
        <v>19500</v>
      </c>
      <c r="C8386" s="24" t="s">
        <v>1199</v>
      </c>
      <c r="D8386" s="24" t="s">
        <v>17</v>
      </c>
      <c r="E8386" s="24" t="s">
        <v>18</v>
      </c>
      <c r="F8386" s="24" t="s">
        <v>19</v>
      </c>
      <c r="G8386" s="24" t="s">
        <v>28</v>
      </c>
      <c r="H8386" s="26">
        <v>107</v>
      </c>
      <c r="I8386" s="24" t="s">
        <v>29</v>
      </c>
      <c r="J8386" s="36">
        <v>46014</v>
      </c>
      <c r="K8386" s="24" t="s">
        <v>22</v>
      </c>
    </row>
    <row r="8387" spans="1:11" x14ac:dyDescent="0.2">
      <c r="A8387" s="27" t="s">
        <v>19501</v>
      </c>
      <c r="B8387" s="27" t="s">
        <v>19502</v>
      </c>
      <c r="C8387" s="27" t="s">
        <v>1883</v>
      </c>
      <c r="D8387" s="27" t="s">
        <v>17</v>
      </c>
      <c r="E8387" s="27" t="s">
        <v>42</v>
      </c>
      <c r="F8387" s="27" t="s">
        <v>43</v>
      </c>
      <c r="G8387" s="27" t="s">
        <v>28</v>
      </c>
      <c r="H8387" s="29">
        <v>537</v>
      </c>
      <c r="I8387" s="27" t="s">
        <v>29</v>
      </c>
      <c r="J8387" s="37">
        <v>46017</v>
      </c>
      <c r="K8387" s="27" t="s">
        <v>22</v>
      </c>
    </row>
    <row r="8388" spans="1:11" x14ac:dyDescent="0.2">
      <c r="A8388" s="24" t="s">
        <v>19503</v>
      </c>
      <c r="B8388" s="24" t="s">
        <v>19504</v>
      </c>
      <c r="C8388" s="24" t="s">
        <v>251</v>
      </c>
      <c r="D8388" s="24" t="s">
        <v>17</v>
      </c>
      <c r="E8388" s="24" t="s">
        <v>26</v>
      </c>
      <c r="F8388" s="24" t="s">
        <v>27</v>
      </c>
      <c r="G8388" s="24" t="s">
        <v>28</v>
      </c>
      <c r="H8388" s="26">
        <v>123</v>
      </c>
      <c r="I8388" s="24" t="s">
        <v>29</v>
      </c>
      <c r="J8388" s="36">
        <v>45996</v>
      </c>
      <c r="K8388" s="24" t="s">
        <v>22</v>
      </c>
    </row>
    <row r="8389" spans="1:11" x14ac:dyDescent="0.2">
      <c r="A8389" s="27" t="s">
        <v>19505</v>
      </c>
      <c r="B8389" s="27" t="s">
        <v>19506</v>
      </c>
      <c r="C8389" s="27" t="s">
        <v>578</v>
      </c>
      <c r="D8389" s="27" t="s">
        <v>17</v>
      </c>
      <c r="E8389" s="27" t="s">
        <v>42</v>
      </c>
      <c r="F8389" s="27" t="s">
        <v>43</v>
      </c>
      <c r="G8389" s="27" t="s">
        <v>28</v>
      </c>
      <c r="H8389" s="29">
        <v>186</v>
      </c>
      <c r="I8389" s="27" t="s">
        <v>29</v>
      </c>
      <c r="J8389" s="37">
        <v>46003</v>
      </c>
      <c r="K8389" s="27" t="s">
        <v>22</v>
      </c>
    </row>
    <row r="8390" spans="1:11" x14ac:dyDescent="0.2">
      <c r="A8390" s="24" t="s">
        <v>19507</v>
      </c>
      <c r="B8390" s="24" t="s">
        <v>19508</v>
      </c>
      <c r="C8390" s="24" t="s">
        <v>19509</v>
      </c>
      <c r="D8390" s="24" t="s">
        <v>17</v>
      </c>
      <c r="E8390" s="24" t="s">
        <v>18</v>
      </c>
      <c r="F8390" s="24" t="s">
        <v>19</v>
      </c>
      <c r="G8390" s="24" t="s">
        <v>28</v>
      </c>
      <c r="H8390" s="26">
        <v>18</v>
      </c>
      <c r="I8390" s="24" t="s">
        <v>29</v>
      </c>
      <c r="J8390" s="36">
        <v>46006</v>
      </c>
      <c r="K8390" s="24" t="s">
        <v>22</v>
      </c>
    </row>
    <row r="8391" spans="1:11" x14ac:dyDescent="0.2">
      <c r="A8391" s="27" t="s">
        <v>19510</v>
      </c>
      <c r="B8391" s="27" t="s">
        <v>19511</v>
      </c>
      <c r="C8391" s="27" t="s">
        <v>18773</v>
      </c>
      <c r="D8391" s="27" t="s">
        <v>17</v>
      </c>
      <c r="E8391" s="27" t="s">
        <v>48</v>
      </c>
      <c r="F8391" s="27" t="s">
        <v>49</v>
      </c>
      <c r="G8391" s="27" t="s">
        <v>217</v>
      </c>
      <c r="H8391" s="29">
        <v>45</v>
      </c>
      <c r="I8391" s="27" t="s">
        <v>29</v>
      </c>
      <c r="J8391" s="37">
        <v>46022</v>
      </c>
      <c r="K8391" s="27" t="s">
        <v>22</v>
      </c>
    </row>
    <row r="8392" spans="1:11" x14ac:dyDescent="0.2">
      <c r="A8392" s="24" t="s">
        <v>19512</v>
      </c>
      <c r="B8392" s="24" t="s">
        <v>19513</v>
      </c>
      <c r="C8392" s="24" t="s">
        <v>3253</v>
      </c>
      <c r="D8392" s="24" t="s">
        <v>17</v>
      </c>
      <c r="E8392" s="24" t="s">
        <v>26</v>
      </c>
      <c r="F8392" s="24" t="s">
        <v>27</v>
      </c>
      <c r="G8392" s="24" t="s">
        <v>28</v>
      </c>
      <c r="H8392" s="26">
        <v>114</v>
      </c>
      <c r="I8392" s="24" t="s">
        <v>29</v>
      </c>
      <c r="J8392" s="36">
        <v>45996</v>
      </c>
      <c r="K8392" s="24" t="s">
        <v>22</v>
      </c>
    </row>
    <row r="8393" spans="1:11" x14ac:dyDescent="0.2">
      <c r="A8393" s="27" t="s">
        <v>19514</v>
      </c>
      <c r="B8393" s="27" t="s">
        <v>19515</v>
      </c>
      <c r="C8393" s="27" t="s">
        <v>251</v>
      </c>
      <c r="D8393" s="27" t="s">
        <v>17</v>
      </c>
      <c r="E8393" s="27" t="s">
        <v>26</v>
      </c>
      <c r="F8393" s="27" t="s">
        <v>27</v>
      </c>
      <c r="G8393" s="27" t="s">
        <v>28</v>
      </c>
      <c r="H8393" s="29">
        <v>205</v>
      </c>
      <c r="I8393" s="27" t="s">
        <v>29</v>
      </c>
      <c r="J8393" s="37">
        <v>46020</v>
      </c>
      <c r="K8393" s="27" t="s">
        <v>22</v>
      </c>
    </row>
    <row r="8394" spans="1:11" x14ac:dyDescent="0.2">
      <c r="A8394" s="24" t="s">
        <v>19516</v>
      </c>
      <c r="B8394" s="24" t="s">
        <v>19517</v>
      </c>
      <c r="C8394" s="24" t="s">
        <v>19518</v>
      </c>
      <c r="D8394" s="24" t="s">
        <v>17</v>
      </c>
      <c r="E8394" s="24" t="s">
        <v>48</v>
      </c>
      <c r="F8394" s="24" t="s">
        <v>49</v>
      </c>
      <c r="G8394" s="24" t="s">
        <v>28</v>
      </c>
      <c r="H8394" s="26">
        <v>80</v>
      </c>
      <c r="I8394" s="24" t="s">
        <v>29</v>
      </c>
      <c r="J8394" s="36">
        <v>46000</v>
      </c>
      <c r="K8394" s="24" t="s">
        <v>22</v>
      </c>
    </row>
    <row r="8395" spans="1:11" x14ac:dyDescent="0.2">
      <c r="A8395" s="27" t="s">
        <v>19519</v>
      </c>
      <c r="B8395" s="27" t="s">
        <v>19520</v>
      </c>
      <c r="C8395" s="27" t="s">
        <v>1523</v>
      </c>
      <c r="D8395" s="27" t="s">
        <v>17</v>
      </c>
      <c r="E8395" s="27" t="s">
        <v>48</v>
      </c>
      <c r="F8395" s="27" t="s">
        <v>49</v>
      </c>
      <c r="G8395" s="27" t="s">
        <v>28</v>
      </c>
      <c r="H8395" s="29">
        <v>246</v>
      </c>
      <c r="I8395" s="27" t="s">
        <v>29</v>
      </c>
      <c r="J8395" s="37">
        <v>45992</v>
      </c>
      <c r="K8395" s="27" t="s">
        <v>22</v>
      </c>
    </row>
    <row r="8396" spans="1:11" x14ac:dyDescent="0.2">
      <c r="A8396" s="24" t="s">
        <v>19521</v>
      </c>
      <c r="B8396" s="24" t="s">
        <v>19522</v>
      </c>
      <c r="C8396" s="24" t="s">
        <v>1199</v>
      </c>
      <c r="D8396" s="24" t="s">
        <v>17</v>
      </c>
      <c r="E8396" s="24" t="s">
        <v>26</v>
      </c>
      <c r="F8396" s="24" t="s">
        <v>27</v>
      </c>
      <c r="G8396" s="24" t="s">
        <v>217</v>
      </c>
      <c r="H8396" s="26">
        <v>198</v>
      </c>
      <c r="I8396" s="24" t="s">
        <v>29</v>
      </c>
      <c r="J8396" s="36">
        <v>45992</v>
      </c>
      <c r="K8396" s="24" t="s">
        <v>22</v>
      </c>
    </row>
    <row r="8397" spans="1:11" x14ac:dyDescent="0.2">
      <c r="A8397" s="27" t="s">
        <v>19523</v>
      </c>
      <c r="B8397" s="27" t="s">
        <v>19524</v>
      </c>
      <c r="C8397" s="27" t="s">
        <v>19525</v>
      </c>
      <c r="D8397" s="27" t="s">
        <v>17</v>
      </c>
      <c r="E8397" s="27" t="s">
        <v>81</v>
      </c>
      <c r="F8397" s="27" t="s">
        <v>82</v>
      </c>
      <c r="G8397" s="27" t="s">
        <v>28</v>
      </c>
      <c r="H8397" s="29">
        <v>78</v>
      </c>
      <c r="I8397" s="27" t="s">
        <v>29</v>
      </c>
      <c r="J8397" s="37">
        <v>46021</v>
      </c>
      <c r="K8397" s="27" t="s">
        <v>22</v>
      </c>
    </row>
    <row r="8398" spans="1:11" x14ac:dyDescent="0.2">
      <c r="A8398" s="24" t="s">
        <v>19526</v>
      </c>
      <c r="B8398" s="24" t="s">
        <v>19527</v>
      </c>
      <c r="C8398" s="24" t="s">
        <v>1895</v>
      </c>
      <c r="D8398" s="24" t="s">
        <v>17</v>
      </c>
      <c r="E8398" s="24" t="s">
        <v>18</v>
      </c>
      <c r="F8398" s="24" t="s">
        <v>19</v>
      </c>
      <c r="G8398" s="24" t="s">
        <v>28</v>
      </c>
      <c r="H8398" s="26">
        <v>120</v>
      </c>
      <c r="I8398" s="24" t="s">
        <v>29</v>
      </c>
      <c r="J8398" s="36">
        <v>46007</v>
      </c>
      <c r="K8398" s="24" t="s">
        <v>22</v>
      </c>
    </row>
    <row r="8399" spans="1:11" x14ac:dyDescent="0.2">
      <c r="A8399" s="27" t="s">
        <v>19528</v>
      </c>
      <c r="B8399" s="27" t="s">
        <v>19529</v>
      </c>
      <c r="C8399" s="27" t="s">
        <v>11413</v>
      </c>
      <c r="D8399" s="27" t="s">
        <v>17</v>
      </c>
      <c r="E8399" s="27" t="s">
        <v>42</v>
      </c>
      <c r="F8399" s="27" t="s">
        <v>43</v>
      </c>
      <c r="G8399" s="27" t="s">
        <v>28</v>
      </c>
      <c r="H8399" s="29">
        <v>786</v>
      </c>
      <c r="I8399" s="27" t="s">
        <v>29</v>
      </c>
      <c r="J8399" s="37">
        <v>45994</v>
      </c>
      <c r="K8399" s="27" t="s">
        <v>22</v>
      </c>
    </row>
    <row r="8400" spans="1:11" x14ac:dyDescent="0.2">
      <c r="A8400" s="24" t="s">
        <v>19530</v>
      </c>
      <c r="B8400" s="24" t="s">
        <v>19531</v>
      </c>
      <c r="C8400" s="24" t="s">
        <v>526</v>
      </c>
      <c r="D8400" s="24" t="s">
        <v>17</v>
      </c>
      <c r="E8400" s="24" t="s">
        <v>48</v>
      </c>
      <c r="F8400" s="24" t="s">
        <v>49</v>
      </c>
      <c r="G8400" s="24" t="s">
        <v>28</v>
      </c>
      <c r="H8400" s="26">
        <v>60</v>
      </c>
      <c r="I8400" s="24" t="s">
        <v>29</v>
      </c>
      <c r="J8400" s="36">
        <v>45999</v>
      </c>
      <c r="K8400" s="24" t="s">
        <v>22</v>
      </c>
    </row>
    <row r="8401" spans="1:11" x14ac:dyDescent="0.2">
      <c r="A8401" s="27" t="s">
        <v>19532</v>
      </c>
      <c r="B8401" s="27" t="s">
        <v>19533</v>
      </c>
      <c r="C8401" s="27" t="s">
        <v>2331</v>
      </c>
      <c r="D8401" s="27" t="s">
        <v>17</v>
      </c>
      <c r="E8401" s="27" t="s">
        <v>42</v>
      </c>
      <c r="F8401" s="27" t="s">
        <v>43</v>
      </c>
      <c r="G8401" s="27" t="s">
        <v>28</v>
      </c>
      <c r="H8401" s="29">
        <v>25500</v>
      </c>
      <c r="I8401" s="27" t="s">
        <v>29</v>
      </c>
      <c r="J8401" s="37">
        <v>46001</v>
      </c>
      <c r="K8401" s="27" t="s">
        <v>22</v>
      </c>
    </row>
    <row r="8402" spans="1:11" x14ac:dyDescent="0.2">
      <c r="A8402" s="24" t="s">
        <v>19534</v>
      </c>
      <c r="B8402" s="24" t="s">
        <v>19535</v>
      </c>
      <c r="C8402" s="24" t="s">
        <v>774</v>
      </c>
      <c r="D8402" s="24" t="s">
        <v>17</v>
      </c>
      <c r="E8402" s="24" t="s">
        <v>42</v>
      </c>
      <c r="F8402" s="24" t="s">
        <v>43</v>
      </c>
      <c r="G8402" s="24" t="s">
        <v>28</v>
      </c>
      <c r="H8402" s="26">
        <v>500</v>
      </c>
      <c r="I8402" s="24" t="s">
        <v>29</v>
      </c>
      <c r="J8402" s="36">
        <v>46006</v>
      </c>
      <c r="K8402" s="24" t="s">
        <v>22</v>
      </c>
    </row>
    <row r="8403" spans="1:11" x14ac:dyDescent="0.2">
      <c r="A8403" s="27" t="s">
        <v>19536</v>
      </c>
      <c r="B8403" s="27" t="s">
        <v>19537</v>
      </c>
      <c r="C8403" s="27" t="s">
        <v>19538</v>
      </c>
      <c r="D8403" s="27" t="s">
        <v>17</v>
      </c>
      <c r="E8403" s="27" t="s">
        <v>18</v>
      </c>
      <c r="F8403" s="27" t="s">
        <v>19</v>
      </c>
      <c r="G8403" s="27" t="s">
        <v>28</v>
      </c>
      <c r="H8403" s="29">
        <v>24</v>
      </c>
      <c r="I8403" s="27" t="s">
        <v>29</v>
      </c>
      <c r="J8403" s="37">
        <v>46004</v>
      </c>
      <c r="K8403" s="27" t="s">
        <v>22</v>
      </c>
    </row>
    <row r="8404" spans="1:11" x14ac:dyDescent="0.2">
      <c r="A8404" s="24" t="s">
        <v>19539</v>
      </c>
      <c r="B8404" s="24" t="s">
        <v>19540</v>
      </c>
      <c r="C8404" s="24" t="s">
        <v>11604</v>
      </c>
      <c r="D8404" s="24" t="s">
        <v>17</v>
      </c>
      <c r="E8404" s="24" t="s">
        <v>18</v>
      </c>
      <c r="F8404" s="24" t="s">
        <v>19</v>
      </c>
      <c r="G8404" s="24" t="s">
        <v>217</v>
      </c>
      <c r="H8404" s="26">
        <v>72</v>
      </c>
      <c r="I8404" s="24" t="s">
        <v>29</v>
      </c>
      <c r="J8404" s="36">
        <v>46006</v>
      </c>
      <c r="K8404" s="24" t="s">
        <v>22</v>
      </c>
    </row>
    <row r="8405" spans="1:11" x14ac:dyDescent="0.2">
      <c r="A8405" s="27" t="s">
        <v>19541</v>
      </c>
      <c r="B8405" s="27" t="s">
        <v>19542</v>
      </c>
      <c r="C8405" s="27" t="s">
        <v>1030</v>
      </c>
      <c r="D8405" s="27" t="s">
        <v>17</v>
      </c>
      <c r="E8405" s="27" t="s">
        <v>48</v>
      </c>
      <c r="F8405" s="27" t="s">
        <v>49</v>
      </c>
      <c r="G8405" s="27" t="s">
        <v>28</v>
      </c>
      <c r="H8405" s="29">
        <v>160</v>
      </c>
      <c r="I8405" s="27" t="s">
        <v>29</v>
      </c>
      <c r="J8405" s="37">
        <v>46006</v>
      </c>
      <c r="K8405" s="27" t="s">
        <v>22</v>
      </c>
    </row>
    <row r="8406" spans="1:11" x14ac:dyDescent="0.2">
      <c r="A8406" s="24" t="s">
        <v>19543</v>
      </c>
      <c r="B8406" s="24" t="s">
        <v>19544</v>
      </c>
      <c r="C8406" s="24" t="s">
        <v>68</v>
      </c>
      <c r="D8406" s="24" t="s">
        <v>17</v>
      </c>
      <c r="E8406" s="24" t="s">
        <v>48</v>
      </c>
      <c r="F8406" s="24" t="s">
        <v>49</v>
      </c>
      <c r="G8406" s="24" t="s">
        <v>28</v>
      </c>
      <c r="H8406" s="26">
        <v>100</v>
      </c>
      <c r="I8406" s="24" t="s">
        <v>29</v>
      </c>
      <c r="J8406" s="36">
        <v>45995</v>
      </c>
      <c r="K8406" s="24" t="s">
        <v>22</v>
      </c>
    </row>
    <row r="8407" spans="1:11" x14ac:dyDescent="0.2">
      <c r="A8407" s="27" t="s">
        <v>19545</v>
      </c>
      <c r="B8407" s="27" t="s">
        <v>19546</v>
      </c>
      <c r="C8407" s="27" t="s">
        <v>55</v>
      </c>
      <c r="D8407" s="27" t="s">
        <v>17</v>
      </c>
      <c r="E8407" s="27" t="s">
        <v>18</v>
      </c>
      <c r="F8407" s="27" t="s">
        <v>19</v>
      </c>
      <c r="G8407" s="27" t="s">
        <v>28</v>
      </c>
      <c r="H8407" s="29">
        <v>24</v>
      </c>
      <c r="I8407" s="27" t="s">
        <v>29</v>
      </c>
      <c r="J8407" s="37">
        <v>45999</v>
      </c>
      <c r="K8407" s="27" t="s">
        <v>22</v>
      </c>
    </row>
    <row r="8408" spans="1:11" x14ac:dyDescent="0.2">
      <c r="A8408" s="24" t="s">
        <v>19547</v>
      </c>
      <c r="B8408" s="24" t="s">
        <v>19548</v>
      </c>
      <c r="C8408" s="24" t="s">
        <v>667</v>
      </c>
      <c r="D8408" s="24" t="s">
        <v>17</v>
      </c>
      <c r="E8408" s="24" t="s">
        <v>48</v>
      </c>
      <c r="F8408" s="24" t="s">
        <v>49</v>
      </c>
      <c r="G8408" s="24" t="s">
        <v>217</v>
      </c>
      <c r="H8408" s="26">
        <v>30</v>
      </c>
      <c r="I8408" s="24" t="s">
        <v>29</v>
      </c>
      <c r="J8408" s="36">
        <v>45996</v>
      </c>
      <c r="K8408" s="24" t="s">
        <v>22</v>
      </c>
    </row>
    <row r="8409" spans="1:11" x14ac:dyDescent="0.2">
      <c r="A8409" s="27" t="s">
        <v>19549</v>
      </c>
      <c r="B8409" s="27" t="s">
        <v>19550</v>
      </c>
      <c r="C8409" s="27" t="s">
        <v>55</v>
      </c>
      <c r="D8409" s="27" t="s">
        <v>17</v>
      </c>
      <c r="E8409" s="27" t="s">
        <v>33</v>
      </c>
      <c r="F8409" s="27" t="s">
        <v>34</v>
      </c>
      <c r="G8409" s="27" t="s">
        <v>28</v>
      </c>
      <c r="H8409" s="29">
        <v>570</v>
      </c>
      <c r="I8409" s="27" t="s">
        <v>29</v>
      </c>
      <c r="J8409" s="37">
        <v>46009</v>
      </c>
      <c r="K8409" s="27" t="s">
        <v>22</v>
      </c>
    </row>
    <row r="8410" spans="1:11" x14ac:dyDescent="0.2">
      <c r="A8410" s="24" t="s">
        <v>19551</v>
      </c>
      <c r="B8410" s="24" t="s">
        <v>19552</v>
      </c>
      <c r="C8410" s="24" t="s">
        <v>19553</v>
      </c>
      <c r="D8410" s="24" t="s">
        <v>17</v>
      </c>
      <c r="E8410" s="24" t="s">
        <v>18</v>
      </c>
      <c r="F8410" s="24" t="s">
        <v>19</v>
      </c>
      <c r="G8410" s="24" t="s">
        <v>217</v>
      </c>
      <c r="H8410" s="26">
        <v>120</v>
      </c>
      <c r="I8410" s="24" t="s">
        <v>29</v>
      </c>
      <c r="J8410" s="36">
        <v>46006</v>
      </c>
      <c r="K8410" s="24" t="s">
        <v>22</v>
      </c>
    </row>
    <row r="8411" spans="1:11" x14ac:dyDescent="0.2">
      <c r="A8411" s="27" t="s">
        <v>19554</v>
      </c>
      <c r="B8411" s="27" t="s">
        <v>19555</v>
      </c>
      <c r="C8411" s="27" t="s">
        <v>9465</v>
      </c>
      <c r="D8411" s="27" t="s">
        <v>17</v>
      </c>
      <c r="E8411" s="27" t="s">
        <v>48</v>
      </c>
      <c r="F8411" s="27" t="s">
        <v>49</v>
      </c>
      <c r="G8411" s="27" t="s">
        <v>28</v>
      </c>
      <c r="H8411" s="29">
        <v>160</v>
      </c>
      <c r="I8411" s="27" t="s">
        <v>29</v>
      </c>
      <c r="J8411" s="37">
        <v>45994</v>
      </c>
      <c r="K8411" s="27" t="s">
        <v>22</v>
      </c>
    </row>
    <row r="8412" spans="1:11" x14ac:dyDescent="0.2">
      <c r="A8412" s="24" t="s">
        <v>19556</v>
      </c>
      <c r="B8412" s="24" t="s">
        <v>19557</v>
      </c>
      <c r="C8412" s="24" t="s">
        <v>827</v>
      </c>
      <c r="D8412" s="24" t="s">
        <v>17</v>
      </c>
      <c r="E8412" s="24" t="s">
        <v>48</v>
      </c>
      <c r="F8412" s="24" t="s">
        <v>49</v>
      </c>
      <c r="G8412" s="24" t="s">
        <v>28</v>
      </c>
      <c r="H8412" s="26">
        <v>90</v>
      </c>
      <c r="I8412" s="24" t="s">
        <v>29</v>
      </c>
      <c r="J8412" s="36">
        <v>46010</v>
      </c>
      <c r="K8412" s="24" t="s">
        <v>22</v>
      </c>
    </row>
    <row r="8413" spans="1:11" x14ac:dyDescent="0.2">
      <c r="A8413" s="27" t="s">
        <v>19558</v>
      </c>
      <c r="B8413" s="27" t="s">
        <v>19559</v>
      </c>
      <c r="C8413" s="27" t="s">
        <v>14417</v>
      </c>
      <c r="D8413" s="27" t="s">
        <v>17</v>
      </c>
      <c r="E8413" s="27" t="s">
        <v>18</v>
      </c>
      <c r="F8413" s="27" t="s">
        <v>19</v>
      </c>
      <c r="G8413" s="27" t="s">
        <v>28</v>
      </c>
      <c r="H8413" s="29">
        <v>112</v>
      </c>
      <c r="I8413" s="27" t="s">
        <v>29</v>
      </c>
      <c r="J8413" s="37">
        <v>46007</v>
      </c>
      <c r="K8413" s="27" t="s">
        <v>22</v>
      </c>
    </row>
    <row r="8414" spans="1:11" x14ac:dyDescent="0.2">
      <c r="A8414" s="24" t="s">
        <v>19560</v>
      </c>
      <c r="B8414" s="24" t="s">
        <v>19561</v>
      </c>
      <c r="C8414" s="24" t="s">
        <v>1425</v>
      </c>
      <c r="D8414" s="24" t="s">
        <v>17</v>
      </c>
      <c r="E8414" s="24" t="s">
        <v>18</v>
      </c>
      <c r="F8414" s="24" t="s">
        <v>19</v>
      </c>
      <c r="G8414" s="24" t="s">
        <v>217</v>
      </c>
      <c r="H8414" s="26">
        <v>32</v>
      </c>
      <c r="I8414" s="24" t="s">
        <v>29</v>
      </c>
      <c r="J8414" s="36">
        <v>46021</v>
      </c>
      <c r="K8414" s="24" t="s">
        <v>22</v>
      </c>
    </row>
    <row r="8415" spans="1:11" x14ac:dyDescent="0.2">
      <c r="A8415" s="27" t="s">
        <v>19562</v>
      </c>
      <c r="B8415" s="27" t="s">
        <v>19563</v>
      </c>
      <c r="C8415" s="27" t="s">
        <v>19564</v>
      </c>
      <c r="D8415" s="27" t="s">
        <v>17</v>
      </c>
      <c r="E8415" s="27" t="s">
        <v>26</v>
      </c>
      <c r="F8415" s="27" t="s">
        <v>27</v>
      </c>
      <c r="G8415" s="27" t="s">
        <v>28</v>
      </c>
      <c r="H8415" s="29">
        <v>12</v>
      </c>
      <c r="I8415" s="27" t="s">
        <v>29</v>
      </c>
      <c r="J8415" s="37">
        <v>46010</v>
      </c>
      <c r="K8415" s="27" t="s">
        <v>22</v>
      </c>
    </row>
    <row r="8416" spans="1:11" x14ac:dyDescent="0.2">
      <c r="A8416" s="24" t="s">
        <v>19565</v>
      </c>
      <c r="B8416" s="24" t="s">
        <v>19566</v>
      </c>
      <c r="C8416" s="24" t="s">
        <v>7864</v>
      </c>
      <c r="D8416" s="24" t="s">
        <v>17</v>
      </c>
      <c r="E8416" s="24" t="s">
        <v>18</v>
      </c>
      <c r="F8416" s="24" t="s">
        <v>19</v>
      </c>
      <c r="G8416" s="24" t="s">
        <v>28</v>
      </c>
      <c r="H8416" s="26">
        <v>144</v>
      </c>
      <c r="I8416" s="24" t="s">
        <v>29</v>
      </c>
      <c r="J8416" s="36">
        <v>46014</v>
      </c>
      <c r="K8416" s="24" t="s">
        <v>22</v>
      </c>
    </row>
    <row r="8417" spans="1:11" x14ac:dyDescent="0.2">
      <c r="A8417" s="27" t="s">
        <v>19567</v>
      </c>
      <c r="B8417" s="27" t="s">
        <v>19568</v>
      </c>
      <c r="C8417" s="27" t="s">
        <v>52</v>
      </c>
      <c r="D8417" s="27" t="s">
        <v>17</v>
      </c>
      <c r="E8417" s="27" t="s">
        <v>18</v>
      </c>
      <c r="F8417" s="27" t="s">
        <v>19</v>
      </c>
      <c r="G8417" s="27" t="s">
        <v>28</v>
      </c>
      <c r="H8417" s="29">
        <v>260</v>
      </c>
      <c r="I8417" s="27" t="s">
        <v>29</v>
      </c>
      <c r="J8417" s="37">
        <v>46010</v>
      </c>
      <c r="K8417" s="27" t="s">
        <v>22</v>
      </c>
    </row>
    <row r="8418" spans="1:11" x14ac:dyDescent="0.2">
      <c r="A8418" s="24" t="s">
        <v>19569</v>
      </c>
      <c r="B8418" s="24" t="s">
        <v>19570</v>
      </c>
      <c r="C8418" s="24" t="s">
        <v>349</v>
      </c>
      <c r="D8418" s="24" t="s">
        <v>17</v>
      </c>
      <c r="E8418" s="24" t="s">
        <v>18</v>
      </c>
      <c r="F8418" s="24" t="s">
        <v>19</v>
      </c>
      <c r="G8418" s="24" t="s">
        <v>217</v>
      </c>
      <c r="H8418" s="26">
        <v>32</v>
      </c>
      <c r="I8418" s="24" t="s">
        <v>29</v>
      </c>
      <c r="J8418" s="36">
        <v>46021</v>
      </c>
      <c r="K8418" s="24" t="s">
        <v>22</v>
      </c>
    </row>
    <row r="8419" spans="1:11" x14ac:dyDescent="0.2">
      <c r="A8419" s="27" t="s">
        <v>19571</v>
      </c>
      <c r="B8419" s="27" t="s">
        <v>19572</v>
      </c>
      <c r="C8419" s="27" t="s">
        <v>8805</v>
      </c>
      <c r="D8419" s="27" t="s">
        <v>17</v>
      </c>
      <c r="E8419" s="27" t="s">
        <v>48</v>
      </c>
      <c r="F8419" s="27" t="s">
        <v>49</v>
      </c>
      <c r="G8419" s="27" t="s">
        <v>28</v>
      </c>
      <c r="H8419" s="29">
        <v>35</v>
      </c>
      <c r="I8419" s="27" t="s">
        <v>29</v>
      </c>
      <c r="J8419" s="37">
        <v>45999</v>
      </c>
      <c r="K8419" s="27" t="s">
        <v>22</v>
      </c>
    </row>
    <row r="8420" spans="1:11" x14ac:dyDescent="0.2">
      <c r="A8420" s="24" t="s">
        <v>19573</v>
      </c>
      <c r="B8420" s="24" t="s">
        <v>19574</v>
      </c>
      <c r="C8420" s="24" t="s">
        <v>2484</v>
      </c>
      <c r="D8420" s="24" t="s">
        <v>17</v>
      </c>
      <c r="E8420" s="24" t="s">
        <v>48</v>
      </c>
      <c r="F8420" s="24" t="s">
        <v>49</v>
      </c>
      <c r="G8420" s="24" t="s">
        <v>28</v>
      </c>
      <c r="H8420" s="26">
        <v>160</v>
      </c>
      <c r="I8420" s="24" t="s">
        <v>29</v>
      </c>
      <c r="J8420" s="36">
        <v>46020</v>
      </c>
      <c r="K8420" s="24" t="s">
        <v>22</v>
      </c>
    </row>
    <row r="8421" spans="1:11" x14ac:dyDescent="0.2">
      <c r="A8421" s="27" t="s">
        <v>19575</v>
      </c>
      <c r="B8421" s="27" t="s">
        <v>19576</v>
      </c>
      <c r="C8421" s="27" t="s">
        <v>2669</v>
      </c>
      <c r="D8421" s="27" t="s">
        <v>17</v>
      </c>
      <c r="E8421" s="27" t="s">
        <v>18</v>
      </c>
      <c r="F8421" s="27" t="s">
        <v>19</v>
      </c>
      <c r="G8421" s="27" t="s">
        <v>217</v>
      </c>
      <c r="H8421" s="29">
        <v>160</v>
      </c>
      <c r="I8421" s="27" t="s">
        <v>29</v>
      </c>
      <c r="J8421" s="37">
        <v>45992</v>
      </c>
      <c r="K8421" s="27" t="s">
        <v>22</v>
      </c>
    </row>
    <row r="8422" spans="1:11" x14ac:dyDescent="0.2">
      <c r="A8422" s="24" t="s">
        <v>19577</v>
      </c>
      <c r="B8422" s="24" t="s">
        <v>19578</v>
      </c>
      <c r="C8422" s="24" t="s">
        <v>19579</v>
      </c>
      <c r="D8422" s="24" t="s">
        <v>17</v>
      </c>
      <c r="E8422" s="24" t="s">
        <v>42</v>
      </c>
      <c r="F8422" s="24" t="s">
        <v>43</v>
      </c>
      <c r="G8422" s="24" t="s">
        <v>217</v>
      </c>
      <c r="H8422" s="26">
        <v>332</v>
      </c>
      <c r="I8422" s="24" t="s">
        <v>29</v>
      </c>
      <c r="J8422" s="36">
        <v>46002</v>
      </c>
      <c r="K8422" s="24" t="s">
        <v>22</v>
      </c>
    </row>
    <row r="8423" spans="1:11" x14ac:dyDescent="0.2">
      <c r="A8423" s="27" t="s">
        <v>19580</v>
      </c>
      <c r="B8423" s="27" t="s">
        <v>19581</v>
      </c>
      <c r="C8423" s="27" t="s">
        <v>526</v>
      </c>
      <c r="D8423" s="27" t="s">
        <v>17</v>
      </c>
      <c r="E8423" s="27" t="s">
        <v>18</v>
      </c>
      <c r="F8423" s="27" t="s">
        <v>19</v>
      </c>
      <c r="G8423" s="27" t="s">
        <v>28</v>
      </c>
      <c r="H8423" s="29">
        <v>41</v>
      </c>
      <c r="I8423" s="27" t="s">
        <v>29</v>
      </c>
      <c r="J8423" s="37">
        <v>46013</v>
      </c>
      <c r="K8423" s="27" t="s">
        <v>22</v>
      </c>
    </row>
    <row r="8424" spans="1:11" x14ac:dyDescent="0.2">
      <c r="A8424" s="24" t="s">
        <v>19582</v>
      </c>
      <c r="B8424" s="24" t="s">
        <v>19583</v>
      </c>
      <c r="C8424" s="24" t="s">
        <v>19584</v>
      </c>
      <c r="D8424" s="24" t="s">
        <v>17</v>
      </c>
      <c r="E8424" s="24" t="s">
        <v>48</v>
      </c>
      <c r="F8424" s="24" t="s">
        <v>49</v>
      </c>
      <c r="G8424" s="24" t="s">
        <v>217</v>
      </c>
      <c r="H8424" s="26">
        <v>120</v>
      </c>
      <c r="I8424" s="24" t="s">
        <v>29</v>
      </c>
      <c r="J8424" s="36">
        <v>45992</v>
      </c>
      <c r="K8424" s="24" t="s">
        <v>22</v>
      </c>
    </row>
    <row r="8425" spans="1:11" x14ac:dyDescent="0.2">
      <c r="A8425" s="27" t="s">
        <v>19585</v>
      </c>
      <c r="B8425" s="27" t="s">
        <v>19586</v>
      </c>
      <c r="C8425" s="27" t="s">
        <v>19587</v>
      </c>
      <c r="D8425" s="27" t="s">
        <v>17</v>
      </c>
      <c r="E8425" s="27" t="s">
        <v>26</v>
      </c>
      <c r="F8425" s="27" t="s">
        <v>27</v>
      </c>
      <c r="G8425" s="27" t="s">
        <v>28</v>
      </c>
      <c r="H8425" s="29">
        <v>45</v>
      </c>
      <c r="I8425" s="27" t="s">
        <v>29</v>
      </c>
      <c r="J8425" s="37">
        <v>46015</v>
      </c>
      <c r="K8425" s="27" t="s">
        <v>22</v>
      </c>
    </row>
    <row r="8426" spans="1:11" x14ac:dyDescent="0.2">
      <c r="A8426" s="24" t="s">
        <v>19588</v>
      </c>
      <c r="B8426" s="24" t="s">
        <v>19589</v>
      </c>
      <c r="C8426" s="24" t="s">
        <v>1068</v>
      </c>
      <c r="D8426" s="24" t="s">
        <v>17</v>
      </c>
      <c r="E8426" s="24" t="s">
        <v>48</v>
      </c>
      <c r="F8426" s="24" t="s">
        <v>49</v>
      </c>
      <c r="G8426" s="24" t="s">
        <v>217</v>
      </c>
      <c r="H8426" s="26">
        <v>56</v>
      </c>
      <c r="I8426" s="24" t="s">
        <v>29</v>
      </c>
      <c r="J8426" s="36">
        <v>45992</v>
      </c>
      <c r="K8426" s="24" t="s">
        <v>22</v>
      </c>
    </row>
    <row r="8427" spans="1:11" x14ac:dyDescent="0.2">
      <c r="A8427" s="27" t="s">
        <v>19590</v>
      </c>
      <c r="B8427" s="27" t="s">
        <v>19591</v>
      </c>
      <c r="C8427" s="27" t="s">
        <v>429</v>
      </c>
      <c r="D8427" s="27" t="s">
        <v>17</v>
      </c>
      <c r="E8427" s="27" t="s">
        <v>18</v>
      </c>
      <c r="F8427" s="27" t="s">
        <v>19</v>
      </c>
      <c r="G8427" s="27" t="s">
        <v>217</v>
      </c>
      <c r="H8427" s="29">
        <v>32</v>
      </c>
      <c r="I8427" s="27" t="s">
        <v>29</v>
      </c>
      <c r="J8427" s="37">
        <v>46014</v>
      </c>
      <c r="K8427" s="27" t="s">
        <v>22</v>
      </c>
    </row>
    <row r="8428" spans="1:11" x14ac:dyDescent="0.2">
      <c r="A8428" s="24" t="s">
        <v>19592</v>
      </c>
      <c r="B8428" s="24" t="s">
        <v>19593</v>
      </c>
      <c r="C8428" s="24" t="s">
        <v>7787</v>
      </c>
      <c r="D8428" s="24" t="s">
        <v>17</v>
      </c>
      <c r="E8428" s="24" t="s">
        <v>48</v>
      </c>
      <c r="F8428" s="24" t="s">
        <v>49</v>
      </c>
      <c r="G8428" s="24" t="s">
        <v>28</v>
      </c>
      <c r="H8428" s="26">
        <v>30</v>
      </c>
      <c r="I8428" s="24" t="s">
        <v>29</v>
      </c>
      <c r="J8428" s="36">
        <v>46006</v>
      </c>
      <c r="K8428" s="24" t="s">
        <v>22</v>
      </c>
    </row>
    <row r="8429" spans="1:11" x14ac:dyDescent="0.2">
      <c r="A8429" s="27" t="s">
        <v>19594</v>
      </c>
      <c r="B8429" s="27" t="s">
        <v>19595</v>
      </c>
      <c r="C8429" s="27" t="s">
        <v>19596</v>
      </c>
      <c r="D8429" s="27" t="s">
        <v>17</v>
      </c>
      <c r="E8429" s="27" t="s">
        <v>48</v>
      </c>
      <c r="F8429" s="27" t="s">
        <v>49</v>
      </c>
      <c r="G8429" s="27" t="s">
        <v>217</v>
      </c>
      <c r="H8429" s="29">
        <v>204</v>
      </c>
      <c r="I8429" s="27" t="s">
        <v>29</v>
      </c>
      <c r="J8429" s="37">
        <v>45992</v>
      </c>
      <c r="K8429" s="27" t="s">
        <v>22</v>
      </c>
    </row>
    <row r="8430" spans="1:11" x14ac:dyDescent="0.2">
      <c r="A8430" s="24" t="s">
        <v>19597</v>
      </c>
      <c r="B8430" s="24" t="s">
        <v>19598</v>
      </c>
      <c r="C8430" s="24" t="s">
        <v>1044</v>
      </c>
      <c r="D8430" s="24" t="s">
        <v>17</v>
      </c>
      <c r="E8430" s="24" t="s">
        <v>18</v>
      </c>
      <c r="F8430" s="24" t="s">
        <v>19</v>
      </c>
      <c r="G8430" s="24" t="s">
        <v>28</v>
      </c>
      <c r="H8430" s="26">
        <v>36</v>
      </c>
      <c r="I8430" s="24" t="s">
        <v>29</v>
      </c>
      <c r="J8430" s="36">
        <v>45992</v>
      </c>
      <c r="K8430" s="24" t="s">
        <v>22</v>
      </c>
    </row>
    <row r="8431" spans="1:11" x14ac:dyDescent="0.2">
      <c r="A8431" s="27" t="s">
        <v>19599</v>
      </c>
      <c r="B8431" s="27" t="s">
        <v>19600</v>
      </c>
      <c r="C8431" s="27" t="s">
        <v>134</v>
      </c>
      <c r="D8431" s="27" t="s">
        <v>17</v>
      </c>
      <c r="E8431" s="27" t="s">
        <v>42</v>
      </c>
      <c r="F8431" s="27" t="s">
        <v>43</v>
      </c>
      <c r="G8431" s="27" t="s">
        <v>28</v>
      </c>
      <c r="H8431" s="29">
        <v>600</v>
      </c>
      <c r="I8431" s="27" t="s">
        <v>29</v>
      </c>
      <c r="J8431" s="37">
        <v>45993</v>
      </c>
      <c r="K8431" s="27" t="s">
        <v>22</v>
      </c>
    </row>
    <row r="8432" spans="1:11" x14ac:dyDescent="0.2">
      <c r="A8432" s="24" t="s">
        <v>19601</v>
      </c>
      <c r="B8432" s="24" t="s">
        <v>19602</v>
      </c>
      <c r="C8432" s="24" t="s">
        <v>2586</v>
      </c>
      <c r="D8432" s="24" t="s">
        <v>17</v>
      </c>
      <c r="E8432" s="24" t="s">
        <v>18</v>
      </c>
      <c r="F8432" s="24" t="s">
        <v>19</v>
      </c>
      <c r="G8432" s="24" t="s">
        <v>20</v>
      </c>
      <c r="H8432" s="26">
        <v>50</v>
      </c>
      <c r="I8432" s="24" t="s">
        <v>21</v>
      </c>
      <c r="J8432" s="36">
        <v>46008</v>
      </c>
      <c r="K8432" s="24" t="s">
        <v>22</v>
      </c>
    </row>
    <row r="8433" spans="1:11" x14ac:dyDescent="0.2">
      <c r="A8433" s="27" t="s">
        <v>19603</v>
      </c>
      <c r="B8433" s="27" t="s">
        <v>19604</v>
      </c>
      <c r="C8433" s="27" t="s">
        <v>19605</v>
      </c>
      <c r="D8433" s="27" t="s">
        <v>17</v>
      </c>
      <c r="E8433" s="27" t="s">
        <v>48</v>
      </c>
      <c r="F8433" s="27" t="s">
        <v>49</v>
      </c>
      <c r="G8433" s="27" t="s">
        <v>227</v>
      </c>
      <c r="H8433" s="29">
        <v>155</v>
      </c>
      <c r="I8433" s="27" t="s">
        <v>29</v>
      </c>
      <c r="J8433" s="37">
        <v>45996</v>
      </c>
      <c r="K8433" s="27" t="s">
        <v>22</v>
      </c>
    </row>
    <row r="8434" spans="1:11" x14ac:dyDescent="0.2">
      <c r="A8434" s="24" t="s">
        <v>19606</v>
      </c>
      <c r="B8434" s="24" t="s">
        <v>19607</v>
      </c>
      <c r="C8434" s="24" t="s">
        <v>68</v>
      </c>
      <c r="D8434" s="24" t="s">
        <v>17</v>
      </c>
      <c r="E8434" s="24" t="s">
        <v>48</v>
      </c>
      <c r="F8434" s="24" t="s">
        <v>49</v>
      </c>
      <c r="G8434" s="24" t="s">
        <v>28</v>
      </c>
      <c r="H8434" s="26">
        <v>176</v>
      </c>
      <c r="I8434" s="24" t="s">
        <v>29</v>
      </c>
      <c r="J8434" s="36">
        <v>45996</v>
      </c>
      <c r="K8434" s="24" t="s">
        <v>22</v>
      </c>
    </row>
    <row r="8435" spans="1:11" x14ac:dyDescent="0.2">
      <c r="A8435" s="27" t="s">
        <v>19608</v>
      </c>
      <c r="B8435" s="27" t="s">
        <v>19609</v>
      </c>
      <c r="C8435" s="27" t="s">
        <v>134</v>
      </c>
      <c r="D8435" s="27" t="s">
        <v>17</v>
      </c>
      <c r="E8435" s="27" t="s">
        <v>42</v>
      </c>
      <c r="F8435" s="27" t="s">
        <v>43</v>
      </c>
      <c r="G8435" s="27" t="s">
        <v>28</v>
      </c>
      <c r="H8435" s="29">
        <v>366</v>
      </c>
      <c r="I8435" s="27" t="s">
        <v>29</v>
      </c>
      <c r="J8435" s="37">
        <v>45994</v>
      </c>
      <c r="K8435" s="27" t="s">
        <v>22</v>
      </c>
    </row>
    <row r="8436" spans="1:11" x14ac:dyDescent="0.2">
      <c r="A8436" s="24" t="s">
        <v>19610</v>
      </c>
      <c r="B8436" s="24" t="s">
        <v>19611</v>
      </c>
      <c r="C8436" s="24" t="s">
        <v>115</v>
      </c>
      <c r="D8436" s="24" t="s">
        <v>17</v>
      </c>
      <c r="E8436" s="24" t="s">
        <v>42</v>
      </c>
      <c r="F8436" s="24" t="s">
        <v>43</v>
      </c>
      <c r="G8436" s="24" t="s">
        <v>28</v>
      </c>
      <c r="H8436" s="26">
        <v>110</v>
      </c>
      <c r="I8436" s="24" t="s">
        <v>29</v>
      </c>
      <c r="J8436" s="36">
        <v>45995</v>
      </c>
      <c r="K8436" s="24" t="s">
        <v>22</v>
      </c>
    </row>
    <row r="8437" spans="1:11" x14ac:dyDescent="0.2">
      <c r="A8437" s="27" t="s">
        <v>19612</v>
      </c>
      <c r="B8437" s="27" t="s">
        <v>19613</v>
      </c>
      <c r="C8437" s="27" t="s">
        <v>263</v>
      </c>
      <c r="D8437" s="27" t="s">
        <v>17</v>
      </c>
      <c r="E8437" s="27" t="s">
        <v>48</v>
      </c>
      <c r="F8437" s="27" t="s">
        <v>49</v>
      </c>
      <c r="G8437" s="27" t="s">
        <v>28</v>
      </c>
      <c r="H8437" s="29">
        <v>48</v>
      </c>
      <c r="I8437" s="27" t="s">
        <v>29</v>
      </c>
      <c r="J8437" s="37">
        <v>46014</v>
      </c>
      <c r="K8437" s="27" t="s">
        <v>22</v>
      </c>
    </row>
    <row r="8438" spans="1:11" x14ac:dyDescent="0.2">
      <c r="A8438" s="24" t="s">
        <v>19614</v>
      </c>
      <c r="B8438" s="24" t="s">
        <v>19615</v>
      </c>
      <c r="C8438" s="24" t="s">
        <v>7515</v>
      </c>
      <c r="D8438" s="24" t="s">
        <v>17</v>
      </c>
      <c r="E8438" s="24" t="s">
        <v>18</v>
      </c>
      <c r="F8438" s="24" t="s">
        <v>19</v>
      </c>
      <c r="G8438" s="24" t="s">
        <v>217</v>
      </c>
      <c r="H8438" s="26">
        <v>24</v>
      </c>
      <c r="I8438" s="24" t="s">
        <v>29</v>
      </c>
      <c r="J8438" s="36">
        <v>45992</v>
      </c>
      <c r="K8438" s="24" t="s">
        <v>22</v>
      </c>
    </row>
    <row r="8439" spans="1:11" x14ac:dyDescent="0.2">
      <c r="A8439" s="27" t="s">
        <v>19616</v>
      </c>
      <c r="B8439" s="27" t="s">
        <v>19617</v>
      </c>
      <c r="C8439" s="27" t="s">
        <v>68</v>
      </c>
      <c r="D8439" s="27" t="s">
        <v>17</v>
      </c>
      <c r="E8439" s="27" t="s">
        <v>42</v>
      </c>
      <c r="F8439" s="27" t="s">
        <v>43</v>
      </c>
      <c r="G8439" s="27" t="s">
        <v>28</v>
      </c>
      <c r="H8439" s="29">
        <v>662</v>
      </c>
      <c r="I8439" s="27" t="s">
        <v>29</v>
      </c>
      <c r="J8439" s="37">
        <v>45993</v>
      </c>
      <c r="K8439" s="27" t="s">
        <v>22</v>
      </c>
    </row>
    <row r="8440" spans="1:11" x14ac:dyDescent="0.2">
      <c r="A8440" s="24" t="s">
        <v>19618</v>
      </c>
      <c r="B8440" s="24" t="s">
        <v>19619</v>
      </c>
      <c r="C8440" s="24" t="s">
        <v>19620</v>
      </c>
      <c r="D8440" s="24" t="s">
        <v>17</v>
      </c>
      <c r="E8440" s="24" t="s">
        <v>26</v>
      </c>
      <c r="F8440" s="24" t="s">
        <v>27</v>
      </c>
      <c r="G8440" s="24" t="s">
        <v>28</v>
      </c>
      <c r="H8440" s="26">
        <v>158</v>
      </c>
      <c r="I8440" s="24" t="s">
        <v>29</v>
      </c>
      <c r="J8440" s="36">
        <v>45995</v>
      </c>
      <c r="K8440" s="24" t="s">
        <v>22</v>
      </c>
    </row>
    <row r="8441" spans="1:11" x14ac:dyDescent="0.2">
      <c r="A8441" s="27" t="s">
        <v>19621</v>
      </c>
      <c r="B8441" s="27" t="s">
        <v>19622</v>
      </c>
      <c r="C8441" s="27" t="s">
        <v>2287</v>
      </c>
      <c r="D8441" s="27" t="s">
        <v>17</v>
      </c>
      <c r="E8441" s="27" t="s">
        <v>48</v>
      </c>
      <c r="F8441" s="27" t="s">
        <v>49</v>
      </c>
      <c r="G8441" s="27" t="s">
        <v>217</v>
      </c>
      <c r="H8441" s="29">
        <v>150</v>
      </c>
      <c r="I8441" s="27" t="s">
        <v>29</v>
      </c>
      <c r="J8441" s="37">
        <v>45992</v>
      </c>
      <c r="K8441" s="27" t="s">
        <v>22</v>
      </c>
    </row>
    <row r="8442" spans="1:11" x14ac:dyDescent="0.2">
      <c r="A8442" s="24" t="s">
        <v>19623</v>
      </c>
      <c r="B8442" s="24" t="s">
        <v>19624</v>
      </c>
      <c r="C8442" s="24" t="s">
        <v>19625</v>
      </c>
      <c r="D8442" s="24" t="s">
        <v>17</v>
      </c>
      <c r="E8442" s="24" t="s">
        <v>18</v>
      </c>
      <c r="F8442" s="24" t="s">
        <v>19</v>
      </c>
      <c r="G8442" s="24" t="s">
        <v>20</v>
      </c>
      <c r="H8442" s="26">
        <v>20</v>
      </c>
      <c r="I8442" s="24" t="s">
        <v>21</v>
      </c>
      <c r="J8442" s="36">
        <v>46008</v>
      </c>
      <c r="K8442" s="24" t="s">
        <v>22</v>
      </c>
    </row>
    <row r="8443" spans="1:11" x14ac:dyDescent="0.2">
      <c r="A8443" s="27" t="s">
        <v>19626</v>
      </c>
      <c r="B8443" s="27" t="s">
        <v>19627</v>
      </c>
      <c r="C8443" s="27" t="s">
        <v>19628</v>
      </c>
      <c r="D8443" s="27" t="s">
        <v>17</v>
      </c>
      <c r="E8443" s="27" t="s">
        <v>81</v>
      </c>
      <c r="F8443" s="27" t="s">
        <v>82</v>
      </c>
      <c r="G8443" s="27" t="s">
        <v>227</v>
      </c>
      <c r="H8443" s="29">
        <v>210</v>
      </c>
      <c r="I8443" s="27" t="s">
        <v>29</v>
      </c>
      <c r="J8443" s="37">
        <v>46014</v>
      </c>
      <c r="K8443" s="27" t="s">
        <v>22</v>
      </c>
    </row>
    <row r="8444" spans="1:11" x14ac:dyDescent="0.2">
      <c r="A8444" s="24" t="s">
        <v>19629</v>
      </c>
      <c r="B8444" s="24" t="s">
        <v>19630</v>
      </c>
      <c r="C8444" s="24" t="s">
        <v>213</v>
      </c>
      <c r="D8444" s="24" t="s">
        <v>17</v>
      </c>
      <c r="E8444" s="24" t="s">
        <v>18</v>
      </c>
      <c r="F8444" s="24" t="s">
        <v>19</v>
      </c>
      <c r="G8444" s="24" t="s">
        <v>28</v>
      </c>
      <c r="H8444" s="26">
        <v>26</v>
      </c>
      <c r="I8444" s="24" t="s">
        <v>29</v>
      </c>
      <c r="J8444" s="36">
        <v>46020</v>
      </c>
      <c r="K8444" s="24" t="s">
        <v>22</v>
      </c>
    </row>
    <row r="8445" spans="1:11" x14ac:dyDescent="0.2">
      <c r="A8445" s="27" t="s">
        <v>19631</v>
      </c>
      <c r="B8445" s="27" t="s">
        <v>19632</v>
      </c>
      <c r="C8445" s="27" t="s">
        <v>5829</v>
      </c>
      <c r="D8445" s="27" t="s">
        <v>17</v>
      </c>
      <c r="E8445" s="27" t="s">
        <v>48</v>
      </c>
      <c r="F8445" s="27" t="s">
        <v>49</v>
      </c>
      <c r="G8445" s="27" t="s">
        <v>217</v>
      </c>
      <c r="H8445" s="29">
        <v>40</v>
      </c>
      <c r="I8445" s="27" t="s">
        <v>29</v>
      </c>
      <c r="J8445" s="37">
        <v>45992</v>
      </c>
      <c r="K8445" s="27" t="s">
        <v>22</v>
      </c>
    </row>
    <row r="8446" spans="1:11" x14ac:dyDescent="0.2">
      <c r="A8446" s="24" t="s">
        <v>19633</v>
      </c>
      <c r="B8446" s="24" t="s">
        <v>19634</v>
      </c>
      <c r="C8446" s="24" t="s">
        <v>19635</v>
      </c>
      <c r="D8446" s="24" t="s">
        <v>17</v>
      </c>
      <c r="E8446" s="24" t="s">
        <v>33</v>
      </c>
      <c r="F8446" s="24" t="s">
        <v>34</v>
      </c>
      <c r="G8446" s="24" t="s">
        <v>44</v>
      </c>
      <c r="H8446" s="26">
        <v>380</v>
      </c>
      <c r="I8446" s="24" t="s">
        <v>29</v>
      </c>
      <c r="J8446" s="36">
        <v>46020</v>
      </c>
      <c r="K8446" s="24" t="s">
        <v>22</v>
      </c>
    </row>
    <row r="8447" spans="1:11" x14ac:dyDescent="0.2">
      <c r="A8447" s="27" t="s">
        <v>19636</v>
      </c>
      <c r="B8447" s="27" t="s">
        <v>19637</v>
      </c>
      <c r="C8447" s="27" t="s">
        <v>85</v>
      </c>
      <c r="D8447" s="27" t="s">
        <v>17</v>
      </c>
      <c r="E8447" s="27" t="s">
        <v>33</v>
      </c>
      <c r="F8447" s="27" t="s">
        <v>34</v>
      </c>
      <c r="G8447" s="27" t="s">
        <v>28</v>
      </c>
      <c r="H8447" s="29">
        <v>430</v>
      </c>
      <c r="I8447" s="27" t="s">
        <v>29</v>
      </c>
      <c r="J8447" s="37">
        <v>46001</v>
      </c>
      <c r="K8447" s="27" t="s">
        <v>22</v>
      </c>
    </row>
    <row r="8448" spans="1:11" x14ac:dyDescent="0.2">
      <c r="A8448" s="24" t="s">
        <v>19638</v>
      </c>
      <c r="B8448" s="24" t="s">
        <v>19639</v>
      </c>
      <c r="C8448" s="24" t="s">
        <v>409</v>
      </c>
      <c r="D8448" s="24" t="s">
        <v>17</v>
      </c>
      <c r="E8448" s="24" t="s">
        <v>48</v>
      </c>
      <c r="F8448" s="24" t="s">
        <v>49</v>
      </c>
      <c r="G8448" s="24" t="s">
        <v>28</v>
      </c>
      <c r="H8448" s="26">
        <v>250</v>
      </c>
      <c r="I8448" s="24" t="s">
        <v>29</v>
      </c>
      <c r="J8448" s="36">
        <v>45993</v>
      </c>
      <c r="K8448" s="24" t="s">
        <v>22</v>
      </c>
    </row>
    <row r="8449" spans="1:11" x14ac:dyDescent="0.2">
      <c r="A8449" s="27" t="s">
        <v>19640</v>
      </c>
      <c r="B8449" s="27" t="s">
        <v>19641</v>
      </c>
      <c r="C8449" s="27" t="s">
        <v>2484</v>
      </c>
      <c r="D8449" s="27" t="s">
        <v>17</v>
      </c>
      <c r="E8449" s="27" t="s">
        <v>81</v>
      </c>
      <c r="F8449" s="27" t="s">
        <v>82</v>
      </c>
      <c r="G8449" s="27" t="s">
        <v>28</v>
      </c>
      <c r="H8449" s="29">
        <v>40</v>
      </c>
      <c r="I8449" s="27" t="s">
        <v>29</v>
      </c>
      <c r="J8449" s="37">
        <v>45992</v>
      </c>
      <c r="K8449" s="27" t="s">
        <v>22</v>
      </c>
    </row>
    <row r="8450" spans="1:11" x14ac:dyDescent="0.2">
      <c r="A8450" s="24" t="s">
        <v>19642</v>
      </c>
      <c r="B8450" s="24" t="s">
        <v>19643</v>
      </c>
      <c r="C8450" s="24" t="s">
        <v>19644</v>
      </c>
      <c r="D8450" s="24" t="s">
        <v>17</v>
      </c>
      <c r="E8450" s="24" t="s">
        <v>18</v>
      </c>
      <c r="F8450" s="24" t="s">
        <v>19</v>
      </c>
      <c r="G8450" s="24" t="s">
        <v>28</v>
      </c>
      <c r="H8450" s="26">
        <v>16</v>
      </c>
      <c r="I8450" s="24" t="s">
        <v>29</v>
      </c>
      <c r="J8450" s="36">
        <v>45992</v>
      </c>
      <c r="K8450" s="24" t="s">
        <v>22</v>
      </c>
    </row>
    <row r="8451" spans="1:11" x14ac:dyDescent="0.2">
      <c r="A8451" s="27" t="s">
        <v>19645</v>
      </c>
      <c r="B8451" s="27" t="s">
        <v>19646</v>
      </c>
      <c r="C8451" s="27" t="s">
        <v>55</v>
      </c>
      <c r="D8451" s="27" t="s">
        <v>17</v>
      </c>
      <c r="E8451" s="27" t="s">
        <v>26</v>
      </c>
      <c r="F8451" s="27" t="s">
        <v>27</v>
      </c>
      <c r="G8451" s="27" t="s">
        <v>28</v>
      </c>
      <c r="H8451" s="29">
        <v>45</v>
      </c>
      <c r="I8451" s="27" t="s">
        <v>29</v>
      </c>
      <c r="J8451" s="37">
        <v>46000</v>
      </c>
      <c r="K8451" s="27" t="s">
        <v>22</v>
      </c>
    </row>
    <row r="8452" spans="1:11" x14ac:dyDescent="0.2">
      <c r="A8452" s="24" t="s">
        <v>19647</v>
      </c>
      <c r="B8452" s="24" t="s">
        <v>19648</v>
      </c>
      <c r="C8452" s="24" t="s">
        <v>19649</v>
      </c>
      <c r="D8452" s="24" t="s">
        <v>17</v>
      </c>
      <c r="E8452" s="24" t="s">
        <v>26</v>
      </c>
      <c r="F8452" s="24" t="s">
        <v>27</v>
      </c>
      <c r="G8452" s="24" t="s">
        <v>28</v>
      </c>
      <c r="H8452" s="26">
        <v>150</v>
      </c>
      <c r="I8452" s="24" t="s">
        <v>29</v>
      </c>
      <c r="J8452" s="36">
        <v>46003</v>
      </c>
      <c r="K8452" s="24" t="s">
        <v>22</v>
      </c>
    </row>
    <row r="8453" spans="1:11" x14ac:dyDescent="0.2">
      <c r="A8453" s="27" t="s">
        <v>19650</v>
      </c>
      <c r="B8453" s="27" t="s">
        <v>19651</v>
      </c>
      <c r="C8453" s="27" t="s">
        <v>1307</v>
      </c>
      <c r="D8453" s="27" t="s">
        <v>17</v>
      </c>
      <c r="E8453" s="27" t="s">
        <v>18</v>
      </c>
      <c r="F8453" s="27" t="s">
        <v>19</v>
      </c>
      <c r="G8453" s="27" t="s">
        <v>28</v>
      </c>
      <c r="H8453" s="29">
        <v>40</v>
      </c>
      <c r="I8453" s="27" t="s">
        <v>29</v>
      </c>
      <c r="J8453" s="37">
        <v>45999</v>
      </c>
      <c r="K8453" s="27" t="s">
        <v>22</v>
      </c>
    </row>
    <row r="8454" spans="1:11" x14ac:dyDescent="0.2">
      <c r="A8454" s="24" t="s">
        <v>19652</v>
      </c>
      <c r="B8454" s="24" t="s">
        <v>19653</v>
      </c>
      <c r="C8454" s="24" t="s">
        <v>1441</v>
      </c>
      <c r="D8454" s="24" t="s">
        <v>17</v>
      </c>
      <c r="E8454" s="24" t="s">
        <v>48</v>
      </c>
      <c r="F8454" s="24" t="s">
        <v>49</v>
      </c>
      <c r="G8454" s="24" t="s">
        <v>217</v>
      </c>
      <c r="H8454" s="26">
        <v>180</v>
      </c>
      <c r="I8454" s="24" t="s">
        <v>29</v>
      </c>
      <c r="J8454" s="36">
        <v>45992</v>
      </c>
      <c r="K8454" s="24" t="s">
        <v>22</v>
      </c>
    </row>
    <row r="8455" spans="1:11" x14ac:dyDescent="0.2">
      <c r="A8455" s="27" t="s">
        <v>19654</v>
      </c>
      <c r="B8455" s="27" t="s">
        <v>19655</v>
      </c>
      <c r="C8455" s="27" t="s">
        <v>1147</v>
      </c>
      <c r="D8455" s="27" t="s">
        <v>17</v>
      </c>
      <c r="E8455" s="27" t="s">
        <v>42</v>
      </c>
      <c r="F8455" s="27" t="s">
        <v>43</v>
      </c>
      <c r="G8455" s="27" t="s">
        <v>44</v>
      </c>
      <c r="H8455" s="29">
        <v>572</v>
      </c>
      <c r="I8455" s="27" t="s">
        <v>21</v>
      </c>
      <c r="J8455" s="37">
        <v>46016</v>
      </c>
      <c r="K8455" s="27" t="s">
        <v>22</v>
      </c>
    </row>
    <row r="8456" spans="1:11" x14ac:dyDescent="0.2">
      <c r="A8456" s="24" t="s">
        <v>19656</v>
      </c>
      <c r="B8456" s="24" t="s">
        <v>19657</v>
      </c>
      <c r="C8456" s="24" t="s">
        <v>18773</v>
      </c>
      <c r="D8456" s="24" t="s">
        <v>17</v>
      </c>
      <c r="E8456" s="24" t="s">
        <v>26</v>
      </c>
      <c r="F8456" s="24" t="s">
        <v>27</v>
      </c>
      <c r="G8456" s="24" t="s">
        <v>257</v>
      </c>
      <c r="H8456" s="26">
        <v>40</v>
      </c>
      <c r="I8456" s="24" t="s">
        <v>29</v>
      </c>
      <c r="J8456" s="36">
        <v>46022</v>
      </c>
      <c r="K8456" s="24" t="s">
        <v>22</v>
      </c>
    </row>
    <row r="8457" spans="1:11" x14ac:dyDescent="0.2">
      <c r="A8457" s="27" t="s">
        <v>19658</v>
      </c>
      <c r="B8457" s="27" t="s">
        <v>19659</v>
      </c>
      <c r="C8457" s="27" t="s">
        <v>5398</v>
      </c>
      <c r="D8457" s="27" t="s">
        <v>17</v>
      </c>
      <c r="E8457" s="27" t="s">
        <v>42</v>
      </c>
      <c r="F8457" s="27" t="s">
        <v>43</v>
      </c>
      <c r="G8457" s="27" t="s">
        <v>28</v>
      </c>
      <c r="H8457" s="29">
        <v>420</v>
      </c>
      <c r="I8457" s="27" t="s">
        <v>29</v>
      </c>
      <c r="J8457" s="37">
        <v>46017</v>
      </c>
      <c r="K8457" s="27" t="s">
        <v>22</v>
      </c>
    </row>
    <row r="8458" spans="1:11" x14ac:dyDescent="0.2">
      <c r="A8458" s="24" t="s">
        <v>19660</v>
      </c>
      <c r="B8458" s="24" t="s">
        <v>19661</v>
      </c>
      <c r="C8458" s="24" t="s">
        <v>9701</v>
      </c>
      <c r="D8458" s="24" t="s">
        <v>17</v>
      </c>
      <c r="E8458" s="24" t="s">
        <v>48</v>
      </c>
      <c r="F8458" s="24" t="s">
        <v>49</v>
      </c>
      <c r="G8458" s="24" t="s">
        <v>28</v>
      </c>
      <c r="H8458" s="26">
        <v>45</v>
      </c>
      <c r="I8458" s="24" t="s">
        <v>29</v>
      </c>
      <c r="J8458" s="36">
        <v>46021</v>
      </c>
      <c r="K8458" s="24" t="s">
        <v>22</v>
      </c>
    </row>
    <row r="8459" spans="1:11" x14ac:dyDescent="0.2">
      <c r="A8459" s="27" t="s">
        <v>19662</v>
      </c>
      <c r="B8459" s="27" t="s">
        <v>19663</v>
      </c>
      <c r="C8459" s="27" t="s">
        <v>11647</v>
      </c>
      <c r="D8459" s="27" t="s">
        <v>17</v>
      </c>
      <c r="E8459" s="27" t="s">
        <v>48</v>
      </c>
      <c r="F8459" s="27" t="s">
        <v>49</v>
      </c>
      <c r="G8459" s="27" t="s">
        <v>28</v>
      </c>
      <c r="H8459" s="29">
        <v>24</v>
      </c>
      <c r="I8459" s="27" t="s">
        <v>29</v>
      </c>
      <c r="J8459" s="37">
        <v>45994</v>
      </c>
      <c r="K8459" s="27" t="s">
        <v>22</v>
      </c>
    </row>
    <row r="8460" spans="1:11" x14ac:dyDescent="0.2">
      <c r="A8460" s="24" t="s">
        <v>19664</v>
      </c>
      <c r="B8460" s="24" t="s">
        <v>19665</v>
      </c>
      <c r="C8460" s="24" t="s">
        <v>55</v>
      </c>
      <c r="D8460" s="24" t="s">
        <v>17</v>
      </c>
      <c r="E8460" s="24" t="s">
        <v>48</v>
      </c>
      <c r="F8460" s="24" t="s">
        <v>49</v>
      </c>
      <c r="G8460" s="24" t="s">
        <v>28</v>
      </c>
      <c r="H8460" s="26">
        <v>150</v>
      </c>
      <c r="I8460" s="24" t="s">
        <v>29</v>
      </c>
      <c r="J8460" s="36">
        <v>45995</v>
      </c>
      <c r="K8460" s="24" t="s">
        <v>22</v>
      </c>
    </row>
    <row r="8461" spans="1:11" x14ac:dyDescent="0.2">
      <c r="A8461" s="27" t="s">
        <v>19666</v>
      </c>
      <c r="B8461" s="27" t="s">
        <v>19667</v>
      </c>
      <c r="C8461" s="27" t="s">
        <v>687</v>
      </c>
      <c r="D8461" s="27" t="s">
        <v>17</v>
      </c>
      <c r="E8461" s="27" t="s">
        <v>42</v>
      </c>
      <c r="F8461" s="27" t="s">
        <v>43</v>
      </c>
      <c r="G8461" s="27" t="s">
        <v>28</v>
      </c>
      <c r="H8461" s="29">
        <v>332</v>
      </c>
      <c r="I8461" s="27" t="s">
        <v>29</v>
      </c>
      <c r="J8461" s="37">
        <v>46009</v>
      </c>
      <c r="K8461" s="27" t="s">
        <v>22</v>
      </c>
    </row>
    <row r="8462" spans="1:11" x14ac:dyDescent="0.2">
      <c r="A8462" s="24" t="s">
        <v>19668</v>
      </c>
      <c r="B8462" s="24" t="s">
        <v>19669</v>
      </c>
      <c r="C8462" s="24" t="s">
        <v>134</v>
      </c>
      <c r="D8462" s="24" t="s">
        <v>17</v>
      </c>
      <c r="E8462" s="24" t="s">
        <v>18</v>
      </c>
      <c r="F8462" s="24" t="s">
        <v>19</v>
      </c>
      <c r="G8462" s="24" t="s">
        <v>217</v>
      </c>
      <c r="H8462" s="26">
        <v>24</v>
      </c>
      <c r="I8462" s="24" t="s">
        <v>29</v>
      </c>
      <c r="J8462" s="36">
        <v>46006</v>
      </c>
      <c r="K8462" s="24" t="s">
        <v>22</v>
      </c>
    </row>
    <row r="8463" spans="1:11" x14ac:dyDescent="0.2">
      <c r="A8463" s="27" t="s">
        <v>19670</v>
      </c>
      <c r="B8463" s="27" t="s">
        <v>19671</v>
      </c>
      <c r="C8463" s="27" t="s">
        <v>18494</v>
      </c>
      <c r="D8463" s="27" t="s">
        <v>17</v>
      </c>
      <c r="E8463" s="27" t="s">
        <v>18</v>
      </c>
      <c r="F8463" s="27" t="s">
        <v>19</v>
      </c>
      <c r="G8463" s="27" t="s">
        <v>217</v>
      </c>
      <c r="H8463" s="29">
        <v>24</v>
      </c>
      <c r="I8463" s="27" t="s">
        <v>29</v>
      </c>
      <c r="J8463" s="37">
        <v>45992</v>
      </c>
      <c r="K8463" s="27" t="s">
        <v>22</v>
      </c>
    </row>
    <row r="8464" spans="1:11" x14ac:dyDescent="0.2">
      <c r="A8464" s="24" t="s">
        <v>19672</v>
      </c>
      <c r="B8464" s="24" t="s">
        <v>19673</v>
      </c>
      <c r="C8464" s="24" t="s">
        <v>19674</v>
      </c>
      <c r="D8464" s="24" t="s">
        <v>17</v>
      </c>
      <c r="E8464" s="24" t="s">
        <v>33</v>
      </c>
      <c r="F8464" s="24" t="s">
        <v>34</v>
      </c>
      <c r="G8464" s="24" t="s">
        <v>257</v>
      </c>
      <c r="H8464" s="26">
        <v>80</v>
      </c>
      <c r="I8464" s="24" t="s">
        <v>29</v>
      </c>
      <c r="J8464" s="36">
        <v>45992</v>
      </c>
      <c r="K8464" s="24" t="s">
        <v>22</v>
      </c>
    </row>
    <row r="8465" spans="1:11" x14ac:dyDescent="0.2">
      <c r="A8465" s="27" t="s">
        <v>19675</v>
      </c>
      <c r="B8465" s="27" t="s">
        <v>19676</v>
      </c>
      <c r="C8465" s="27" t="s">
        <v>15335</v>
      </c>
      <c r="D8465" s="27" t="s">
        <v>17</v>
      </c>
      <c r="E8465" s="27" t="s">
        <v>42</v>
      </c>
      <c r="F8465" s="27" t="s">
        <v>43</v>
      </c>
      <c r="G8465" s="27" t="s">
        <v>28</v>
      </c>
      <c r="H8465" s="29">
        <v>360</v>
      </c>
      <c r="I8465" s="27" t="s">
        <v>29</v>
      </c>
      <c r="J8465" s="37">
        <v>45992</v>
      </c>
      <c r="K8465" s="27" t="s">
        <v>22</v>
      </c>
    </row>
    <row r="8466" spans="1:11" x14ac:dyDescent="0.2">
      <c r="A8466" s="24" t="s">
        <v>19677</v>
      </c>
      <c r="B8466" s="24" t="s">
        <v>19678</v>
      </c>
      <c r="C8466" s="24" t="s">
        <v>1083</v>
      </c>
      <c r="D8466" s="24" t="s">
        <v>17</v>
      </c>
      <c r="E8466" s="24" t="s">
        <v>42</v>
      </c>
      <c r="F8466" s="24" t="s">
        <v>43</v>
      </c>
      <c r="G8466" s="24" t="s">
        <v>116</v>
      </c>
      <c r="H8466" s="26">
        <v>0</v>
      </c>
      <c r="I8466" s="24" t="s">
        <v>21</v>
      </c>
      <c r="J8466" s="36">
        <v>45992</v>
      </c>
      <c r="K8466" s="24" t="s">
        <v>22</v>
      </c>
    </row>
    <row r="8467" spans="1:11" x14ac:dyDescent="0.2">
      <c r="A8467" s="27" t="s">
        <v>19679</v>
      </c>
      <c r="B8467" s="27" t="s">
        <v>19680</v>
      </c>
      <c r="C8467" s="27" t="s">
        <v>429</v>
      </c>
      <c r="D8467" s="27" t="s">
        <v>17</v>
      </c>
      <c r="E8467" s="27" t="s">
        <v>18</v>
      </c>
      <c r="F8467" s="27" t="s">
        <v>19</v>
      </c>
      <c r="G8467" s="27" t="s">
        <v>28</v>
      </c>
      <c r="H8467" s="29">
        <v>64</v>
      </c>
      <c r="I8467" s="27" t="s">
        <v>29</v>
      </c>
      <c r="J8467" s="37">
        <v>45999</v>
      </c>
      <c r="K8467" s="27" t="s">
        <v>22</v>
      </c>
    </row>
    <row r="8468" spans="1:11" x14ac:dyDescent="0.2">
      <c r="A8468" s="24" t="s">
        <v>19681</v>
      </c>
      <c r="B8468" s="24" t="s">
        <v>19682</v>
      </c>
      <c r="C8468" s="24" t="s">
        <v>921</v>
      </c>
      <c r="D8468" s="24" t="s">
        <v>17</v>
      </c>
      <c r="E8468" s="24" t="s">
        <v>18</v>
      </c>
      <c r="F8468" s="24" t="s">
        <v>19</v>
      </c>
      <c r="G8468" s="24" t="s">
        <v>28</v>
      </c>
      <c r="H8468" s="26">
        <v>42</v>
      </c>
      <c r="I8468" s="24" t="s">
        <v>29</v>
      </c>
      <c r="J8468" s="36">
        <v>46000</v>
      </c>
      <c r="K8468" s="24" t="s">
        <v>22</v>
      </c>
    </row>
    <row r="8469" spans="1:11" x14ac:dyDescent="0.2">
      <c r="A8469" s="27" t="s">
        <v>19683</v>
      </c>
      <c r="B8469" s="27" t="s">
        <v>19684</v>
      </c>
      <c r="C8469" s="27" t="s">
        <v>19685</v>
      </c>
      <c r="D8469" s="27" t="s">
        <v>17</v>
      </c>
      <c r="E8469" s="27" t="s">
        <v>33</v>
      </c>
      <c r="F8469" s="27" t="s">
        <v>34</v>
      </c>
      <c r="G8469" s="27" t="s">
        <v>28</v>
      </c>
      <c r="H8469" s="29">
        <v>70</v>
      </c>
      <c r="I8469" s="27" t="s">
        <v>29</v>
      </c>
      <c r="J8469" s="37">
        <v>45992</v>
      </c>
      <c r="K8469" s="27" t="s">
        <v>22</v>
      </c>
    </row>
    <row r="8470" spans="1:11" x14ac:dyDescent="0.2">
      <c r="A8470" s="24" t="s">
        <v>19686</v>
      </c>
      <c r="B8470" s="24" t="s">
        <v>19687</v>
      </c>
      <c r="C8470" s="24" t="s">
        <v>208</v>
      </c>
      <c r="D8470" s="24" t="s">
        <v>17</v>
      </c>
      <c r="E8470" s="24" t="s">
        <v>18</v>
      </c>
      <c r="F8470" s="24" t="s">
        <v>19</v>
      </c>
      <c r="G8470" s="24" t="s">
        <v>28</v>
      </c>
      <c r="H8470" s="26">
        <v>44</v>
      </c>
      <c r="I8470" s="24" t="s">
        <v>29</v>
      </c>
      <c r="J8470" s="36">
        <v>45995</v>
      </c>
      <c r="K8470" s="24" t="s">
        <v>22</v>
      </c>
    </row>
    <row r="8471" spans="1:11" x14ac:dyDescent="0.2">
      <c r="A8471" s="27" t="s">
        <v>19688</v>
      </c>
      <c r="B8471" s="27" t="s">
        <v>19689</v>
      </c>
      <c r="C8471" s="27" t="s">
        <v>7559</v>
      </c>
      <c r="D8471" s="27" t="s">
        <v>17</v>
      </c>
      <c r="E8471" s="27" t="s">
        <v>48</v>
      </c>
      <c r="F8471" s="27" t="s">
        <v>49</v>
      </c>
      <c r="G8471" s="27" t="s">
        <v>28</v>
      </c>
      <c r="H8471" s="29">
        <v>130</v>
      </c>
      <c r="I8471" s="27" t="s">
        <v>29</v>
      </c>
      <c r="J8471" s="37">
        <v>46006</v>
      </c>
      <c r="K8471" s="27" t="s">
        <v>22</v>
      </c>
    </row>
    <row r="8472" spans="1:11" x14ac:dyDescent="0.2">
      <c r="A8472" s="24" t="s">
        <v>19690</v>
      </c>
      <c r="B8472" s="24" t="s">
        <v>19691</v>
      </c>
      <c r="C8472" s="24" t="s">
        <v>208</v>
      </c>
      <c r="D8472" s="24" t="s">
        <v>17</v>
      </c>
      <c r="E8472" s="24" t="s">
        <v>42</v>
      </c>
      <c r="F8472" s="24" t="s">
        <v>43</v>
      </c>
      <c r="G8472" s="24" t="s">
        <v>28</v>
      </c>
      <c r="H8472" s="26">
        <v>85</v>
      </c>
      <c r="I8472" s="24" t="s">
        <v>29</v>
      </c>
      <c r="J8472" s="36">
        <v>46009</v>
      </c>
      <c r="K8472" s="24" t="s">
        <v>22</v>
      </c>
    </row>
    <row r="8473" spans="1:11" x14ac:dyDescent="0.2">
      <c r="A8473" s="27" t="s">
        <v>19692</v>
      </c>
      <c r="B8473" s="27" t="s">
        <v>19693</v>
      </c>
      <c r="C8473" s="27" t="s">
        <v>6457</v>
      </c>
      <c r="D8473" s="27" t="s">
        <v>17</v>
      </c>
      <c r="E8473" s="27" t="s">
        <v>33</v>
      </c>
      <c r="F8473" s="27" t="s">
        <v>34</v>
      </c>
      <c r="G8473" s="27" t="s">
        <v>217</v>
      </c>
      <c r="H8473" s="29">
        <v>737</v>
      </c>
      <c r="I8473" s="27" t="s">
        <v>29</v>
      </c>
      <c r="J8473" s="37">
        <v>46021</v>
      </c>
      <c r="K8473" s="27" t="s">
        <v>22</v>
      </c>
    </row>
    <row r="8474" spans="1:11" x14ac:dyDescent="0.2">
      <c r="A8474" s="24" t="s">
        <v>19694</v>
      </c>
      <c r="B8474" s="24" t="s">
        <v>19695</v>
      </c>
      <c r="C8474" s="24" t="s">
        <v>595</v>
      </c>
      <c r="D8474" s="24" t="s">
        <v>17</v>
      </c>
      <c r="E8474" s="24" t="s">
        <v>18</v>
      </c>
      <c r="F8474" s="24" t="s">
        <v>19</v>
      </c>
      <c r="G8474" s="24" t="s">
        <v>217</v>
      </c>
      <c r="H8474" s="26">
        <v>30</v>
      </c>
      <c r="I8474" s="24" t="s">
        <v>29</v>
      </c>
      <c r="J8474" s="36">
        <v>45992</v>
      </c>
      <c r="K8474" s="24" t="s">
        <v>22</v>
      </c>
    </row>
    <row r="8475" spans="1:11" x14ac:dyDescent="0.2">
      <c r="A8475" s="27" t="s">
        <v>19696</v>
      </c>
      <c r="B8475" s="27" t="s">
        <v>19697</v>
      </c>
      <c r="C8475" s="27" t="s">
        <v>71</v>
      </c>
      <c r="D8475" s="27" t="s">
        <v>17</v>
      </c>
      <c r="E8475" s="27" t="s">
        <v>42</v>
      </c>
      <c r="F8475" s="27" t="s">
        <v>43</v>
      </c>
      <c r="G8475" s="27" t="s">
        <v>217</v>
      </c>
      <c r="H8475" s="29">
        <v>636</v>
      </c>
      <c r="I8475" s="27" t="s">
        <v>29</v>
      </c>
      <c r="J8475" s="37">
        <v>46016</v>
      </c>
      <c r="K8475" s="27" t="s">
        <v>22</v>
      </c>
    </row>
    <row r="8476" spans="1:11" x14ac:dyDescent="0.2">
      <c r="A8476" s="24" t="s">
        <v>19698</v>
      </c>
      <c r="B8476" s="24" t="s">
        <v>19699</v>
      </c>
      <c r="C8476" s="24" t="s">
        <v>4326</v>
      </c>
      <c r="D8476" s="24" t="s">
        <v>17</v>
      </c>
      <c r="E8476" s="24" t="s">
        <v>26</v>
      </c>
      <c r="F8476" s="24" t="s">
        <v>27</v>
      </c>
      <c r="G8476" s="24" t="s">
        <v>217</v>
      </c>
      <c r="H8476" s="26">
        <v>36</v>
      </c>
      <c r="I8476" s="24" t="s">
        <v>29</v>
      </c>
      <c r="J8476" s="36">
        <v>46006</v>
      </c>
      <c r="K8476" s="24" t="s">
        <v>22</v>
      </c>
    </row>
    <row r="8477" spans="1:11" x14ac:dyDescent="0.2">
      <c r="A8477" s="27" t="s">
        <v>19700</v>
      </c>
      <c r="B8477" s="27" t="s">
        <v>19701</v>
      </c>
      <c r="C8477" s="27" t="s">
        <v>15192</v>
      </c>
      <c r="D8477" s="27" t="s">
        <v>17</v>
      </c>
      <c r="E8477" s="27" t="s">
        <v>42</v>
      </c>
      <c r="F8477" s="27" t="s">
        <v>43</v>
      </c>
      <c r="G8477" s="27" t="s">
        <v>28</v>
      </c>
      <c r="H8477" s="29">
        <v>1800</v>
      </c>
      <c r="I8477" s="27" t="s">
        <v>29</v>
      </c>
      <c r="J8477" s="37">
        <v>46009</v>
      </c>
      <c r="K8477" s="27" t="s">
        <v>22</v>
      </c>
    </row>
    <row r="8478" spans="1:11" x14ac:dyDescent="0.2">
      <c r="A8478" s="24" t="s">
        <v>19702</v>
      </c>
      <c r="B8478" s="24" t="s">
        <v>19703</v>
      </c>
      <c r="C8478" s="24" t="s">
        <v>610</v>
      </c>
      <c r="D8478" s="24" t="s">
        <v>17</v>
      </c>
      <c r="E8478" s="24" t="s">
        <v>48</v>
      </c>
      <c r="F8478" s="24" t="s">
        <v>49</v>
      </c>
      <c r="G8478" s="24" t="s">
        <v>28</v>
      </c>
      <c r="H8478" s="26">
        <v>30</v>
      </c>
      <c r="I8478" s="24" t="s">
        <v>29</v>
      </c>
      <c r="J8478" s="36">
        <v>45999</v>
      </c>
      <c r="K8478" s="24" t="s">
        <v>22</v>
      </c>
    </row>
    <row r="8479" spans="1:11" x14ac:dyDescent="0.2">
      <c r="A8479" s="27" t="s">
        <v>19704</v>
      </c>
      <c r="B8479" s="27" t="s">
        <v>19705</v>
      </c>
      <c r="C8479" s="27" t="s">
        <v>19706</v>
      </c>
      <c r="D8479" s="27" t="s">
        <v>17</v>
      </c>
      <c r="E8479" s="27" t="s">
        <v>18</v>
      </c>
      <c r="F8479" s="27" t="s">
        <v>19</v>
      </c>
      <c r="G8479" s="27" t="s">
        <v>227</v>
      </c>
      <c r="H8479" s="29">
        <v>69</v>
      </c>
      <c r="I8479" s="27" t="s">
        <v>29</v>
      </c>
      <c r="J8479" s="37">
        <v>46006</v>
      </c>
      <c r="K8479" s="27" t="s">
        <v>22</v>
      </c>
    </row>
    <row r="8480" spans="1:11" x14ac:dyDescent="0.2">
      <c r="A8480" s="24" t="s">
        <v>19707</v>
      </c>
      <c r="B8480" s="24" t="s">
        <v>19708</v>
      </c>
      <c r="C8480" s="24" t="s">
        <v>602</v>
      </c>
      <c r="D8480" s="24" t="s">
        <v>17</v>
      </c>
      <c r="E8480" s="24" t="s">
        <v>48</v>
      </c>
      <c r="F8480" s="24" t="s">
        <v>49</v>
      </c>
      <c r="G8480" s="24" t="s">
        <v>217</v>
      </c>
      <c r="H8480" s="26">
        <v>160</v>
      </c>
      <c r="I8480" s="24" t="s">
        <v>29</v>
      </c>
      <c r="J8480" s="36">
        <v>46001</v>
      </c>
      <c r="K8480" s="24" t="s">
        <v>22</v>
      </c>
    </row>
    <row r="8481" spans="1:11" x14ac:dyDescent="0.2">
      <c r="A8481" s="27" t="s">
        <v>19709</v>
      </c>
      <c r="B8481" s="27" t="s">
        <v>19710</v>
      </c>
      <c r="C8481" s="27" t="s">
        <v>71</v>
      </c>
      <c r="D8481" s="27" t="s">
        <v>17</v>
      </c>
      <c r="E8481" s="27" t="s">
        <v>18</v>
      </c>
      <c r="F8481" s="27" t="s">
        <v>19</v>
      </c>
      <c r="G8481" s="27" t="s">
        <v>217</v>
      </c>
      <c r="H8481" s="29">
        <v>178</v>
      </c>
      <c r="I8481" s="27" t="s">
        <v>29</v>
      </c>
      <c r="J8481" s="37">
        <v>46013</v>
      </c>
      <c r="K8481" s="27" t="s">
        <v>22</v>
      </c>
    </row>
    <row r="8482" spans="1:11" x14ac:dyDescent="0.2">
      <c r="A8482" s="24" t="s">
        <v>19711</v>
      </c>
      <c r="B8482" s="24" t="s">
        <v>19712</v>
      </c>
      <c r="C8482" s="24" t="s">
        <v>68</v>
      </c>
      <c r="D8482" s="24" t="s">
        <v>17</v>
      </c>
      <c r="E8482" s="24" t="s">
        <v>48</v>
      </c>
      <c r="F8482" s="24" t="s">
        <v>49</v>
      </c>
      <c r="G8482" s="24" t="s">
        <v>28</v>
      </c>
      <c r="H8482" s="26">
        <v>218</v>
      </c>
      <c r="I8482" s="24" t="s">
        <v>29</v>
      </c>
      <c r="J8482" s="36">
        <v>45999</v>
      </c>
      <c r="K8482" s="24" t="s">
        <v>22</v>
      </c>
    </row>
    <row r="8483" spans="1:11" x14ac:dyDescent="0.2">
      <c r="A8483" s="27" t="s">
        <v>19713</v>
      </c>
      <c r="B8483" s="27" t="s">
        <v>19714</v>
      </c>
      <c r="C8483" s="27" t="s">
        <v>91</v>
      </c>
      <c r="D8483" s="27" t="s">
        <v>17</v>
      </c>
      <c r="E8483" s="27" t="s">
        <v>33</v>
      </c>
      <c r="F8483" s="27" t="s">
        <v>34</v>
      </c>
      <c r="G8483" s="27" t="s">
        <v>217</v>
      </c>
      <c r="H8483" s="29">
        <v>490</v>
      </c>
      <c r="I8483" s="27" t="s">
        <v>29</v>
      </c>
      <c r="J8483" s="37">
        <v>46021</v>
      </c>
      <c r="K8483" s="27" t="s">
        <v>22</v>
      </c>
    </row>
    <row r="8484" spans="1:11" x14ac:dyDescent="0.2">
      <c r="A8484" s="24" t="s">
        <v>19715</v>
      </c>
      <c r="B8484" s="24" t="s">
        <v>19716</v>
      </c>
      <c r="C8484" s="24" t="s">
        <v>55</v>
      </c>
      <c r="D8484" s="24" t="s">
        <v>17</v>
      </c>
      <c r="E8484" s="24" t="s">
        <v>18</v>
      </c>
      <c r="F8484" s="24" t="s">
        <v>19</v>
      </c>
      <c r="G8484" s="24" t="s">
        <v>28</v>
      </c>
      <c r="H8484" s="26">
        <v>250</v>
      </c>
      <c r="I8484" s="24" t="s">
        <v>29</v>
      </c>
      <c r="J8484" s="36">
        <v>46007</v>
      </c>
      <c r="K8484" s="24" t="s">
        <v>22</v>
      </c>
    </row>
    <row r="8485" spans="1:11" x14ac:dyDescent="0.2">
      <c r="A8485" s="27" t="s">
        <v>19717</v>
      </c>
      <c r="B8485" s="27" t="s">
        <v>19718</v>
      </c>
      <c r="C8485" s="27" t="s">
        <v>19719</v>
      </c>
      <c r="D8485" s="27" t="s">
        <v>17</v>
      </c>
      <c r="E8485" s="27" t="s">
        <v>48</v>
      </c>
      <c r="F8485" s="27" t="s">
        <v>49</v>
      </c>
      <c r="G8485" s="27" t="s">
        <v>28</v>
      </c>
      <c r="H8485" s="29">
        <v>75</v>
      </c>
      <c r="I8485" s="27" t="s">
        <v>29</v>
      </c>
      <c r="J8485" s="37">
        <v>46007</v>
      </c>
      <c r="K8485" s="27" t="s">
        <v>22</v>
      </c>
    </row>
    <row r="8486" spans="1:11" x14ac:dyDescent="0.2">
      <c r="A8486" s="24" t="s">
        <v>19720</v>
      </c>
      <c r="B8486" s="24" t="s">
        <v>19721</v>
      </c>
      <c r="C8486" s="24" t="s">
        <v>18048</v>
      </c>
      <c r="D8486" s="24" t="s">
        <v>17</v>
      </c>
      <c r="E8486" s="24" t="s">
        <v>42</v>
      </c>
      <c r="F8486" s="24" t="s">
        <v>43</v>
      </c>
      <c r="G8486" s="24" t="s">
        <v>28</v>
      </c>
      <c r="H8486" s="26">
        <v>200</v>
      </c>
      <c r="I8486" s="24" t="s">
        <v>29</v>
      </c>
      <c r="J8486" s="36">
        <v>46002</v>
      </c>
      <c r="K8486" s="24" t="s">
        <v>22</v>
      </c>
    </row>
    <row r="8487" spans="1:11" x14ac:dyDescent="0.2">
      <c r="A8487" s="27" t="s">
        <v>19722</v>
      </c>
      <c r="B8487" s="27" t="s">
        <v>19723</v>
      </c>
      <c r="C8487" s="27" t="s">
        <v>71</v>
      </c>
      <c r="D8487" s="27" t="s">
        <v>17</v>
      </c>
      <c r="E8487" s="27" t="s">
        <v>18</v>
      </c>
      <c r="F8487" s="27" t="s">
        <v>19</v>
      </c>
      <c r="G8487" s="27" t="s">
        <v>28</v>
      </c>
      <c r="H8487" s="29">
        <v>186</v>
      </c>
      <c r="I8487" s="27" t="s">
        <v>29</v>
      </c>
      <c r="J8487" s="37">
        <v>45996</v>
      </c>
      <c r="K8487" s="27" t="s">
        <v>22</v>
      </c>
    </row>
    <row r="8488" spans="1:11" x14ac:dyDescent="0.2">
      <c r="A8488" s="24" t="s">
        <v>19724</v>
      </c>
      <c r="B8488" s="24" t="s">
        <v>19725</v>
      </c>
      <c r="C8488" s="24" t="s">
        <v>18508</v>
      </c>
      <c r="D8488" s="24" t="s">
        <v>17</v>
      </c>
      <c r="E8488" s="24" t="s">
        <v>18</v>
      </c>
      <c r="F8488" s="24" t="s">
        <v>19</v>
      </c>
      <c r="G8488" s="24" t="s">
        <v>28</v>
      </c>
      <c r="H8488" s="26">
        <v>40</v>
      </c>
      <c r="I8488" s="24" t="s">
        <v>29</v>
      </c>
      <c r="J8488" s="36">
        <v>46016</v>
      </c>
      <c r="K8488" s="24" t="s">
        <v>22</v>
      </c>
    </row>
    <row r="8489" spans="1:11" x14ac:dyDescent="0.2">
      <c r="A8489" s="27" t="s">
        <v>19726</v>
      </c>
      <c r="B8489" s="27" t="s">
        <v>19727</v>
      </c>
      <c r="C8489" s="27" t="s">
        <v>17302</v>
      </c>
      <c r="D8489" s="27" t="s">
        <v>17</v>
      </c>
      <c r="E8489" s="27" t="s">
        <v>163</v>
      </c>
      <c r="F8489" s="27" t="s">
        <v>164</v>
      </c>
      <c r="G8489" s="27" t="s">
        <v>227</v>
      </c>
      <c r="H8489" s="29">
        <v>50</v>
      </c>
      <c r="I8489" s="27" t="s">
        <v>29</v>
      </c>
      <c r="J8489" s="37">
        <v>46001</v>
      </c>
      <c r="K8489" s="27" t="s">
        <v>22</v>
      </c>
    </row>
    <row r="8490" spans="1:11" x14ac:dyDescent="0.2">
      <c r="A8490" s="24" t="s">
        <v>19728</v>
      </c>
      <c r="B8490" s="24" t="s">
        <v>19729</v>
      </c>
      <c r="C8490" s="24" t="s">
        <v>71</v>
      </c>
      <c r="D8490" s="24" t="s">
        <v>17</v>
      </c>
      <c r="E8490" s="24" t="s">
        <v>42</v>
      </c>
      <c r="F8490" s="24" t="s">
        <v>43</v>
      </c>
      <c r="G8490" s="24" t="s">
        <v>217</v>
      </c>
      <c r="H8490" s="26">
        <v>100</v>
      </c>
      <c r="I8490" s="24" t="s">
        <v>29</v>
      </c>
      <c r="J8490" s="36">
        <v>46022</v>
      </c>
      <c r="K8490" s="24" t="s">
        <v>22</v>
      </c>
    </row>
    <row r="8491" spans="1:11" x14ac:dyDescent="0.2">
      <c r="A8491" s="27" t="s">
        <v>19730</v>
      </c>
      <c r="B8491" s="27" t="s">
        <v>19731</v>
      </c>
      <c r="C8491" s="27" t="s">
        <v>8768</v>
      </c>
      <c r="D8491" s="27" t="s">
        <v>17</v>
      </c>
      <c r="E8491" s="27" t="s">
        <v>18</v>
      </c>
      <c r="F8491" s="27" t="s">
        <v>19</v>
      </c>
      <c r="G8491" s="27" t="s">
        <v>44</v>
      </c>
      <c r="H8491" s="29">
        <v>48</v>
      </c>
      <c r="I8491" s="27" t="s">
        <v>21</v>
      </c>
      <c r="J8491" s="37">
        <v>46008</v>
      </c>
      <c r="K8491" s="27" t="s">
        <v>22</v>
      </c>
    </row>
    <row r="8492" spans="1:11" x14ac:dyDescent="0.2">
      <c r="A8492" s="24" t="s">
        <v>19732</v>
      </c>
      <c r="B8492" s="24" t="s">
        <v>19733</v>
      </c>
      <c r="C8492" s="24" t="s">
        <v>1088</v>
      </c>
      <c r="D8492" s="24" t="s">
        <v>17</v>
      </c>
      <c r="E8492" s="24" t="s">
        <v>18</v>
      </c>
      <c r="F8492" s="24" t="s">
        <v>19</v>
      </c>
      <c r="G8492" s="24" t="s">
        <v>28</v>
      </c>
      <c r="H8492" s="26">
        <v>76</v>
      </c>
      <c r="I8492" s="24" t="s">
        <v>29</v>
      </c>
      <c r="J8492" s="36">
        <v>46003</v>
      </c>
      <c r="K8492" s="24" t="s">
        <v>22</v>
      </c>
    </row>
    <row r="8493" spans="1:11" x14ac:dyDescent="0.2">
      <c r="A8493" s="27" t="s">
        <v>19734</v>
      </c>
      <c r="B8493" s="27" t="s">
        <v>19735</v>
      </c>
      <c r="C8493" s="27" t="s">
        <v>19736</v>
      </c>
      <c r="D8493" s="27" t="s">
        <v>17</v>
      </c>
      <c r="E8493" s="27" t="s">
        <v>42</v>
      </c>
      <c r="F8493" s="27" t="s">
        <v>43</v>
      </c>
      <c r="G8493" s="27" t="s">
        <v>28</v>
      </c>
      <c r="H8493" s="29">
        <v>480</v>
      </c>
      <c r="I8493" s="27" t="s">
        <v>29</v>
      </c>
      <c r="J8493" s="37">
        <v>46010</v>
      </c>
      <c r="K8493" s="27" t="s">
        <v>22</v>
      </c>
    </row>
    <row r="8494" spans="1:11" x14ac:dyDescent="0.2">
      <c r="A8494" s="24" t="s">
        <v>19737</v>
      </c>
      <c r="B8494" s="24" t="s">
        <v>19738</v>
      </c>
      <c r="C8494" s="24" t="s">
        <v>14788</v>
      </c>
      <c r="D8494" s="24" t="s">
        <v>17</v>
      </c>
      <c r="E8494" s="24" t="s">
        <v>42</v>
      </c>
      <c r="F8494" s="24" t="s">
        <v>43</v>
      </c>
      <c r="G8494" s="24" t="s">
        <v>28</v>
      </c>
      <c r="H8494" s="26">
        <v>480</v>
      </c>
      <c r="I8494" s="24" t="s">
        <v>29</v>
      </c>
      <c r="J8494" s="36">
        <v>46008</v>
      </c>
      <c r="K8494" s="24" t="s">
        <v>22</v>
      </c>
    </row>
    <row r="8495" spans="1:11" x14ac:dyDescent="0.2">
      <c r="A8495" s="27" t="s">
        <v>19739</v>
      </c>
      <c r="B8495" s="27" t="s">
        <v>19740</v>
      </c>
      <c r="C8495" s="27" t="s">
        <v>106</v>
      </c>
      <c r="D8495" s="27" t="s">
        <v>17</v>
      </c>
      <c r="E8495" s="27" t="s">
        <v>42</v>
      </c>
      <c r="F8495" s="27" t="s">
        <v>43</v>
      </c>
      <c r="G8495" s="27" t="s">
        <v>28</v>
      </c>
      <c r="H8495" s="29">
        <v>120</v>
      </c>
      <c r="I8495" s="27" t="s">
        <v>29</v>
      </c>
      <c r="J8495" s="37">
        <v>46000</v>
      </c>
      <c r="K8495" s="27" t="s">
        <v>22</v>
      </c>
    </row>
    <row r="8496" spans="1:11" x14ac:dyDescent="0.2">
      <c r="A8496" s="24" t="s">
        <v>19741</v>
      </c>
      <c r="B8496" s="24" t="s">
        <v>19742</v>
      </c>
      <c r="C8496" s="24" t="s">
        <v>8567</v>
      </c>
      <c r="D8496" s="24" t="s">
        <v>17</v>
      </c>
      <c r="E8496" s="24" t="s">
        <v>42</v>
      </c>
      <c r="F8496" s="24" t="s">
        <v>43</v>
      </c>
      <c r="G8496" s="24" t="s">
        <v>28</v>
      </c>
      <c r="H8496" s="26">
        <v>4000</v>
      </c>
      <c r="I8496" s="24" t="s">
        <v>29</v>
      </c>
      <c r="J8496" s="36">
        <v>45992</v>
      </c>
      <c r="K8496" s="24" t="s">
        <v>22</v>
      </c>
    </row>
    <row r="8497" spans="1:11" x14ac:dyDescent="0.2">
      <c r="A8497" s="27" t="s">
        <v>19743</v>
      </c>
      <c r="B8497" s="27" t="s">
        <v>19744</v>
      </c>
      <c r="C8497" s="27" t="s">
        <v>687</v>
      </c>
      <c r="D8497" s="27" t="s">
        <v>17</v>
      </c>
      <c r="E8497" s="27" t="s">
        <v>42</v>
      </c>
      <c r="F8497" s="27" t="s">
        <v>43</v>
      </c>
      <c r="G8497" s="27" t="s">
        <v>28</v>
      </c>
      <c r="H8497" s="29">
        <v>264</v>
      </c>
      <c r="I8497" s="27" t="s">
        <v>29</v>
      </c>
      <c r="J8497" s="37">
        <v>45992</v>
      </c>
      <c r="K8497" s="27" t="s">
        <v>22</v>
      </c>
    </row>
    <row r="8498" spans="1:11" x14ac:dyDescent="0.2">
      <c r="A8498" s="24" t="s">
        <v>19745</v>
      </c>
      <c r="B8498" s="24" t="s">
        <v>19746</v>
      </c>
      <c r="C8498" s="24" t="s">
        <v>2159</v>
      </c>
      <c r="D8498" s="24" t="s">
        <v>17</v>
      </c>
      <c r="E8498" s="24" t="s">
        <v>48</v>
      </c>
      <c r="F8498" s="24" t="s">
        <v>49</v>
      </c>
      <c r="G8498" s="24" t="s">
        <v>28</v>
      </c>
      <c r="H8498" s="26">
        <v>30</v>
      </c>
      <c r="I8498" s="24" t="s">
        <v>29</v>
      </c>
      <c r="J8498" s="36">
        <v>46006</v>
      </c>
      <c r="K8498" s="24" t="s">
        <v>22</v>
      </c>
    </row>
    <row r="8499" spans="1:11" x14ac:dyDescent="0.2">
      <c r="A8499" s="27" t="s">
        <v>19747</v>
      </c>
      <c r="B8499" s="27" t="s">
        <v>19748</v>
      </c>
      <c r="C8499" s="27" t="s">
        <v>4291</v>
      </c>
      <c r="D8499" s="27" t="s">
        <v>17</v>
      </c>
      <c r="E8499" s="27" t="s">
        <v>48</v>
      </c>
      <c r="F8499" s="27" t="s">
        <v>49</v>
      </c>
      <c r="G8499" s="27" t="s">
        <v>28</v>
      </c>
      <c r="H8499" s="29">
        <v>180</v>
      </c>
      <c r="I8499" s="27" t="s">
        <v>29</v>
      </c>
      <c r="J8499" s="37">
        <v>46022</v>
      </c>
      <c r="K8499" s="27" t="s">
        <v>22</v>
      </c>
    </row>
    <row r="8500" spans="1:11" x14ac:dyDescent="0.2">
      <c r="A8500" s="24" t="s">
        <v>19749</v>
      </c>
      <c r="B8500" s="24" t="s">
        <v>19750</v>
      </c>
      <c r="C8500" s="24" t="s">
        <v>11771</v>
      </c>
      <c r="D8500" s="24" t="s">
        <v>17</v>
      </c>
      <c r="E8500" s="24" t="s">
        <v>42</v>
      </c>
      <c r="F8500" s="24" t="s">
        <v>43</v>
      </c>
      <c r="G8500" s="24" t="s">
        <v>116</v>
      </c>
      <c r="H8500" s="26">
        <v>0</v>
      </c>
      <c r="I8500" s="24" t="s">
        <v>21</v>
      </c>
      <c r="J8500" s="36">
        <v>45992</v>
      </c>
      <c r="K8500" s="24" t="s">
        <v>22</v>
      </c>
    </row>
    <row r="8501" spans="1:11" x14ac:dyDescent="0.2">
      <c r="A8501" s="27" t="s">
        <v>19751</v>
      </c>
      <c r="B8501" s="27" t="s">
        <v>19752</v>
      </c>
      <c r="C8501" s="27" t="s">
        <v>19753</v>
      </c>
      <c r="D8501" s="27" t="s">
        <v>17</v>
      </c>
      <c r="E8501" s="27" t="s">
        <v>48</v>
      </c>
      <c r="F8501" s="27" t="s">
        <v>49</v>
      </c>
      <c r="G8501" s="27" t="s">
        <v>28</v>
      </c>
      <c r="H8501" s="29">
        <v>150</v>
      </c>
      <c r="I8501" s="27" t="s">
        <v>29</v>
      </c>
      <c r="J8501" s="37">
        <v>46013</v>
      </c>
      <c r="K8501" s="27" t="s">
        <v>22</v>
      </c>
    </row>
    <row r="8502" spans="1:11" x14ac:dyDescent="0.2">
      <c r="A8502" s="24" t="s">
        <v>19754</v>
      </c>
      <c r="B8502" s="24" t="s">
        <v>19755</v>
      </c>
      <c r="C8502" s="24" t="s">
        <v>3444</v>
      </c>
      <c r="D8502" s="24" t="s">
        <v>17</v>
      </c>
      <c r="E8502" s="24" t="s">
        <v>18</v>
      </c>
      <c r="F8502" s="24" t="s">
        <v>19</v>
      </c>
      <c r="G8502" s="24" t="s">
        <v>28</v>
      </c>
      <c r="H8502" s="26">
        <v>10</v>
      </c>
      <c r="I8502" s="24" t="s">
        <v>29</v>
      </c>
      <c r="J8502" s="36">
        <v>45994</v>
      </c>
      <c r="K8502" s="24" t="s">
        <v>22</v>
      </c>
    </row>
    <row r="8503" spans="1:11" x14ac:dyDescent="0.2">
      <c r="A8503" s="27" t="s">
        <v>19756</v>
      </c>
      <c r="B8503" s="27" t="s">
        <v>19757</v>
      </c>
      <c r="C8503" s="27" t="s">
        <v>2484</v>
      </c>
      <c r="D8503" s="27" t="s">
        <v>17</v>
      </c>
      <c r="E8503" s="27" t="s">
        <v>18</v>
      </c>
      <c r="F8503" s="27" t="s">
        <v>19</v>
      </c>
      <c r="G8503" s="27" t="s">
        <v>28</v>
      </c>
      <c r="H8503" s="29">
        <v>96</v>
      </c>
      <c r="I8503" s="27" t="s">
        <v>29</v>
      </c>
      <c r="J8503" s="37">
        <v>45999</v>
      </c>
      <c r="K8503" s="27" t="s">
        <v>22</v>
      </c>
    </row>
    <row r="8504" spans="1:11" x14ac:dyDescent="0.2">
      <c r="A8504" s="24" t="s">
        <v>19758</v>
      </c>
      <c r="B8504" s="24" t="s">
        <v>19759</v>
      </c>
      <c r="C8504" s="24" t="s">
        <v>19760</v>
      </c>
      <c r="D8504" s="24" t="s">
        <v>17</v>
      </c>
      <c r="E8504" s="24" t="s">
        <v>48</v>
      </c>
      <c r="F8504" s="24" t="s">
        <v>49</v>
      </c>
      <c r="G8504" s="24" t="s">
        <v>28</v>
      </c>
      <c r="H8504" s="26">
        <v>24</v>
      </c>
      <c r="I8504" s="24" t="s">
        <v>29</v>
      </c>
      <c r="J8504" s="36">
        <v>46008</v>
      </c>
      <c r="K8504" s="24" t="s">
        <v>22</v>
      </c>
    </row>
    <row r="8505" spans="1:11" x14ac:dyDescent="0.2">
      <c r="A8505" s="27" t="s">
        <v>19761</v>
      </c>
      <c r="B8505" s="27" t="s">
        <v>19762</v>
      </c>
      <c r="C8505" s="27" t="s">
        <v>97</v>
      </c>
      <c r="D8505" s="27" t="s">
        <v>17</v>
      </c>
      <c r="E8505" s="27" t="s">
        <v>18</v>
      </c>
      <c r="F8505" s="27" t="s">
        <v>19</v>
      </c>
      <c r="G8505" s="27" t="s">
        <v>28</v>
      </c>
      <c r="H8505" s="29">
        <v>176</v>
      </c>
      <c r="I8505" s="27" t="s">
        <v>29</v>
      </c>
      <c r="J8505" s="37">
        <v>46001</v>
      </c>
      <c r="K8505" s="27" t="s">
        <v>22</v>
      </c>
    </row>
    <row r="8506" spans="1:11" x14ac:dyDescent="0.2">
      <c r="A8506" s="24" t="s">
        <v>19763</v>
      </c>
      <c r="B8506" s="24" t="s">
        <v>19764</v>
      </c>
      <c r="C8506" s="24" t="s">
        <v>7365</v>
      </c>
      <c r="D8506" s="24" t="s">
        <v>17</v>
      </c>
      <c r="E8506" s="24" t="s">
        <v>42</v>
      </c>
      <c r="F8506" s="24" t="s">
        <v>43</v>
      </c>
      <c r="G8506" s="24" t="s">
        <v>28</v>
      </c>
      <c r="H8506" s="26">
        <v>566</v>
      </c>
      <c r="I8506" s="24" t="s">
        <v>29</v>
      </c>
      <c r="J8506" s="36">
        <v>45993</v>
      </c>
      <c r="K8506" s="24" t="s">
        <v>22</v>
      </c>
    </row>
    <row r="8507" spans="1:11" x14ac:dyDescent="0.2">
      <c r="A8507" s="27" t="s">
        <v>19765</v>
      </c>
      <c r="B8507" s="27" t="s">
        <v>19766</v>
      </c>
      <c r="C8507" s="27" t="s">
        <v>1088</v>
      </c>
      <c r="D8507" s="27" t="s">
        <v>17</v>
      </c>
      <c r="E8507" s="27" t="s">
        <v>48</v>
      </c>
      <c r="F8507" s="27" t="s">
        <v>49</v>
      </c>
      <c r="G8507" s="27" t="s">
        <v>28</v>
      </c>
      <c r="H8507" s="29">
        <v>40</v>
      </c>
      <c r="I8507" s="27" t="s">
        <v>29</v>
      </c>
      <c r="J8507" s="37">
        <v>46037</v>
      </c>
      <c r="K8507" s="27" t="s">
        <v>22</v>
      </c>
    </row>
    <row r="8508" spans="1:11" x14ac:dyDescent="0.2">
      <c r="A8508" s="24" t="s">
        <v>19767</v>
      </c>
      <c r="B8508" s="24" t="s">
        <v>19768</v>
      </c>
      <c r="C8508" s="24" t="s">
        <v>19769</v>
      </c>
      <c r="D8508" s="24" t="s">
        <v>17</v>
      </c>
      <c r="E8508" s="24" t="s">
        <v>26</v>
      </c>
      <c r="F8508" s="24" t="s">
        <v>27</v>
      </c>
      <c r="G8508" s="24" t="s">
        <v>217</v>
      </c>
      <c r="H8508" s="26">
        <v>44</v>
      </c>
      <c r="I8508" s="24" t="s">
        <v>29</v>
      </c>
      <c r="J8508" s="36">
        <v>46023</v>
      </c>
      <c r="K8508" s="24" t="s">
        <v>22</v>
      </c>
    </row>
    <row r="8509" spans="1:11" x14ac:dyDescent="0.2">
      <c r="A8509" s="27" t="s">
        <v>19770</v>
      </c>
      <c r="B8509" s="27" t="s">
        <v>19771</v>
      </c>
      <c r="C8509" s="27" t="s">
        <v>19772</v>
      </c>
      <c r="D8509" s="27" t="s">
        <v>17</v>
      </c>
      <c r="E8509" s="27" t="s">
        <v>48</v>
      </c>
      <c r="F8509" s="27" t="s">
        <v>49</v>
      </c>
      <c r="G8509" s="27" t="s">
        <v>217</v>
      </c>
      <c r="H8509" s="29">
        <v>60</v>
      </c>
      <c r="I8509" s="27" t="s">
        <v>29</v>
      </c>
      <c r="J8509" s="37">
        <v>46023</v>
      </c>
      <c r="K8509" s="27" t="s">
        <v>22</v>
      </c>
    </row>
    <row r="8510" spans="1:11" x14ac:dyDescent="0.2">
      <c r="A8510" s="24" t="s">
        <v>19773</v>
      </c>
      <c r="B8510" s="24" t="s">
        <v>19774</v>
      </c>
      <c r="C8510" s="24" t="s">
        <v>19127</v>
      </c>
      <c r="D8510" s="24" t="s">
        <v>17</v>
      </c>
      <c r="E8510" s="24" t="s">
        <v>18</v>
      </c>
      <c r="F8510" s="24" t="s">
        <v>19</v>
      </c>
      <c r="G8510" s="24" t="s">
        <v>28</v>
      </c>
      <c r="H8510" s="26">
        <v>30</v>
      </c>
      <c r="I8510" s="24" t="s">
        <v>29</v>
      </c>
      <c r="J8510" s="36">
        <v>46027</v>
      </c>
      <c r="K8510" s="24" t="s">
        <v>22</v>
      </c>
    </row>
    <row r="8511" spans="1:11" x14ac:dyDescent="0.2">
      <c r="A8511" s="27" t="s">
        <v>19775</v>
      </c>
      <c r="B8511" s="27" t="s">
        <v>19776</v>
      </c>
      <c r="C8511" s="27" t="s">
        <v>1740</v>
      </c>
      <c r="D8511" s="27" t="s">
        <v>17</v>
      </c>
      <c r="E8511" s="27" t="s">
        <v>18</v>
      </c>
      <c r="F8511" s="27" t="s">
        <v>19</v>
      </c>
      <c r="G8511" s="27" t="s">
        <v>28</v>
      </c>
      <c r="H8511" s="29">
        <v>68</v>
      </c>
      <c r="I8511" s="27" t="s">
        <v>29</v>
      </c>
      <c r="J8511" s="37">
        <v>46052</v>
      </c>
      <c r="K8511" s="27" t="s">
        <v>22</v>
      </c>
    </row>
    <row r="8512" spans="1:11" x14ac:dyDescent="0.2">
      <c r="A8512" s="24" t="s">
        <v>19777</v>
      </c>
      <c r="B8512" s="24" t="s">
        <v>19778</v>
      </c>
      <c r="C8512" s="24" t="s">
        <v>19779</v>
      </c>
      <c r="D8512" s="24" t="s">
        <v>17</v>
      </c>
      <c r="E8512" s="24" t="s">
        <v>18</v>
      </c>
      <c r="F8512" s="24" t="s">
        <v>19</v>
      </c>
      <c r="G8512" s="24" t="s">
        <v>28</v>
      </c>
      <c r="H8512" s="26">
        <v>128</v>
      </c>
      <c r="I8512" s="24" t="s">
        <v>29</v>
      </c>
      <c r="J8512" s="36">
        <v>46044</v>
      </c>
      <c r="K8512" s="24" t="s">
        <v>22</v>
      </c>
    </row>
    <row r="8513" spans="1:11" x14ac:dyDescent="0.2">
      <c r="A8513" s="27" t="s">
        <v>19780</v>
      </c>
      <c r="B8513" s="27" t="s">
        <v>19781</v>
      </c>
      <c r="C8513" s="27" t="s">
        <v>1912</v>
      </c>
      <c r="D8513" s="27" t="s">
        <v>17</v>
      </c>
      <c r="E8513" s="27" t="s">
        <v>18</v>
      </c>
      <c r="F8513" s="27" t="s">
        <v>19</v>
      </c>
      <c r="G8513" s="27" t="s">
        <v>217</v>
      </c>
      <c r="H8513" s="29">
        <v>150</v>
      </c>
      <c r="I8513" s="27" t="s">
        <v>29</v>
      </c>
      <c r="J8513" s="37">
        <v>46043</v>
      </c>
      <c r="K8513" s="27" t="s">
        <v>22</v>
      </c>
    </row>
    <row r="8514" spans="1:11" x14ac:dyDescent="0.2">
      <c r="A8514" s="24" t="s">
        <v>19782</v>
      </c>
      <c r="B8514" s="24" t="s">
        <v>19783</v>
      </c>
      <c r="C8514" s="24" t="s">
        <v>55</v>
      </c>
      <c r="D8514" s="24" t="s">
        <v>17</v>
      </c>
      <c r="E8514" s="24" t="s">
        <v>18</v>
      </c>
      <c r="F8514" s="24" t="s">
        <v>19</v>
      </c>
      <c r="G8514" s="24" t="s">
        <v>44</v>
      </c>
      <c r="H8514" s="26">
        <v>62</v>
      </c>
      <c r="I8514" s="24" t="s">
        <v>29</v>
      </c>
      <c r="J8514" s="36">
        <v>46044</v>
      </c>
      <c r="K8514" s="24" t="s">
        <v>22</v>
      </c>
    </row>
    <row r="8515" spans="1:11" x14ac:dyDescent="0.2">
      <c r="A8515" s="27" t="s">
        <v>19784</v>
      </c>
      <c r="B8515" s="27" t="s">
        <v>19785</v>
      </c>
      <c r="C8515" s="27" t="s">
        <v>551</v>
      </c>
      <c r="D8515" s="27" t="s">
        <v>17</v>
      </c>
      <c r="E8515" s="27" t="s">
        <v>48</v>
      </c>
      <c r="F8515" s="27" t="s">
        <v>49</v>
      </c>
      <c r="G8515" s="27" t="s">
        <v>217</v>
      </c>
      <c r="H8515" s="29">
        <v>120</v>
      </c>
      <c r="I8515" s="27" t="s">
        <v>29</v>
      </c>
      <c r="J8515" s="37">
        <v>46037</v>
      </c>
      <c r="K8515" s="27" t="s">
        <v>22</v>
      </c>
    </row>
    <row r="8516" spans="1:11" x14ac:dyDescent="0.2">
      <c r="A8516" s="24" t="s">
        <v>19786</v>
      </c>
      <c r="B8516" s="24" t="s">
        <v>19787</v>
      </c>
      <c r="C8516" s="24" t="s">
        <v>11051</v>
      </c>
      <c r="D8516" s="24" t="s">
        <v>17</v>
      </c>
      <c r="E8516" s="24" t="s">
        <v>48</v>
      </c>
      <c r="F8516" s="24" t="s">
        <v>49</v>
      </c>
      <c r="G8516" s="24" t="s">
        <v>28</v>
      </c>
      <c r="H8516" s="26">
        <v>18</v>
      </c>
      <c r="I8516" s="24" t="s">
        <v>29</v>
      </c>
      <c r="J8516" s="36">
        <v>46023</v>
      </c>
      <c r="K8516" s="24" t="s">
        <v>22</v>
      </c>
    </row>
    <row r="8517" spans="1:11" x14ac:dyDescent="0.2">
      <c r="A8517" s="27" t="s">
        <v>19788</v>
      </c>
      <c r="B8517" s="27" t="s">
        <v>19789</v>
      </c>
      <c r="C8517" s="27" t="s">
        <v>19790</v>
      </c>
      <c r="D8517" s="27" t="s">
        <v>17</v>
      </c>
      <c r="E8517" s="27" t="s">
        <v>42</v>
      </c>
      <c r="F8517" s="27" t="s">
        <v>43</v>
      </c>
      <c r="G8517" s="27" t="s">
        <v>217</v>
      </c>
      <c r="H8517" s="29">
        <v>18</v>
      </c>
      <c r="I8517" s="27" t="s">
        <v>29</v>
      </c>
      <c r="J8517" s="37">
        <v>46023</v>
      </c>
      <c r="K8517" s="27" t="s">
        <v>22</v>
      </c>
    </row>
    <row r="8518" spans="1:11" x14ac:dyDescent="0.2">
      <c r="A8518" s="24" t="s">
        <v>19791</v>
      </c>
      <c r="B8518" s="24" t="s">
        <v>19792</v>
      </c>
      <c r="C8518" s="24" t="s">
        <v>97</v>
      </c>
      <c r="D8518" s="24" t="s">
        <v>17</v>
      </c>
      <c r="E8518" s="24" t="s">
        <v>18</v>
      </c>
      <c r="F8518" s="24" t="s">
        <v>19</v>
      </c>
      <c r="G8518" s="24" t="s">
        <v>28</v>
      </c>
      <c r="H8518" s="26">
        <v>20</v>
      </c>
      <c r="I8518" s="24" t="s">
        <v>29</v>
      </c>
      <c r="J8518" s="36">
        <v>46028</v>
      </c>
      <c r="K8518" s="24" t="s">
        <v>22</v>
      </c>
    </row>
    <row r="8519" spans="1:11" x14ac:dyDescent="0.2">
      <c r="A8519" s="27" t="s">
        <v>19793</v>
      </c>
      <c r="B8519" s="27" t="s">
        <v>19794</v>
      </c>
      <c r="C8519" s="27" t="s">
        <v>7651</v>
      </c>
      <c r="D8519" s="27" t="s">
        <v>17</v>
      </c>
      <c r="E8519" s="27" t="s">
        <v>81</v>
      </c>
      <c r="F8519" s="27" t="s">
        <v>82</v>
      </c>
      <c r="G8519" s="27" t="s">
        <v>217</v>
      </c>
      <c r="H8519" s="29">
        <v>70</v>
      </c>
      <c r="I8519" s="27" t="s">
        <v>29</v>
      </c>
      <c r="J8519" s="37">
        <v>46023</v>
      </c>
      <c r="K8519" s="27" t="s">
        <v>22</v>
      </c>
    </row>
    <row r="8520" spans="1:11" x14ac:dyDescent="0.2">
      <c r="A8520" s="24" t="s">
        <v>19795</v>
      </c>
      <c r="B8520" s="24" t="s">
        <v>19796</v>
      </c>
      <c r="C8520" s="24" t="s">
        <v>4090</v>
      </c>
      <c r="D8520" s="24" t="s">
        <v>17</v>
      </c>
      <c r="E8520" s="24" t="s">
        <v>48</v>
      </c>
      <c r="F8520" s="24" t="s">
        <v>49</v>
      </c>
      <c r="G8520" s="24" t="s">
        <v>28</v>
      </c>
      <c r="H8520" s="26">
        <v>60</v>
      </c>
      <c r="I8520" s="24" t="s">
        <v>29</v>
      </c>
      <c r="J8520" s="36">
        <v>46049</v>
      </c>
      <c r="K8520" s="24" t="s">
        <v>22</v>
      </c>
    </row>
    <row r="8521" spans="1:11" x14ac:dyDescent="0.2">
      <c r="A8521" s="27" t="s">
        <v>19797</v>
      </c>
      <c r="B8521" s="27" t="s">
        <v>19798</v>
      </c>
      <c r="C8521" s="27" t="s">
        <v>354</v>
      </c>
      <c r="D8521" s="27" t="s">
        <v>17</v>
      </c>
      <c r="E8521" s="27" t="s">
        <v>18</v>
      </c>
      <c r="F8521" s="27" t="s">
        <v>19</v>
      </c>
      <c r="G8521" s="27" t="s">
        <v>44</v>
      </c>
      <c r="H8521" s="29">
        <v>18</v>
      </c>
      <c r="I8521" s="27" t="s">
        <v>21</v>
      </c>
      <c r="J8521" s="37">
        <v>46034</v>
      </c>
      <c r="K8521" s="27" t="s">
        <v>22</v>
      </c>
    </row>
    <row r="8522" spans="1:11" x14ac:dyDescent="0.2">
      <c r="A8522" s="24" t="s">
        <v>19799</v>
      </c>
      <c r="B8522" s="24" t="s">
        <v>19800</v>
      </c>
      <c r="C8522" s="24" t="s">
        <v>19801</v>
      </c>
      <c r="D8522" s="24" t="s">
        <v>17</v>
      </c>
      <c r="E8522" s="24" t="s">
        <v>42</v>
      </c>
      <c r="F8522" s="24" t="s">
        <v>43</v>
      </c>
      <c r="G8522" s="24" t="s">
        <v>217</v>
      </c>
      <c r="H8522" s="26">
        <v>138</v>
      </c>
      <c r="I8522" s="24" t="s">
        <v>29</v>
      </c>
      <c r="J8522" s="36">
        <v>46023</v>
      </c>
      <c r="K8522" s="24" t="s">
        <v>22</v>
      </c>
    </row>
    <row r="8523" spans="1:11" x14ac:dyDescent="0.2">
      <c r="A8523" s="27" t="s">
        <v>19802</v>
      </c>
      <c r="B8523" s="27" t="s">
        <v>19803</v>
      </c>
      <c r="C8523" s="27" t="s">
        <v>208</v>
      </c>
      <c r="D8523" s="27" t="s">
        <v>17</v>
      </c>
      <c r="E8523" s="27" t="s">
        <v>42</v>
      </c>
      <c r="F8523" s="27" t="s">
        <v>43</v>
      </c>
      <c r="G8523" s="27" t="s">
        <v>28</v>
      </c>
      <c r="H8523" s="29">
        <v>160</v>
      </c>
      <c r="I8523" s="27" t="s">
        <v>29</v>
      </c>
      <c r="J8523" s="37">
        <v>46036</v>
      </c>
      <c r="K8523" s="27" t="s">
        <v>22</v>
      </c>
    </row>
    <row r="8524" spans="1:11" x14ac:dyDescent="0.2">
      <c r="A8524" s="24" t="s">
        <v>19804</v>
      </c>
      <c r="B8524" s="24" t="s">
        <v>19805</v>
      </c>
      <c r="C8524" s="24" t="s">
        <v>780</v>
      </c>
      <c r="D8524" s="24" t="s">
        <v>17</v>
      </c>
      <c r="E8524" s="24" t="s">
        <v>42</v>
      </c>
      <c r="F8524" s="24" t="s">
        <v>43</v>
      </c>
      <c r="G8524" s="24" t="s">
        <v>28</v>
      </c>
      <c r="H8524" s="26">
        <v>206</v>
      </c>
      <c r="I8524" s="24" t="s">
        <v>29</v>
      </c>
      <c r="J8524" s="36">
        <v>46023</v>
      </c>
      <c r="K8524" s="24" t="s">
        <v>22</v>
      </c>
    </row>
    <row r="8525" spans="1:11" x14ac:dyDescent="0.2">
      <c r="A8525" s="27" t="s">
        <v>19806</v>
      </c>
      <c r="B8525" s="27" t="s">
        <v>19807</v>
      </c>
      <c r="C8525" s="27" t="s">
        <v>1088</v>
      </c>
      <c r="D8525" s="27" t="s">
        <v>17</v>
      </c>
      <c r="E8525" s="27" t="s">
        <v>42</v>
      </c>
      <c r="F8525" s="27" t="s">
        <v>43</v>
      </c>
      <c r="G8525" s="27" t="s">
        <v>28</v>
      </c>
      <c r="H8525" s="29">
        <v>125</v>
      </c>
      <c r="I8525" s="27" t="s">
        <v>29</v>
      </c>
      <c r="J8525" s="37">
        <v>46038</v>
      </c>
      <c r="K8525" s="27" t="s">
        <v>22</v>
      </c>
    </row>
    <row r="8526" spans="1:11" x14ac:dyDescent="0.2">
      <c r="A8526" s="24" t="s">
        <v>19808</v>
      </c>
      <c r="B8526" s="24" t="s">
        <v>19809</v>
      </c>
      <c r="C8526" s="24" t="s">
        <v>109</v>
      </c>
      <c r="D8526" s="24" t="s">
        <v>17</v>
      </c>
      <c r="E8526" s="24" t="s">
        <v>48</v>
      </c>
      <c r="F8526" s="24" t="s">
        <v>49</v>
      </c>
      <c r="G8526" s="24" t="s">
        <v>28</v>
      </c>
      <c r="H8526" s="26">
        <v>240</v>
      </c>
      <c r="I8526" s="24" t="s">
        <v>29</v>
      </c>
      <c r="J8526" s="36">
        <v>46052</v>
      </c>
      <c r="K8526" s="24" t="s">
        <v>22</v>
      </c>
    </row>
    <row r="8527" spans="1:11" x14ac:dyDescent="0.2">
      <c r="A8527" s="27" t="s">
        <v>19810</v>
      </c>
      <c r="B8527" s="27" t="s">
        <v>19811</v>
      </c>
      <c r="C8527" s="27" t="s">
        <v>19812</v>
      </c>
      <c r="D8527" s="27" t="s">
        <v>17</v>
      </c>
      <c r="E8527" s="27" t="s">
        <v>18</v>
      </c>
      <c r="F8527" s="27" t="s">
        <v>19</v>
      </c>
      <c r="G8527" s="27" t="s">
        <v>28</v>
      </c>
      <c r="H8527" s="29">
        <v>80</v>
      </c>
      <c r="I8527" s="27" t="s">
        <v>29</v>
      </c>
      <c r="J8527" s="37">
        <v>46037</v>
      </c>
      <c r="K8527" s="27" t="s">
        <v>22</v>
      </c>
    </row>
    <row r="8528" spans="1:11" x14ac:dyDescent="0.2">
      <c r="A8528" s="24" t="s">
        <v>19813</v>
      </c>
      <c r="B8528" s="24" t="s">
        <v>19814</v>
      </c>
      <c r="C8528" s="24" t="s">
        <v>19815</v>
      </c>
      <c r="D8528" s="24" t="s">
        <v>17</v>
      </c>
      <c r="E8528" s="24" t="s">
        <v>18</v>
      </c>
      <c r="F8528" s="24" t="s">
        <v>19</v>
      </c>
      <c r="G8528" s="24" t="s">
        <v>217</v>
      </c>
      <c r="H8528" s="26">
        <v>40</v>
      </c>
      <c r="I8528" s="24" t="s">
        <v>29</v>
      </c>
      <c r="J8528" s="36">
        <v>46037</v>
      </c>
      <c r="K8528" s="24" t="s">
        <v>22</v>
      </c>
    </row>
    <row r="8529" spans="1:11" x14ac:dyDescent="0.2">
      <c r="A8529" s="27" t="s">
        <v>19816</v>
      </c>
      <c r="B8529" s="27" t="s">
        <v>19817</v>
      </c>
      <c r="C8529" s="27" t="s">
        <v>91</v>
      </c>
      <c r="D8529" s="27" t="s">
        <v>17</v>
      </c>
      <c r="E8529" s="27" t="s">
        <v>18</v>
      </c>
      <c r="F8529" s="27" t="s">
        <v>19</v>
      </c>
      <c r="G8529" s="27" t="s">
        <v>28</v>
      </c>
      <c r="H8529" s="29">
        <v>44</v>
      </c>
      <c r="I8529" s="27" t="s">
        <v>29</v>
      </c>
      <c r="J8529" s="37">
        <v>46048</v>
      </c>
      <c r="K8529" s="27" t="s">
        <v>22</v>
      </c>
    </row>
    <row r="8530" spans="1:11" x14ac:dyDescent="0.2">
      <c r="A8530" s="24" t="s">
        <v>19818</v>
      </c>
      <c r="B8530" s="24" t="s">
        <v>19819</v>
      </c>
      <c r="C8530" s="24" t="s">
        <v>19820</v>
      </c>
      <c r="D8530" s="24" t="s">
        <v>17</v>
      </c>
      <c r="E8530" s="24" t="s">
        <v>18</v>
      </c>
      <c r="F8530" s="24" t="s">
        <v>19</v>
      </c>
      <c r="G8530" s="24" t="s">
        <v>28</v>
      </c>
      <c r="H8530" s="26">
        <v>20</v>
      </c>
      <c r="I8530" s="24" t="s">
        <v>29</v>
      </c>
      <c r="J8530" s="36">
        <v>46049</v>
      </c>
      <c r="K8530" s="24" t="s">
        <v>22</v>
      </c>
    </row>
    <row r="8531" spans="1:11" x14ac:dyDescent="0.2">
      <c r="A8531" s="27" t="s">
        <v>19821</v>
      </c>
      <c r="B8531" s="27" t="s">
        <v>19822</v>
      </c>
      <c r="C8531" s="27" t="s">
        <v>19823</v>
      </c>
      <c r="D8531" s="27" t="s">
        <v>17</v>
      </c>
      <c r="E8531" s="27" t="s">
        <v>18</v>
      </c>
      <c r="F8531" s="27" t="s">
        <v>19</v>
      </c>
      <c r="G8531" s="27" t="s">
        <v>28</v>
      </c>
      <c r="H8531" s="29">
        <v>24</v>
      </c>
      <c r="I8531" s="27" t="s">
        <v>29</v>
      </c>
      <c r="J8531" s="37">
        <v>46023</v>
      </c>
      <c r="K8531" s="27" t="s">
        <v>22</v>
      </c>
    </row>
    <row r="8532" spans="1:11" x14ac:dyDescent="0.2">
      <c r="A8532" s="24" t="s">
        <v>19824</v>
      </c>
      <c r="B8532" s="24" t="s">
        <v>19825</v>
      </c>
      <c r="C8532" s="24" t="s">
        <v>1422</v>
      </c>
      <c r="D8532" s="24" t="s">
        <v>17</v>
      </c>
      <c r="E8532" s="24" t="s">
        <v>18</v>
      </c>
      <c r="F8532" s="24" t="s">
        <v>19</v>
      </c>
      <c r="G8532" s="24" t="s">
        <v>217</v>
      </c>
      <c r="H8532" s="26">
        <v>45</v>
      </c>
      <c r="I8532" s="24" t="s">
        <v>29</v>
      </c>
      <c r="J8532" s="36">
        <v>46034</v>
      </c>
      <c r="K8532" s="24" t="s">
        <v>22</v>
      </c>
    </row>
    <row r="8533" spans="1:11" x14ac:dyDescent="0.2">
      <c r="A8533" s="27" t="s">
        <v>19826</v>
      </c>
      <c r="B8533" s="27" t="s">
        <v>19827</v>
      </c>
      <c r="C8533" s="27" t="s">
        <v>115</v>
      </c>
      <c r="D8533" s="27" t="s">
        <v>17</v>
      </c>
      <c r="E8533" s="27" t="s">
        <v>42</v>
      </c>
      <c r="F8533" s="27" t="s">
        <v>43</v>
      </c>
      <c r="G8533" s="27" t="s">
        <v>28</v>
      </c>
      <c r="H8533" s="29">
        <v>800</v>
      </c>
      <c r="I8533" s="27" t="s">
        <v>29</v>
      </c>
      <c r="J8533" s="37">
        <v>46042</v>
      </c>
      <c r="K8533" s="27" t="s">
        <v>22</v>
      </c>
    </row>
    <row r="8534" spans="1:11" x14ac:dyDescent="0.2">
      <c r="A8534" s="24" t="s">
        <v>19828</v>
      </c>
      <c r="B8534" s="24" t="s">
        <v>19829</v>
      </c>
      <c r="C8534" s="24" t="s">
        <v>4925</v>
      </c>
      <c r="D8534" s="24" t="s">
        <v>17</v>
      </c>
      <c r="E8534" s="24" t="s">
        <v>42</v>
      </c>
      <c r="F8534" s="24" t="s">
        <v>43</v>
      </c>
      <c r="G8534" s="24" t="s">
        <v>28</v>
      </c>
      <c r="H8534" s="26">
        <v>254</v>
      </c>
      <c r="I8534" s="24" t="s">
        <v>29</v>
      </c>
      <c r="J8534" s="36">
        <v>46048</v>
      </c>
      <c r="K8534" s="24" t="s">
        <v>22</v>
      </c>
    </row>
    <row r="8535" spans="1:11" x14ac:dyDescent="0.2">
      <c r="A8535" s="27" t="s">
        <v>19830</v>
      </c>
      <c r="B8535" s="27" t="s">
        <v>19831</v>
      </c>
      <c r="C8535" s="27" t="s">
        <v>3847</v>
      </c>
      <c r="D8535" s="27" t="s">
        <v>17</v>
      </c>
      <c r="E8535" s="27" t="s">
        <v>48</v>
      </c>
      <c r="F8535" s="27" t="s">
        <v>49</v>
      </c>
      <c r="G8535" s="27" t="s">
        <v>217</v>
      </c>
      <c r="H8535" s="29">
        <v>40</v>
      </c>
      <c r="I8535" s="27" t="s">
        <v>29</v>
      </c>
      <c r="J8535" s="37">
        <v>46023</v>
      </c>
      <c r="K8535" s="27" t="s">
        <v>22</v>
      </c>
    </row>
    <row r="8536" spans="1:11" x14ac:dyDescent="0.2">
      <c r="A8536" s="24" t="s">
        <v>19832</v>
      </c>
      <c r="B8536" s="24" t="s">
        <v>19833</v>
      </c>
      <c r="C8536" s="24" t="s">
        <v>618</v>
      </c>
      <c r="D8536" s="24" t="s">
        <v>17</v>
      </c>
      <c r="E8536" s="24" t="s">
        <v>18</v>
      </c>
      <c r="F8536" s="24" t="s">
        <v>19</v>
      </c>
      <c r="G8536" s="24" t="s">
        <v>28</v>
      </c>
      <c r="H8536" s="26">
        <v>40</v>
      </c>
      <c r="I8536" s="24" t="s">
        <v>29</v>
      </c>
      <c r="J8536" s="36">
        <v>46051</v>
      </c>
      <c r="K8536" s="24" t="s">
        <v>22</v>
      </c>
    </row>
    <row r="8537" spans="1:11" x14ac:dyDescent="0.2">
      <c r="A8537" s="27" t="s">
        <v>19834</v>
      </c>
      <c r="B8537" s="27" t="s">
        <v>19835</v>
      </c>
      <c r="C8537" s="27" t="s">
        <v>19836</v>
      </c>
      <c r="D8537" s="27" t="s">
        <v>17</v>
      </c>
      <c r="E8537" s="27" t="s">
        <v>163</v>
      </c>
      <c r="F8537" s="27" t="s">
        <v>164</v>
      </c>
      <c r="G8537" s="27" t="s">
        <v>28</v>
      </c>
      <c r="H8537" s="29">
        <v>9</v>
      </c>
      <c r="I8537" s="27" t="s">
        <v>29</v>
      </c>
      <c r="J8537" s="37">
        <v>46042</v>
      </c>
      <c r="K8537" s="27" t="s">
        <v>22</v>
      </c>
    </row>
    <row r="8538" spans="1:11" x14ac:dyDescent="0.2">
      <c r="A8538" s="24" t="s">
        <v>19837</v>
      </c>
      <c r="B8538" s="24" t="s">
        <v>19838</v>
      </c>
      <c r="C8538" s="24" t="s">
        <v>19839</v>
      </c>
      <c r="D8538" s="24" t="s">
        <v>17</v>
      </c>
      <c r="E8538" s="24" t="s">
        <v>18</v>
      </c>
      <c r="F8538" s="24" t="s">
        <v>19</v>
      </c>
      <c r="G8538" s="24" t="s">
        <v>28</v>
      </c>
      <c r="H8538" s="26">
        <v>42</v>
      </c>
      <c r="I8538" s="24" t="s">
        <v>29</v>
      </c>
      <c r="J8538" s="36">
        <v>46051</v>
      </c>
      <c r="K8538" s="24" t="s">
        <v>22</v>
      </c>
    </row>
    <row r="8539" spans="1:11" x14ac:dyDescent="0.2">
      <c r="A8539" s="27" t="s">
        <v>19840</v>
      </c>
      <c r="B8539" s="27" t="s">
        <v>19841</v>
      </c>
      <c r="C8539" s="27" t="s">
        <v>134</v>
      </c>
      <c r="D8539" s="27" t="s">
        <v>17</v>
      </c>
      <c r="E8539" s="27" t="s">
        <v>18</v>
      </c>
      <c r="F8539" s="27" t="s">
        <v>19</v>
      </c>
      <c r="G8539" s="27" t="s">
        <v>28</v>
      </c>
      <c r="H8539" s="29">
        <v>125</v>
      </c>
      <c r="I8539" s="27" t="s">
        <v>29</v>
      </c>
      <c r="J8539" s="37">
        <v>46037</v>
      </c>
      <c r="K8539" s="27" t="s">
        <v>22</v>
      </c>
    </row>
    <row r="8540" spans="1:11" x14ac:dyDescent="0.2">
      <c r="A8540" s="24" t="s">
        <v>19842</v>
      </c>
      <c r="B8540" s="24" t="s">
        <v>19843</v>
      </c>
      <c r="C8540" s="24" t="s">
        <v>19844</v>
      </c>
      <c r="D8540" s="24" t="s">
        <v>17</v>
      </c>
      <c r="E8540" s="24" t="s">
        <v>48</v>
      </c>
      <c r="F8540" s="24" t="s">
        <v>49</v>
      </c>
      <c r="G8540" s="24" t="s">
        <v>28</v>
      </c>
      <c r="H8540" s="26">
        <v>103</v>
      </c>
      <c r="I8540" s="24" t="s">
        <v>29</v>
      </c>
      <c r="J8540" s="36">
        <v>46050</v>
      </c>
      <c r="K8540" s="24" t="s">
        <v>22</v>
      </c>
    </row>
    <row r="8541" spans="1:11" x14ac:dyDescent="0.2">
      <c r="A8541" s="27" t="s">
        <v>19845</v>
      </c>
      <c r="B8541" s="27" t="s">
        <v>19846</v>
      </c>
      <c r="C8541" s="27" t="s">
        <v>19847</v>
      </c>
      <c r="D8541" s="27" t="s">
        <v>17</v>
      </c>
      <c r="E8541" s="27" t="s">
        <v>18</v>
      </c>
      <c r="F8541" s="27" t="s">
        <v>19</v>
      </c>
      <c r="G8541" s="27" t="s">
        <v>28</v>
      </c>
      <c r="H8541" s="29">
        <v>55</v>
      </c>
      <c r="I8541" s="27" t="s">
        <v>29</v>
      </c>
      <c r="J8541" s="37">
        <v>46030</v>
      </c>
      <c r="K8541" s="27" t="s">
        <v>22</v>
      </c>
    </row>
    <row r="8542" spans="1:11" x14ac:dyDescent="0.2">
      <c r="A8542" s="24" t="s">
        <v>19848</v>
      </c>
      <c r="B8542" s="24" t="s">
        <v>19849</v>
      </c>
      <c r="C8542" s="24" t="s">
        <v>1059</v>
      </c>
      <c r="D8542" s="24" t="s">
        <v>17</v>
      </c>
      <c r="E8542" s="24" t="s">
        <v>18</v>
      </c>
      <c r="F8542" s="24" t="s">
        <v>19</v>
      </c>
      <c r="G8542" s="24" t="s">
        <v>28</v>
      </c>
      <c r="H8542" s="26">
        <v>46</v>
      </c>
      <c r="I8542" s="24" t="s">
        <v>29</v>
      </c>
      <c r="J8542" s="36">
        <v>46049</v>
      </c>
      <c r="K8542" s="24" t="s">
        <v>22</v>
      </c>
    </row>
    <row r="8543" spans="1:11" x14ac:dyDescent="0.2">
      <c r="A8543" s="27" t="s">
        <v>19850</v>
      </c>
      <c r="B8543" s="27" t="s">
        <v>19851</v>
      </c>
      <c r="C8543" s="27" t="s">
        <v>1921</v>
      </c>
      <c r="D8543" s="27" t="s">
        <v>17</v>
      </c>
      <c r="E8543" s="27" t="s">
        <v>26</v>
      </c>
      <c r="F8543" s="27" t="s">
        <v>27</v>
      </c>
      <c r="G8543" s="27" t="s">
        <v>28</v>
      </c>
      <c r="H8543" s="29">
        <v>203</v>
      </c>
      <c r="I8543" s="27" t="s">
        <v>29</v>
      </c>
      <c r="J8543" s="37">
        <v>46051</v>
      </c>
      <c r="K8543" s="27" t="s">
        <v>22</v>
      </c>
    </row>
    <row r="8544" spans="1:11" x14ac:dyDescent="0.2">
      <c r="A8544" s="24" t="s">
        <v>19852</v>
      </c>
      <c r="B8544" s="24" t="s">
        <v>19853</v>
      </c>
      <c r="C8544" s="24" t="s">
        <v>2287</v>
      </c>
      <c r="D8544" s="24" t="s">
        <v>17</v>
      </c>
      <c r="E8544" s="24" t="s">
        <v>48</v>
      </c>
      <c r="F8544" s="24" t="s">
        <v>49</v>
      </c>
      <c r="G8544" s="24" t="s">
        <v>217</v>
      </c>
      <c r="H8544" s="26">
        <v>100</v>
      </c>
      <c r="I8544" s="24" t="s">
        <v>29</v>
      </c>
      <c r="J8544" s="36">
        <v>46023</v>
      </c>
      <c r="K8544" s="24" t="s">
        <v>22</v>
      </c>
    </row>
    <row r="8545" spans="1:11" x14ac:dyDescent="0.2">
      <c r="A8545" s="27" t="s">
        <v>19854</v>
      </c>
      <c r="B8545" s="27" t="s">
        <v>19855</v>
      </c>
      <c r="C8545" s="27" t="s">
        <v>19856</v>
      </c>
      <c r="D8545" s="27" t="s">
        <v>17</v>
      </c>
      <c r="E8545" s="27" t="s">
        <v>26</v>
      </c>
      <c r="F8545" s="27" t="s">
        <v>27</v>
      </c>
      <c r="G8545" s="27" t="s">
        <v>28</v>
      </c>
      <c r="H8545" s="29">
        <v>210</v>
      </c>
      <c r="I8545" s="27" t="s">
        <v>29</v>
      </c>
      <c r="J8545" s="37">
        <v>46030</v>
      </c>
      <c r="K8545" s="27" t="s">
        <v>22</v>
      </c>
    </row>
    <row r="8546" spans="1:11" x14ac:dyDescent="0.2">
      <c r="A8546" s="24" t="s">
        <v>19857</v>
      </c>
      <c r="B8546" s="24" t="s">
        <v>19858</v>
      </c>
      <c r="C8546" s="24" t="s">
        <v>2504</v>
      </c>
      <c r="D8546" s="24" t="s">
        <v>17</v>
      </c>
      <c r="E8546" s="24" t="s">
        <v>18</v>
      </c>
      <c r="F8546" s="24" t="s">
        <v>19</v>
      </c>
      <c r="G8546" s="24" t="s">
        <v>28</v>
      </c>
      <c r="H8546" s="26">
        <v>76</v>
      </c>
      <c r="I8546" s="24" t="s">
        <v>29</v>
      </c>
      <c r="J8546" s="36">
        <v>46023</v>
      </c>
      <c r="K8546" s="24" t="s">
        <v>22</v>
      </c>
    </row>
    <row r="8547" spans="1:11" x14ac:dyDescent="0.2">
      <c r="A8547" s="27" t="s">
        <v>19859</v>
      </c>
      <c r="B8547" s="27" t="s">
        <v>19860</v>
      </c>
      <c r="C8547" s="27" t="s">
        <v>19861</v>
      </c>
      <c r="D8547" s="27" t="s">
        <v>17</v>
      </c>
      <c r="E8547" s="27" t="s">
        <v>18</v>
      </c>
      <c r="F8547" s="27" t="s">
        <v>19</v>
      </c>
      <c r="G8547" s="27" t="s">
        <v>116</v>
      </c>
      <c r="H8547" s="29">
        <v>0</v>
      </c>
      <c r="I8547" s="27" t="s">
        <v>21</v>
      </c>
      <c r="J8547" s="37">
        <v>46026</v>
      </c>
      <c r="K8547" s="27" t="s">
        <v>22</v>
      </c>
    </row>
    <row r="8548" spans="1:11" x14ac:dyDescent="0.2">
      <c r="A8548" s="24" t="s">
        <v>19862</v>
      </c>
      <c r="B8548" s="24" t="s">
        <v>19863</v>
      </c>
      <c r="C8548" s="24" t="s">
        <v>5278</v>
      </c>
      <c r="D8548" s="24" t="s">
        <v>17</v>
      </c>
      <c r="E8548" s="24" t="s">
        <v>42</v>
      </c>
      <c r="F8548" s="24" t="s">
        <v>43</v>
      </c>
      <c r="G8548" s="24" t="s">
        <v>28</v>
      </c>
      <c r="H8548" s="26">
        <v>100</v>
      </c>
      <c r="I8548" s="24" t="s">
        <v>29</v>
      </c>
      <c r="J8548" s="36">
        <v>46027</v>
      </c>
      <c r="K8548" s="24" t="s">
        <v>22</v>
      </c>
    </row>
    <row r="8549" spans="1:11" x14ac:dyDescent="0.2">
      <c r="A8549" s="27" t="s">
        <v>19864</v>
      </c>
      <c r="B8549" s="27" t="s">
        <v>19865</v>
      </c>
      <c r="C8549" s="27" t="s">
        <v>19866</v>
      </c>
      <c r="D8549" s="27" t="s">
        <v>17</v>
      </c>
      <c r="E8549" s="27" t="s">
        <v>48</v>
      </c>
      <c r="F8549" s="27" t="s">
        <v>49</v>
      </c>
      <c r="G8549" s="27" t="s">
        <v>28</v>
      </c>
      <c r="H8549" s="29">
        <v>320</v>
      </c>
      <c r="I8549" s="27" t="s">
        <v>29</v>
      </c>
      <c r="J8549" s="37">
        <v>46041</v>
      </c>
      <c r="K8549" s="27" t="s">
        <v>22</v>
      </c>
    </row>
    <row r="8550" spans="1:11" x14ac:dyDescent="0.2">
      <c r="A8550" s="24" t="s">
        <v>19867</v>
      </c>
      <c r="B8550" s="24" t="s">
        <v>19868</v>
      </c>
      <c r="C8550" s="24" t="s">
        <v>2953</v>
      </c>
      <c r="D8550" s="24" t="s">
        <v>17</v>
      </c>
      <c r="E8550" s="24" t="s">
        <v>18</v>
      </c>
      <c r="F8550" s="24" t="s">
        <v>19</v>
      </c>
      <c r="G8550" s="24" t="s">
        <v>28</v>
      </c>
      <c r="H8550" s="26">
        <v>16</v>
      </c>
      <c r="I8550" s="24" t="s">
        <v>29</v>
      </c>
      <c r="J8550" s="36">
        <v>46052</v>
      </c>
      <c r="K8550" s="24" t="s">
        <v>22</v>
      </c>
    </row>
    <row r="8551" spans="1:11" x14ac:dyDescent="0.2">
      <c r="A8551" s="27" t="s">
        <v>19869</v>
      </c>
      <c r="B8551" s="27" t="s">
        <v>19870</v>
      </c>
      <c r="C8551" s="27" t="s">
        <v>526</v>
      </c>
      <c r="D8551" s="27" t="s">
        <v>17</v>
      </c>
      <c r="E8551" s="27" t="s">
        <v>18</v>
      </c>
      <c r="F8551" s="27" t="s">
        <v>19</v>
      </c>
      <c r="G8551" s="27" t="s">
        <v>28</v>
      </c>
      <c r="H8551" s="29">
        <v>40</v>
      </c>
      <c r="I8551" s="27" t="s">
        <v>29</v>
      </c>
      <c r="J8551" s="37">
        <v>46037</v>
      </c>
      <c r="K8551" s="27" t="s">
        <v>22</v>
      </c>
    </row>
    <row r="8552" spans="1:11" x14ac:dyDescent="0.2">
      <c r="A8552" s="24" t="s">
        <v>19871</v>
      </c>
      <c r="B8552" s="24" t="s">
        <v>19872</v>
      </c>
      <c r="C8552" s="24" t="s">
        <v>2669</v>
      </c>
      <c r="D8552" s="24" t="s">
        <v>17</v>
      </c>
      <c r="E8552" s="24" t="s">
        <v>48</v>
      </c>
      <c r="F8552" s="24" t="s">
        <v>49</v>
      </c>
      <c r="G8552" s="24" t="s">
        <v>28</v>
      </c>
      <c r="H8552" s="26">
        <v>30</v>
      </c>
      <c r="I8552" s="24" t="s">
        <v>29</v>
      </c>
      <c r="J8552" s="36">
        <v>46041</v>
      </c>
      <c r="K8552" s="24" t="s">
        <v>22</v>
      </c>
    </row>
    <row r="8553" spans="1:11" x14ac:dyDescent="0.2">
      <c r="A8553" s="27" t="s">
        <v>19873</v>
      </c>
      <c r="B8553" s="27" t="s">
        <v>19874</v>
      </c>
      <c r="C8553" s="27" t="s">
        <v>526</v>
      </c>
      <c r="D8553" s="27" t="s">
        <v>17</v>
      </c>
      <c r="E8553" s="27" t="s">
        <v>18</v>
      </c>
      <c r="F8553" s="27" t="s">
        <v>19</v>
      </c>
      <c r="G8553" s="27" t="s">
        <v>28</v>
      </c>
      <c r="H8553" s="29">
        <v>40</v>
      </c>
      <c r="I8553" s="27" t="s">
        <v>29</v>
      </c>
      <c r="J8553" s="37">
        <v>46036</v>
      </c>
      <c r="K8553" s="27" t="s">
        <v>22</v>
      </c>
    </row>
    <row r="8554" spans="1:11" x14ac:dyDescent="0.2">
      <c r="A8554" s="24" t="s">
        <v>19875</v>
      </c>
      <c r="B8554" s="24" t="s">
        <v>19876</v>
      </c>
      <c r="C8554" s="24" t="s">
        <v>1307</v>
      </c>
      <c r="D8554" s="24" t="s">
        <v>17</v>
      </c>
      <c r="E8554" s="24" t="s">
        <v>18</v>
      </c>
      <c r="F8554" s="24" t="s">
        <v>19</v>
      </c>
      <c r="G8554" s="24" t="s">
        <v>217</v>
      </c>
      <c r="H8554" s="26">
        <v>36</v>
      </c>
      <c r="I8554" s="24" t="s">
        <v>29</v>
      </c>
      <c r="J8554" s="36">
        <v>46023</v>
      </c>
      <c r="K8554" s="24" t="s">
        <v>22</v>
      </c>
    </row>
    <row r="8555" spans="1:11" x14ac:dyDescent="0.2">
      <c r="A8555" s="27" t="s">
        <v>19877</v>
      </c>
      <c r="B8555" s="27" t="s">
        <v>19878</v>
      </c>
      <c r="C8555" s="27" t="s">
        <v>146</v>
      </c>
      <c r="D8555" s="27" t="s">
        <v>17</v>
      </c>
      <c r="E8555" s="27" t="s">
        <v>48</v>
      </c>
      <c r="F8555" s="27" t="s">
        <v>49</v>
      </c>
      <c r="G8555" s="27" t="s">
        <v>217</v>
      </c>
      <c r="H8555" s="29">
        <v>528</v>
      </c>
      <c r="I8555" s="27" t="s">
        <v>29</v>
      </c>
      <c r="J8555" s="37">
        <v>46024</v>
      </c>
      <c r="K8555" s="27" t="s">
        <v>22</v>
      </c>
    </row>
    <row r="8556" spans="1:11" x14ac:dyDescent="0.2">
      <c r="A8556" s="24" t="s">
        <v>19879</v>
      </c>
      <c r="B8556" s="24" t="s">
        <v>19880</v>
      </c>
      <c r="C8556" s="24" t="s">
        <v>97</v>
      </c>
      <c r="D8556" s="24" t="s">
        <v>17</v>
      </c>
      <c r="E8556" s="24" t="s">
        <v>18</v>
      </c>
      <c r="F8556" s="24" t="s">
        <v>19</v>
      </c>
      <c r="G8556" s="24" t="s">
        <v>217</v>
      </c>
      <c r="H8556" s="26">
        <v>35</v>
      </c>
      <c r="I8556" s="24" t="s">
        <v>29</v>
      </c>
      <c r="J8556" s="36">
        <v>46050</v>
      </c>
      <c r="K8556" s="24" t="s">
        <v>22</v>
      </c>
    </row>
    <row r="8557" spans="1:11" x14ac:dyDescent="0.2">
      <c r="A8557" s="27" t="s">
        <v>19881</v>
      </c>
      <c r="B8557" s="27" t="s">
        <v>19882</v>
      </c>
      <c r="C8557" s="27" t="s">
        <v>9564</v>
      </c>
      <c r="D8557" s="27" t="s">
        <v>17</v>
      </c>
      <c r="E8557" s="27" t="s">
        <v>48</v>
      </c>
      <c r="F8557" s="27" t="s">
        <v>49</v>
      </c>
      <c r="G8557" s="27" t="s">
        <v>217</v>
      </c>
      <c r="H8557" s="29">
        <v>16</v>
      </c>
      <c r="I8557" s="27" t="s">
        <v>29</v>
      </c>
      <c r="J8557" s="37">
        <v>46023</v>
      </c>
      <c r="K8557" s="27" t="s">
        <v>22</v>
      </c>
    </row>
    <row r="8558" spans="1:11" x14ac:dyDescent="0.2">
      <c r="A8558" s="24" t="s">
        <v>19883</v>
      </c>
      <c r="B8558" s="24" t="s">
        <v>19884</v>
      </c>
      <c r="C8558" s="24" t="s">
        <v>19885</v>
      </c>
      <c r="D8558" s="24" t="s">
        <v>17</v>
      </c>
      <c r="E8558" s="24" t="s">
        <v>33</v>
      </c>
      <c r="F8558" s="24" t="s">
        <v>34</v>
      </c>
      <c r="G8558" s="24" t="s">
        <v>28</v>
      </c>
      <c r="H8558" s="26">
        <v>28</v>
      </c>
      <c r="I8558" s="24" t="s">
        <v>29</v>
      </c>
      <c r="J8558" s="36">
        <v>46052</v>
      </c>
      <c r="K8558" s="24" t="s">
        <v>22</v>
      </c>
    </row>
    <row r="8559" spans="1:11" x14ac:dyDescent="0.2">
      <c r="A8559" s="27" t="s">
        <v>19886</v>
      </c>
      <c r="B8559" s="27" t="s">
        <v>19887</v>
      </c>
      <c r="C8559" s="27" t="s">
        <v>9686</v>
      </c>
      <c r="D8559" s="27" t="s">
        <v>17</v>
      </c>
      <c r="E8559" s="27" t="s">
        <v>48</v>
      </c>
      <c r="F8559" s="27" t="s">
        <v>49</v>
      </c>
      <c r="G8559" s="27" t="s">
        <v>28</v>
      </c>
      <c r="H8559" s="29">
        <v>324</v>
      </c>
      <c r="I8559" s="27" t="s">
        <v>29</v>
      </c>
      <c r="J8559" s="37">
        <v>46030</v>
      </c>
      <c r="K8559" s="27" t="s">
        <v>22</v>
      </c>
    </row>
    <row r="8560" spans="1:11" x14ac:dyDescent="0.2">
      <c r="A8560" s="24" t="s">
        <v>19888</v>
      </c>
      <c r="B8560" s="24" t="s">
        <v>19889</v>
      </c>
      <c r="C8560" s="24" t="s">
        <v>1110</v>
      </c>
      <c r="D8560" s="24" t="s">
        <v>17</v>
      </c>
      <c r="E8560" s="24" t="s">
        <v>48</v>
      </c>
      <c r="F8560" s="24" t="s">
        <v>49</v>
      </c>
      <c r="G8560" s="24" t="s">
        <v>28</v>
      </c>
      <c r="H8560" s="26">
        <v>120</v>
      </c>
      <c r="I8560" s="24" t="s">
        <v>29</v>
      </c>
      <c r="J8560" s="36">
        <v>46030</v>
      </c>
      <c r="K8560" s="24" t="s">
        <v>22</v>
      </c>
    </row>
    <row r="8561" spans="1:11" x14ac:dyDescent="0.2">
      <c r="A8561" s="27" t="s">
        <v>19890</v>
      </c>
      <c r="B8561" s="27" t="s">
        <v>19891</v>
      </c>
      <c r="C8561" s="27" t="s">
        <v>106</v>
      </c>
      <c r="D8561" s="27" t="s">
        <v>17</v>
      </c>
      <c r="E8561" s="27" t="s">
        <v>18</v>
      </c>
      <c r="F8561" s="27" t="s">
        <v>19</v>
      </c>
      <c r="G8561" s="27" t="s">
        <v>20</v>
      </c>
      <c r="H8561" s="29">
        <v>8</v>
      </c>
      <c r="I8561" s="27" t="s">
        <v>21</v>
      </c>
      <c r="J8561" s="37">
        <v>46044</v>
      </c>
      <c r="K8561" s="27" t="s">
        <v>22</v>
      </c>
    </row>
    <row r="8562" spans="1:11" x14ac:dyDescent="0.2">
      <c r="A8562" s="24" t="s">
        <v>19892</v>
      </c>
      <c r="B8562" s="24" t="s">
        <v>19893</v>
      </c>
      <c r="C8562" s="24" t="s">
        <v>1473</v>
      </c>
      <c r="D8562" s="24" t="s">
        <v>17</v>
      </c>
      <c r="E8562" s="24" t="s">
        <v>42</v>
      </c>
      <c r="F8562" s="24" t="s">
        <v>43</v>
      </c>
      <c r="G8562" s="24" t="s">
        <v>217</v>
      </c>
      <c r="H8562" s="26">
        <v>500</v>
      </c>
      <c r="I8562" s="24" t="s">
        <v>29</v>
      </c>
      <c r="J8562" s="36">
        <v>46037</v>
      </c>
      <c r="K8562" s="24" t="s">
        <v>22</v>
      </c>
    </row>
    <row r="8563" spans="1:11" x14ac:dyDescent="0.2">
      <c r="A8563" s="27" t="s">
        <v>19894</v>
      </c>
      <c r="B8563" s="27" t="s">
        <v>19895</v>
      </c>
      <c r="C8563" s="27" t="s">
        <v>55</v>
      </c>
      <c r="D8563" s="27" t="s">
        <v>17</v>
      </c>
      <c r="E8563" s="27" t="s">
        <v>18</v>
      </c>
      <c r="F8563" s="27" t="s">
        <v>19</v>
      </c>
      <c r="G8563" s="27" t="s">
        <v>28</v>
      </c>
      <c r="H8563" s="29">
        <v>210</v>
      </c>
      <c r="I8563" s="27" t="s">
        <v>29</v>
      </c>
      <c r="J8563" s="37">
        <v>46035</v>
      </c>
      <c r="K8563" s="27" t="s">
        <v>22</v>
      </c>
    </row>
    <row r="8564" spans="1:11" x14ac:dyDescent="0.2">
      <c r="A8564" s="24" t="s">
        <v>19896</v>
      </c>
      <c r="B8564" s="24" t="s">
        <v>19897</v>
      </c>
      <c r="C8564" s="24" t="s">
        <v>14987</v>
      </c>
      <c r="D8564" s="24" t="s">
        <v>17</v>
      </c>
      <c r="E8564" s="24" t="s">
        <v>81</v>
      </c>
      <c r="F8564" s="24" t="s">
        <v>82</v>
      </c>
      <c r="G8564" s="24" t="s">
        <v>28</v>
      </c>
      <c r="H8564" s="26">
        <v>50</v>
      </c>
      <c r="I8564" s="24" t="s">
        <v>29</v>
      </c>
      <c r="J8564" s="36">
        <v>46024</v>
      </c>
      <c r="K8564" s="24" t="s">
        <v>22</v>
      </c>
    </row>
    <row r="8565" spans="1:11" x14ac:dyDescent="0.2">
      <c r="A8565" s="27" t="s">
        <v>19898</v>
      </c>
      <c r="B8565" s="27" t="s">
        <v>19899</v>
      </c>
      <c r="C8565" s="27" t="s">
        <v>1444</v>
      </c>
      <c r="D8565" s="27" t="s">
        <v>17</v>
      </c>
      <c r="E8565" s="27" t="s">
        <v>48</v>
      </c>
      <c r="F8565" s="27" t="s">
        <v>49</v>
      </c>
      <c r="G8565" s="27" t="s">
        <v>217</v>
      </c>
      <c r="H8565" s="29">
        <v>20</v>
      </c>
      <c r="I8565" s="27" t="s">
        <v>29</v>
      </c>
      <c r="J8565" s="37">
        <v>46023</v>
      </c>
      <c r="K8565" s="27" t="s">
        <v>22</v>
      </c>
    </row>
    <row r="8566" spans="1:11" x14ac:dyDescent="0.2">
      <c r="A8566" s="24" t="s">
        <v>19900</v>
      </c>
      <c r="B8566" s="24" t="s">
        <v>19901</v>
      </c>
      <c r="C8566" s="24" t="s">
        <v>592</v>
      </c>
      <c r="D8566" s="24" t="s">
        <v>17</v>
      </c>
      <c r="E8566" s="24" t="s">
        <v>42</v>
      </c>
      <c r="F8566" s="24" t="s">
        <v>43</v>
      </c>
      <c r="G8566" s="24" t="s">
        <v>28</v>
      </c>
      <c r="H8566" s="26">
        <v>120</v>
      </c>
      <c r="I8566" s="24" t="s">
        <v>29</v>
      </c>
      <c r="J8566" s="36">
        <v>46035</v>
      </c>
      <c r="K8566" s="24" t="s">
        <v>22</v>
      </c>
    </row>
    <row r="8567" spans="1:11" x14ac:dyDescent="0.2">
      <c r="A8567" s="27" t="s">
        <v>19902</v>
      </c>
      <c r="B8567" s="27" t="s">
        <v>19903</v>
      </c>
      <c r="C8567" s="27" t="s">
        <v>213</v>
      </c>
      <c r="D8567" s="27" t="s">
        <v>17</v>
      </c>
      <c r="E8567" s="27" t="s">
        <v>18</v>
      </c>
      <c r="F8567" s="27" t="s">
        <v>19</v>
      </c>
      <c r="G8567" s="27" t="s">
        <v>28</v>
      </c>
      <c r="H8567" s="29">
        <v>28</v>
      </c>
      <c r="I8567" s="27" t="s">
        <v>29</v>
      </c>
      <c r="J8567" s="37">
        <v>46050</v>
      </c>
      <c r="K8567" s="27" t="s">
        <v>22</v>
      </c>
    </row>
    <row r="8568" spans="1:11" x14ac:dyDescent="0.2">
      <c r="A8568" s="24" t="s">
        <v>19904</v>
      </c>
      <c r="B8568" s="24" t="s">
        <v>19905</v>
      </c>
      <c r="C8568" s="24" t="s">
        <v>19906</v>
      </c>
      <c r="D8568" s="24" t="s">
        <v>17</v>
      </c>
      <c r="E8568" s="24" t="s">
        <v>26</v>
      </c>
      <c r="F8568" s="24" t="s">
        <v>27</v>
      </c>
      <c r="G8568" s="24" t="s">
        <v>28</v>
      </c>
      <c r="H8568" s="26">
        <v>170</v>
      </c>
      <c r="I8568" s="24" t="s">
        <v>29</v>
      </c>
      <c r="J8568" s="36">
        <v>46026</v>
      </c>
      <c r="K8568" s="24" t="s">
        <v>22</v>
      </c>
    </row>
    <row r="8569" spans="1:11" x14ac:dyDescent="0.2">
      <c r="A8569" s="27" t="s">
        <v>19907</v>
      </c>
      <c r="B8569" s="27" t="s">
        <v>19908</v>
      </c>
      <c r="C8569" s="27" t="s">
        <v>10852</v>
      </c>
      <c r="D8569" s="27" t="s">
        <v>17</v>
      </c>
      <c r="E8569" s="27" t="s">
        <v>33</v>
      </c>
      <c r="F8569" s="27" t="s">
        <v>34</v>
      </c>
      <c r="G8569" s="27" t="s">
        <v>28</v>
      </c>
      <c r="H8569" s="29">
        <v>500</v>
      </c>
      <c r="I8569" s="27" t="s">
        <v>29</v>
      </c>
      <c r="J8569" s="37">
        <v>46031</v>
      </c>
      <c r="K8569" s="27" t="s">
        <v>22</v>
      </c>
    </row>
    <row r="8570" spans="1:11" x14ac:dyDescent="0.2">
      <c r="A8570" s="24" t="s">
        <v>19909</v>
      </c>
      <c r="B8570" s="24" t="s">
        <v>19910</v>
      </c>
      <c r="C8570" s="24" t="s">
        <v>1663</v>
      </c>
      <c r="D8570" s="24" t="s">
        <v>17</v>
      </c>
      <c r="E8570" s="24" t="s">
        <v>33</v>
      </c>
      <c r="F8570" s="24" t="s">
        <v>34</v>
      </c>
      <c r="G8570" s="24" t="s">
        <v>217</v>
      </c>
      <c r="H8570" s="26">
        <v>817</v>
      </c>
      <c r="I8570" s="24" t="s">
        <v>29</v>
      </c>
      <c r="J8570" s="36">
        <v>46049</v>
      </c>
      <c r="K8570" s="24" t="s">
        <v>22</v>
      </c>
    </row>
    <row r="8571" spans="1:11" x14ac:dyDescent="0.2">
      <c r="A8571" s="27" t="s">
        <v>19911</v>
      </c>
      <c r="B8571" s="27" t="s">
        <v>19912</v>
      </c>
      <c r="C8571" s="27" t="s">
        <v>494</v>
      </c>
      <c r="D8571" s="27" t="s">
        <v>17</v>
      </c>
      <c r="E8571" s="27" t="s">
        <v>18</v>
      </c>
      <c r="F8571" s="27" t="s">
        <v>19</v>
      </c>
      <c r="G8571" s="27" t="s">
        <v>217</v>
      </c>
      <c r="H8571" s="29">
        <v>66</v>
      </c>
      <c r="I8571" s="27" t="s">
        <v>29</v>
      </c>
      <c r="J8571" s="37">
        <v>46023</v>
      </c>
      <c r="K8571" s="27" t="s">
        <v>22</v>
      </c>
    </row>
    <row r="8572" spans="1:11" x14ac:dyDescent="0.2">
      <c r="A8572" s="24" t="s">
        <v>19913</v>
      </c>
      <c r="B8572" s="24" t="s">
        <v>19914</v>
      </c>
      <c r="C8572" s="24" t="s">
        <v>19769</v>
      </c>
      <c r="D8572" s="24" t="s">
        <v>17</v>
      </c>
      <c r="E8572" s="24" t="s">
        <v>48</v>
      </c>
      <c r="F8572" s="24" t="s">
        <v>49</v>
      </c>
      <c r="G8572" s="24" t="s">
        <v>217</v>
      </c>
      <c r="H8572" s="26">
        <v>52</v>
      </c>
      <c r="I8572" s="24" t="s">
        <v>29</v>
      </c>
      <c r="J8572" s="36">
        <v>46023</v>
      </c>
      <c r="K8572" s="24" t="s">
        <v>22</v>
      </c>
    </row>
    <row r="8573" spans="1:11" x14ac:dyDescent="0.2">
      <c r="A8573" s="27" t="s">
        <v>19915</v>
      </c>
      <c r="B8573" s="27" t="s">
        <v>19916</v>
      </c>
      <c r="C8573" s="27" t="s">
        <v>1199</v>
      </c>
      <c r="D8573" s="27" t="s">
        <v>17</v>
      </c>
      <c r="E8573" s="27" t="s">
        <v>42</v>
      </c>
      <c r="F8573" s="27" t="s">
        <v>43</v>
      </c>
      <c r="G8573" s="27" t="s">
        <v>28</v>
      </c>
      <c r="H8573" s="29">
        <v>604</v>
      </c>
      <c r="I8573" s="27" t="s">
        <v>29</v>
      </c>
      <c r="J8573" s="37">
        <v>46043</v>
      </c>
      <c r="K8573" s="27" t="s">
        <v>22</v>
      </c>
    </row>
    <row r="8574" spans="1:11" x14ac:dyDescent="0.2">
      <c r="A8574" s="24" t="s">
        <v>19917</v>
      </c>
      <c r="B8574" s="24" t="s">
        <v>19918</v>
      </c>
      <c r="C8574" s="24" t="s">
        <v>388</v>
      </c>
      <c r="D8574" s="24" t="s">
        <v>17</v>
      </c>
      <c r="E8574" s="24" t="s">
        <v>42</v>
      </c>
      <c r="F8574" s="24" t="s">
        <v>43</v>
      </c>
      <c r="G8574" s="24" t="s">
        <v>217</v>
      </c>
      <c r="H8574" s="26">
        <v>80</v>
      </c>
      <c r="I8574" s="24" t="s">
        <v>29</v>
      </c>
      <c r="J8574" s="36">
        <v>46050</v>
      </c>
      <c r="K8574" s="24" t="s">
        <v>22</v>
      </c>
    </row>
    <row r="8575" spans="1:11" x14ac:dyDescent="0.2">
      <c r="A8575" s="27" t="s">
        <v>19919</v>
      </c>
      <c r="B8575" s="27" t="s">
        <v>19920</v>
      </c>
      <c r="C8575" s="27" t="s">
        <v>19921</v>
      </c>
      <c r="D8575" s="27" t="s">
        <v>17</v>
      </c>
      <c r="E8575" s="27" t="s">
        <v>18</v>
      </c>
      <c r="F8575" s="27" t="s">
        <v>19</v>
      </c>
      <c r="G8575" s="27" t="s">
        <v>28</v>
      </c>
      <c r="H8575" s="29">
        <v>25</v>
      </c>
      <c r="I8575" s="27" t="s">
        <v>29</v>
      </c>
      <c r="J8575" s="37">
        <v>46023</v>
      </c>
      <c r="K8575" s="27" t="s">
        <v>22</v>
      </c>
    </row>
    <row r="8576" spans="1:11" x14ac:dyDescent="0.2">
      <c r="A8576" s="24" t="s">
        <v>19922</v>
      </c>
      <c r="B8576" s="24" t="s">
        <v>19923</v>
      </c>
      <c r="C8576" s="24" t="s">
        <v>708</v>
      </c>
      <c r="D8576" s="24" t="s">
        <v>17</v>
      </c>
      <c r="E8576" s="24" t="s">
        <v>42</v>
      </c>
      <c r="F8576" s="24" t="s">
        <v>43</v>
      </c>
      <c r="G8576" s="24" t="s">
        <v>28</v>
      </c>
      <c r="H8576" s="26">
        <v>915</v>
      </c>
      <c r="I8576" s="24" t="s">
        <v>29</v>
      </c>
      <c r="J8576" s="36">
        <v>46024</v>
      </c>
      <c r="K8576" s="24" t="s">
        <v>22</v>
      </c>
    </row>
    <row r="8577" spans="1:11" x14ac:dyDescent="0.2">
      <c r="A8577" s="27" t="s">
        <v>19924</v>
      </c>
      <c r="B8577" s="27" t="s">
        <v>19925</v>
      </c>
      <c r="C8577" s="27" t="s">
        <v>13615</v>
      </c>
      <c r="D8577" s="27" t="s">
        <v>17</v>
      </c>
      <c r="E8577" s="27" t="s">
        <v>81</v>
      </c>
      <c r="F8577" s="27" t="s">
        <v>82</v>
      </c>
      <c r="G8577" s="27" t="s">
        <v>227</v>
      </c>
      <c r="H8577" s="29">
        <v>600</v>
      </c>
      <c r="I8577" s="27" t="s">
        <v>29</v>
      </c>
      <c r="J8577" s="37">
        <v>46031</v>
      </c>
      <c r="K8577" s="27" t="s">
        <v>22</v>
      </c>
    </row>
    <row r="8578" spans="1:11" x14ac:dyDescent="0.2">
      <c r="A8578" s="24" t="s">
        <v>19926</v>
      </c>
      <c r="B8578" s="24" t="s">
        <v>19927</v>
      </c>
      <c r="C8578" s="24" t="s">
        <v>134</v>
      </c>
      <c r="D8578" s="24" t="s">
        <v>17</v>
      </c>
      <c r="E8578" s="24" t="s">
        <v>33</v>
      </c>
      <c r="F8578" s="24" t="s">
        <v>34</v>
      </c>
      <c r="G8578" s="24" t="s">
        <v>28</v>
      </c>
      <c r="H8578" s="26">
        <v>590</v>
      </c>
      <c r="I8578" s="24" t="s">
        <v>29</v>
      </c>
      <c r="J8578" s="36">
        <v>46024</v>
      </c>
      <c r="K8578" s="24" t="s">
        <v>22</v>
      </c>
    </row>
    <row r="8579" spans="1:11" x14ac:dyDescent="0.2">
      <c r="A8579" s="27" t="s">
        <v>19928</v>
      </c>
      <c r="B8579" s="27" t="s">
        <v>19929</v>
      </c>
      <c r="C8579" s="27" t="s">
        <v>19930</v>
      </c>
      <c r="D8579" s="27" t="s">
        <v>17</v>
      </c>
      <c r="E8579" s="27" t="s">
        <v>26</v>
      </c>
      <c r="F8579" s="27" t="s">
        <v>27</v>
      </c>
      <c r="G8579" s="27" t="s">
        <v>28</v>
      </c>
      <c r="H8579" s="29">
        <v>40</v>
      </c>
      <c r="I8579" s="27" t="s">
        <v>29</v>
      </c>
      <c r="J8579" s="37">
        <v>46031</v>
      </c>
      <c r="K8579" s="27" t="s">
        <v>22</v>
      </c>
    </row>
    <row r="8580" spans="1:11" x14ac:dyDescent="0.2">
      <c r="A8580" s="24" t="s">
        <v>19931</v>
      </c>
      <c r="B8580" s="24" t="s">
        <v>19932</v>
      </c>
      <c r="C8580" s="24" t="s">
        <v>197</v>
      </c>
      <c r="D8580" s="24" t="s">
        <v>17</v>
      </c>
      <c r="E8580" s="24" t="s">
        <v>18</v>
      </c>
      <c r="F8580" s="24" t="s">
        <v>19</v>
      </c>
      <c r="G8580" s="24" t="s">
        <v>28</v>
      </c>
      <c r="H8580" s="26">
        <v>12</v>
      </c>
      <c r="I8580" s="24" t="s">
        <v>29</v>
      </c>
      <c r="J8580" s="36">
        <v>46042</v>
      </c>
      <c r="K8580" s="24" t="s">
        <v>22</v>
      </c>
    </row>
    <row r="8581" spans="1:11" x14ac:dyDescent="0.2">
      <c r="A8581" s="27" t="s">
        <v>19933</v>
      </c>
      <c r="B8581" s="27" t="s">
        <v>19934</v>
      </c>
      <c r="C8581" s="27" t="s">
        <v>213</v>
      </c>
      <c r="D8581" s="27" t="s">
        <v>17</v>
      </c>
      <c r="E8581" s="27" t="s">
        <v>42</v>
      </c>
      <c r="F8581" s="27" t="s">
        <v>43</v>
      </c>
      <c r="G8581" s="27" t="s">
        <v>217</v>
      </c>
      <c r="H8581" s="29">
        <v>1156</v>
      </c>
      <c r="I8581" s="27" t="s">
        <v>29</v>
      </c>
      <c r="J8581" s="37">
        <v>46048</v>
      </c>
      <c r="K8581" s="27" t="s">
        <v>22</v>
      </c>
    </row>
    <row r="8582" spans="1:11" x14ac:dyDescent="0.2">
      <c r="A8582" s="24" t="s">
        <v>19935</v>
      </c>
      <c r="B8582" s="24" t="s">
        <v>19936</v>
      </c>
      <c r="C8582" s="24" t="s">
        <v>16398</v>
      </c>
      <c r="D8582" s="24" t="s">
        <v>17</v>
      </c>
      <c r="E8582" s="24" t="s">
        <v>33</v>
      </c>
      <c r="F8582" s="24" t="s">
        <v>34</v>
      </c>
      <c r="G8582" s="24" t="s">
        <v>28</v>
      </c>
      <c r="H8582" s="26">
        <v>518</v>
      </c>
      <c r="I8582" s="24" t="s">
        <v>29</v>
      </c>
      <c r="J8582" s="36">
        <v>46023</v>
      </c>
      <c r="K8582" s="24" t="s">
        <v>22</v>
      </c>
    </row>
    <row r="8583" spans="1:11" x14ac:dyDescent="0.2">
      <c r="A8583" s="27" t="s">
        <v>19937</v>
      </c>
      <c r="B8583" s="27" t="s">
        <v>19938</v>
      </c>
      <c r="C8583" s="27" t="s">
        <v>2741</v>
      </c>
      <c r="D8583" s="27" t="s">
        <v>17</v>
      </c>
      <c r="E8583" s="27" t="s">
        <v>48</v>
      </c>
      <c r="F8583" s="27" t="s">
        <v>49</v>
      </c>
      <c r="G8583" s="27" t="s">
        <v>217</v>
      </c>
      <c r="H8583" s="29">
        <v>135</v>
      </c>
      <c r="I8583" s="27" t="s">
        <v>29</v>
      </c>
      <c r="J8583" s="37">
        <v>46023</v>
      </c>
      <c r="K8583" s="27" t="s">
        <v>22</v>
      </c>
    </row>
    <row r="8584" spans="1:11" x14ac:dyDescent="0.2">
      <c r="A8584" s="24" t="s">
        <v>19939</v>
      </c>
      <c r="B8584" s="24" t="s">
        <v>19940</v>
      </c>
      <c r="C8584" s="24" t="s">
        <v>19941</v>
      </c>
      <c r="D8584" s="24" t="s">
        <v>17</v>
      </c>
      <c r="E8584" s="24" t="s">
        <v>18</v>
      </c>
      <c r="F8584" s="24" t="s">
        <v>19</v>
      </c>
      <c r="G8584" s="24" t="s">
        <v>217</v>
      </c>
      <c r="H8584" s="26">
        <v>40</v>
      </c>
      <c r="I8584" s="24" t="s">
        <v>29</v>
      </c>
      <c r="J8584" s="36">
        <v>46023</v>
      </c>
      <c r="K8584" s="24" t="s">
        <v>22</v>
      </c>
    </row>
    <row r="8585" spans="1:11" x14ac:dyDescent="0.2">
      <c r="A8585" s="27" t="s">
        <v>19942</v>
      </c>
      <c r="B8585" s="27" t="s">
        <v>19943</v>
      </c>
      <c r="C8585" s="27" t="s">
        <v>19944</v>
      </c>
      <c r="D8585" s="27" t="s">
        <v>17</v>
      </c>
      <c r="E8585" s="27" t="s">
        <v>81</v>
      </c>
      <c r="F8585" s="27" t="s">
        <v>82</v>
      </c>
      <c r="G8585" s="27" t="s">
        <v>217</v>
      </c>
      <c r="H8585" s="29">
        <v>200</v>
      </c>
      <c r="I8585" s="27" t="s">
        <v>29</v>
      </c>
      <c r="J8585" s="37">
        <v>46032</v>
      </c>
      <c r="K8585" s="27" t="s">
        <v>22</v>
      </c>
    </row>
    <row r="8586" spans="1:11" x14ac:dyDescent="0.2">
      <c r="A8586" s="24" t="s">
        <v>19945</v>
      </c>
      <c r="B8586" s="24" t="s">
        <v>19946</v>
      </c>
      <c r="C8586" s="24" t="s">
        <v>301</v>
      </c>
      <c r="D8586" s="24" t="s">
        <v>17</v>
      </c>
      <c r="E8586" s="24" t="s">
        <v>18</v>
      </c>
      <c r="F8586" s="24" t="s">
        <v>19</v>
      </c>
      <c r="G8586" s="24" t="s">
        <v>28</v>
      </c>
      <c r="H8586" s="26">
        <v>40</v>
      </c>
      <c r="I8586" s="24" t="s">
        <v>29</v>
      </c>
      <c r="J8586" s="36">
        <v>46036</v>
      </c>
      <c r="K8586" s="24" t="s">
        <v>22</v>
      </c>
    </row>
    <row r="8587" spans="1:11" x14ac:dyDescent="0.2">
      <c r="A8587" s="27" t="s">
        <v>19947</v>
      </c>
      <c r="B8587" s="27" t="s">
        <v>19948</v>
      </c>
      <c r="C8587" s="27" t="s">
        <v>9151</v>
      </c>
      <c r="D8587" s="27" t="s">
        <v>17</v>
      </c>
      <c r="E8587" s="27" t="s">
        <v>48</v>
      </c>
      <c r="F8587" s="27" t="s">
        <v>49</v>
      </c>
      <c r="G8587" s="27" t="s">
        <v>227</v>
      </c>
      <c r="H8587" s="29">
        <v>372</v>
      </c>
      <c r="I8587" s="27" t="s">
        <v>29</v>
      </c>
      <c r="J8587" s="37">
        <v>46048</v>
      </c>
      <c r="K8587" s="27" t="s">
        <v>22</v>
      </c>
    </row>
    <row r="8588" spans="1:11" x14ac:dyDescent="0.2">
      <c r="A8588" s="24" t="s">
        <v>19949</v>
      </c>
      <c r="B8588" s="24" t="s">
        <v>19950</v>
      </c>
      <c r="C8588" s="24" t="s">
        <v>12687</v>
      </c>
      <c r="D8588" s="24" t="s">
        <v>17</v>
      </c>
      <c r="E8588" s="24" t="s">
        <v>48</v>
      </c>
      <c r="F8588" s="24" t="s">
        <v>49</v>
      </c>
      <c r="G8588" s="24" t="s">
        <v>217</v>
      </c>
      <c r="H8588" s="26">
        <v>16</v>
      </c>
      <c r="I8588" s="24" t="s">
        <v>29</v>
      </c>
      <c r="J8588" s="36">
        <v>46023</v>
      </c>
      <c r="K8588" s="24" t="s">
        <v>22</v>
      </c>
    </row>
    <row r="8589" spans="1:11" x14ac:dyDescent="0.2">
      <c r="A8589" s="27" t="s">
        <v>19951</v>
      </c>
      <c r="B8589" s="27" t="s">
        <v>19952</v>
      </c>
      <c r="C8589" s="27" t="s">
        <v>85</v>
      </c>
      <c r="D8589" s="27" t="s">
        <v>17</v>
      </c>
      <c r="E8589" s="27" t="s">
        <v>18</v>
      </c>
      <c r="F8589" s="27" t="s">
        <v>19</v>
      </c>
      <c r="G8589" s="27" t="s">
        <v>217</v>
      </c>
      <c r="H8589" s="29">
        <v>18</v>
      </c>
      <c r="I8589" s="27" t="s">
        <v>29</v>
      </c>
      <c r="J8589" s="37">
        <v>46036</v>
      </c>
      <c r="K8589" s="27" t="s">
        <v>22</v>
      </c>
    </row>
    <row r="8590" spans="1:11" x14ac:dyDescent="0.2">
      <c r="A8590" s="24" t="s">
        <v>19953</v>
      </c>
      <c r="B8590" s="24" t="s">
        <v>19954</v>
      </c>
      <c r="C8590" s="24" t="s">
        <v>8851</v>
      </c>
      <c r="D8590" s="24" t="s">
        <v>17</v>
      </c>
      <c r="E8590" s="24" t="s">
        <v>26</v>
      </c>
      <c r="F8590" s="24" t="s">
        <v>27</v>
      </c>
      <c r="G8590" s="24" t="s">
        <v>217</v>
      </c>
      <c r="H8590" s="26">
        <v>155</v>
      </c>
      <c r="I8590" s="24" t="s">
        <v>29</v>
      </c>
      <c r="J8590" s="36">
        <v>46052</v>
      </c>
      <c r="K8590" s="24" t="s">
        <v>22</v>
      </c>
    </row>
    <row r="8591" spans="1:11" x14ac:dyDescent="0.2">
      <c r="A8591" s="27" t="s">
        <v>19955</v>
      </c>
      <c r="B8591" s="27" t="s">
        <v>19956</v>
      </c>
      <c r="C8591" s="27" t="s">
        <v>106</v>
      </c>
      <c r="D8591" s="27" t="s">
        <v>17</v>
      </c>
      <c r="E8591" s="27" t="s">
        <v>42</v>
      </c>
      <c r="F8591" s="27" t="s">
        <v>43</v>
      </c>
      <c r="G8591" s="27" t="s">
        <v>28</v>
      </c>
      <c r="H8591" s="29">
        <v>400</v>
      </c>
      <c r="I8591" s="27" t="s">
        <v>29</v>
      </c>
      <c r="J8591" s="37">
        <v>46038</v>
      </c>
      <c r="K8591" s="27" t="s">
        <v>22</v>
      </c>
    </row>
    <row r="8592" spans="1:11" x14ac:dyDescent="0.2">
      <c r="A8592" s="24" t="s">
        <v>19957</v>
      </c>
      <c r="B8592" s="24" t="s">
        <v>19958</v>
      </c>
      <c r="C8592" s="24" t="s">
        <v>512</v>
      </c>
      <c r="D8592" s="24" t="s">
        <v>17</v>
      </c>
      <c r="E8592" s="24" t="s">
        <v>18</v>
      </c>
      <c r="F8592" s="24" t="s">
        <v>19</v>
      </c>
      <c r="G8592" s="24" t="s">
        <v>28</v>
      </c>
      <c r="H8592" s="26">
        <v>18</v>
      </c>
      <c r="I8592" s="24" t="s">
        <v>29</v>
      </c>
      <c r="J8592" s="36">
        <v>46023</v>
      </c>
      <c r="K8592" s="24" t="s">
        <v>22</v>
      </c>
    </row>
    <row r="8593" spans="1:11" x14ac:dyDescent="0.2">
      <c r="A8593" s="27" t="s">
        <v>19959</v>
      </c>
      <c r="B8593" s="27" t="s">
        <v>19960</v>
      </c>
      <c r="C8593" s="27" t="s">
        <v>4128</v>
      </c>
      <c r="D8593" s="27" t="s">
        <v>17</v>
      </c>
      <c r="E8593" s="27" t="s">
        <v>18</v>
      </c>
      <c r="F8593" s="27" t="s">
        <v>19</v>
      </c>
      <c r="G8593" s="27" t="s">
        <v>28</v>
      </c>
      <c r="H8593" s="29">
        <v>42</v>
      </c>
      <c r="I8593" s="27" t="s">
        <v>29</v>
      </c>
      <c r="J8593" s="37">
        <v>46023</v>
      </c>
      <c r="K8593" s="27" t="s">
        <v>22</v>
      </c>
    </row>
    <row r="8594" spans="1:11" x14ac:dyDescent="0.2">
      <c r="A8594" s="24" t="s">
        <v>19961</v>
      </c>
      <c r="B8594" s="24" t="s">
        <v>19962</v>
      </c>
      <c r="C8594" s="24" t="s">
        <v>18463</v>
      </c>
      <c r="D8594" s="24" t="s">
        <v>17</v>
      </c>
      <c r="E8594" s="24" t="s">
        <v>18</v>
      </c>
      <c r="F8594" s="24" t="s">
        <v>19</v>
      </c>
      <c r="G8594" s="24" t="s">
        <v>28</v>
      </c>
      <c r="H8594" s="26">
        <v>70</v>
      </c>
      <c r="I8594" s="24" t="s">
        <v>29</v>
      </c>
      <c r="J8594" s="36">
        <v>46036</v>
      </c>
      <c r="K8594" s="24" t="s">
        <v>22</v>
      </c>
    </row>
    <row r="8595" spans="1:11" x14ac:dyDescent="0.2">
      <c r="A8595" s="27" t="s">
        <v>19963</v>
      </c>
      <c r="B8595" s="27" t="s">
        <v>19964</v>
      </c>
      <c r="C8595" s="27" t="s">
        <v>10518</v>
      </c>
      <c r="D8595" s="27" t="s">
        <v>17</v>
      </c>
      <c r="E8595" s="27" t="s">
        <v>18</v>
      </c>
      <c r="F8595" s="27" t="s">
        <v>19</v>
      </c>
      <c r="G8595" s="27" t="s">
        <v>28</v>
      </c>
      <c r="H8595" s="29">
        <v>78</v>
      </c>
      <c r="I8595" s="27" t="s">
        <v>29</v>
      </c>
      <c r="J8595" s="37">
        <v>46050</v>
      </c>
      <c r="K8595" s="27" t="s">
        <v>22</v>
      </c>
    </row>
    <row r="8596" spans="1:11" x14ac:dyDescent="0.2">
      <c r="A8596" s="24" t="s">
        <v>19965</v>
      </c>
      <c r="B8596" s="24" t="s">
        <v>19966</v>
      </c>
      <c r="C8596" s="24" t="s">
        <v>9191</v>
      </c>
      <c r="D8596" s="24" t="s">
        <v>17</v>
      </c>
      <c r="E8596" s="24" t="s">
        <v>18</v>
      </c>
      <c r="F8596" s="24" t="s">
        <v>19</v>
      </c>
      <c r="G8596" s="24" t="s">
        <v>28</v>
      </c>
      <c r="H8596" s="26">
        <v>70</v>
      </c>
      <c r="I8596" s="24" t="s">
        <v>29</v>
      </c>
      <c r="J8596" s="36">
        <v>46045</v>
      </c>
      <c r="K8596" s="24" t="s">
        <v>22</v>
      </c>
    </row>
    <row r="8597" spans="1:11" x14ac:dyDescent="0.2">
      <c r="A8597" s="27" t="s">
        <v>19967</v>
      </c>
      <c r="B8597" s="27" t="s">
        <v>19968</v>
      </c>
      <c r="C8597" s="27" t="s">
        <v>19969</v>
      </c>
      <c r="D8597" s="27" t="s">
        <v>17</v>
      </c>
      <c r="E8597" s="27" t="s">
        <v>26</v>
      </c>
      <c r="F8597" s="27" t="s">
        <v>27</v>
      </c>
      <c r="G8597" s="27" t="s">
        <v>28</v>
      </c>
      <c r="H8597" s="29">
        <v>178</v>
      </c>
      <c r="I8597" s="27" t="s">
        <v>29</v>
      </c>
      <c r="J8597" s="37">
        <v>46028</v>
      </c>
      <c r="K8597" s="27" t="s">
        <v>22</v>
      </c>
    </row>
    <row r="8598" spans="1:11" x14ac:dyDescent="0.2">
      <c r="A8598" s="24" t="s">
        <v>19970</v>
      </c>
      <c r="B8598" s="24" t="s">
        <v>19971</v>
      </c>
      <c r="C8598" s="24" t="s">
        <v>494</v>
      </c>
      <c r="D8598" s="24" t="s">
        <v>17</v>
      </c>
      <c r="E8598" s="24" t="s">
        <v>18</v>
      </c>
      <c r="F8598" s="24" t="s">
        <v>19</v>
      </c>
      <c r="G8598" s="24" t="s">
        <v>28</v>
      </c>
      <c r="H8598" s="26">
        <v>86</v>
      </c>
      <c r="I8598" s="24" t="s">
        <v>29</v>
      </c>
      <c r="J8598" s="36">
        <v>46044</v>
      </c>
      <c r="K8598" s="24" t="s">
        <v>22</v>
      </c>
    </row>
    <row r="8599" spans="1:11" x14ac:dyDescent="0.2">
      <c r="A8599" s="27" t="s">
        <v>19972</v>
      </c>
      <c r="B8599" s="27" t="s">
        <v>19973</v>
      </c>
      <c r="C8599" s="27" t="s">
        <v>97</v>
      </c>
      <c r="D8599" s="27" t="s">
        <v>17</v>
      </c>
      <c r="E8599" s="27" t="s">
        <v>18</v>
      </c>
      <c r="F8599" s="27" t="s">
        <v>19</v>
      </c>
      <c r="G8599" s="27" t="s">
        <v>28</v>
      </c>
      <c r="H8599" s="29">
        <v>24</v>
      </c>
      <c r="I8599" s="27" t="s">
        <v>29</v>
      </c>
      <c r="J8599" s="37">
        <v>46048</v>
      </c>
      <c r="K8599" s="27" t="s">
        <v>22</v>
      </c>
    </row>
    <row r="8600" spans="1:11" x14ac:dyDescent="0.2">
      <c r="A8600" s="24" t="s">
        <v>19974</v>
      </c>
      <c r="B8600" s="24" t="s">
        <v>19975</v>
      </c>
      <c r="C8600" s="24" t="s">
        <v>19976</v>
      </c>
      <c r="D8600" s="24" t="s">
        <v>17</v>
      </c>
      <c r="E8600" s="24" t="s">
        <v>48</v>
      </c>
      <c r="F8600" s="24" t="s">
        <v>49</v>
      </c>
      <c r="G8600" s="24" t="s">
        <v>28</v>
      </c>
      <c r="H8600" s="26">
        <v>32</v>
      </c>
      <c r="I8600" s="24" t="s">
        <v>29</v>
      </c>
      <c r="J8600" s="36">
        <v>46052</v>
      </c>
      <c r="K8600" s="24" t="s">
        <v>22</v>
      </c>
    </row>
    <row r="8601" spans="1:11" x14ac:dyDescent="0.2">
      <c r="A8601" s="27" t="s">
        <v>19977</v>
      </c>
      <c r="B8601" s="27" t="s">
        <v>19978</v>
      </c>
      <c r="C8601" s="27" t="s">
        <v>1444</v>
      </c>
      <c r="D8601" s="27" t="s">
        <v>17</v>
      </c>
      <c r="E8601" s="27" t="s">
        <v>48</v>
      </c>
      <c r="F8601" s="27" t="s">
        <v>49</v>
      </c>
      <c r="G8601" s="27" t="s">
        <v>28</v>
      </c>
      <c r="H8601" s="29">
        <v>190</v>
      </c>
      <c r="I8601" s="27" t="s">
        <v>29</v>
      </c>
      <c r="J8601" s="37">
        <v>46041</v>
      </c>
      <c r="K8601" s="27" t="s">
        <v>22</v>
      </c>
    </row>
    <row r="8602" spans="1:11" x14ac:dyDescent="0.2">
      <c r="A8602" s="24" t="s">
        <v>19979</v>
      </c>
      <c r="B8602" s="24" t="s">
        <v>19980</v>
      </c>
      <c r="C8602" s="24" t="s">
        <v>6661</v>
      </c>
      <c r="D8602" s="24" t="s">
        <v>17</v>
      </c>
      <c r="E8602" s="24" t="s">
        <v>42</v>
      </c>
      <c r="F8602" s="24" t="s">
        <v>43</v>
      </c>
      <c r="G8602" s="24" t="s">
        <v>28</v>
      </c>
      <c r="H8602" s="26">
        <v>480</v>
      </c>
      <c r="I8602" s="24" t="s">
        <v>29</v>
      </c>
      <c r="J8602" s="36">
        <v>46023</v>
      </c>
      <c r="K8602" s="24" t="s">
        <v>22</v>
      </c>
    </row>
    <row r="8603" spans="1:11" x14ac:dyDescent="0.2">
      <c r="A8603" s="27" t="s">
        <v>19981</v>
      </c>
      <c r="B8603" s="27" t="s">
        <v>19982</v>
      </c>
      <c r="C8603" s="27" t="s">
        <v>97</v>
      </c>
      <c r="D8603" s="27" t="s">
        <v>17</v>
      </c>
      <c r="E8603" s="27" t="s">
        <v>26</v>
      </c>
      <c r="F8603" s="27" t="s">
        <v>27</v>
      </c>
      <c r="G8603" s="27" t="s">
        <v>217</v>
      </c>
      <c r="H8603" s="29">
        <v>300</v>
      </c>
      <c r="I8603" s="27" t="s">
        <v>29</v>
      </c>
      <c r="J8603" s="37">
        <v>46027</v>
      </c>
      <c r="K8603" s="27" t="s">
        <v>22</v>
      </c>
    </row>
    <row r="8604" spans="1:11" x14ac:dyDescent="0.2">
      <c r="A8604" s="24" t="s">
        <v>19983</v>
      </c>
      <c r="B8604" s="24" t="s">
        <v>19984</v>
      </c>
      <c r="C8604" s="24" t="s">
        <v>1478</v>
      </c>
      <c r="D8604" s="24" t="s">
        <v>17</v>
      </c>
      <c r="E8604" s="24" t="s">
        <v>48</v>
      </c>
      <c r="F8604" s="24" t="s">
        <v>49</v>
      </c>
      <c r="G8604" s="24" t="s">
        <v>28</v>
      </c>
      <c r="H8604" s="26">
        <v>42</v>
      </c>
      <c r="I8604" s="24" t="s">
        <v>29</v>
      </c>
      <c r="J8604" s="36">
        <v>46051</v>
      </c>
      <c r="K8604" s="24" t="s">
        <v>22</v>
      </c>
    </row>
    <row r="8605" spans="1:11" x14ac:dyDescent="0.2">
      <c r="A8605" s="27" t="s">
        <v>19985</v>
      </c>
      <c r="B8605" s="27" t="s">
        <v>19986</v>
      </c>
      <c r="C8605" s="27" t="s">
        <v>13795</v>
      </c>
      <c r="D8605" s="27" t="s">
        <v>17</v>
      </c>
      <c r="E8605" s="27" t="s">
        <v>48</v>
      </c>
      <c r="F8605" s="27" t="s">
        <v>49</v>
      </c>
      <c r="G8605" s="27" t="s">
        <v>28</v>
      </c>
      <c r="H8605" s="29">
        <v>456</v>
      </c>
      <c r="I8605" s="27" t="s">
        <v>29</v>
      </c>
      <c r="J8605" s="37">
        <v>46048</v>
      </c>
      <c r="K8605" s="27" t="s">
        <v>22</v>
      </c>
    </row>
    <row r="8606" spans="1:11" x14ac:dyDescent="0.2">
      <c r="A8606" s="24" t="s">
        <v>19987</v>
      </c>
      <c r="B8606" s="24" t="s">
        <v>19988</v>
      </c>
      <c r="C8606" s="24" t="s">
        <v>19989</v>
      </c>
      <c r="D8606" s="24" t="s">
        <v>17</v>
      </c>
      <c r="E8606" s="24" t="s">
        <v>18</v>
      </c>
      <c r="F8606" s="24" t="s">
        <v>19</v>
      </c>
      <c r="G8606" s="24" t="s">
        <v>28</v>
      </c>
      <c r="H8606" s="26">
        <v>70</v>
      </c>
      <c r="I8606" s="24" t="s">
        <v>29</v>
      </c>
      <c r="J8606" s="36">
        <v>46030</v>
      </c>
      <c r="K8606" s="24" t="s">
        <v>22</v>
      </c>
    </row>
    <row r="8607" spans="1:11" x14ac:dyDescent="0.2">
      <c r="A8607" s="27" t="s">
        <v>19990</v>
      </c>
      <c r="B8607" s="27" t="s">
        <v>19991</v>
      </c>
      <c r="C8607" s="27" t="s">
        <v>19016</v>
      </c>
      <c r="D8607" s="27" t="s">
        <v>17</v>
      </c>
      <c r="E8607" s="27" t="s">
        <v>48</v>
      </c>
      <c r="F8607" s="27" t="s">
        <v>49</v>
      </c>
      <c r="G8607" s="27" t="s">
        <v>28</v>
      </c>
      <c r="H8607" s="29">
        <v>40</v>
      </c>
      <c r="I8607" s="27" t="s">
        <v>29</v>
      </c>
      <c r="J8607" s="37">
        <v>46023</v>
      </c>
      <c r="K8607" s="27" t="s">
        <v>22</v>
      </c>
    </row>
    <row r="8608" spans="1:11" x14ac:dyDescent="0.2">
      <c r="A8608" s="24" t="s">
        <v>19992</v>
      </c>
      <c r="B8608" s="24" t="s">
        <v>19993</v>
      </c>
      <c r="C8608" s="24" t="s">
        <v>8170</v>
      </c>
      <c r="D8608" s="24" t="s">
        <v>17</v>
      </c>
      <c r="E8608" s="24" t="s">
        <v>18</v>
      </c>
      <c r="F8608" s="24" t="s">
        <v>19</v>
      </c>
      <c r="G8608" s="24" t="s">
        <v>28</v>
      </c>
      <c r="H8608" s="26">
        <v>24</v>
      </c>
      <c r="I8608" s="24" t="s">
        <v>29</v>
      </c>
      <c r="J8608" s="36">
        <v>46053</v>
      </c>
      <c r="K8608" s="24" t="s">
        <v>22</v>
      </c>
    </row>
    <row r="8609" spans="1:11" x14ac:dyDescent="0.2">
      <c r="A8609" s="27" t="s">
        <v>19994</v>
      </c>
      <c r="B8609" s="27" t="s">
        <v>19995</v>
      </c>
      <c r="C8609" s="27" t="s">
        <v>2583</v>
      </c>
      <c r="D8609" s="27" t="s">
        <v>17</v>
      </c>
      <c r="E8609" s="27" t="s">
        <v>42</v>
      </c>
      <c r="F8609" s="27" t="s">
        <v>43</v>
      </c>
      <c r="G8609" s="27" t="s">
        <v>217</v>
      </c>
      <c r="H8609" s="29">
        <v>218</v>
      </c>
      <c r="I8609" s="27" t="s">
        <v>29</v>
      </c>
      <c r="J8609" s="37">
        <v>46023</v>
      </c>
      <c r="K8609" s="27" t="s">
        <v>22</v>
      </c>
    </row>
    <row r="8610" spans="1:11" x14ac:dyDescent="0.2">
      <c r="A8610" s="24" t="s">
        <v>19996</v>
      </c>
      <c r="B8610" s="24" t="s">
        <v>19997</v>
      </c>
      <c r="C8610" s="24" t="s">
        <v>208</v>
      </c>
      <c r="D8610" s="24" t="s">
        <v>17</v>
      </c>
      <c r="E8610" s="24" t="s">
        <v>42</v>
      </c>
      <c r="F8610" s="24" t="s">
        <v>43</v>
      </c>
      <c r="G8610" s="24" t="s">
        <v>28</v>
      </c>
      <c r="H8610" s="26">
        <v>671</v>
      </c>
      <c r="I8610" s="24" t="s">
        <v>29</v>
      </c>
      <c r="J8610" s="36">
        <v>46038</v>
      </c>
      <c r="K8610" s="24" t="s">
        <v>22</v>
      </c>
    </row>
    <row r="8611" spans="1:11" x14ac:dyDescent="0.2">
      <c r="A8611" s="27" t="s">
        <v>19998</v>
      </c>
      <c r="B8611" s="27" t="s">
        <v>19999</v>
      </c>
      <c r="C8611" s="27" t="s">
        <v>641</v>
      </c>
      <c r="D8611" s="27" t="s">
        <v>17</v>
      </c>
      <c r="E8611" s="27" t="s">
        <v>18</v>
      </c>
      <c r="F8611" s="27" t="s">
        <v>19</v>
      </c>
      <c r="G8611" s="27" t="s">
        <v>217</v>
      </c>
      <c r="H8611" s="29">
        <v>20</v>
      </c>
      <c r="I8611" s="27" t="s">
        <v>29</v>
      </c>
      <c r="J8611" s="37">
        <v>46048</v>
      </c>
      <c r="K8611" s="27" t="s">
        <v>22</v>
      </c>
    </row>
    <row r="8612" spans="1:11" x14ac:dyDescent="0.2">
      <c r="A8612" s="24" t="s">
        <v>20000</v>
      </c>
      <c r="B8612" s="24" t="s">
        <v>20001</v>
      </c>
      <c r="C8612" s="24" t="s">
        <v>71</v>
      </c>
      <c r="D8612" s="24" t="s">
        <v>17</v>
      </c>
      <c r="E8612" s="24" t="s">
        <v>18</v>
      </c>
      <c r="F8612" s="24" t="s">
        <v>19</v>
      </c>
      <c r="G8612" s="24" t="s">
        <v>217</v>
      </c>
      <c r="H8612" s="26">
        <v>60</v>
      </c>
      <c r="I8612" s="24" t="s">
        <v>29</v>
      </c>
      <c r="J8612" s="36">
        <v>46023</v>
      </c>
      <c r="K8612" s="24" t="s">
        <v>22</v>
      </c>
    </row>
    <row r="8613" spans="1:11" x14ac:dyDescent="0.2">
      <c r="A8613" s="27" t="s">
        <v>20002</v>
      </c>
      <c r="B8613" s="27" t="s">
        <v>20003</v>
      </c>
      <c r="C8613" s="27" t="s">
        <v>172</v>
      </c>
      <c r="D8613" s="27" t="s">
        <v>17</v>
      </c>
      <c r="E8613" s="27" t="s">
        <v>18</v>
      </c>
      <c r="F8613" s="27" t="s">
        <v>19</v>
      </c>
      <c r="G8613" s="27" t="s">
        <v>28</v>
      </c>
      <c r="H8613" s="29">
        <v>5</v>
      </c>
      <c r="I8613" s="27" t="s">
        <v>29</v>
      </c>
      <c r="J8613" s="37">
        <v>46034</v>
      </c>
      <c r="K8613" s="27" t="s">
        <v>22</v>
      </c>
    </row>
    <row r="8614" spans="1:11" x14ac:dyDescent="0.2">
      <c r="A8614" s="24" t="s">
        <v>20004</v>
      </c>
      <c r="B8614" s="24" t="s">
        <v>20005</v>
      </c>
      <c r="C8614" s="24" t="s">
        <v>18643</v>
      </c>
      <c r="D8614" s="24" t="s">
        <v>17</v>
      </c>
      <c r="E8614" s="24" t="s">
        <v>48</v>
      </c>
      <c r="F8614" s="24" t="s">
        <v>49</v>
      </c>
      <c r="G8614" s="24" t="s">
        <v>217</v>
      </c>
      <c r="H8614" s="26">
        <v>40</v>
      </c>
      <c r="I8614" s="24" t="s">
        <v>29</v>
      </c>
      <c r="J8614" s="36">
        <v>46053</v>
      </c>
      <c r="K8614" s="24" t="s">
        <v>22</v>
      </c>
    </row>
    <row r="8615" spans="1:11" x14ac:dyDescent="0.2">
      <c r="A8615" s="27" t="s">
        <v>20006</v>
      </c>
      <c r="B8615" s="27" t="s">
        <v>20007</v>
      </c>
      <c r="C8615" s="27" t="s">
        <v>774</v>
      </c>
      <c r="D8615" s="27" t="s">
        <v>17</v>
      </c>
      <c r="E8615" s="27" t="s">
        <v>18</v>
      </c>
      <c r="F8615" s="27" t="s">
        <v>19</v>
      </c>
      <c r="G8615" s="27" t="s">
        <v>28</v>
      </c>
      <c r="H8615" s="29">
        <v>574</v>
      </c>
      <c r="I8615" s="27" t="s">
        <v>29</v>
      </c>
      <c r="J8615" s="37">
        <v>46030</v>
      </c>
      <c r="K8615" s="27" t="s">
        <v>22</v>
      </c>
    </row>
    <row r="8616" spans="1:11" x14ac:dyDescent="0.2">
      <c r="A8616" s="24" t="s">
        <v>20008</v>
      </c>
      <c r="B8616" s="24" t="s">
        <v>20009</v>
      </c>
      <c r="C8616" s="24" t="s">
        <v>4925</v>
      </c>
      <c r="D8616" s="24" t="s">
        <v>17</v>
      </c>
      <c r="E8616" s="24" t="s">
        <v>18</v>
      </c>
      <c r="F8616" s="24" t="s">
        <v>19</v>
      </c>
      <c r="G8616" s="24" t="s">
        <v>28</v>
      </c>
      <c r="H8616" s="26">
        <v>34</v>
      </c>
      <c r="I8616" s="24" t="s">
        <v>29</v>
      </c>
      <c r="J8616" s="36">
        <v>46036</v>
      </c>
      <c r="K8616" s="24" t="s">
        <v>22</v>
      </c>
    </row>
    <row r="8617" spans="1:11" x14ac:dyDescent="0.2">
      <c r="A8617" s="27" t="s">
        <v>20010</v>
      </c>
      <c r="B8617" s="27" t="s">
        <v>20011</v>
      </c>
      <c r="C8617" s="27" t="s">
        <v>115</v>
      </c>
      <c r="D8617" s="27" t="s">
        <v>17</v>
      </c>
      <c r="E8617" s="27" t="s">
        <v>48</v>
      </c>
      <c r="F8617" s="27" t="s">
        <v>49</v>
      </c>
      <c r="G8617" s="27" t="s">
        <v>28</v>
      </c>
      <c r="H8617" s="29">
        <v>90</v>
      </c>
      <c r="I8617" s="27" t="s">
        <v>29</v>
      </c>
      <c r="J8617" s="37">
        <v>46048</v>
      </c>
      <c r="K8617" s="27" t="s">
        <v>22</v>
      </c>
    </row>
    <row r="8618" spans="1:11" x14ac:dyDescent="0.2">
      <c r="A8618" s="24" t="s">
        <v>20012</v>
      </c>
      <c r="B8618" s="24" t="s">
        <v>20013</v>
      </c>
      <c r="C8618" s="24" t="s">
        <v>20014</v>
      </c>
      <c r="D8618" s="24" t="s">
        <v>17</v>
      </c>
      <c r="E8618" s="24" t="s">
        <v>18</v>
      </c>
      <c r="F8618" s="24" t="s">
        <v>19</v>
      </c>
      <c r="G8618" s="24" t="s">
        <v>217</v>
      </c>
      <c r="H8618" s="26">
        <v>12</v>
      </c>
      <c r="I8618" s="24" t="s">
        <v>29</v>
      </c>
      <c r="J8618" s="36">
        <v>46023</v>
      </c>
      <c r="K8618" s="24" t="s">
        <v>22</v>
      </c>
    </row>
    <row r="8619" spans="1:11" x14ac:dyDescent="0.2">
      <c r="A8619" s="27" t="s">
        <v>20015</v>
      </c>
      <c r="B8619" s="27" t="s">
        <v>20016</v>
      </c>
      <c r="C8619" s="27" t="s">
        <v>401</v>
      </c>
      <c r="D8619" s="27" t="s">
        <v>17</v>
      </c>
      <c r="E8619" s="27" t="s">
        <v>18</v>
      </c>
      <c r="F8619" s="27" t="s">
        <v>19</v>
      </c>
      <c r="G8619" s="27" t="s">
        <v>28</v>
      </c>
      <c r="H8619" s="29">
        <v>58</v>
      </c>
      <c r="I8619" s="27" t="s">
        <v>29</v>
      </c>
      <c r="J8619" s="37">
        <v>46026</v>
      </c>
      <c r="K8619" s="27" t="s">
        <v>22</v>
      </c>
    </row>
    <row r="8620" spans="1:11" x14ac:dyDescent="0.2">
      <c r="A8620" s="24" t="s">
        <v>20017</v>
      </c>
      <c r="B8620" s="24" t="s">
        <v>20018</v>
      </c>
      <c r="C8620" s="24" t="s">
        <v>592</v>
      </c>
      <c r="D8620" s="24" t="s">
        <v>17</v>
      </c>
      <c r="E8620" s="24" t="s">
        <v>42</v>
      </c>
      <c r="F8620" s="24" t="s">
        <v>43</v>
      </c>
      <c r="G8620" s="24" t="s">
        <v>28</v>
      </c>
      <c r="H8620" s="26">
        <v>555</v>
      </c>
      <c r="I8620" s="24" t="s">
        <v>29</v>
      </c>
      <c r="J8620" s="36">
        <v>46023</v>
      </c>
      <c r="K8620" s="24" t="s">
        <v>22</v>
      </c>
    </row>
    <row r="8621" spans="1:11" x14ac:dyDescent="0.2">
      <c r="A8621" s="27" t="s">
        <v>20019</v>
      </c>
      <c r="B8621" s="27" t="s">
        <v>20020</v>
      </c>
      <c r="C8621" s="27" t="s">
        <v>20021</v>
      </c>
      <c r="D8621" s="27" t="s">
        <v>17</v>
      </c>
      <c r="E8621" s="27" t="s">
        <v>48</v>
      </c>
      <c r="F8621" s="27" t="s">
        <v>49</v>
      </c>
      <c r="G8621" s="27" t="s">
        <v>227</v>
      </c>
      <c r="H8621" s="29">
        <v>15</v>
      </c>
      <c r="I8621" s="27" t="s">
        <v>29</v>
      </c>
      <c r="J8621" s="37">
        <v>46036</v>
      </c>
      <c r="K8621" s="27" t="s">
        <v>22</v>
      </c>
    </row>
    <row r="8622" spans="1:11" x14ac:dyDescent="0.2">
      <c r="A8622" s="24" t="s">
        <v>20022</v>
      </c>
      <c r="B8622" s="24" t="s">
        <v>20023</v>
      </c>
      <c r="C8622" s="24" t="s">
        <v>20024</v>
      </c>
      <c r="D8622" s="24" t="s">
        <v>17</v>
      </c>
      <c r="E8622" s="24" t="s">
        <v>18</v>
      </c>
      <c r="F8622" s="24" t="s">
        <v>19</v>
      </c>
      <c r="G8622" s="24" t="s">
        <v>28</v>
      </c>
      <c r="H8622" s="26">
        <v>8</v>
      </c>
      <c r="I8622" s="24" t="s">
        <v>29</v>
      </c>
      <c r="J8622" s="36">
        <v>46023</v>
      </c>
      <c r="K8622" s="24" t="s">
        <v>22</v>
      </c>
    </row>
    <row r="8623" spans="1:11" x14ac:dyDescent="0.2">
      <c r="A8623" s="27" t="s">
        <v>20025</v>
      </c>
      <c r="B8623" s="27" t="s">
        <v>20026</v>
      </c>
      <c r="C8623" s="27" t="s">
        <v>20027</v>
      </c>
      <c r="D8623" s="27" t="s">
        <v>17</v>
      </c>
      <c r="E8623" s="27" t="s">
        <v>48</v>
      </c>
      <c r="F8623" s="27" t="s">
        <v>49</v>
      </c>
      <c r="G8623" s="27" t="s">
        <v>217</v>
      </c>
      <c r="H8623" s="29">
        <v>180</v>
      </c>
      <c r="I8623" s="27" t="s">
        <v>29</v>
      </c>
      <c r="J8623" s="37">
        <v>46053</v>
      </c>
      <c r="K8623" s="27" t="s">
        <v>22</v>
      </c>
    </row>
    <row r="8624" spans="1:11" x14ac:dyDescent="0.2">
      <c r="A8624" s="24" t="s">
        <v>20028</v>
      </c>
      <c r="B8624" s="24" t="s">
        <v>20029</v>
      </c>
      <c r="C8624" s="24" t="s">
        <v>13692</v>
      </c>
      <c r="D8624" s="24" t="s">
        <v>17</v>
      </c>
      <c r="E8624" s="24" t="s">
        <v>48</v>
      </c>
      <c r="F8624" s="24" t="s">
        <v>49</v>
      </c>
      <c r="G8624" s="24" t="s">
        <v>116</v>
      </c>
      <c r="H8624" s="26">
        <v>0</v>
      </c>
      <c r="I8624" s="24" t="s">
        <v>21</v>
      </c>
      <c r="J8624" s="36">
        <v>46023</v>
      </c>
      <c r="K8624" s="24" t="s">
        <v>22</v>
      </c>
    </row>
    <row r="8625" spans="1:11" x14ac:dyDescent="0.2">
      <c r="A8625" s="27" t="s">
        <v>20030</v>
      </c>
      <c r="B8625" s="27" t="s">
        <v>20031</v>
      </c>
      <c r="C8625" s="27" t="s">
        <v>3585</v>
      </c>
      <c r="D8625" s="27" t="s">
        <v>17</v>
      </c>
      <c r="E8625" s="27" t="s">
        <v>18</v>
      </c>
      <c r="F8625" s="27" t="s">
        <v>19</v>
      </c>
      <c r="G8625" s="27" t="s">
        <v>217</v>
      </c>
      <c r="H8625" s="29">
        <v>66</v>
      </c>
      <c r="I8625" s="27" t="s">
        <v>29</v>
      </c>
      <c r="J8625" s="37">
        <v>46032</v>
      </c>
      <c r="K8625" s="27" t="s">
        <v>22</v>
      </c>
    </row>
    <row r="8626" spans="1:11" x14ac:dyDescent="0.2">
      <c r="A8626" s="24" t="s">
        <v>20032</v>
      </c>
      <c r="B8626" s="24" t="s">
        <v>20033</v>
      </c>
      <c r="C8626" s="24" t="s">
        <v>20034</v>
      </c>
      <c r="D8626" s="24" t="s">
        <v>17</v>
      </c>
      <c r="E8626" s="24" t="s">
        <v>18</v>
      </c>
      <c r="F8626" s="24" t="s">
        <v>19</v>
      </c>
      <c r="G8626" s="24" t="s">
        <v>28</v>
      </c>
      <c r="H8626" s="26">
        <v>80</v>
      </c>
      <c r="I8626" s="24" t="s">
        <v>29</v>
      </c>
      <c r="J8626" s="36">
        <v>46030</v>
      </c>
      <c r="K8626" s="24" t="s">
        <v>22</v>
      </c>
    </row>
    <row r="8627" spans="1:11" x14ac:dyDescent="0.2">
      <c r="A8627" s="27" t="s">
        <v>20035</v>
      </c>
      <c r="B8627" s="27" t="s">
        <v>20036</v>
      </c>
      <c r="C8627" s="27" t="s">
        <v>526</v>
      </c>
      <c r="D8627" s="27" t="s">
        <v>17</v>
      </c>
      <c r="E8627" s="27" t="s">
        <v>42</v>
      </c>
      <c r="F8627" s="27" t="s">
        <v>43</v>
      </c>
      <c r="G8627" s="27" t="s">
        <v>28</v>
      </c>
      <c r="H8627" s="29">
        <v>150</v>
      </c>
      <c r="I8627" s="27" t="s">
        <v>29</v>
      </c>
      <c r="J8627" s="37">
        <v>46034</v>
      </c>
      <c r="K8627" s="27" t="s">
        <v>22</v>
      </c>
    </row>
    <row r="8628" spans="1:11" x14ac:dyDescent="0.2">
      <c r="A8628" s="24" t="s">
        <v>20037</v>
      </c>
      <c r="B8628" s="24" t="s">
        <v>20038</v>
      </c>
      <c r="C8628" s="24" t="s">
        <v>1171</v>
      </c>
      <c r="D8628" s="24" t="s">
        <v>17</v>
      </c>
      <c r="E8628" s="24" t="s">
        <v>48</v>
      </c>
      <c r="F8628" s="24" t="s">
        <v>49</v>
      </c>
      <c r="G8628" s="24" t="s">
        <v>116</v>
      </c>
      <c r="H8628" s="26">
        <v>0</v>
      </c>
      <c r="I8628" s="24" t="s">
        <v>21</v>
      </c>
      <c r="J8628" s="36">
        <v>46028</v>
      </c>
      <c r="K8628" s="24" t="s">
        <v>22</v>
      </c>
    </row>
    <row r="8629" spans="1:11" x14ac:dyDescent="0.2">
      <c r="A8629" s="27" t="s">
        <v>20039</v>
      </c>
      <c r="B8629" s="27" t="s">
        <v>20040</v>
      </c>
      <c r="C8629" s="27" t="s">
        <v>301</v>
      </c>
      <c r="D8629" s="27" t="s">
        <v>17</v>
      </c>
      <c r="E8629" s="27" t="s">
        <v>42</v>
      </c>
      <c r="F8629" s="27" t="s">
        <v>43</v>
      </c>
      <c r="G8629" s="27" t="s">
        <v>28</v>
      </c>
      <c r="H8629" s="29">
        <v>258</v>
      </c>
      <c r="I8629" s="27" t="s">
        <v>29</v>
      </c>
      <c r="J8629" s="37">
        <v>46030</v>
      </c>
      <c r="K8629" s="27" t="s">
        <v>22</v>
      </c>
    </row>
    <row r="8630" spans="1:11" x14ac:dyDescent="0.2">
      <c r="A8630" s="24" t="s">
        <v>20041</v>
      </c>
      <c r="B8630" s="24" t="s">
        <v>20042</v>
      </c>
      <c r="C8630" s="24" t="s">
        <v>1470</v>
      </c>
      <c r="D8630" s="24" t="s">
        <v>17</v>
      </c>
      <c r="E8630" s="24" t="s">
        <v>42</v>
      </c>
      <c r="F8630" s="24" t="s">
        <v>43</v>
      </c>
      <c r="G8630" s="24" t="s">
        <v>28</v>
      </c>
      <c r="H8630" s="26">
        <v>900</v>
      </c>
      <c r="I8630" s="24" t="s">
        <v>29</v>
      </c>
      <c r="J8630" s="36">
        <v>46035</v>
      </c>
      <c r="K8630" s="24" t="s">
        <v>22</v>
      </c>
    </row>
    <row r="8631" spans="1:11" x14ac:dyDescent="0.2">
      <c r="A8631" s="27" t="s">
        <v>20043</v>
      </c>
      <c r="B8631" s="27" t="s">
        <v>20044</v>
      </c>
      <c r="C8631" s="27" t="s">
        <v>19644</v>
      </c>
      <c r="D8631" s="27" t="s">
        <v>17</v>
      </c>
      <c r="E8631" s="27" t="s">
        <v>33</v>
      </c>
      <c r="F8631" s="27" t="s">
        <v>34</v>
      </c>
      <c r="G8631" s="27" t="s">
        <v>28</v>
      </c>
      <c r="H8631" s="29">
        <v>40</v>
      </c>
      <c r="I8631" s="27" t="s">
        <v>29</v>
      </c>
      <c r="J8631" s="37">
        <v>46028</v>
      </c>
      <c r="K8631" s="27" t="s">
        <v>22</v>
      </c>
    </row>
    <row r="8632" spans="1:11" x14ac:dyDescent="0.2">
      <c r="A8632" s="24" t="s">
        <v>20045</v>
      </c>
      <c r="B8632" s="24" t="s">
        <v>20046</v>
      </c>
      <c r="C8632" s="24" t="s">
        <v>97</v>
      </c>
      <c r="D8632" s="24" t="s">
        <v>17</v>
      </c>
      <c r="E8632" s="24" t="s">
        <v>18</v>
      </c>
      <c r="F8632" s="24" t="s">
        <v>19</v>
      </c>
      <c r="G8632" s="24" t="s">
        <v>28</v>
      </c>
      <c r="H8632" s="26">
        <v>186</v>
      </c>
      <c r="I8632" s="24" t="s">
        <v>29</v>
      </c>
      <c r="J8632" s="36">
        <v>46041</v>
      </c>
      <c r="K8632" s="24" t="s">
        <v>22</v>
      </c>
    </row>
    <row r="8633" spans="1:11" x14ac:dyDescent="0.2">
      <c r="A8633" s="27" t="s">
        <v>20047</v>
      </c>
      <c r="B8633" s="27" t="s">
        <v>20048</v>
      </c>
      <c r="C8633" s="27" t="s">
        <v>1130</v>
      </c>
      <c r="D8633" s="27" t="s">
        <v>17</v>
      </c>
      <c r="E8633" s="27" t="s">
        <v>26</v>
      </c>
      <c r="F8633" s="27" t="s">
        <v>27</v>
      </c>
      <c r="G8633" s="27" t="s">
        <v>28</v>
      </c>
      <c r="H8633" s="29">
        <v>160</v>
      </c>
      <c r="I8633" s="27" t="s">
        <v>29</v>
      </c>
      <c r="J8633" s="37">
        <v>46044</v>
      </c>
      <c r="K8633" s="27" t="s">
        <v>22</v>
      </c>
    </row>
    <row r="8634" spans="1:11" x14ac:dyDescent="0.2">
      <c r="A8634" s="24" t="s">
        <v>20049</v>
      </c>
      <c r="B8634" s="24" t="s">
        <v>20050</v>
      </c>
      <c r="C8634" s="24" t="s">
        <v>20051</v>
      </c>
      <c r="D8634" s="24" t="s">
        <v>17</v>
      </c>
      <c r="E8634" s="24" t="s">
        <v>42</v>
      </c>
      <c r="F8634" s="24" t="s">
        <v>43</v>
      </c>
      <c r="G8634" s="24" t="s">
        <v>28</v>
      </c>
      <c r="H8634" s="26">
        <v>400</v>
      </c>
      <c r="I8634" s="24" t="s">
        <v>29</v>
      </c>
      <c r="J8634" s="36">
        <v>46045</v>
      </c>
      <c r="K8634" s="24" t="s">
        <v>22</v>
      </c>
    </row>
    <row r="8635" spans="1:11" x14ac:dyDescent="0.2">
      <c r="A8635" s="27" t="s">
        <v>20052</v>
      </c>
      <c r="B8635" s="27" t="s">
        <v>20053</v>
      </c>
      <c r="C8635" s="27" t="s">
        <v>20054</v>
      </c>
      <c r="D8635" s="27" t="s">
        <v>17</v>
      </c>
      <c r="E8635" s="27" t="s">
        <v>18</v>
      </c>
      <c r="F8635" s="27" t="s">
        <v>19</v>
      </c>
      <c r="G8635" s="27" t="s">
        <v>28</v>
      </c>
      <c r="H8635" s="29">
        <v>40</v>
      </c>
      <c r="I8635" s="27" t="s">
        <v>29</v>
      </c>
      <c r="J8635" s="37">
        <v>46023</v>
      </c>
      <c r="K8635" s="27" t="s">
        <v>22</v>
      </c>
    </row>
    <row r="8636" spans="1:11" x14ac:dyDescent="0.2">
      <c r="A8636" s="24" t="s">
        <v>20055</v>
      </c>
      <c r="B8636" s="24" t="s">
        <v>20056</v>
      </c>
      <c r="C8636" s="24" t="s">
        <v>115</v>
      </c>
      <c r="D8636" s="24" t="s">
        <v>17</v>
      </c>
      <c r="E8636" s="24" t="s">
        <v>42</v>
      </c>
      <c r="F8636" s="24" t="s">
        <v>43</v>
      </c>
      <c r="G8636" s="24" t="s">
        <v>217</v>
      </c>
      <c r="H8636" s="26">
        <v>88</v>
      </c>
      <c r="I8636" s="24" t="s">
        <v>29</v>
      </c>
      <c r="J8636" s="36">
        <v>46052</v>
      </c>
      <c r="K8636" s="24" t="s">
        <v>22</v>
      </c>
    </row>
    <row r="8637" spans="1:11" x14ac:dyDescent="0.2">
      <c r="A8637" s="27" t="s">
        <v>20057</v>
      </c>
      <c r="B8637" s="27" t="s">
        <v>20058</v>
      </c>
      <c r="C8637" s="27" t="s">
        <v>16815</v>
      </c>
      <c r="D8637" s="27" t="s">
        <v>17</v>
      </c>
      <c r="E8637" s="27" t="s">
        <v>48</v>
      </c>
      <c r="F8637" s="27" t="s">
        <v>49</v>
      </c>
      <c r="G8637" s="27" t="s">
        <v>28</v>
      </c>
      <c r="H8637" s="29">
        <v>50</v>
      </c>
      <c r="I8637" s="27" t="s">
        <v>29</v>
      </c>
      <c r="J8637" s="37">
        <v>46031</v>
      </c>
      <c r="K8637" s="27" t="s">
        <v>22</v>
      </c>
    </row>
    <row r="8638" spans="1:11" x14ac:dyDescent="0.2">
      <c r="A8638" s="24" t="s">
        <v>20059</v>
      </c>
      <c r="B8638" s="24" t="s">
        <v>20060</v>
      </c>
      <c r="C8638" s="24" t="s">
        <v>2129</v>
      </c>
      <c r="D8638" s="24" t="s">
        <v>17</v>
      </c>
      <c r="E8638" s="24" t="s">
        <v>18</v>
      </c>
      <c r="F8638" s="24" t="s">
        <v>19</v>
      </c>
      <c r="G8638" s="24" t="s">
        <v>227</v>
      </c>
      <c r="H8638" s="26">
        <v>5</v>
      </c>
      <c r="I8638" s="24" t="s">
        <v>29</v>
      </c>
      <c r="J8638" s="36">
        <v>46037</v>
      </c>
      <c r="K8638" s="24" t="s">
        <v>22</v>
      </c>
    </row>
    <row r="8639" spans="1:11" x14ac:dyDescent="0.2">
      <c r="A8639" s="27" t="s">
        <v>20061</v>
      </c>
      <c r="B8639" s="27" t="s">
        <v>20062</v>
      </c>
      <c r="C8639" s="27" t="s">
        <v>71</v>
      </c>
      <c r="D8639" s="27" t="s">
        <v>17</v>
      </c>
      <c r="E8639" s="27" t="s">
        <v>18</v>
      </c>
      <c r="F8639" s="27" t="s">
        <v>19</v>
      </c>
      <c r="G8639" s="27" t="s">
        <v>217</v>
      </c>
      <c r="H8639" s="29">
        <v>124</v>
      </c>
      <c r="I8639" s="27" t="s">
        <v>29</v>
      </c>
      <c r="J8639" s="37">
        <v>46023</v>
      </c>
      <c r="K8639" s="27" t="s">
        <v>22</v>
      </c>
    </row>
    <row r="8640" spans="1:11" x14ac:dyDescent="0.2">
      <c r="A8640" s="24" t="s">
        <v>20063</v>
      </c>
      <c r="B8640" s="24" t="s">
        <v>20064</v>
      </c>
      <c r="C8640" s="24" t="s">
        <v>146</v>
      </c>
      <c r="D8640" s="24" t="s">
        <v>17</v>
      </c>
      <c r="E8640" s="24" t="s">
        <v>48</v>
      </c>
      <c r="F8640" s="24" t="s">
        <v>49</v>
      </c>
      <c r="G8640" s="24" t="s">
        <v>217</v>
      </c>
      <c r="H8640" s="26">
        <v>200</v>
      </c>
      <c r="I8640" s="24" t="s">
        <v>29</v>
      </c>
      <c r="J8640" s="36">
        <v>46036</v>
      </c>
      <c r="K8640" s="24" t="s">
        <v>22</v>
      </c>
    </row>
    <row r="8641" spans="1:11" x14ac:dyDescent="0.2">
      <c r="A8641" s="27" t="s">
        <v>20065</v>
      </c>
      <c r="B8641" s="27" t="s">
        <v>20066</v>
      </c>
      <c r="C8641" s="27" t="s">
        <v>20067</v>
      </c>
      <c r="D8641" s="27" t="s">
        <v>17</v>
      </c>
      <c r="E8641" s="27" t="s">
        <v>48</v>
      </c>
      <c r="F8641" s="27" t="s">
        <v>49</v>
      </c>
      <c r="G8641" s="27" t="s">
        <v>217</v>
      </c>
      <c r="H8641" s="29">
        <v>30</v>
      </c>
      <c r="I8641" s="27" t="s">
        <v>29</v>
      </c>
      <c r="J8641" s="37">
        <v>46023</v>
      </c>
      <c r="K8641" s="27" t="s">
        <v>22</v>
      </c>
    </row>
    <row r="8642" spans="1:11" x14ac:dyDescent="0.2">
      <c r="A8642" s="24" t="s">
        <v>20068</v>
      </c>
      <c r="B8642" s="24" t="s">
        <v>20069</v>
      </c>
      <c r="C8642" s="24" t="s">
        <v>71</v>
      </c>
      <c r="D8642" s="24" t="s">
        <v>17</v>
      </c>
      <c r="E8642" s="24" t="s">
        <v>18</v>
      </c>
      <c r="F8642" s="24" t="s">
        <v>19</v>
      </c>
      <c r="G8642" s="24" t="s">
        <v>217</v>
      </c>
      <c r="H8642" s="26">
        <v>12</v>
      </c>
      <c r="I8642" s="24" t="s">
        <v>29</v>
      </c>
      <c r="J8642" s="36">
        <v>46045</v>
      </c>
      <c r="K8642" s="24" t="s">
        <v>22</v>
      </c>
    </row>
    <row r="8643" spans="1:11" x14ac:dyDescent="0.2">
      <c r="A8643" s="27" t="s">
        <v>20070</v>
      </c>
      <c r="B8643" s="27" t="s">
        <v>20071</v>
      </c>
      <c r="C8643" s="27" t="s">
        <v>14751</v>
      </c>
      <c r="D8643" s="27" t="s">
        <v>17</v>
      </c>
      <c r="E8643" s="27" t="s">
        <v>48</v>
      </c>
      <c r="F8643" s="27" t="s">
        <v>49</v>
      </c>
      <c r="G8643" s="27" t="s">
        <v>28</v>
      </c>
      <c r="H8643" s="29">
        <v>75</v>
      </c>
      <c r="I8643" s="27" t="s">
        <v>29</v>
      </c>
      <c r="J8643" s="37">
        <v>46023</v>
      </c>
      <c r="K8643" s="27" t="s">
        <v>22</v>
      </c>
    </row>
    <row r="8644" spans="1:11" x14ac:dyDescent="0.2">
      <c r="A8644" s="24" t="s">
        <v>20072</v>
      </c>
      <c r="B8644" s="24" t="s">
        <v>20073</v>
      </c>
      <c r="C8644" s="24" t="s">
        <v>1199</v>
      </c>
      <c r="D8644" s="24" t="s">
        <v>17</v>
      </c>
      <c r="E8644" s="24" t="s">
        <v>26</v>
      </c>
      <c r="F8644" s="24" t="s">
        <v>27</v>
      </c>
      <c r="G8644" s="24" t="s">
        <v>28</v>
      </c>
      <c r="H8644" s="26">
        <v>139</v>
      </c>
      <c r="I8644" s="24" t="s">
        <v>29</v>
      </c>
      <c r="J8644" s="36">
        <v>46028</v>
      </c>
      <c r="K8644" s="24" t="s">
        <v>22</v>
      </c>
    </row>
    <row r="8645" spans="1:11" x14ac:dyDescent="0.2">
      <c r="A8645" s="27" t="s">
        <v>20074</v>
      </c>
      <c r="B8645" s="27" t="s">
        <v>20075</v>
      </c>
      <c r="C8645" s="27" t="s">
        <v>2657</v>
      </c>
      <c r="D8645" s="27" t="s">
        <v>17</v>
      </c>
      <c r="E8645" s="27" t="s">
        <v>26</v>
      </c>
      <c r="F8645" s="27" t="s">
        <v>27</v>
      </c>
      <c r="G8645" s="27" t="s">
        <v>28</v>
      </c>
      <c r="H8645" s="29">
        <v>26</v>
      </c>
      <c r="I8645" s="27" t="s">
        <v>29</v>
      </c>
      <c r="J8645" s="37">
        <v>46027</v>
      </c>
      <c r="K8645" s="27" t="s">
        <v>22</v>
      </c>
    </row>
    <row r="8646" spans="1:11" x14ac:dyDescent="0.2">
      <c r="A8646" s="24" t="s">
        <v>20076</v>
      </c>
      <c r="B8646" s="24" t="s">
        <v>20077</v>
      </c>
      <c r="C8646" s="24" t="s">
        <v>14758</v>
      </c>
      <c r="D8646" s="24" t="s">
        <v>17</v>
      </c>
      <c r="E8646" s="24" t="s">
        <v>18</v>
      </c>
      <c r="F8646" s="24" t="s">
        <v>19</v>
      </c>
      <c r="G8646" s="24" t="s">
        <v>28</v>
      </c>
      <c r="H8646" s="26">
        <v>23</v>
      </c>
      <c r="I8646" s="24" t="s">
        <v>29</v>
      </c>
      <c r="J8646" s="36">
        <v>46031</v>
      </c>
      <c r="K8646" s="24" t="s">
        <v>22</v>
      </c>
    </row>
    <row r="8647" spans="1:11" x14ac:dyDescent="0.2">
      <c r="A8647" s="27" t="s">
        <v>20078</v>
      </c>
      <c r="B8647" s="27" t="s">
        <v>20079</v>
      </c>
      <c r="C8647" s="27" t="s">
        <v>475</v>
      </c>
      <c r="D8647" s="27" t="s">
        <v>17</v>
      </c>
      <c r="E8647" s="27" t="s">
        <v>26</v>
      </c>
      <c r="F8647" s="27" t="s">
        <v>27</v>
      </c>
      <c r="G8647" s="27" t="s">
        <v>217</v>
      </c>
      <c r="H8647" s="29">
        <v>219</v>
      </c>
      <c r="I8647" s="27" t="s">
        <v>29</v>
      </c>
      <c r="J8647" s="37">
        <v>46023</v>
      </c>
      <c r="K8647" s="27" t="s">
        <v>22</v>
      </c>
    </row>
    <row r="8648" spans="1:11" x14ac:dyDescent="0.2">
      <c r="A8648" s="24" t="s">
        <v>20080</v>
      </c>
      <c r="B8648" s="24" t="s">
        <v>20081</v>
      </c>
      <c r="C8648" s="24" t="s">
        <v>20082</v>
      </c>
      <c r="D8648" s="24" t="s">
        <v>17</v>
      </c>
      <c r="E8648" s="24" t="s">
        <v>42</v>
      </c>
      <c r="F8648" s="24" t="s">
        <v>43</v>
      </c>
      <c r="G8648" s="24" t="s">
        <v>28</v>
      </c>
      <c r="H8648" s="26">
        <v>480</v>
      </c>
      <c r="I8648" s="24" t="s">
        <v>29</v>
      </c>
      <c r="J8648" s="36">
        <v>46023</v>
      </c>
      <c r="K8648" s="24" t="s">
        <v>22</v>
      </c>
    </row>
    <row r="8649" spans="1:11" x14ac:dyDescent="0.2">
      <c r="A8649" s="27" t="s">
        <v>20083</v>
      </c>
      <c r="B8649" s="27" t="s">
        <v>20084</v>
      </c>
      <c r="C8649" s="27" t="s">
        <v>526</v>
      </c>
      <c r="D8649" s="27" t="s">
        <v>17</v>
      </c>
      <c r="E8649" s="27" t="s">
        <v>42</v>
      </c>
      <c r="F8649" s="27" t="s">
        <v>43</v>
      </c>
      <c r="G8649" s="27" t="s">
        <v>28</v>
      </c>
      <c r="H8649" s="29">
        <v>600</v>
      </c>
      <c r="I8649" s="27" t="s">
        <v>29</v>
      </c>
      <c r="J8649" s="37">
        <v>46046</v>
      </c>
      <c r="K8649" s="27" t="s">
        <v>22</v>
      </c>
    </row>
    <row r="8650" spans="1:11" x14ac:dyDescent="0.2">
      <c r="A8650" s="24" t="s">
        <v>20085</v>
      </c>
      <c r="B8650" s="24" t="s">
        <v>20086</v>
      </c>
      <c r="C8650" s="24" t="s">
        <v>134</v>
      </c>
      <c r="D8650" s="24" t="s">
        <v>17</v>
      </c>
      <c r="E8650" s="24" t="s">
        <v>81</v>
      </c>
      <c r="F8650" s="24" t="s">
        <v>82</v>
      </c>
      <c r="G8650" s="24" t="s">
        <v>28</v>
      </c>
      <c r="H8650" s="26">
        <v>60</v>
      </c>
      <c r="I8650" s="24" t="s">
        <v>29</v>
      </c>
      <c r="J8650" s="36">
        <v>46042</v>
      </c>
      <c r="K8650" s="24" t="s">
        <v>22</v>
      </c>
    </row>
    <row r="8651" spans="1:11" x14ac:dyDescent="0.2">
      <c r="A8651" s="27" t="s">
        <v>20087</v>
      </c>
      <c r="B8651" s="27" t="s">
        <v>20088</v>
      </c>
      <c r="C8651" s="27" t="s">
        <v>5746</v>
      </c>
      <c r="D8651" s="27" t="s">
        <v>17</v>
      </c>
      <c r="E8651" s="27" t="s">
        <v>26</v>
      </c>
      <c r="F8651" s="27" t="s">
        <v>27</v>
      </c>
      <c r="G8651" s="27" t="s">
        <v>217</v>
      </c>
      <c r="H8651" s="29">
        <v>26</v>
      </c>
      <c r="I8651" s="27" t="s">
        <v>29</v>
      </c>
      <c r="J8651" s="37">
        <v>46052</v>
      </c>
      <c r="K8651" s="27" t="s">
        <v>22</v>
      </c>
    </row>
    <row r="8652" spans="1:11" x14ac:dyDescent="0.2">
      <c r="A8652" s="24" t="s">
        <v>20089</v>
      </c>
      <c r="B8652" s="24" t="s">
        <v>20090</v>
      </c>
      <c r="C8652" s="24" t="s">
        <v>20091</v>
      </c>
      <c r="D8652" s="24" t="s">
        <v>17</v>
      </c>
      <c r="E8652" s="24" t="s">
        <v>42</v>
      </c>
      <c r="F8652" s="24" t="s">
        <v>43</v>
      </c>
      <c r="G8652" s="24" t="s">
        <v>28</v>
      </c>
      <c r="H8652" s="26">
        <v>150</v>
      </c>
      <c r="I8652" s="24" t="s">
        <v>29</v>
      </c>
      <c r="J8652" s="36">
        <v>46035</v>
      </c>
      <c r="K8652" s="24" t="s">
        <v>22</v>
      </c>
    </row>
    <row r="8653" spans="1:11" x14ac:dyDescent="0.2">
      <c r="A8653" s="27" t="s">
        <v>20092</v>
      </c>
      <c r="B8653" s="27" t="s">
        <v>20093</v>
      </c>
      <c r="C8653" s="27" t="s">
        <v>1523</v>
      </c>
      <c r="D8653" s="27" t="s">
        <v>17</v>
      </c>
      <c r="E8653" s="27" t="s">
        <v>18</v>
      </c>
      <c r="F8653" s="27" t="s">
        <v>19</v>
      </c>
      <c r="G8653" s="27" t="s">
        <v>28</v>
      </c>
      <c r="H8653" s="29">
        <v>30</v>
      </c>
      <c r="I8653" s="27" t="s">
        <v>29</v>
      </c>
      <c r="J8653" s="37">
        <v>46023</v>
      </c>
      <c r="K8653" s="27" t="s">
        <v>22</v>
      </c>
    </row>
    <row r="8654" spans="1:11" x14ac:dyDescent="0.2">
      <c r="A8654" s="24" t="s">
        <v>20094</v>
      </c>
      <c r="B8654" s="24" t="s">
        <v>20095</v>
      </c>
      <c r="C8654" s="24" t="s">
        <v>19769</v>
      </c>
      <c r="D8654" s="24" t="s">
        <v>17</v>
      </c>
      <c r="E8654" s="24" t="s">
        <v>26</v>
      </c>
      <c r="F8654" s="24" t="s">
        <v>27</v>
      </c>
      <c r="G8654" s="24" t="s">
        <v>217</v>
      </c>
      <c r="H8654" s="26">
        <v>12</v>
      </c>
      <c r="I8654" s="24" t="s">
        <v>29</v>
      </c>
      <c r="J8654" s="36">
        <v>46037</v>
      </c>
      <c r="K8654" s="24" t="s">
        <v>22</v>
      </c>
    </row>
    <row r="8655" spans="1:11" x14ac:dyDescent="0.2">
      <c r="A8655" s="27" t="s">
        <v>20096</v>
      </c>
      <c r="B8655" s="27" t="s">
        <v>20097</v>
      </c>
      <c r="C8655" s="27" t="s">
        <v>200</v>
      </c>
      <c r="D8655" s="27" t="s">
        <v>17</v>
      </c>
      <c r="E8655" s="27" t="s">
        <v>18</v>
      </c>
      <c r="F8655" s="27" t="s">
        <v>19</v>
      </c>
      <c r="G8655" s="27" t="s">
        <v>217</v>
      </c>
      <c r="H8655" s="29">
        <v>27</v>
      </c>
      <c r="I8655" s="27" t="s">
        <v>29</v>
      </c>
      <c r="J8655" s="37">
        <v>46048</v>
      </c>
      <c r="K8655" s="27" t="s">
        <v>22</v>
      </c>
    </row>
    <row r="8656" spans="1:11" x14ac:dyDescent="0.2">
      <c r="A8656" s="24" t="s">
        <v>20098</v>
      </c>
      <c r="B8656" s="24" t="s">
        <v>20099</v>
      </c>
      <c r="C8656" s="24" t="s">
        <v>20100</v>
      </c>
      <c r="D8656" s="24" t="s">
        <v>17</v>
      </c>
      <c r="E8656" s="24" t="s">
        <v>18</v>
      </c>
      <c r="F8656" s="24" t="s">
        <v>19</v>
      </c>
      <c r="G8656" s="24" t="s">
        <v>28</v>
      </c>
      <c r="H8656" s="26">
        <v>38</v>
      </c>
      <c r="I8656" s="24" t="s">
        <v>29</v>
      </c>
      <c r="J8656" s="36">
        <v>46023</v>
      </c>
      <c r="K8656" s="24" t="s">
        <v>22</v>
      </c>
    </row>
    <row r="8657" spans="1:11" x14ac:dyDescent="0.2">
      <c r="A8657" s="27" t="s">
        <v>20101</v>
      </c>
      <c r="B8657" s="27" t="s">
        <v>20102</v>
      </c>
      <c r="C8657" s="27" t="s">
        <v>15470</v>
      </c>
      <c r="D8657" s="27" t="s">
        <v>17</v>
      </c>
      <c r="E8657" s="27" t="s">
        <v>48</v>
      </c>
      <c r="F8657" s="27" t="s">
        <v>49</v>
      </c>
      <c r="G8657" s="27" t="s">
        <v>217</v>
      </c>
      <c r="H8657" s="29">
        <v>12</v>
      </c>
      <c r="I8657" s="27" t="s">
        <v>29</v>
      </c>
      <c r="J8657" s="37">
        <v>46023</v>
      </c>
      <c r="K8657" s="27" t="s">
        <v>22</v>
      </c>
    </row>
    <row r="8658" spans="1:11" x14ac:dyDescent="0.2">
      <c r="A8658" s="24" t="s">
        <v>20103</v>
      </c>
      <c r="B8658" s="24" t="s">
        <v>20104</v>
      </c>
      <c r="C8658" s="24" t="s">
        <v>1663</v>
      </c>
      <c r="D8658" s="24" t="s">
        <v>17</v>
      </c>
      <c r="E8658" s="24" t="s">
        <v>33</v>
      </c>
      <c r="F8658" s="24" t="s">
        <v>34</v>
      </c>
      <c r="G8658" s="24" t="s">
        <v>217</v>
      </c>
      <c r="H8658" s="26">
        <v>706</v>
      </c>
      <c r="I8658" s="24" t="s">
        <v>29</v>
      </c>
      <c r="J8658" s="36">
        <v>46047</v>
      </c>
      <c r="K8658" s="24" t="s">
        <v>22</v>
      </c>
    </row>
    <row r="8659" spans="1:11" x14ac:dyDescent="0.2">
      <c r="A8659" s="27" t="s">
        <v>20105</v>
      </c>
      <c r="B8659" s="27" t="s">
        <v>20106</v>
      </c>
      <c r="C8659" s="27" t="s">
        <v>230</v>
      </c>
      <c r="D8659" s="27" t="s">
        <v>17</v>
      </c>
      <c r="E8659" s="27" t="s">
        <v>18</v>
      </c>
      <c r="F8659" s="27" t="s">
        <v>19</v>
      </c>
      <c r="G8659" s="27" t="s">
        <v>217</v>
      </c>
      <c r="H8659" s="29">
        <v>218</v>
      </c>
      <c r="I8659" s="27" t="s">
        <v>29</v>
      </c>
      <c r="J8659" s="37">
        <v>46023</v>
      </c>
      <c r="K8659" s="27" t="s">
        <v>22</v>
      </c>
    </row>
    <row r="8660" spans="1:11" x14ac:dyDescent="0.2">
      <c r="A8660" s="24" t="s">
        <v>20107</v>
      </c>
      <c r="B8660" s="24" t="s">
        <v>20108</v>
      </c>
      <c r="C8660" s="24" t="s">
        <v>301</v>
      </c>
      <c r="D8660" s="24" t="s">
        <v>17</v>
      </c>
      <c r="E8660" s="24" t="s">
        <v>48</v>
      </c>
      <c r="F8660" s="24" t="s">
        <v>49</v>
      </c>
      <c r="G8660" s="24" t="s">
        <v>28</v>
      </c>
      <c r="H8660" s="26">
        <v>240</v>
      </c>
      <c r="I8660" s="24" t="s">
        <v>29</v>
      </c>
      <c r="J8660" s="36">
        <v>46037</v>
      </c>
      <c r="K8660" s="24" t="s">
        <v>22</v>
      </c>
    </row>
    <row r="8661" spans="1:11" x14ac:dyDescent="0.2">
      <c r="A8661" s="27" t="s">
        <v>20109</v>
      </c>
      <c r="B8661" s="27" t="s">
        <v>20110</v>
      </c>
      <c r="C8661" s="27" t="s">
        <v>1059</v>
      </c>
      <c r="D8661" s="27" t="s">
        <v>17</v>
      </c>
      <c r="E8661" s="27" t="s">
        <v>18</v>
      </c>
      <c r="F8661" s="27" t="s">
        <v>19</v>
      </c>
      <c r="G8661" s="27" t="s">
        <v>217</v>
      </c>
      <c r="H8661" s="29">
        <v>55</v>
      </c>
      <c r="I8661" s="27" t="s">
        <v>29</v>
      </c>
      <c r="J8661" s="37">
        <v>46045</v>
      </c>
      <c r="K8661" s="27" t="s">
        <v>22</v>
      </c>
    </row>
    <row r="8662" spans="1:11" x14ac:dyDescent="0.2">
      <c r="A8662" s="24" t="s">
        <v>20111</v>
      </c>
      <c r="B8662" s="24" t="s">
        <v>20112</v>
      </c>
      <c r="C8662" s="24" t="s">
        <v>20113</v>
      </c>
      <c r="D8662" s="24" t="s">
        <v>17</v>
      </c>
      <c r="E8662" s="24" t="s">
        <v>81</v>
      </c>
      <c r="F8662" s="24" t="s">
        <v>82</v>
      </c>
      <c r="G8662" s="24" t="s">
        <v>217</v>
      </c>
      <c r="H8662" s="26">
        <v>422</v>
      </c>
      <c r="I8662" s="24" t="s">
        <v>29</v>
      </c>
      <c r="J8662" s="36">
        <v>46023</v>
      </c>
      <c r="K8662" s="24" t="s">
        <v>22</v>
      </c>
    </row>
    <row r="8663" spans="1:11" x14ac:dyDescent="0.2">
      <c r="A8663" s="27" t="s">
        <v>20114</v>
      </c>
      <c r="B8663" s="27" t="s">
        <v>20115</v>
      </c>
      <c r="C8663" s="27" t="s">
        <v>15192</v>
      </c>
      <c r="D8663" s="27" t="s">
        <v>17</v>
      </c>
      <c r="E8663" s="27" t="s">
        <v>42</v>
      </c>
      <c r="F8663" s="27" t="s">
        <v>43</v>
      </c>
      <c r="G8663" s="27" t="s">
        <v>28</v>
      </c>
      <c r="H8663" s="29">
        <v>1700</v>
      </c>
      <c r="I8663" s="27" t="s">
        <v>29</v>
      </c>
      <c r="J8663" s="37">
        <v>46034</v>
      </c>
      <c r="K8663" s="27" t="s">
        <v>22</v>
      </c>
    </row>
    <row r="8664" spans="1:11" x14ac:dyDescent="0.2">
      <c r="A8664" s="24" t="s">
        <v>20116</v>
      </c>
      <c r="B8664" s="24" t="s">
        <v>20117</v>
      </c>
      <c r="C8664" s="24" t="s">
        <v>11413</v>
      </c>
      <c r="D8664" s="24" t="s">
        <v>17</v>
      </c>
      <c r="E8664" s="24" t="s">
        <v>42</v>
      </c>
      <c r="F8664" s="24" t="s">
        <v>43</v>
      </c>
      <c r="G8664" s="24" t="s">
        <v>28</v>
      </c>
      <c r="H8664" s="26">
        <v>786</v>
      </c>
      <c r="I8664" s="24" t="s">
        <v>29</v>
      </c>
      <c r="J8664" s="36">
        <v>46042</v>
      </c>
      <c r="K8664" s="24" t="s">
        <v>22</v>
      </c>
    </row>
    <row r="8665" spans="1:11" x14ac:dyDescent="0.2">
      <c r="A8665" s="27" t="s">
        <v>20118</v>
      </c>
      <c r="B8665" s="27" t="s">
        <v>20119</v>
      </c>
      <c r="C8665" s="27" t="s">
        <v>3504</v>
      </c>
      <c r="D8665" s="27" t="s">
        <v>17</v>
      </c>
      <c r="E8665" s="27" t="s">
        <v>26</v>
      </c>
      <c r="F8665" s="27" t="s">
        <v>27</v>
      </c>
      <c r="G8665" s="27" t="s">
        <v>28</v>
      </c>
      <c r="H8665" s="29">
        <v>519</v>
      </c>
      <c r="I8665" s="27" t="s">
        <v>29</v>
      </c>
      <c r="J8665" s="37">
        <v>46028</v>
      </c>
      <c r="K8665" s="27" t="s">
        <v>22</v>
      </c>
    </row>
    <row r="8666" spans="1:11" x14ac:dyDescent="0.2">
      <c r="A8666" s="24" t="s">
        <v>20120</v>
      </c>
      <c r="B8666" s="24" t="s">
        <v>20121</v>
      </c>
      <c r="C8666" s="24" t="s">
        <v>3972</v>
      </c>
      <c r="D8666" s="24" t="s">
        <v>17</v>
      </c>
      <c r="E8666" s="24" t="s">
        <v>18</v>
      </c>
      <c r="F8666" s="24" t="s">
        <v>19</v>
      </c>
      <c r="G8666" s="24" t="s">
        <v>217</v>
      </c>
      <c r="H8666" s="26">
        <v>8</v>
      </c>
      <c r="I8666" s="24" t="s">
        <v>29</v>
      </c>
      <c r="J8666" s="36">
        <v>46052</v>
      </c>
      <c r="K8666" s="24" t="s">
        <v>22</v>
      </c>
    </row>
    <row r="8667" spans="1:11" x14ac:dyDescent="0.2">
      <c r="A8667" s="27" t="s">
        <v>20122</v>
      </c>
      <c r="B8667" s="27" t="s">
        <v>20123</v>
      </c>
      <c r="C8667" s="27" t="s">
        <v>15154</v>
      </c>
      <c r="D8667" s="27" t="s">
        <v>17</v>
      </c>
      <c r="E8667" s="27" t="s">
        <v>26</v>
      </c>
      <c r="F8667" s="27" t="s">
        <v>27</v>
      </c>
      <c r="G8667" s="27" t="s">
        <v>217</v>
      </c>
      <c r="H8667" s="29">
        <v>32</v>
      </c>
      <c r="I8667" s="27" t="s">
        <v>29</v>
      </c>
      <c r="J8667" s="37">
        <v>46023</v>
      </c>
      <c r="K8667" s="27" t="s">
        <v>22</v>
      </c>
    </row>
    <row r="8668" spans="1:11" x14ac:dyDescent="0.2">
      <c r="A8668" s="24" t="s">
        <v>20124</v>
      </c>
      <c r="B8668" s="24" t="s">
        <v>20125</v>
      </c>
      <c r="C8668" s="24" t="s">
        <v>1921</v>
      </c>
      <c r="D8668" s="24" t="s">
        <v>17</v>
      </c>
      <c r="E8668" s="24" t="s">
        <v>48</v>
      </c>
      <c r="F8668" s="24" t="s">
        <v>49</v>
      </c>
      <c r="G8668" s="24" t="s">
        <v>28</v>
      </c>
      <c r="H8668" s="26">
        <v>60</v>
      </c>
      <c r="I8668" s="24" t="s">
        <v>29</v>
      </c>
      <c r="J8668" s="36">
        <v>46037</v>
      </c>
      <c r="K8668" s="24" t="s">
        <v>22</v>
      </c>
    </row>
    <row r="8669" spans="1:11" x14ac:dyDescent="0.2">
      <c r="A8669" s="27" t="s">
        <v>20126</v>
      </c>
      <c r="B8669" s="27" t="s">
        <v>20127</v>
      </c>
      <c r="C8669" s="27" t="s">
        <v>8433</v>
      </c>
      <c r="D8669" s="27" t="s">
        <v>17</v>
      </c>
      <c r="E8669" s="27" t="s">
        <v>81</v>
      </c>
      <c r="F8669" s="27" t="s">
        <v>82</v>
      </c>
      <c r="G8669" s="27" t="s">
        <v>227</v>
      </c>
      <c r="H8669" s="29">
        <v>65</v>
      </c>
      <c r="I8669" s="27" t="s">
        <v>29</v>
      </c>
      <c r="J8669" s="37">
        <v>46023</v>
      </c>
      <c r="K8669" s="27" t="s">
        <v>22</v>
      </c>
    </row>
    <row r="8670" spans="1:11" x14ac:dyDescent="0.2">
      <c r="A8670" s="24" t="s">
        <v>20128</v>
      </c>
      <c r="B8670" s="24" t="s">
        <v>20129</v>
      </c>
      <c r="C8670" s="24" t="s">
        <v>3492</v>
      </c>
      <c r="D8670" s="24" t="s">
        <v>17</v>
      </c>
      <c r="E8670" s="24" t="s">
        <v>26</v>
      </c>
      <c r="F8670" s="24" t="s">
        <v>27</v>
      </c>
      <c r="G8670" s="24" t="s">
        <v>28</v>
      </c>
      <c r="H8670" s="26">
        <v>130</v>
      </c>
      <c r="I8670" s="24" t="s">
        <v>29</v>
      </c>
      <c r="J8670" s="36">
        <v>46030</v>
      </c>
      <c r="K8670" s="24" t="s">
        <v>22</v>
      </c>
    </row>
    <row r="8671" spans="1:11" x14ac:dyDescent="0.2">
      <c r="A8671" s="27" t="s">
        <v>20130</v>
      </c>
      <c r="B8671" s="27" t="s">
        <v>20131</v>
      </c>
      <c r="C8671" s="27" t="s">
        <v>13620</v>
      </c>
      <c r="D8671" s="27" t="s">
        <v>17</v>
      </c>
      <c r="E8671" s="27" t="s">
        <v>42</v>
      </c>
      <c r="F8671" s="27" t="s">
        <v>43</v>
      </c>
      <c r="G8671" s="27" t="s">
        <v>217</v>
      </c>
      <c r="H8671" s="29">
        <v>1208</v>
      </c>
      <c r="I8671" s="27" t="s">
        <v>29</v>
      </c>
      <c r="J8671" s="37">
        <v>46052</v>
      </c>
      <c r="K8671" s="27" t="s">
        <v>22</v>
      </c>
    </row>
    <row r="8672" spans="1:11" x14ac:dyDescent="0.2">
      <c r="A8672" s="24" t="s">
        <v>20132</v>
      </c>
      <c r="B8672" s="24" t="s">
        <v>20133</v>
      </c>
      <c r="C8672" s="24" t="s">
        <v>7320</v>
      </c>
      <c r="D8672" s="24" t="s">
        <v>17</v>
      </c>
      <c r="E8672" s="24" t="s">
        <v>42</v>
      </c>
      <c r="F8672" s="24" t="s">
        <v>43</v>
      </c>
      <c r="G8672" s="24" t="s">
        <v>28</v>
      </c>
      <c r="H8672" s="26">
        <v>100</v>
      </c>
      <c r="I8672" s="24" t="s">
        <v>29</v>
      </c>
      <c r="J8672" s="36">
        <v>46027</v>
      </c>
      <c r="K8672" s="24" t="s">
        <v>22</v>
      </c>
    </row>
    <row r="8673" spans="1:11" x14ac:dyDescent="0.2">
      <c r="A8673" s="27" t="s">
        <v>20134</v>
      </c>
      <c r="B8673" s="27" t="s">
        <v>20135</v>
      </c>
      <c r="C8673" s="27" t="s">
        <v>208</v>
      </c>
      <c r="D8673" s="27" t="s">
        <v>17</v>
      </c>
      <c r="E8673" s="27" t="s">
        <v>42</v>
      </c>
      <c r="F8673" s="27" t="s">
        <v>43</v>
      </c>
      <c r="G8673" s="27" t="s">
        <v>28</v>
      </c>
      <c r="H8673" s="29">
        <v>896</v>
      </c>
      <c r="I8673" s="27" t="s">
        <v>29</v>
      </c>
      <c r="J8673" s="37">
        <v>46042</v>
      </c>
      <c r="K8673" s="27" t="s">
        <v>22</v>
      </c>
    </row>
    <row r="8674" spans="1:11" x14ac:dyDescent="0.2">
      <c r="A8674" s="24" t="s">
        <v>20136</v>
      </c>
      <c r="B8674" s="24" t="s">
        <v>20137</v>
      </c>
      <c r="C8674" s="24" t="s">
        <v>20138</v>
      </c>
      <c r="D8674" s="24" t="s">
        <v>17</v>
      </c>
      <c r="E8674" s="24" t="s">
        <v>18</v>
      </c>
      <c r="F8674" s="24" t="s">
        <v>19</v>
      </c>
      <c r="G8674" s="24" t="s">
        <v>217</v>
      </c>
      <c r="H8674" s="26">
        <v>76</v>
      </c>
      <c r="I8674" s="24" t="s">
        <v>29</v>
      </c>
      <c r="J8674" s="36">
        <v>46041</v>
      </c>
      <c r="K8674" s="24" t="s">
        <v>22</v>
      </c>
    </row>
    <row r="8675" spans="1:11" x14ac:dyDescent="0.2">
      <c r="A8675" s="27" t="s">
        <v>20139</v>
      </c>
      <c r="B8675" s="27" t="s">
        <v>20140</v>
      </c>
      <c r="C8675" s="27" t="s">
        <v>4090</v>
      </c>
      <c r="D8675" s="27" t="s">
        <v>17</v>
      </c>
      <c r="E8675" s="27" t="s">
        <v>26</v>
      </c>
      <c r="F8675" s="27" t="s">
        <v>27</v>
      </c>
      <c r="G8675" s="27" t="s">
        <v>28</v>
      </c>
      <c r="H8675" s="29">
        <v>50</v>
      </c>
      <c r="I8675" s="27" t="s">
        <v>29</v>
      </c>
      <c r="J8675" s="37">
        <v>46038</v>
      </c>
      <c r="K8675" s="27" t="s">
        <v>22</v>
      </c>
    </row>
    <row r="8676" spans="1:11" x14ac:dyDescent="0.2">
      <c r="A8676" s="24" t="s">
        <v>20141</v>
      </c>
      <c r="B8676" s="24" t="s">
        <v>20142</v>
      </c>
      <c r="C8676" s="24" t="s">
        <v>55</v>
      </c>
      <c r="D8676" s="24" t="s">
        <v>17</v>
      </c>
      <c r="E8676" s="24" t="s">
        <v>26</v>
      </c>
      <c r="F8676" s="24" t="s">
        <v>27</v>
      </c>
      <c r="G8676" s="24" t="s">
        <v>28</v>
      </c>
      <c r="H8676" s="26">
        <v>170</v>
      </c>
      <c r="I8676" s="24" t="s">
        <v>29</v>
      </c>
      <c r="J8676" s="36">
        <v>46051</v>
      </c>
      <c r="K8676" s="24" t="s">
        <v>22</v>
      </c>
    </row>
    <row r="8677" spans="1:11" x14ac:dyDescent="0.2">
      <c r="A8677" s="27" t="s">
        <v>20143</v>
      </c>
      <c r="B8677" s="27" t="s">
        <v>20144</v>
      </c>
      <c r="C8677" s="27" t="s">
        <v>20145</v>
      </c>
      <c r="D8677" s="27" t="s">
        <v>17</v>
      </c>
      <c r="E8677" s="27" t="s">
        <v>18</v>
      </c>
      <c r="F8677" s="27" t="s">
        <v>19</v>
      </c>
      <c r="G8677" s="27" t="s">
        <v>217</v>
      </c>
      <c r="H8677" s="29">
        <v>24</v>
      </c>
      <c r="I8677" s="27" t="s">
        <v>29</v>
      </c>
      <c r="J8677" s="37">
        <v>46029</v>
      </c>
      <c r="K8677" s="27" t="s">
        <v>22</v>
      </c>
    </row>
    <row r="8678" spans="1:11" x14ac:dyDescent="0.2">
      <c r="A8678" s="24" t="s">
        <v>20146</v>
      </c>
      <c r="B8678" s="24" t="s">
        <v>20147</v>
      </c>
      <c r="C8678" s="24" t="s">
        <v>20148</v>
      </c>
      <c r="D8678" s="24" t="s">
        <v>17</v>
      </c>
      <c r="E8678" s="24" t="s">
        <v>18</v>
      </c>
      <c r="F8678" s="24" t="s">
        <v>19</v>
      </c>
      <c r="G8678" s="24" t="s">
        <v>28</v>
      </c>
      <c r="H8678" s="26">
        <v>91</v>
      </c>
      <c r="I8678" s="24" t="s">
        <v>29</v>
      </c>
      <c r="J8678" s="36">
        <v>46050</v>
      </c>
      <c r="K8678" s="24" t="s">
        <v>22</v>
      </c>
    </row>
    <row r="8679" spans="1:11" x14ac:dyDescent="0.2">
      <c r="A8679" s="27" t="s">
        <v>20149</v>
      </c>
      <c r="B8679" s="27" t="s">
        <v>20150</v>
      </c>
      <c r="C8679" s="27" t="s">
        <v>1161</v>
      </c>
      <c r="D8679" s="27" t="s">
        <v>17</v>
      </c>
      <c r="E8679" s="27" t="s">
        <v>26</v>
      </c>
      <c r="F8679" s="27" t="s">
        <v>27</v>
      </c>
      <c r="G8679" s="27" t="s">
        <v>28</v>
      </c>
      <c r="H8679" s="29">
        <v>60</v>
      </c>
      <c r="I8679" s="27" t="s">
        <v>29</v>
      </c>
      <c r="J8679" s="37">
        <v>46030</v>
      </c>
      <c r="K8679" s="27" t="s">
        <v>22</v>
      </c>
    </row>
    <row r="8680" spans="1:11" x14ac:dyDescent="0.2">
      <c r="A8680" s="24" t="s">
        <v>20151</v>
      </c>
      <c r="B8680" s="24" t="s">
        <v>20152</v>
      </c>
      <c r="C8680" s="24" t="s">
        <v>20153</v>
      </c>
      <c r="D8680" s="24" t="s">
        <v>17</v>
      </c>
      <c r="E8680" s="24" t="s">
        <v>26</v>
      </c>
      <c r="F8680" s="24" t="s">
        <v>27</v>
      </c>
      <c r="G8680" s="24" t="s">
        <v>217</v>
      </c>
      <c r="H8680" s="26">
        <v>14</v>
      </c>
      <c r="I8680" s="24" t="s">
        <v>29</v>
      </c>
      <c r="J8680" s="36">
        <v>46023</v>
      </c>
      <c r="K8680" s="24" t="s">
        <v>22</v>
      </c>
    </row>
    <row r="8681" spans="1:11" x14ac:dyDescent="0.2">
      <c r="A8681" s="27" t="s">
        <v>20154</v>
      </c>
      <c r="B8681" s="27" t="s">
        <v>20155</v>
      </c>
      <c r="C8681" s="27" t="s">
        <v>10621</v>
      </c>
      <c r="D8681" s="27" t="s">
        <v>17</v>
      </c>
      <c r="E8681" s="27" t="s">
        <v>18</v>
      </c>
      <c r="F8681" s="27" t="s">
        <v>19</v>
      </c>
      <c r="G8681" s="27" t="s">
        <v>217</v>
      </c>
      <c r="H8681" s="29">
        <v>72</v>
      </c>
      <c r="I8681" s="27" t="s">
        <v>29</v>
      </c>
      <c r="J8681" s="37">
        <v>46023</v>
      </c>
      <c r="K8681" s="27" t="s">
        <v>22</v>
      </c>
    </row>
    <row r="8682" spans="1:11" x14ac:dyDescent="0.2">
      <c r="A8682" s="24" t="s">
        <v>20156</v>
      </c>
      <c r="B8682" s="24" t="s">
        <v>20157</v>
      </c>
      <c r="C8682" s="24" t="s">
        <v>301</v>
      </c>
      <c r="D8682" s="24" t="s">
        <v>17</v>
      </c>
      <c r="E8682" s="24" t="s">
        <v>48</v>
      </c>
      <c r="F8682" s="24" t="s">
        <v>49</v>
      </c>
      <c r="G8682" s="24" t="s">
        <v>28</v>
      </c>
      <c r="H8682" s="26">
        <v>180</v>
      </c>
      <c r="I8682" s="24" t="s">
        <v>29</v>
      </c>
      <c r="J8682" s="36">
        <v>46042</v>
      </c>
      <c r="K8682" s="24" t="s">
        <v>22</v>
      </c>
    </row>
    <row r="8683" spans="1:11" x14ac:dyDescent="0.2">
      <c r="A8683" s="27" t="s">
        <v>20158</v>
      </c>
      <c r="B8683" s="27" t="s">
        <v>20159</v>
      </c>
      <c r="C8683" s="27" t="s">
        <v>526</v>
      </c>
      <c r="D8683" s="27" t="s">
        <v>17</v>
      </c>
      <c r="E8683" s="27" t="s">
        <v>18</v>
      </c>
      <c r="F8683" s="27" t="s">
        <v>19</v>
      </c>
      <c r="G8683" s="27" t="s">
        <v>217</v>
      </c>
      <c r="H8683" s="29">
        <v>63</v>
      </c>
      <c r="I8683" s="27" t="s">
        <v>29</v>
      </c>
      <c r="J8683" s="37">
        <v>46023</v>
      </c>
      <c r="K8683" s="27" t="s">
        <v>22</v>
      </c>
    </row>
    <row r="8684" spans="1:11" x14ac:dyDescent="0.2">
      <c r="A8684" s="24" t="s">
        <v>20160</v>
      </c>
      <c r="B8684" s="24" t="s">
        <v>20161</v>
      </c>
      <c r="C8684" s="24" t="s">
        <v>1307</v>
      </c>
      <c r="D8684" s="24" t="s">
        <v>17</v>
      </c>
      <c r="E8684" s="24" t="s">
        <v>18</v>
      </c>
      <c r="F8684" s="24" t="s">
        <v>19</v>
      </c>
      <c r="G8684" s="24" t="s">
        <v>217</v>
      </c>
      <c r="H8684" s="26">
        <v>6</v>
      </c>
      <c r="I8684" s="24" t="s">
        <v>29</v>
      </c>
      <c r="J8684" s="36">
        <v>46023</v>
      </c>
      <c r="K8684" s="24" t="s">
        <v>22</v>
      </c>
    </row>
    <row r="8685" spans="1:11" x14ac:dyDescent="0.2">
      <c r="A8685" s="27" t="s">
        <v>20162</v>
      </c>
      <c r="B8685" s="27" t="s">
        <v>20163</v>
      </c>
      <c r="C8685" s="27" t="s">
        <v>1030</v>
      </c>
      <c r="D8685" s="27" t="s">
        <v>17</v>
      </c>
      <c r="E8685" s="27" t="s">
        <v>18</v>
      </c>
      <c r="F8685" s="27" t="s">
        <v>19</v>
      </c>
      <c r="G8685" s="27" t="s">
        <v>28</v>
      </c>
      <c r="H8685" s="29">
        <v>72</v>
      </c>
      <c r="I8685" s="27" t="s">
        <v>29</v>
      </c>
      <c r="J8685" s="37">
        <v>46032</v>
      </c>
      <c r="K8685" s="27" t="s">
        <v>22</v>
      </c>
    </row>
    <row r="8686" spans="1:11" x14ac:dyDescent="0.2">
      <c r="A8686" s="24" t="s">
        <v>20164</v>
      </c>
      <c r="B8686" s="24" t="s">
        <v>20165</v>
      </c>
      <c r="C8686" s="24" t="s">
        <v>14166</v>
      </c>
      <c r="D8686" s="24" t="s">
        <v>17</v>
      </c>
      <c r="E8686" s="24" t="s">
        <v>18</v>
      </c>
      <c r="F8686" s="24" t="s">
        <v>19</v>
      </c>
      <c r="G8686" s="24" t="s">
        <v>28</v>
      </c>
      <c r="H8686" s="26">
        <v>38</v>
      </c>
      <c r="I8686" s="24" t="s">
        <v>29</v>
      </c>
      <c r="J8686" s="36">
        <v>46051</v>
      </c>
      <c r="K8686" s="24" t="s">
        <v>22</v>
      </c>
    </row>
    <row r="8687" spans="1:11" x14ac:dyDescent="0.2">
      <c r="A8687" s="27" t="s">
        <v>20166</v>
      </c>
      <c r="B8687" s="27" t="s">
        <v>20167</v>
      </c>
      <c r="C8687" s="27" t="s">
        <v>1217</v>
      </c>
      <c r="D8687" s="27" t="s">
        <v>17</v>
      </c>
      <c r="E8687" s="27" t="s">
        <v>26</v>
      </c>
      <c r="F8687" s="27" t="s">
        <v>27</v>
      </c>
      <c r="G8687" s="27" t="s">
        <v>28</v>
      </c>
      <c r="H8687" s="29">
        <v>50</v>
      </c>
      <c r="I8687" s="27" t="s">
        <v>29</v>
      </c>
      <c r="J8687" s="37">
        <v>46023</v>
      </c>
      <c r="K8687" s="27" t="s">
        <v>22</v>
      </c>
    </row>
    <row r="8688" spans="1:11" x14ac:dyDescent="0.2">
      <c r="A8688" s="24" t="s">
        <v>20168</v>
      </c>
      <c r="B8688" s="24" t="s">
        <v>20169</v>
      </c>
      <c r="C8688" s="24" t="s">
        <v>18463</v>
      </c>
      <c r="D8688" s="24" t="s">
        <v>17</v>
      </c>
      <c r="E8688" s="24" t="s">
        <v>18</v>
      </c>
      <c r="F8688" s="24" t="s">
        <v>19</v>
      </c>
      <c r="G8688" s="24" t="s">
        <v>28</v>
      </c>
      <c r="H8688" s="26">
        <v>24</v>
      </c>
      <c r="I8688" s="24" t="s">
        <v>29</v>
      </c>
      <c r="J8688" s="36">
        <v>46028</v>
      </c>
      <c r="K8688" s="24" t="s">
        <v>22</v>
      </c>
    </row>
    <row r="8689" spans="1:11" x14ac:dyDescent="0.2">
      <c r="A8689" s="27" t="s">
        <v>20170</v>
      </c>
      <c r="B8689" s="27" t="s">
        <v>20171</v>
      </c>
      <c r="C8689" s="27" t="s">
        <v>9191</v>
      </c>
      <c r="D8689" s="27" t="s">
        <v>17</v>
      </c>
      <c r="E8689" s="27" t="s">
        <v>18</v>
      </c>
      <c r="F8689" s="27" t="s">
        <v>19</v>
      </c>
      <c r="G8689" s="27" t="s">
        <v>28</v>
      </c>
      <c r="H8689" s="29">
        <v>78</v>
      </c>
      <c r="I8689" s="27" t="s">
        <v>29</v>
      </c>
      <c r="J8689" s="37">
        <v>46034</v>
      </c>
      <c r="K8689" s="27" t="s">
        <v>22</v>
      </c>
    </row>
    <row r="8690" spans="1:11" x14ac:dyDescent="0.2">
      <c r="A8690" s="24" t="s">
        <v>20172</v>
      </c>
      <c r="B8690" s="24" t="s">
        <v>20173</v>
      </c>
      <c r="C8690" s="24" t="s">
        <v>687</v>
      </c>
      <c r="D8690" s="24" t="s">
        <v>17</v>
      </c>
      <c r="E8690" s="24" t="s">
        <v>42</v>
      </c>
      <c r="F8690" s="24" t="s">
        <v>43</v>
      </c>
      <c r="G8690" s="24" t="s">
        <v>28</v>
      </c>
      <c r="H8690" s="26">
        <v>460</v>
      </c>
      <c r="I8690" s="24" t="s">
        <v>29</v>
      </c>
      <c r="J8690" s="36">
        <v>46030</v>
      </c>
      <c r="K8690" s="24" t="s">
        <v>22</v>
      </c>
    </row>
    <row r="8691" spans="1:11" x14ac:dyDescent="0.2">
      <c r="A8691" s="27" t="s">
        <v>20174</v>
      </c>
      <c r="B8691" s="27" t="s">
        <v>20175</v>
      </c>
      <c r="C8691" s="27" t="s">
        <v>388</v>
      </c>
      <c r="D8691" s="27" t="s">
        <v>17</v>
      </c>
      <c r="E8691" s="27" t="s">
        <v>81</v>
      </c>
      <c r="F8691" s="27" t="s">
        <v>82</v>
      </c>
      <c r="G8691" s="27" t="s">
        <v>28</v>
      </c>
      <c r="H8691" s="29">
        <v>90</v>
      </c>
      <c r="I8691" s="27" t="s">
        <v>29</v>
      </c>
      <c r="J8691" s="37">
        <v>46050</v>
      </c>
      <c r="K8691" s="27" t="s">
        <v>22</v>
      </c>
    </row>
    <row r="8692" spans="1:11" x14ac:dyDescent="0.2">
      <c r="A8692" s="24" t="s">
        <v>20176</v>
      </c>
      <c r="B8692" s="24" t="s">
        <v>20177</v>
      </c>
      <c r="C8692" s="24" t="s">
        <v>437</v>
      </c>
      <c r="D8692" s="24" t="s">
        <v>17</v>
      </c>
      <c r="E8692" s="24" t="s">
        <v>48</v>
      </c>
      <c r="F8692" s="24" t="s">
        <v>49</v>
      </c>
      <c r="G8692" s="24" t="s">
        <v>28</v>
      </c>
      <c r="H8692" s="26">
        <v>14</v>
      </c>
      <c r="I8692" s="24" t="s">
        <v>29</v>
      </c>
      <c r="J8692" s="36">
        <v>46024</v>
      </c>
      <c r="K8692" s="24" t="s">
        <v>22</v>
      </c>
    </row>
    <row r="8693" spans="1:11" x14ac:dyDescent="0.2">
      <c r="A8693" s="27" t="s">
        <v>20178</v>
      </c>
      <c r="B8693" s="27" t="s">
        <v>20179</v>
      </c>
      <c r="C8693" s="27" t="s">
        <v>708</v>
      </c>
      <c r="D8693" s="27" t="s">
        <v>17</v>
      </c>
      <c r="E8693" s="27" t="s">
        <v>18</v>
      </c>
      <c r="F8693" s="27" t="s">
        <v>19</v>
      </c>
      <c r="G8693" s="27" t="s">
        <v>28</v>
      </c>
      <c r="H8693" s="29">
        <v>54</v>
      </c>
      <c r="I8693" s="27" t="s">
        <v>29</v>
      </c>
      <c r="J8693" s="37">
        <v>46041</v>
      </c>
      <c r="K8693" s="27" t="s">
        <v>22</v>
      </c>
    </row>
    <row r="8694" spans="1:11" x14ac:dyDescent="0.2">
      <c r="A8694" s="24" t="s">
        <v>20180</v>
      </c>
      <c r="B8694" s="24" t="s">
        <v>20181</v>
      </c>
      <c r="C8694" s="24" t="s">
        <v>20182</v>
      </c>
      <c r="D8694" s="24" t="s">
        <v>17</v>
      </c>
      <c r="E8694" s="24" t="s">
        <v>18</v>
      </c>
      <c r="F8694" s="24" t="s">
        <v>19</v>
      </c>
      <c r="G8694" s="24" t="s">
        <v>217</v>
      </c>
      <c r="H8694" s="26">
        <v>30</v>
      </c>
      <c r="I8694" s="24" t="s">
        <v>29</v>
      </c>
      <c r="J8694" s="36">
        <v>46023</v>
      </c>
      <c r="K8694" s="24" t="s">
        <v>22</v>
      </c>
    </row>
    <row r="8695" spans="1:11" x14ac:dyDescent="0.2">
      <c r="A8695" s="27" t="s">
        <v>20183</v>
      </c>
      <c r="B8695" s="27" t="s">
        <v>20184</v>
      </c>
      <c r="C8695" s="27" t="s">
        <v>213</v>
      </c>
      <c r="D8695" s="27" t="s">
        <v>17</v>
      </c>
      <c r="E8695" s="27" t="s">
        <v>18</v>
      </c>
      <c r="F8695" s="27" t="s">
        <v>19</v>
      </c>
      <c r="G8695" s="27" t="s">
        <v>28</v>
      </c>
      <c r="H8695" s="29">
        <v>12</v>
      </c>
      <c r="I8695" s="27" t="s">
        <v>29</v>
      </c>
      <c r="J8695" s="37">
        <v>46024</v>
      </c>
      <c r="K8695" s="27" t="s">
        <v>22</v>
      </c>
    </row>
    <row r="8696" spans="1:11" x14ac:dyDescent="0.2">
      <c r="A8696" s="24" t="s">
        <v>20185</v>
      </c>
      <c r="B8696" s="24" t="s">
        <v>20186</v>
      </c>
      <c r="C8696" s="24" t="s">
        <v>1562</v>
      </c>
      <c r="D8696" s="24" t="s">
        <v>17</v>
      </c>
      <c r="E8696" s="24" t="s">
        <v>42</v>
      </c>
      <c r="F8696" s="24" t="s">
        <v>43</v>
      </c>
      <c r="G8696" s="24" t="s">
        <v>28</v>
      </c>
      <c r="H8696" s="26">
        <v>300</v>
      </c>
      <c r="I8696" s="24" t="s">
        <v>29</v>
      </c>
      <c r="J8696" s="36">
        <v>46050</v>
      </c>
      <c r="K8696" s="24" t="s">
        <v>22</v>
      </c>
    </row>
    <row r="8697" spans="1:11" x14ac:dyDescent="0.2">
      <c r="A8697" s="27" t="s">
        <v>20187</v>
      </c>
      <c r="B8697" s="27" t="s">
        <v>20188</v>
      </c>
      <c r="C8697" s="27" t="s">
        <v>2663</v>
      </c>
      <c r="D8697" s="27" t="s">
        <v>17</v>
      </c>
      <c r="E8697" s="27" t="s">
        <v>42</v>
      </c>
      <c r="F8697" s="27" t="s">
        <v>43</v>
      </c>
      <c r="G8697" s="27" t="s">
        <v>28</v>
      </c>
      <c r="H8697" s="29">
        <v>240</v>
      </c>
      <c r="I8697" s="27" t="s">
        <v>29</v>
      </c>
      <c r="J8697" s="37">
        <v>46037</v>
      </c>
      <c r="K8697" s="27" t="s">
        <v>22</v>
      </c>
    </row>
    <row r="8698" spans="1:11" x14ac:dyDescent="0.2">
      <c r="A8698" s="24" t="s">
        <v>20189</v>
      </c>
      <c r="B8698" s="24" t="s">
        <v>20190</v>
      </c>
      <c r="C8698" s="24" t="s">
        <v>494</v>
      </c>
      <c r="D8698" s="24" t="s">
        <v>17</v>
      </c>
      <c r="E8698" s="24" t="s">
        <v>26</v>
      </c>
      <c r="F8698" s="24" t="s">
        <v>27</v>
      </c>
      <c r="G8698" s="24" t="s">
        <v>217</v>
      </c>
      <c r="H8698" s="26">
        <v>465</v>
      </c>
      <c r="I8698" s="24" t="s">
        <v>29</v>
      </c>
      <c r="J8698" s="36">
        <v>46023</v>
      </c>
      <c r="K8698" s="24" t="s">
        <v>22</v>
      </c>
    </row>
    <row r="8699" spans="1:11" x14ac:dyDescent="0.2">
      <c r="A8699" s="27" t="s">
        <v>20191</v>
      </c>
      <c r="B8699" s="27" t="s">
        <v>20192</v>
      </c>
      <c r="C8699" s="27" t="s">
        <v>8254</v>
      </c>
      <c r="D8699" s="27" t="s">
        <v>17</v>
      </c>
      <c r="E8699" s="27" t="s">
        <v>26</v>
      </c>
      <c r="F8699" s="27" t="s">
        <v>27</v>
      </c>
      <c r="G8699" s="27" t="s">
        <v>217</v>
      </c>
      <c r="H8699" s="29">
        <v>150</v>
      </c>
      <c r="I8699" s="27" t="s">
        <v>29</v>
      </c>
      <c r="J8699" s="37">
        <v>46053</v>
      </c>
      <c r="K8699" s="27" t="s">
        <v>22</v>
      </c>
    </row>
    <row r="8700" spans="1:11" x14ac:dyDescent="0.2">
      <c r="A8700" s="24" t="s">
        <v>20193</v>
      </c>
      <c r="B8700" s="24" t="s">
        <v>20194</v>
      </c>
      <c r="C8700" s="24" t="s">
        <v>10855</v>
      </c>
      <c r="D8700" s="24" t="s">
        <v>17</v>
      </c>
      <c r="E8700" s="24" t="s">
        <v>33</v>
      </c>
      <c r="F8700" s="24" t="s">
        <v>34</v>
      </c>
      <c r="G8700" s="24" t="s">
        <v>28</v>
      </c>
      <c r="H8700" s="26">
        <v>153</v>
      </c>
      <c r="I8700" s="24" t="s">
        <v>29</v>
      </c>
      <c r="J8700" s="36">
        <v>46044</v>
      </c>
      <c r="K8700" s="24" t="s">
        <v>22</v>
      </c>
    </row>
    <row r="8701" spans="1:11" x14ac:dyDescent="0.2">
      <c r="A8701" s="27" t="s">
        <v>20195</v>
      </c>
      <c r="B8701" s="27" t="s">
        <v>20196</v>
      </c>
      <c r="C8701" s="27" t="s">
        <v>1473</v>
      </c>
      <c r="D8701" s="27" t="s">
        <v>17</v>
      </c>
      <c r="E8701" s="27" t="s">
        <v>42</v>
      </c>
      <c r="F8701" s="27" t="s">
        <v>43</v>
      </c>
      <c r="G8701" s="27" t="s">
        <v>217</v>
      </c>
      <c r="H8701" s="29">
        <v>480</v>
      </c>
      <c r="I8701" s="27" t="s">
        <v>29</v>
      </c>
      <c r="J8701" s="37">
        <v>46037</v>
      </c>
      <c r="K8701" s="27" t="s">
        <v>22</v>
      </c>
    </row>
    <row r="8702" spans="1:11" x14ac:dyDescent="0.2">
      <c r="A8702" s="24" t="s">
        <v>20197</v>
      </c>
      <c r="B8702" s="24" t="s">
        <v>20198</v>
      </c>
      <c r="C8702" s="24" t="s">
        <v>4128</v>
      </c>
      <c r="D8702" s="24" t="s">
        <v>17</v>
      </c>
      <c r="E8702" s="24" t="s">
        <v>48</v>
      </c>
      <c r="F8702" s="24" t="s">
        <v>49</v>
      </c>
      <c r="G8702" s="24" t="s">
        <v>217</v>
      </c>
      <c r="H8702" s="26">
        <v>52</v>
      </c>
      <c r="I8702" s="24" t="s">
        <v>29</v>
      </c>
      <c r="J8702" s="36">
        <v>46052</v>
      </c>
      <c r="K8702" s="24" t="s">
        <v>22</v>
      </c>
    </row>
    <row r="8703" spans="1:11" x14ac:dyDescent="0.2">
      <c r="A8703" s="27" t="s">
        <v>20199</v>
      </c>
      <c r="B8703" s="27" t="s">
        <v>20200</v>
      </c>
      <c r="C8703" s="27" t="s">
        <v>20201</v>
      </c>
      <c r="D8703" s="27" t="s">
        <v>17</v>
      </c>
      <c r="E8703" s="27" t="s">
        <v>18</v>
      </c>
      <c r="F8703" s="27" t="s">
        <v>19</v>
      </c>
      <c r="G8703" s="27" t="s">
        <v>28</v>
      </c>
      <c r="H8703" s="29">
        <v>24</v>
      </c>
      <c r="I8703" s="27" t="s">
        <v>29</v>
      </c>
      <c r="J8703" s="37">
        <v>46053</v>
      </c>
      <c r="K8703" s="27" t="s">
        <v>22</v>
      </c>
    </row>
    <row r="8704" spans="1:11" x14ac:dyDescent="0.2">
      <c r="A8704" s="24" t="s">
        <v>20202</v>
      </c>
      <c r="B8704" s="24" t="s">
        <v>20203</v>
      </c>
      <c r="C8704" s="24" t="s">
        <v>20204</v>
      </c>
      <c r="D8704" s="24" t="s">
        <v>17</v>
      </c>
      <c r="E8704" s="24" t="s">
        <v>48</v>
      </c>
      <c r="F8704" s="24" t="s">
        <v>49</v>
      </c>
      <c r="G8704" s="24" t="s">
        <v>28</v>
      </c>
      <c r="H8704" s="26">
        <v>10</v>
      </c>
      <c r="I8704" s="24" t="s">
        <v>29</v>
      </c>
      <c r="J8704" s="36">
        <v>46024</v>
      </c>
      <c r="K8704" s="24" t="s">
        <v>22</v>
      </c>
    </row>
    <row r="8705" spans="1:11" x14ac:dyDescent="0.2">
      <c r="A8705" s="27" t="s">
        <v>20205</v>
      </c>
      <c r="B8705" s="27" t="s">
        <v>20206</v>
      </c>
      <c r="C8705" s="27" t="s">
        <v>71</v>
      </c>
      <c r="D8705" s="27" t="s">
        <v>17</v>
      </c>
      <c r="E8705" s="27" t="s">
        <v>18</v>
      </c>
      <c r="F8705" s="27" t="s">
        <v>19</v>
      </c>
      <c r="G8705" s="27" t="s">
        <v>217</v>
      </c>
      <c r="H8705" s="29">
        <v>300</v>
      </c>
      <c r="I8705" s="27" t="s">
        <v>29</v>
      </c>
      <c r="J8705" s="37">
        <v>46023</v>
      </c>
      <c r="K8705" s="27" t="s">
        <v>22</v>
      </c>
    </row>
    <row r="8706" spans="1:11" x14ac:dyDescent="0.2">
      <c r="A8706" s="24" t="s">
        <v>20207</v>
      </c>
      <c r="B8706" s="24" t="s">
        <v>20208</v>
      </c>
      <c r="C8706" s="24" t="s">
        <v>20209</v>
      </c>
      <c r="D8706" s="24" t="s">
        <v>17</v>
      </c>
      <c r="E8706" s="24" t="s">
        <v>26</v>
      </c>
      <c r="F8706" s="24" t="s">
        <v>27</v>
      </c>
      <c r="G8706" s="24" t="s">
        <v>28</v>
      </c>
      <c r="H8706" s="26">
        <v>180</v>
      </c>
      <c r="I8706" s="24" t="s">
        <v>29</v>
      </c>
      <c r="J8706" s="36">
        <v>46052</v>
      </c>
      <c r="K8706" s="24" t="s">
        <v>22</v>
      </c>
    </row>
    <row r="8707" spans="1:11" x14ac:dyDescent="0.2">
      <c r="A8707" s="27" t="s">
        <v>20210</v>
      </c>
      <c r="B8707" s="27" t="s">
        <v>20211</v>
      </c>
      <c r="C8707" s="27" t="s">
        <v>97</v>
      </c>
      <c r="D8707" s="27" t="s">
        <v>17</v>
      </c>
      <c r="E8707" s="27" t="s">
        <v>18</v>
      </c>
      <c r="F8707" s="27" t="s">
        <v>19</v>
      </c>
      <c r="G8707" s="27" t="s">
        <v>28</v>
      </c>
      <c r="H8707" s="29">
        <v>27</v>
      </c>
      <c r="I8707" s="27" t="s">
        <v>29</v>
      </c>
      <c r="J8707" s="37">
        <v>46031</v>
      </c>
      <c r="K8707" s="27" t="s">
        <v>22</v>
      </c>
    </row>
    <row r="8708" spans="1:11" x14ac:dyDescent="0.2">
      <c r="A8708" s="24" t="s">
        <v>20212</v>
      </c>
      <c r="B8708" s="24" t="s">
        <v>20213</v>
      </c>
      <c r="C8708" s="24" t="s">
        <v>20214</v>
      </c>
      <c r="D8708" s="24" t="s">
        <v>17</v>
      </c>
      <c r="E8708" s="24" t="s">
        <v>18</v>
      </c>
      <c r="F8708" s="24" t="s">
        <v>19</v>
      </c>
      <c r="G8708" s="24" t="s">
        <v>28</v>
      </c>
      <c r="H8708" s="26">
        <v>30</v>
      </c>
      <c r="I8708" s="24" t="s">
        <v>29</v>
      </c>
      <c r="J8708" s="36">
        <v>46027</v>
      </c>
      <c r="K8708" s="24" t="s">
        <v>22</v>
      </c>
    </row>
    <row r="8709" spans="1:11" x14ac:dyDescent="0.2">
      <c r="A8709" s="27" t="s">
        <v>20215</v>
      </c>
      <c r="B8709" s="27" t="s">
        <v>20216</v>
      </c>
      <c r="C8709" s="27" t="s">
        <v>19587</v>
      </c>
      <c r="D8709" s="27" t="s">
        <v>17</v>
      </c>
      <c r="E8709" s="27" t="s">
        <v>26</v>
      </c>
      <c r="F8709" s="27" t="s">
        <v>27</v>
      </c>
      <c r="G8709" s="27" t="s">
        <v>28</v>
      </c>
      <c r="H8709" s="29">
        <v>42</v>
      </c>
      <c r="I8709" s="27" t="s">
        <v>29</v>
      </c>
      <c r="J8709" s="37">
        <v>46051</v>
      </c>
      <c r="K8709" s="27" t="s">
        <v>22</v>
      </c>
    </row>
    <row r="8710" spans="1:11" x14ac:dyDescent="0.2">
      <c r="A8710" s="24" t="s">
        <v>20217</v>
      </c>
      <c r="B8710" s="24" t="s">
        <v>20218</v>
      </c>
      <c r="C8710" s="24" t="s">
        <v>277</v>
      </c>
      <c r="D8710" s="24" t="s">
        <v>17</v>
      </c>
      <c r="E8710" s="24" t="s">
        <v>48</v>
      </c>
      <c r="F8710" s="24" t="s">
        <v>49</v>
      </c>
      <c r="G8710" s="24" t="s">
        <v>28</v>
      </c>
      <c r="H8710" s="26">
        <v>81</v>
      </c>
      <c r="I8710" s="24" t="s">
        <v>29</v>
      </c>
      <c r="J8710" s="36">
        <v>46027</v>
      </c>
      <c r="K8710" s="24" t="s">
        <v>22</v>
      </c>
    </row>
    <row r="8711" spans="1:11" x14ac:dyDescent="0.2">
      <c r="A8711" s="27" t="s">
        <v>20219</v>
      </c>
      <c r="B8711" s="27" t="s">
        <v>20220</v>
      </c>
      <c r="C8711" s="27" t="s">
        <v>208</v>
      </c>
      <c r="D8711" s="27" t="s">
        <v>17</v>
      </c>
      <c r="E8711" s="27" t="s">
        <v>42</v>
      </c>
      <c r="F8711" s="27" t="s">
        <v>43</v>
      </c>
      <c r="G8711" s="27" t="s">
        <v>28</v>
      </c>
      <c r="H8711" s="29">
        <v>100</v>
      </c>
      <c r="I8711" s="27" t="s">
        <v>29</v>
      </c>
      <c r="J8711" s="37">
        <v>46042</v>
      </c>
      <c r="K8711" s="27" t="s">
        <v>22</v>
      </c>
    </row>
    <row r="8712" spans="1:11" x14ac:dyDescent="0.2">
      <c r="A8712" s="24" t="s">
        <v>20221</v>
      </c>
      <c r="B8712" s="24" t="s">
        <v>20222</v>
      </c>
      <c r="C8712" s="24" t="s">
        <v>551</v>
      </c>
      <c r="D8712" s="24" t="s">
        <v>17</v>
      </c>
      <c r="E8712" s="24" t="s">
        <v>42</v>
      </c>
      <c r="F8712" s="24" t="s">
        <v>43</v>
      </c>
      <c r="G8712" s="24" t="s">
        <v>217</v>
      </c>
      <c r="H8712" s="26">
        <v>477</v>
      </c>
      <c r="I8712" s="24" t="s">
        <v>29</v>
      </c>
      <c r="J8712" s="36">
        <v>46035</v>
      </c>
      <c r="K8712" s="24" t="s">
        <v>22</v>
      </c>
    </row>
    <row r="8713" spans="1:11" x14ac:dyDescent="0.2">
      <c r="A8713" s="27" t="s">
        <v>20223</v>
      </c>
      <c r="B8713" s="27" t="s">
        <v>20224</v>
      </c>
      <c r="C8713" s="27" t="s">
        <v>208</v>
      </c>
      <c r="D8713" s="27" t="s">
        <v>17</v>
      </c>
      <c r="E8713" s="27" t="s">
        <v>42</v>
      </c>
      <c r="F8713" s="27" t="s">
        <v>43</v>
      </c>
      <c r="G8713" s="27" t="s">
        <v>28</v>
      </c>
      <c r="H8713" s="29">
        <v>671</v>
      </c>
      <c r="I8713" s="27" t="s">
        <v>29</v>
      </c>
      <c r="J8713" s="37">
        <v>46044</v>
      </c>
      <c r="K8713" s="27" t="s">
        <v>22</v>
      </c>
    </row>
    <row r="8714" spans="1:11" x14ac:dyDescent="0.2">
      <c r="A8714" s="24" t="s">
        <v>20225</v>
      </c>
      <c r="B8714" s="24" t="s">
        <v>20226</v>
      </c>
      <c r="C8714" s="24" t="s">
        <v>17554</v>
      </c>
      <c r="D8714" s="24" t="s">
        <v>17</v>
      </c>
      <c r="E8714" s="24" t="s">
        <v>42</v>
      </c>
      <c r="F8714" s="24" t="s">
        <v>43</v>
      </c>
      <c r="G8714" s="24" t="s">
        <v>217</v>
      </c>
      <c r="H8714" s="26">
        <v>480</v>
      </c>
      <c r="I8714" s="24" t="s">
        <v>29</v>
      </c>
      <c r="J8714" s="36">
        <v>46052</v>
      </c>
      <c r="K8714" s="24" t="s">
        <v>22</v>
      </c>
    </row>
    <row r="8715" spans="1:11" x14ac:dyDescent="0.2">
      <c r="A8715" s="27" t="s">
        <v>20227</v>
      </c>
      <c r="B8715" s="27" t="s">
        <v>20228</v>
      </c>
      <c r="C8715" s="27" t="s">
        <v>721</v>
      </c>
      <c r="D8715" s="27" t="s">
        <v>17</v>
      </c>
      <c r="E8715" s="27" t="s">
        <v>42</v>
      </c>
      <c r="F8715" s="27" t="s">
        <v>43</v>
      </c>
      <c r="G8715" s="27" t="s">
        <v>28</v>
      </c>
      <c r="H8715" s="29">
        <v>332</v>
      </c>
      <c r="I8715" s="27" t="s">
        <v>29</v>
      </c>
      <c r="J8715" s="37">
        <v>46036</v>
      </c>
      <c r="K8715" s="27" t="s">
        <v>22</v>
      </c>
    </row>
    <row r="8716" spans="1:11" x14ac:dyDescent="0.2">
      <c r="A8716" s="24" t="s">
        <v>20229</v>
      </c>
      <c r="B8716" s="24" t="s">
        <v>20230</v>
      </c>
      <c r="C8716" s="24" t="s">
        <v>97</v>
      </c>
      <c r="D8716" s="24" t="s">
        <v>17</v>
      </c>
      <c r="E8716" s="24" t="s">
        <v>26</v>
      </c>
      <c r="F8716" s="24" t="s">
        <v>27</v>
      </c>
      <c r="G8716" s="24" t="s">
        <v>28</v>
      </c>
      <c r="H8716" s="26">
        <v>84</v>
      </c>
      <c r="I8716" s="24" t="s">
        <v>29</v>
      </c>
      <c r="J8716" s="36">
        <v>46031</v>
      </c>
      <c r="K8716" s="24" t="s">
        <v>22</v>
      </c>
    </row>
    <row r="8717" spans="1:11" x14ac:dyDescent="0.2">
      <c r="A8717" s="27" t="s">
        <v>20231</v>
      </c>
      <c r="B8717" s="27" t="s">
        <v>20232</v>
      </c>
      <c r="C8717" s="27" t="s">
        <v>1158</v>
      </c>
      <c r="D8717" s="27" t="s">
        <v>17</v>
      </c>
      <c r="E8717" s="27" t="s">
        <v>18</v>
      </c>
      <c r="F8717" s="27" t="s">
        <v>19</v>
      </c>
      <c r="G8717" s="27" t="s">
        <v>28</v>
      </c>
      <c r="H8717" s="29">
        <v>104</v>
      </c>
      <c r="I8717" s="27" t="s">
        <v>29</v>
      </c>
      <c r="J8717" s="37">
        <v>46048</v>
      </c>
      <c r="K8717" s="27" t="s">
        <v>22</v>
      </c>
    </row>
    <row r="8718" spans="1:11" x14ac:dyDescent="0.2">
      <c r="A8718" s="24" t="s">
        <v>20233</v>
      </c>
      <c r="B8718" s="24" t="s">
        <v>20234</v>
      </c>
      <c r="C8718" s="24" t="s">
        <v>20235</v>
      </c>
      <c r="D8718" s="24" t="s">
        <v>17</v>
      </c>
      <c r="E8718" s="24" t="s">
        <v>42</v>
      </c>
      <c r="F8718" s="24" t="s">
        <v>43</v>
      </c>
      <c r="G8718" s="24" t="s">
        <v>28</v>
      </c>
      <c r="H8718" s="26">
        <v>5</v>
      </c>
      <c r="I8718" s="24" t="s">
        <v>29</v>
      </c>
      <c r="J8718" s="36">
        <v>46027</v>
      </c>
      <c r="K8718" s="24" t="s">
        <v>22</v>
      </c>
    </row>
    <row r="8719" spans="1:11" x14ac:dyDescent="0.2">
      <c r="A8719" s="27" t="s">
        <v>20236</v>
      </c>
      <c r="B8719" s="27" t="s">
        <v>20237</v>
      </c>
      <c r="C8719" s="27" t="s">
        <v>595</v>
      </c>
      <c r="D8719" s="27" t="s">
        <v>17</v>
      </c>
      <c r="E8719" s="27" t="s">
        <v>42</v>
      </c>
      <c r="F8719" s="27" t="s">
        <v>43</v>
      </c>
      <c r="G8719" s="27" t="s">
        <v>217</v>
      </c>
      <c r="H8719" s="29">
        <v>68</v>
      </c>
      <c r="I8719" s="27" t="s">
        <v>29</v>
      </c>
      <c r="J8719" s="37">
        <v>46032</v>
      </c>
      <c r="K8719" s="27" t="s">
        <v>22</v>
      </c>
    </row>
    <row r="8720" spans="1:11" x14ac:dyDescent="0.2">
      <c r="A8720" s="24" t="s">
        <v>20238</v>
      </c>
      <c r="B8720" s="24" t="s">
        <v>20239</v>
      </c>
      <c r="C8720" s="24" t="s">
        <v>5347</v>
      </c>
      <c r="D8720" s="24" t="s">
        <v>17</v>
      </c>
      <c r="E8720" s="24" t="s">
        <v>48</v>
      </c>
      <c r="F8720" s="24" t="s">
        <v>49</v>
      </c>
      <c r="G8720" s="24" t="s">
        <v>28</v>
      </c>
      <c r="H8720" s="26">
        <v>80</v>
      </c>
      <c r="I8720" s="24" t="s">
        <v>29</v>
      </c>
      <c r="J8720" s="36">
        <v>46053</v>
      </c>
      <c r="K8720" s="24" t="s">
        <v>22</v>
      </c>
    </row>
    <row r="8721" spans="1:11" x14ac:dyDescent="0.2">
      <c r="A8721" s="27" t="s">
        <v>20240</v>
      </c>
      <c r="B8721" s="27" t="s">
        <v>20241</v>
      </c>
      <c r="C8721" s="27" t="s">
        <v>1895</v>
      </c>
      <c r="D8721" s="27" t="s">
        <v>17</v>
      </c>
      <c r="E8721" s="27" t="s">
        <v>26</v>
      </c>
      <c r="F8721" s="27" t="s">
        <v>27</v>
      </c>
      <c r="G8721" s="27" t="s">
        <v>217</v>
      </c>
      <c r="H8721" s="29">
        <v>36</v>
      </c>
      <c r="I8721" s="27" t="s">
        <v>29</v>
      </c>
      <c r="J8721" s="37">
        <v>46037</v>
      </c>
      <c r="K8721" s="27" t="s">
        <v>22</v>
      </c>
    </row>
    <row r="8722" spans="1:11" x14ac:dyDescent="0.2">
      <c r="A8722" s="24" t="s">
        <v>20242</v>
      </c>
      <c r="B8722" s="24" t="s">
        <v>20243</v>
      </c>
      <c r="C8722" s="24" t="s">
        <v>2309</v>
      </c>
      <c r="D8722" s="24" t="s">
        <v>17</v>
      </c>
      <c r="E8722" s="24" t="s">
        <v>18</v>
      </c>
      <c r="F8722" s="24" t="s">
        <v>19</v>
      </c>
      <c r="G8722" s="24" t="s">
        <v>217</v>
      </c>
      <c r="H8722" s="26">
        <v>60</v>
      </c>
      <c r="I8722" s="24" t="s">
        <v>29</v>
      </c>
      <c r="J8722" s="36">
        <v>46023</v>
      </c>
      <c r="K8722" s="24" t="s">
        <v>22</v>
      </c>
    </row>
    <row r="8723" spans="1:11" x14ac:dyDescent="0.2">
      <c r="A8723" s="27" t="s">
        <v>20244</v>
      </c>
      <c r="B8723" s="27" t="s">
        <v>20245</v>
      </c>
      <c r="C8723" s="27" t="s">
        <v>2123</v>
      </c>
      <c r="D8723" s="27" t="s">
        <v>17</v>
      </c>
      <c r="E8723" s="27" t="s">
        <v>18</v>
      </c>
      <c r="F8723" s="27" t="s">
        <v>19</v>
      </c>
      <c r="G8723" s="27" t="s">
        <v>28</v>
      </c>
      <c r="H8723" s="29">
        <v>96</v>
      </c>
      <c r="I8723" s="27" t="s">
        <v>29</v>
      </c>
      <c r="J8723" s="37">
        <v>46026</v>
      </c>
      <c r="K8723" s="27" t="s">
        <v>22</v>
      </c>
    </row>
    <row r="8724" spans="1:11" x14ac:dyDescent="0.2">
      <c r="A8724" s="24" t="s">
        <v>20246</v>
      </c>
      <c r="B8724" s="24" t="s">
        <v>20247</v>
      </c>
      <c r="C8724" s="24" t="s">
        <v>146</v>
      </c>
      <c r="D8724" s="24" t="s">
        <v>17</v>
      </c>
      <c r="E8724" s="24" t="s">
        <v>18</v>
      </c>
      <c r="F8724" s="24" t="s">
        <v>19</v>
      </c>
      <c r="G8724" s="24" t="s">
        <v>217</v>
      </c>
      <c r="H8724" s="26">
        <v>30</v>
      </c>
      <c r="I8724" s="24" t="s">
        <v>29</v>
      </c>
      <c r="J8724" s="36">
        <v>46036</v>
      </c>
      <c r="K8724" s="24" t="s">
        <v>22</v>
      </c>
    </row>
    <row r="8725" spans="1:11" x14ac:dyDescent="0.2">
      <c r="A8725" s="27" t="s">
        <v>20248</v>
      </c>
      <c r="B8725" s="27" t="s">
        <v>20249</v>
      </c>
      <c r="C8725" s="27" t="s">
        <v>20250</v>
      </c>
      <c r="D8725" s="27" t="s">
        <v>17</v>
      </c>
      <c r="E8725" s="27" t="s">
        <v>26</v>
      </c>
      <c r="F8725" s="27" t="s">
        <v>27</v>
      </c>
      <c r="G8725" s="27" t="s">
        <v>217</v>
      </c>
      <c r="H8725" s="29">
        <v>36</v>
      </c>
      <c r="I8725" s="27" t="s">
        <v>29</v>
      </c>
      <c r="J8725" s="37">
        <v>46023</v>
      </c>
      <c r="K8725" s="27" t="s">
        <v>22</v>
      </c>
    </row>
    <row r="8726" spans="1:11" x14ac:dyDescent="0.2">
      <c r="A8726" s="24" t="s">
        <v>20251</v>
      </c>
      <c r="B8726" s="24" t="s">
        <v>20252</v>
      </c>
      <c r="C8726" s="24" t="s">
        <v>7601</v>
      </c>
      <c r="D8726" s="24" t="s">
        <v>17</v>
      </c>
      <c r="E8726" s="24" t="s">
        <v>42</v>
      </c>
      <c r="F8726" s="24" t="s">
        <v>43</v>
      </c>
      <c r="G8726" s="24" t="s">
        <v>28</v>
      </c>
      <c r="H8726" s="26">
        <v>80</v>
      </c>
      <c r="I8726" s="24" t="s">
        <v>29</v>
      </c>
      <c r="J8726" s="36">
        <v>46036</v>
      </c>
      <c r="K8726" s="24" t="s">
        <v>22</v>
      </c>
    </row>
    <row r="8727" spans="1:11" x14ac:dyDescent="0.2">
      <c r="A8727" s="27" t="s">
        <v>20253</v>
      </c>
      <c r="B8727" s="27" t="s">
        <v>20254</v>
      </c>
      <c r="C8727" s="27" t="s">
        <v>71</v>
      </c>
      <c r="D8727" s="27" t="s">
        <v>17</v>
      </c>
      <c r="E8727" s="27" t="s">
        <v>42</v>
      </c>
      <c r="F8727" s="27" t="s">
        <v>43</v>
      </c>
      <c r="G8727" s="27" t="s">
        <v>28</v>
      </c>
      <c r="H8727" s="29">
        <v>420</v>
      </c>
      <c r="I8727" s="27" t="s">
        <v>29</v>
      </c>
      <c r="J8727" s="37">
        <v>46044</v>
      </c>
      <c r="K8727" s="27" t="s">
        <v>22</v>
      </c>
    </row>
    <row r="8728" spans="1:11" x14ac:dyDescent="0.2">
      <c r="A8728" s="24" t="s">
        <v>20255</v>
      </c>
      <c r="B8728" s="24" t="s">
        <v>20256</v>
      </c>
      <c r="C8728" s="24" t="s">
        <v>19409</v>
      </c>
      <c r="D8728" s="24" t="s">
        <v>17</v>
      </c>
      <c r="E8728" s="24" t="s">
        <v>18</v>
      </c>
      <c r="F8728" s="24" t="s">
        <v>19</v>
      </c>
      <c r="G8728" s="24" t="s">
        <v>217</v>
      </c>
      <c r="H8728" s="26">
        <v>12</v>
      </c>
      <c r="I8728" s="24" t="s">
        <v>29</v>
      </c>
      <c r="J8728" s="36">
        <v>46053</v>
      </c>
      <c r="K8728" s="24" t="s">
        <v>22</v>
      </c>
    </row>
    <row r="8729" spans="1:11" x14ac:dyDescent="0.2">
      <c r="A8729" s="27" t="s">
        <v>20257</v>
      </c>
      <c r="B8729" s="27" t="s">
        <v>20258</v>
      </c>
      <c r="C8729" s="27" t="s">
        <v>437</v>
      </c>
      <c r="D8729" s="27" t="s">
        <v>17</v>
      </c>
      <c r="E8729" s="27" t="s">
        <v>18</v>
      </c>
      <c r="F8729" s="27" t="s">
        <v>19</v>
      </c>
      <c r="G8729" s="27" t="s">
        <v>217</v>
      </c>
      <c r="H8729" s="29">
        <v>464</v>
      </c>
      <c r="I8729" s="27" t="s">
        <v>29</v>
      </c>
      <c r="J8729" s="37">
        <v>46043</v>
      </c>
      <c r="K8729" s="27" t="s">
        <v>22</v>
      </c>
    </row>
    <row r="8730" spans="1:11" x14ac:dyDescent="0.2">
      <c r="A8730" s="24" t="s">
        <v>20259</v>
      </c>
      <c r="B8730" s="24" t="s">
        <v>20260</v>
      </c>
      <c r="C8730" s="24" t="s">
        <v>5719</v>
      </c>
      <c r="D8730" s="24" t="s">
        <v>17</v>
      </c>
      <c r="E8730" s="24" t="s">
        <v>26</v>
      </c>
      <c r="F8730" s="24" t="s">
        <v>27</v>
      </c>
      <c r="G8730" s="24" t="s">
        <v>217</v>
      </c>
      <c r="H8730" s="26">
        <v>340</v>
      </c>
      <c r="I8730" s="24" t="s">
        <v>29</v>
      </c>
      <c r="J8730" s="36">
        <v>46048</v>
      </c>
      <c r="K8730" s="24" t="s">
        <v>22</v>
      </c>
    </row>
    <row r="8731" spans="1:11" x14ac:dyDescent="0.2">
      <c r="A8731" s="27" t="s">
        <v>20261</v>
      </c>
      <c r="B8731" s="27" t="s">
        <v>20262</v>
      </c>
      <c r="C8731" s="27" t="s">
        <v>97</v>
      </c>
      <c r="D8731" s="27" t="s">
        <v>17</v>
      </c>
      <c r="E8731" s="27" t="s">
        <v>81</v>
      </c>
      <c r="F8731" s="27" t="s">
        <v>82</v>
      </c>
      <c r="G8731" s="27" t="s">
        <v>217</v>
      </c>
      <c r="H8731" s="29">
        <v>100</v>
      </c>
      <c r="I8731" s="27" t="s">
        <v>29</v>
      </c>
      <c r="J8731" s="37">
        <v>46037</v>
      </c>
      <c r="K8731" s="27" t="s">
        <v>22</v>
      </c>
    </row>
    <row r="8732" spans="1:11" x14ac:dyDescent="0.2">
      <c r="A8732" s="24" t="s">
        <v>20263</v>
      </c>
      <c r="B8732" s="24" t="s">
        <v>20264</v>
      </c>
      <c r="C8732" s="24" t="s">
        <v>20265</v>
      </c>
      <c r="D8732" s="24" t="s">
        <v>17</v>
      </c>
      <c r="E8732" s="24" t="s">
        <v>18</v>
      </c>
      <c r="F8732" s="24" t="s">
        <v>19</v>
      </c>
      <c r="G8732" s="24" t="s">
        <v>28</v>
      </c>
      <c r="H8732" s="26">
        <v>83</v>
      </c>
      <c r="I8732" s="24" t="s">
        <v>29</v>
      </c>
      <c r="J8732" s="36">
        <v>46036</v>
      </c>
      <c r="K8732" s="24" t="s">
        <v>22</v>
      </c>
    </row>
    <row r="8733" spans="1:11" x14ac:dyDescent="0.2">
      <c r="A8733" s="27" t="s">
        <v>20266</v>
      </c>
      <c r="B8733" s="27" t="s">
        <v>20267</v>
      </c>
      <c r="C8733" s="27" t="s">
        <v>20268</v>
      </c>
      <c r="D8733" s="27" t="s">
        <v>17</v>
      </c>
      <c r="E8733" s="27" t="s">
        <v>18</v>
      </c>
      <c r="F8733" s="27" t="s">
        <v>19</v>
      </c>
      <c r="G8733" s="27" t="s">
        <v>217</v>
      </c>
      <c r="H8733" s="29">
        <v>36</v>
      </c>
      <c r="I8733" s="27" t="s">
        <v>29</v>
      </c>
      <c r="J8733" s="37">
        <v>46023</v>
      </c>
      <c r="K8733" s="27" t="s">
        <v>22</v>
      </c>
    </row>
    <row r="8734" spans="1:11" x14ac:dyDescent="0.2">
      <c r="A8734" s="24" t="s">
        <v>20269</v>
      </c>
      <c r="B8734" s="24" t="s">
        <v>20270</v>
      </c>
      <c r="C8734" s="24" t="s">
        <v>20271</v>
      </c>
      <c r="D8734" s="24" t="s">
        <v>17</v>
      </c>
      <c r="E8734" s="24" t="s">
        <v>42</v>
      </c>
      <c r="F8734" s="24" t="s">
        <v>43</v>
      </c>
      <c r="G8734" s="24" t="s">
        <v>217</v>
      </c>
      <c r="H8734" s="26">
        <v>114</v>
      </c>
      <c r="I8734" s="24" t="s">
        <v>29</v>
      </c>
      <c r="J8734" s="36">
        <v>46037</v>
      </c>
      <c r="K8734" s="24" t="s">
        <v>22</v>
      </c>
    </row>
    <row r="8735" spans="1:11" x14ac:dyDescent="0.2">
      <c r="A8735" s="27" t="s">
        <v>20272</v>
      </c>
      <c r="B8735" s="27" t="s">
        <v>20273</v>
      </c>
      <c r="C8735" s="27" t="s">
        <v>6436</v>
      </c>
      <c r="D8735" s="27" t="s">
        <v>17</v>
      </c>
      <c r="E8735" s="27" t="s">
        <v>18</v>
      </c>
      <c r="F8735" s="27" t="s">
        <v>19</v>
      </c>
      <c r="G8735" s="27" t="s">
        <v>28</v>
      </c>
      <c r="H8735" s="29">
        <v>18</v>
      </c>
      <c r="I8735" s="27" t="s">
        <v>29</v>
      </c>
      <c r="J8735" s="37">
        <v>46037</v>
      </c>
      <c r="K8735" s="27" t="s">
        <v>22</v>
      </c>
    </row>
    <row r="8736" spans="1:11" x14ac:dyDescent="0.2">
      <c r="A8736" s="24" t="s">
        <v>20274</v>
      </c>
      <c r="B8736" s="24" t="s">
        <v>20275</v>
      </c>
      <c r="C8736" s="24" t="s">
        <v>97</v>
      </c>
      <c r="D8736" s="24" t="s">
        <v>17</v>
      </c>
      <c r="E8736" s="24" t="s">
        <v>48</v>
      </c>
      <c r="F8736" s="24" t="s">
        <v>49</v>
      </c>
      <c r="G8736" s="24" t="s">
        <v>217</v>
      </c>
      <c r="H8736" s="26">
        <v>80</v>
      </c>
      <c r="I8736" s="24" t="s">
        <v>29</v>
      </c>
      <c r="J8736" s="36">
        <v>46052</v>
      </c>
      <c r="K8736" s="24" t="s">
        <v>22</v>
      </c>
    </row>
    <row r="8737" spans="1:11" x14ac:dyDescent="0.2">
      <c r="A8737" s="27" t="s">
        <v>20276</v>
      </c>
      <c r="B8737" s="27" t="s">
        <v>20277</v>
      </c>
      <c r="C8737" s="27" t="s">
        <v>1839</v>
      </c>
      <c r="D8737" s="27" t="s">
        <v>17</v>
      </c>
      <c r="E8737" s="27" t="s">
        <v>18</v>
      </c>
      <c r="F8737" s="27" t="s">
        <v>19</v>
      </c>
      <c r="G8737" s="27" t="s">
        <v>28</v>
      </c>
      <c r="H8737" s="29">
        <v>32</v>
      </c>
      <c r="I8737" s="27" t="s">
        <v>29</v>
      </c>
      <c r="J8737" s="37">
        <v>46048</v>
      </c>
      <c r="K8737" s="27" t="s">
        <v>22</v>
      </c>
    </row>
    <row r="8738" spans="1:11" x14ac:dyDescent="0.2">
      <c r="A8738" s="24" t="s">
        <v>20278</v>
      </c>
      <c r="B8738" s="24" t="s">
        <v>20279</v>
      </c>
      <c r="C8738" s="24" t="s">
        <v>20280</v>
      </c>
      <c r="D8738" s="24" t="s">
        <v>17</v>
      </c>
      <c r="E8738" s="24" t="s">
        <v>42</v>
      </c>
      <c r="F8738" s="24" t="s">
        <v>43</v>
      </c>
      <c r="G8738" s="24" t="s">
        <v>217</v>
      </c>
      <c r="H8738" s="26">
        <v>306</v>
      </c>
      <c r="I8738" s="24" t="s">
        <v>29</v>
      </c>
      <c r="J8738" s="36">
        <v>46052</v>
      </c>
      <c r="K8738" s="24" t="s">
        <v>22</v>
      </c>
    </row>
    <row r="8739" spans="1:11" x14ac:dyDescent="0.2">
      <c r="A8739" s="27" t="s">
        <v>20281</v>
      </c>
      <c r="B8739" s="27" t="s">
        <v>20282</v>
      </c>
      <c r="C8739" s="27" t="s">
        <v>20283</v>
      </c>
      <c r="D8739" s="27" t="s">
        <v>17</v>
      </c>
      <c r="E8739" s="27" t="s">
        <v>26</v>
      </c>
      <c r="F8739" s="27" t="s">
        <v>27</v>
      </c>
      <c r="G8739" s="27" t="s">
        <v>28</v>
      </c>
      <c r="H8739" s="29">
        <v>138</v>
      </c>
      <c r="I8739" s="27" t="s">
        <v>29</v>
      </c>
      <c r="J8739" s="37">
        <v>46023</v>
      </c>
      <c r="K8739" s="27" t="s">
        <v>22</v>
      </c>
    </row>
    <row r="8740" spans="1:11" x14ac:dyDescent="0.2">
      <c r="A8740" s="24" t="s">
        <v>20284</v>
      </c>
      <c r="B8740" s="24" t="s">
        <v>20285</v>
      </c>
      <c r="C8740" s="24" t="s">
        <v>20286</v>
      </c>
      <c r="D8740" s="24" t="s">
        <v>17</v>
      </c>
      <c r="E8740" s="24" t="s">
        <v>42</v>
      </c>
      <c r="F8740" s="24" t="s">
        <v>43</v>
      </c>
      <c r="G8740" s="24" t="s">
        <v>28</v>
      </c>
      <c r="H8740" s="26">
        <v>8</v>
      </c>
      <c r="I8740" s="24" t="s">
        <v>29</v>
      </c>
      <c r="J8740" s="36">
        <v>46030</v>
      </c>
      <c r="K8740" s="24" t="s">
        <v>22</v>
      </c>
    </row>
    <row r="8741" spans="1:11" x14ac:dyDescent="0.2">
      <c r="A8741" s="27" t="s">
        <v>20287</v>
      </c>
      <c r="B8741" s="27" t="s">
        <v>20288</v>
      </c>
      <c r="C8741" s="27" t="s">
        <v>801</v>
      </c>
      <c r="D8741" s="27" t="s">
        <v>17</v>
      </c>
      <c r="E8741" s="27" t="s">
        <v>18</v>
      </c>
      <c r="F8741" s="27" t="s">
        <v>19</v>
      </c>
      <c r="G8741" s="27" t="s">
        <v>28</v>
      </c>
      <c r="H8741" s="29">
        <v>136</v>
      </c>
      <c r="I8741" s="27" t="s">
        <v>29</v>
      </c>
      <c r="J8741" s="37">
        <v>46035</v>
      </c>
      <c r="K8741" s="27" t="s">
        <v>22</v>
      </c>
    </row>
    <row r="8742" spans="1:11" x14ac:dyDescent="0.2">
      <c r="A8742" s="24" t="s">
        <v>20289</v>
      </c>
      <c r="B8742" s="24" t="s">
        <v>20290</v>
      </c>
      <c r="C8742" s="24" t="s">
        <v>388</v>
      </c>
      <c r="D8742" s="24" t="s">
        <v>17</v>
      </c>
      <c r="E8742" s="24" t="s">
        <v>42</v>
      </c>
      <c r="F8742" s="24" t="s">
        <v>43</v>
      </c>
      <c r="G8742" s="24" t="s">
        <v>28</v>
      </c>
      <c r="H8742" s="26">
        <v>135</v>
      </c>
      <c r="I8742" s="24" t="s">
        <v>29</v>
      </c>
      <c r="J8742" s="36">
        <v>46048</v>
      </c>
      <c r="K8742" s="24" t="s">
        <v>22</v>
      </c>
    </row>
    <row r="8743" spans="1:11" x14ac:dyDescent="0.2">
      <c r="A8743" s="27" t="s">
        <v>20291</v>
      </c>
      <c r="B8743" s="27" t="s">
        <v>20292</v>
      </c>
      <c r="C8743" s="27" t="s">
        <v>1110</v>
      </c>
      <c r="D8743" s="27" t="s">
        <v>17</v>
      </c>
      <c r="E8743" s="27" t="s">
        <v>18</v>
      </c>
      <c r="F8743" s="27" t="s">
        <v>19</v>
      </c>
      <c r="G8743" s="27" t="s">
        <v>28</v>
      </c>
      <c r="H8743" s="29">
        <v>50</v>
      </c>
      <c r="I8743" s="27" t="s">
        <v>29</v>
      </c>
      <c r="J8743" s="37">
        <v>46049</v>
      </c>
      <c r="K8743" s="27" t="s">
        <v>22</v>
      </c>
    </row>
    <row r="8744" spans="1:11" x14ac:dyDescent="0.2">
      <c r="A8744" s="24" t="s">
        <v>20293</v>
      </c>
      <c r="B8744" s="24" t="s">
        <v>20294</v>
      </c>
      <c r="C8744" s="24" t="s">
        <v>1059</v>
      </c>
      <c r="D8744" s="24" t="s">
        <v>17</v>
      </c>
      <c r="E8744" s="24" t="s">
        <v>18</v>
      </c>
      <c r="F8744" s="24" t="s">
        <v>19</v>
      </c>
      <c r="G8744" s="24" t="s">
        <v>217</v>
      </c>
      <c r="H8744" s="26">
        <v>41</v>
      </c>
      <c r="I8744" s="24" t="s">
        <v>29</v>
      </c>
      <c r="J8744" s="36">
        <v>46049</v>
      </c>
      <c r="K8744" s="24" t="s">
        <v>22</v>
      </c>
    </row>
    <row r="8745" spans="1:11" x14ac:dyDescent="0.2">
      <c r="A8745" s="27" t="s">
        <v>20295</v>
      </c>
      <c r="B8745" s="27" t="s">
        <v>20296</v>
      </c>
      <c r="C8745" s="27" t="s">
        <v>15351</v>
      </c>
      <c r="D8745" s="27" t="s">
        <v>17</v>
      </c>
      <c r="E8745" s="27" t="s">
        <v>81</v>
      </c>
      <c r="F8745" s="27" t="s">
        <v>82</v>
      </c>
      <c r="G8745" s="27" t="s">
        <v>217</v>
      </c>
      <c r="H8745" s="29">
        <v>60</v>
      </c>
      <c r="I8745" s="27" t="s">
        <v>29</v>
      </c>
      <c r="J8745" s="37">
        <v>46052</v>
      </c>
      <c r="K8745" s="27" t="s">
        <v>22</v>
      </c>
    </row>
    <row r="8746" spans="1:11" x14ac:dyDescent="0.2">
      <c r="A8746" s="24" t="s">
        <v>20297</v>
      </c>
      <c r="B8746" s="24" t="s">
        <v>20298</v>
      </c>
      <c r="C8746" s="24" t="s">
        <v>134</v>
      </c>
      <c r="D8746" s="24" t="s">
        <v>17</v>
      </c>
      <c r="E8746" s="24" t="s">
        <v>42</v>
      </c>
      <c r="F8746" s="24" t="s">
        <v>43</v>
      </c>
      <c r="G8746" s="24" t="s">
        <v>28</v>
      </c>
      <c r="H8746" s="26">
        <v>166</v>
      </c>
      <c r="I8746" s="24" t="s">
        <v>29</v>
      </c>
      <c r="J8746" s="36">
        <v>46051</v>
      </c>
      <c r="K8746" s="24" t="s">
        <v>22</v>
      </c>
    </row>
    <row r="8747" spans="1:11" x14ac:dyDescent="0.2">
      <c r="A8747" s="27" t="s">
        <v>20299</v>
      </c>
      <c r="B8747" s="27" t="s">
        <v>20300</v>
      </c>
      <c r="C8747" s="27" t="s">
        <v>12684</v>
      </c>
      <c r="D8747" s="27" t="s">
        <v>17</v>
      </c>
      <c r="E8747" s="27" t="s">
        <v>48</v>
      </c>
      <c r="F8747" s="27" t="s">
        <v>49</v>
      </c>
      <c r="G8747" s="27" t="s">
        <v>28</v>
      </c>
      <c r="H8747" s="29">
        <v>15</v>
      </c>
      <c r="I8747" s="27" t="s">
        <v>29</v>
      </c>
      <c r="J8747" s="37">
        <v>46023</v>
      </c>
      <c r="K8747" s="27" t="s">
        <v>22</v>
      </c>
    </row>
    <row r="8748" spans="1:11" x14ac:dyDescent="0.2">
      <c r="A8748" s="24" t="s">
        <v>20301</v>
      </c>
      <c r="B8748" s="24" t="s">
        <v>20302</v>
      </c>
      <c r="C8748" s="24" t="s">
        <v>55</v>
      </c>
      <c r="D8748" s="24" t="s">
        <v>17</v>
      </c>
      <c r="E8748" s="24" t="s">
        <v>42</v>
      </c>
      <c r="F8748" s="24" t="s">
        <v>43</v>
      </c>
      <c r="G8748" s="24" t="s">
        <v>28</v>
      </c>
      <c r="H8748" s="26">
        <v>1023</v>
      </c>
      <c r="I8748" s="24" t="s">
        <v>29</v>
      </c>
      <c r="J8748" s="36">
        <v>46041</v>
      </c>
      <c r="K8748" s="24" t="s">
        <v>22</v>
      </c>
    </row>
    <row r="8749" spans="1:11" x14ac:dyDescent="0.2">
      <c r="A8749" s="27" t="s">
        <v>20303</v>
      </c>
      <c r="B8749" s="27" t="s">
        <v>20304</v>
      </c>
      <c r="C8749" s="27" t="s">
        <v>213</v>
      </c>
      <c r="D8749" s="27" t="s">
        <v>17</v>
      </c>
      <c r="E8749" s="27" t="s">
        <v>42</v>
      </c>
      <c r="F8749" s="27" t="s">
        <v>43</v>
      </c>
      <c r="G8749" s="27" t="s">
        <v>28</v>
      </c>
      <c r="H8749" s="29">
        <v>1410</v>
      </c>
      <c r="I8749" s="27" t="s">
        <v>29</v>
      </c>
      <c r="J8749" s="37">
        <v>46028</v>
      </c>
      <c r="K8749" s="27" t="s">
        <v>22</v>
      </c>
    </row>
    <row r="8750" spans="1:11" x14ac:dyDescent="0.2">
      <c r="A8750" s="24" t="s">
        <v>20305</v>
      </c>
      <c r="B8750" s="24" t="s">
        <v>20306</v>
      </c>
      <c r="C8750" s="24" t="s">
        <v>20307</v>
      </c>
      <c r="D8750" s="24" t="s">
        <v>17</v>
      </c>
      <c r="E8750" s="24" t="s">
        <v>18</v>
      </c>
      <c r="F8750" s="24" t="s">
        <v>19</v>
      </c>
      <c r="G8750" s="24" t="s">
        <v>217</v>
      </c>
      <c r="H8750" s="26">
        <v>72</v>
      </c>
      <c r="I8750" s="24" t="s">
        <v>29</v>
      </c>
      <c r="J8750" s="36">
        <v>46045</v>
      </c>
      <c r="K8750" s="24" t="s">
        <v>22</v>
      </c>
    </row>
    <row r="8751" spans="1:11" x14ac:dyDescent="0.2">
      <c r="A8751" s="27" t="s">
        <v>20308</v>
      </c>
      <c r="B8751" s="27" t="s">
        <v>20309</v>
      </c>
      <c r="C8751" s="27" t="s">
        <v>71</v>
      </c>
      <c r="D8751" s="27" t="s">
        <v>17</v>
      </c>
      <c r="E8751" s="27" t="s">
        <v>42</v>
      </c>
      <c r="F8751" s="27" t="s">
        <v>43</v>
      </c>
      <c r="G8751" s="27" t="s">
        <v>217</v>
      </c>
      <c r="H8751" s="29">
        <v>210</v>
      </c>
      <c r="I8751" s="27" t="s">
        <v>29</v>
      </c>
      <c r="J8751" s="37">
        <v>46023</v>
      </c>
      <c r="K8751" s="27" t="s">
        <v>22</v>
      </c>
    </row>
    <row r="8752" spans="1:11" x14ac:dyDescent="0.2">
      <c r="A8752" s="24" t="s">
        <v>20310</v>
      </c>
      <c r="B8752" s="24" t="s">
        <v>20311</v>
      </c>
      <c r="C8752" s="24" t="s">
        <v>20312</v>
      </c>
      <c r="D8752" s="24" t="s">
        <v>17</v>
      </c>
      <c r="E8752" s="24" t="s">
        <v>48</v>
      </c>
      <c r="F8752" s="24" t="s">
        <v>49</v>
      </c>
      <c r="G8752" s="24" t="s">
        <v>217</v>
      </c>
      <c r="H8752" s="26">
        <v>100</v>
      </c>
      <c r="I8752" s="24" t="s">
        <v>29</v>
      </c>
      <c r="J8752" s="36">
        <v>46023</v>
      </c>
      <c r="K8752" s="24" t="s">
        <v>22</v>
      </c>
    </row>
    <row r="8753" spans="1:11" x14ac:dyDescent="0.2">
      <c r="A8753" s="27" t="s">
        <v>20313</v>
      </c>
      <c r="B8753" s="27" t="s">
        <v>20314</v>
      </c>
      <c r="C8753" s="27" t="s">
        <v>20315</v>
      </c>
      <c r="D8753" s="27" t="s">
        <v>17</v>
      </c>
      <c r="E8753" s="27" t="s">
        <v>42</v>
      </c>
      <c r="F8753" s="27" t="s">
        <v>43</v>
      </c>
      <c r="G8753" s="27" t="s">
        <v>28</v>
      </c>
      <c r="H8753" s="29">
        <v>350</v>
      </c>
      <c r="I8753" s="27" t="s">
        <v>29</v>
      </c>
      <c r="J8753" s="37">
        <v>46051</v>
      </c>
      <c r="K8753" s="27" t="s">
        <v>22</v>
      </c>
    </row>
    <row r="8754" spans="1:11" x14ac:dyDescent="0.2">
      <c r="A8754" s="24" t="s">
        <v>20316</v>
      </c>
      <c r="B8754" s="24" t="s">
        <v>20317</v>
      </c>
      <c r="C8754" s="24" t="s">
        <v>690</v>
      </c>
      <c r="D8754" s="24" t="s">
        <v>17</v>
      </c>
      <c r="E8754" s="24" t="s">
        <v>42</v>
      </c>
      <c r="F8754" s="24" t="s">
        <v>43</v>
      </c>
      <c r="G8754" s="24" t="s">
        <v>217</v>
      </c>
      <c r="H8754" s="26">
        <v>300</v>
      </c>
      <c r="I8754" s="24" t="s">
        <v>29</v>
      </c>
      <c r="J8754" s="36">
        <v>46023</v>
      </c>
      <c r="K8754" s="24" t="s">
        <v>22</v>
      </c>
    </row>
    <row r="8755" spans="1:11" x14ac:dyDescent="0.2">
      <c r="A8755" s="27" t="s">
        <v>20318</v>
      </c>
      <c r="B8755" s="27" t="s">
        <v>20319</v>
      </c>
      <c r="C8755" s="27" t="s">
        <v>6189</v>
      </c>
      <c r="D8755" s="27" t="s">
        <v>17</v>
      </c>
      <c r="E8755" s="27" t="s">
        <v>42</v>
      </c>
      <c r="F8755" s="27" t="s">
        <v>43</v>
      </c>
      <c r="G8755" s="27" t="s">
        <v>44</v>
      </c>
      <c r="H8755" s="29">
        <v>1770</v>
      </c>
      <c r="I8755" s="27" t="s">
        <v>29</v>
      </c>
      <c r="J8755" s="37">
        <v>46030</v>
      </c>
      <c r="K8755" s="27" t="s">
        <v>22</v>
      </c>
    </row>
    <row r="8756" spans="1:11" x14ac:dyDescent="0.2">
      <c r="A8756" s="24" t="s">
        <v>20320</v>
      </c>
      <c r="B8756" s="24" t="s">
        <v>20321</v>
      </c>
      <c r="C8756" s="24" t="s">
        <v>1663</v>
      </c>
      <c r="D8756" s="24" t="s">
        <v>17</v>
      </c>
      <c r="E8756" s="24" t="s">
        <v>48</v>
      </c>
      <c r="F8756" s="24" t="s">
        <v>49</v>
      </c>
      <c r="G8756" s="24" t="s">
        <v>217</v>
      </c>
      <c r="H8756" s="26">
        <v>120</v>
      </c>
      <c r="I8756" s="24" t="s">
        <v>29</v>
      </c>
      <c r="J8756" s="36">
        <v>46036</v>
      </c>
      <c r="K8756" s="24" t="s">
        <v>22</v>
      </c>
    </row>
    <row r="8757" spans="1:11" x14ac:dyDescent="0.2">
      <c r="A8757" s="27" t="s">
        <v>20322</v>
      </c>
      <c r="B8757" s="27" t="s">
        <v>20323</v>
      </c>
      <c r="C8757" s="27" t="s">
        <v>7671</v>
      </c>
      <c r="D8757" s="27" t="s">
        <v>17</v>
      </c>
      <c r="E8757" s="27" t="s">
        <v>48</v>
      </c>
      <c r="F8757" s="27" t="s">
        <v>49</v>
      </c>
      <c r="G8757" s="27" t="s">
        <v>28</v>
      </c>
      <c r="H8757" s="29">
        <v>264</v>
      </c>
      <c r="I8757" s="27" t="s">
        <v>29</v>
      </c>
      <c r="J8757" s="37">
        <v>46050</v>
      </c>
      <c r="K8757" s="27" t="s">
        <v>22</v>
      </c>
    </row>
    <row r="8758" spans="1:11" x14ac:dyDescent="0.2">
      <c r="A8758" s="24" t="s">
        <v>20324</v>
      </c>
      <c r="B8758" s="24" t="s">
        <v>20325</v>
      </c>
      <c r="C8758" s="24" t="s">
        <v>20326</v>
      </c>
      <c r="D8758" s="24" t="s">
        <v>17</v>
      </c>
      <c r="E8758" s="24" t="s">
        <v>18</v>
      </c>
      <c r="F8758" s="24" t="s">
        <v>19</v>
      </c>
      <c r="G8758" s="24" t="s">
        <v>217</v>
      </c>
      <c r="H8758" s="26">
        <v>42</v>
      </c>
      <c r="I8758" s="24" t="s">
        <v>29</v>
      </c>
      <c r="J8758" s="36">
        <v>46053</v>
      </c>
      <c r="K8758" s="24" t="s">
        <v>22</v>
      </c>
    </row>
    <row r="8759" spans="1:11" x14ac:dyDescent="0.2">
      <c r="A8759" s="27" t="s">
        <v>20327</v>
      </c>
      <c r="B8759" s="27" t="s">
        <v>20328</v>
      </c>
      <c r="C8759" s="27" t="s">
        <v>5678</v>
      </c>
      <c r="D8759" s="27" t="s">
        <v>17</v>
      </c>
      <c r="E8759" s="27" t="s">
        <v>42</v>
      </c>
      <c r="F8759" s="27" t="s">
        <v>43</v>
      </c>
      <c r="G8759" s="27" t="s">
        <v>28</v>
      </c>
      <c r="H8759" s="29">
        <v>692</v>
      </c>
      <c r="I8759" s="27" t="s">
        <v>29</v>
      </c>
      <c r="J8759" s="37">
        <v>46035</v>
      </c>
      <c r="K8759" s="27" t="s">
        <v>22</v>
      </c>
    </row>
    <row r="8760" spans="1:11" x14ac:dyDescent="0.2">
      <c r="A8760" s="24" t="s">
        <v>20329</v>
      </c>
      <c r="B8760" s="24" t="s">
        <v>20330</v>
      </c>
      <c r="C8760" s="24" t="s">
        <v>20331</v>
      </c>
      <c r="D8760" s="24" t="s">
        <v>17</v>
      </c>
      <c r="E8760" s="24" t="s">
        <v>18</v>
      </c>
      <c r="F8760" s="24" t="s">
        <v>19</v>
      </c>
      <c r="G8760" s="24" t="s">
        <v>28</v>
      </c>
      <c r="H8760" s="26">
        <v>12</v>
      </c>
      <c r="I8760" s="24" t="s">
        <v>29</v>
      </c>
      <c r="J8760" s="36">
        <v>46037</v>
      </c>
      <c r="K8760" s="24" t="s">
        <v>22</v>
      </c>
    </row>
    <row r="8761" spans="1:11" x14ac:dyDescent="0.2">
      <c r="A8761" s="27" t="s">
        <v>20332</v>
      </c>
      <c r="B8761" s="27" t="s">
        <v>20333</v>
      </c>
      <c r="C8761" s="27" t="s">
        <v>277</v>
      </c>
      <c r="D8761" s="27" t="s">
        <v>17</v>
      </c>
      <c r="E8761" s="27" t="s">
        <v>42</v>
      </c>
      <c r="F8761" s="27" t="s">
        <v>43</v>
      </c>
      <c r="G8761" s="27" t="s">
        <v>28</v>
      </c>
      <c r="H8761" s="29">
        <v>30</v>
      </c>
      <c r="I8761" s="27" t="s">
        <v>29</v>
      </c>
      <c r="J8761" s="37">
        <v>46052</v>
      </c>
      <c r="K8761" s="27" t="s">
        <v>22</v>
      </c>
    </row>
    <row r="8762" spans="1:11" x14ac:dyDescent="0.2">
      <c r="A8762" s="24" t="s">
        <v>20334</v>
      </c>
      <c r="B8762" s="24" t="s">
        <v>20335</v>
      </c>
      <c r="C8762" s="24" t="s">
        <v>1050</v>
      </c>
      <c r="D8762" s="24" t="s">
        <v>17</v>
      </c>
      <c r="E8762" s="24" t="s">
        <v>18</v>
      </c>
      <c r="F8762" s="24" t="s">
        <v>19</v>
      </c>
      <c r="G8762" s="24" t="s">
        <v>28</v>
      </c>
      <c r="H8762" s="26">
        <v>74</v>
      </c>
      <c r="I8762" s="24" t="s">
        <v>29</v>
      </c>
      <c r="J8762" s="36">
        <v>46034</v>
      </c>
      <c r="K8762" s="24" t="s">
        <v>22</v>
      </c>
    </row>
    <row r="8763" spans="1:11" x14ac:dyDescent="0.2">
      <c r="A8763" s="27" t="s">
        <v>20336</v>
      </c>
      <c r="B8763" s="27" t="s">
        <v>20337</v>
      </c>
      <c r="C8763" s="27" t="s">
        <v>12657</v>
      </c>
      <c r="D8763" s="27" t="s">
        <v>17</v>
      </c>
      <c r="E8763" s="27" t="s">
        <v>18</v>
      </c>
      <c r="F8763" s="27" t="s">
        <v>19</v>
      </c>
      <c r="G8763" s="27" t="s">
        <v>28</v>
      </c>
      <c r="H8763" s="29">
        <v>24</v>
      </c>
      <c r="I8763" s="27" t="s">
        <v>29</v>
      </c>
      <c r="J8763" s="37">
        <v>46028</v>
      </c>
      <c r="K8763" s="27" t="s">
        <v>22</v>
      </c>
    </row>
    <row r="8764" spans="1:11" x14ac:dyDescent="0.2">
      <c r="A8764" s="24" t="s">
        <v>20338</v>
      </c>
      <c r="B8764" s="24" t="s">
        <v>20339</v>
      </c>
      <c r="C8764" s="24" t="s">
        <v>115</v>
      </c>
      <c r="D8764" s="24" t="s">
        <v>17</v>
      </c>
      <c r="E8764" s="24" t="s">
        <v>42</v>
      </c>
      <c r="F8764" s="24" t="s">
        <v>43</v>
      </c>
      <c r="G8764" s="24" t="s">
        <v>28</v>
      </c>
      <c r="H8764" s="26">
        <v>183</v>
      </c>
      <c r="I8764" s="24" t="s">
        <v>29</v>
      </c>
      <c r="J8764" s="36">
        <v>46036</v>
      </c>
      <c r="K8764" s="24" t="s">
        <v>22</v>
      </c>
    </row>
    <row r="8765" spans="1:11" x14ac:dyDescent="0.2">
      <c r="A8765" s="27" t="s">
        <v>20340</v>
      </c>
      <c r="B8765" s="27" t="s">
        <v>20341</v>
      </c>
      <c r="C8765" s="27" t="s">
        <v>14417</v>
      </c>
      <c r="D8765" s="27" t="s">
        <v>17</v>
      </c>
      <c r="E8765" s="27" t="s">
        <v>26</v>
      </c>
      <c r="F8765" s="27" t="s">
        <v>27</v>
      </c>
      <c r="G8765" s="27" t="s">
        <v>28</v>
      </c>
      <c r="H8765" s="29">
        <v>220</v>
      </c>
      <c r="I8765" s="27" t="s">
        <v>29</v>
      </c>
      <c r="J8765" s="37">
        <v>46049</v>
      </c>
      <c r="K8765" s="27" t="s">
        <v>22</v>
      </c>
    </row>
    <row r="8766" spans="1:11" x14ac:dyDescent="0.2">
      <c r="A8766" s="24" t="s">
        <v>20342</v>
      </c>
      <c r="B8766" s="24" t="s">
        <v>20343</v>
      </c>
      <c r="C8766" s="24" t="s">
        <v>3176</v>
      </c>
      <c r="D8766" s="24" t="s">
        <v>17</v>
      </c>
      <c r="E8766" s="24" t="s">
        <v>48</v>
      </c>
      <c r="F8766" s="24" t="s">
        <v>49</v>
      </c>
      <c r="G8766" s="24" t="s">
        <v>217</v>
      </c>
      <c r="H8766" s="26">
        <v>160</v>
      </c>
      <c r="I8766" s="24" t="s">
        <v>29</v>
      </c>
      <c r="J8766" s="36">
        <v>46023</v>
      </c>
      <c r="K8766" s="24" t="s">
        <v>22</v>
      </c>
    </row>
    <row r="8767" spans="1:11" x14ac:dyDescent="0.2">
      <c r="A8767" s="27" t="s">
        <v>20344</v>
      </c>
      <c r="B8767" s="27" t="s">
        <v>20345</v>
      </c>
      <c r="C8767" s="27" t="s">
        <v>512</v>
      </c>
      <c r="D8767" s="27" t="s">
        <v>17</v>
      </c>
      <c r="E8767" s="27" t="s">
        <v>18</v>
      </c>
      <c r="F8767" s="27" t="s">
        <v>19</v>
      </c>
      <c r="G8767" s="27" t="s">
        <v>28</v>
      </c>
      <c r="H8767" s="29">
        <v>18</v>
      </c>
      <c r="I8767" s="27" t="s">
        <v>29</v>
      </c>
      <c r="J8767" s="37">
        <v>46048</v>
      </c>
      <c r="K8767" s="27" t="s">
        <v>22</v>
      </c>
    </row>
    <row r="8768" spans="1:11" x14ac:dyDescent="0.2">
      <c r="A8768" s="24" t="s">
        <v>20346</v>
      </c>
      <c r="B8768" s="24" t="s">
        <v>20347</v>
      </c>
      <c r="C8768" s="24" t="s">
        <v>2657</v>
      </c>
      <c r="D8768" s="24" t="s">
        <v>17</v>
      </c>
      <c r="E8768" s="24" t="s">
        <v>42</v>
      </c>
      <c r="F8768" s="24" t="s">
        <v>43</v>
      </c>
      <c r="G8768" s="24" t="s">
        <v>217</v>
      </c>
      <c r="H8768" s="26">
        <v>450</v>
      </c>
      <c r="I8768" s="24" t="s">
        <v>29</v>
      </c>
      <c r="J8768" s="36">
        <v>46023</v>
      </c>
      <c r="K8768" s="24" t="s">
        <v>22</v>
      </c>
    </row>
    <row r="8769" spans="1:11" x14ac:dyDescent="0.2">
      <c r="A8769" s="27" t="s">
        <v>20348</v>
      </c>
      <c r="B8769" s="27" t="s">
        <v>20349</v>
      </c>
      <c r="C8769" s="27" t="s">
        <v>6457</v>
      </c>
      <c r="D8769" s="27" t="s">
        <v>17</v>
      </c>
      <c r="E8769" s="27" t="s">
        <v>48</v>
      </c>
      <c r="F8769" s="27" t="s">
        <v>49</v>
      </c>
      <c r="G8769" s="27" t="s">
        <v>217</v>
      </c>
      <c r="H8769" s="29">
        <v>800</v>
      </c>
      <c r="I8769" s="27" t="s">
        <v>29</v>
      </c>
      <c r="J8769" s="37">
        <v>46032</v>
      </c>
      <c r="K8769" s="27" t="s">
        <v>22</v>
      </c>
    </row>
    <row r="8770" spans="1:11" x14ac:dyDescent="0.2">
      <c r="A8770" s="24" t="s">
        <v>20350</v>
      </c>
      <c r="B8770" s="24" t="s">
        <v>20351</v>
      </c>
      <c r="C8770" s="24" t="s">
        <v>115</v>
      </c>
      <c r="D8770" s="24" t="s">
        <v>17</v>
      </c>
      <c r="E8770" s="24" t="s">
        <v>18</v>
      </c>
      <c r="F8770" s="24" t="s">
        <v>19</v>
      </c>
      <c r="G8770" s="24" t="s">
        <v>28</v>
      </c>
      <c r="H8770" s="26">
        <v>134</v>
      </c>
      <c r="I8770" s="24" t="s">
        <v>29</v>
      </c>
      <c r="J8770" s="36">
        <v>46029</v>
      </c>
      <c r="K8770" s="24" t="s">
        <v>22</v>
      </c>
    </row>
    <row r="8771" spans="1:11" x14ac:dyDescent="0.2">
      <c r="A8771" s="27" t="s">
        <v>20352</v>
      </c>
      <c r="B8771" s="27" t="s">
        <v>20353</v>
      </c>
      <c r="C8771" s="27" t="s">
        <v>20354</v>
      </c>
      <c r="D8771" s="27" t="s">
        <v>17</v>
      </c>
      <c r="E8771" s="27" t="s">
        <v>48</v>
      </c>
      <c r="F8771" s="27" t="s">
        <v>49</v>
      </c>
      <c r="G8771" s="27" t="s">
        <v>28</v>
      </c>
      <c r="H8771" s="29">
        <v>66</v>
      </c>
      <c r="I8771" s="27" t="s">
        <v>29</v>
      </c>
      <c r="J8771" s="37">
        <v>46023</v>
      </c>
      <c r="K8771" s="27" t="s">
        <v>22</v>
      </c>
    </row>
    <row r="8772" spans="1:11" x14ac:dyDescent="0.2">
      <c r="A8772" s="24" t="s">
        <v>20355</v>
      </c>
      <c r="B8772" s="24" t="s">
        <v>20356</v>
      </c>
      <c r="C8772" s="24" t="s">
        <v>14080</v>
      </c>
      <c r="D8772" s="24" t="s">
        <v>17</v>
      </c>
      <c r="E8772" s="24" t="s">
        <v>18</v>
      </c>
      <c r="F8772" s="24" t="s">
        <v>19</v>
      </c>
      <c r="G8772" s="24" t="s">
        <v>217</v>
      </c>
      <c r="H8772" s="26">
        <v>14</v>
      </c>
      <c r="I8772" s="24" t="s">
        <v>29</v>
      </c>
      <c r="J8772" s="36">
        <v>46027</v>
      </c>
      <c r="K8772" s="24" t="s">
        <v>22</v>
      </c>
    </row>
    <row r="8773" spans="1:11" x14ac:dyDescent="0.2">
      <c r="A8773" s="27" t="s">
        <v>20357</v>
      </c>
      <c r="B8773" s="27" t="s">
        <v>20358</v>
      </c>
      <c r="C8773" s="27" t="s">
        <v>71</v>
      </c>
      <c r="D8773" s="27" t="s">
        <v>17</v>
      </c>
      <c r="E8773" s="27" t="s">
        <v>18</v>
      </c>
      <c r="F8773" s="27" t="s">
        <v>19</v>
      </c>
      <c r="G8773" s="27" t="s">
        <v>217</v>
      </c>
      <c r="H8773" s="29">
        <v>70</v>
      </c>
      <c r="I8773" s="27" t="s">
        <v>29</v>
      </c>
      <c r="J8773" s="37">
        <v>46023</v>
      </c>
      <c r="K8773" s="27" t="s">
        <v>22</v>
      </c>
    </row>
    <row r="8774" spans="1:11" x14ac:dyDescent="0.2">
      <c r="A8774" s="24" t="s">
        <v>20359</v>
      </c>
      <c r="B8774" s="24" t="s">
        <v>20360</v>
      </c>
      <c r="C8774" s="24" t="s">
        <v>526</v>
      </c>
      <c r="D8774" s="24" t="s">
        <v>17</v>
      </c>
      <c r="E8774" s="24" t="s">
        <v>18</v>
      </c>
      <c r="F8774" s="24" t="s">
        <v>19</v>
      </c>
      <c r="G8774" s="24" t="s">
        <v>28</v>
      </c>
      <c r="H8774" s="26">
        <v>24</v>
      </c>
      <c r="I8774" s="24" t="s">
        <v>29</v>
      </c>
      <c r="J8774" s="36">
        <v>46053</v>
      </c>
      <c r="K8774" s="24" t="s">
        <v>22</v>
      </c>
    </row>
    <row r="8775" spans="1:11" x14ac:dyDescent="0.2">
      <c r="A8775" s="27" t="s">
        <v>20361</v>
      </c>
      <c r="B8775" s="27" t="s">
        <v>20362</v>
      </c>
      <c r="C8775" s="27" t="s">
        <v>4501</v>
      </c>
      <c r="D8775" s="27" t="s">
        <v>17</v>
      </c>
      <c r="E8775" s="27" t="s">
        <v>18</v>
      </c>
      <c r="F8775" s="27" t="s">
        <v>19</v>
      </c>
      <c r="G8775" s="27" t="s">
        <v>44</v>
      </c>
      <c r="H8775" s="29">
        <v>58</v>
      </c>
      <c r="I8775" s="27" t="s">
        <v>21</v>
      </c>
      <c r="J8775" s="37">
        <v>46031</v>
      </c>
      <c r="K8775" s="27" t="s">
        <v>22</v>
      </c>
    </row>
    <row r="8776" spans="1:11" x14ac:dyDescent="0.2">
      <c r="A8776" s="24" t="s">
        <v>20363</v>
      </c>
      <c r="B8776" s="24" t="s">
        <v>20364</v>
      </c>
      <c r="C8776" s="24" t="s">
        <v>20365</v>
      </c>
      <c r="D8776" s="24" t="s">
        <v>17</v>
      </c>
      <c r="E8776" s="24" t="s">
        <v>18</v>
      </c>
      <c r="F8776" s="24" t="s">
        <v>19</v>
      </c>
      <c r="G8776" s="24" t="s">
        <v>28</v>
      </c>
      <c r="H8776" s="26">
        <v>12</v>
      </c>
      <c r="I8776" s="24" t="s">
        <v>29</v>
      </c>
      <c r="J8776" s="36">
        <v>46023</v>
      </c>
      <c r="K8776" s="24" t="s">
        <v>22</v>
      </c>
    </row>
    <row r="8777" spans="1:11" x14ac:dyDescent="0.2">
      <c r="A8777" s="27" t="s">
        <v>20366</v>
      </c>
      <c r="B8777" s="27" t="s">
        <v>20367</v>
      </c>
      <c r="C8777" s="27" t="s">
        <v>1663</v>
      </c>
      <c r="D8777" s="27" t="s">
        <v>17</v>
      </c>
      <c r="E8777" s="27" t="s">
        <v>48</v>
      </c>
      <c r="F8777" s="27" t="s">
        <v>49</v>
      </c>
      <c r="G8777" s="27" t="s">
        <v>28</v>
      </c>
      <c r="H8777" s="29">
        <v>60</v>
      </c>
      <c r="I8777" s="27" t="s">
        <v>29</v>
      </c>
      <c r="J8777" s="37">
        <v>46042</v>
      </c>
      <c r="K8777" s="27" t="s">
        <v>22</v>
      </c>
    </row>
    <row r="8778" spans="1:11" x14ac:dyDescent="0.2">
      <c r="A8778" s="24" t="s">
        <v>20368</v>
      </c>
      <c r="B8778" s="24" t="s">
        <v>20369</v>
      </c>
      <c r="C8778" s="24" t="s">
        <v>20370</v>
      </c>
      <c r="D8778" s="24" t="s">
        <v>17</v>
      </c>
      <c r="E8778" s="24" t="s">
        <v>42</v>
      </c>
      <c r="F8778" s="24" t="s">
        <v>43</v>
      </c>
      <c r="G8778" s="24" t="s">
        <v>28</v>
      </c>
      <c r="H8778" s="26">
        <v>316</v>
      </c>
      <c r="I8778" s="24" t="s">
        <v>29</v>
      </c>
      <c r="J8778" s="36">
        <v>46044</v>
      </c>
      <c r="K8778" s="24" t="s">
        <v>22</v>
      </c>
    </row>
    <row r="8779" spans="1:11" x14ac:dyDescent="0.2">
      <c r="A8779" s="27" t="s">
        <v>20371</v>
      </c>
      <c r="B8779" s="27" t="s">
        <v>20372</v>
      </c>
      <c r="C8779" s="27" t="s">
        <v>13615</v>
      </c>
      <c r="D8779" s="27" t="s">
        <v>17</v>
      </c>
      <c r="E8779" s="27" t="s">
        <v>81</v>
      </c>
      <c r="F8779" s="27" t="s">
        <v>82</v>
      </c>
      <c r="G8779" s="27" t="s">
        <v>44</v>
      </c>
      <c r="H8779" s="29">
        <v>2000</v>
      </c>
      <c r="I8779" s="27" t="s">
        <v>29</v>
      </c>
      <c r="J8779" s="37">
        <v>46030</v>
      </c>
      <c r="K8779" s="27" t="s">
        <v>22</v>
      </c>
    </row>
    <row r="8780" spans="1:11" x14ac:dyDescent="0.2">
      <c r="A8780" s="24" t="s">
        <v>20373</v>
      </c>
      <c r="B8780" s="24" t="s">
        <v>20374</v>
      </c>
      <c r="C8780" s="24" t="s">
        <v>97</v>
      </c>
      <c r="D8780" s="24" t="s">
        <v>17</v>
      </c>
      <c r="E8780" s="24" t="s">
        <v>42</v>
      </c>
      <c r="F8780" s="24" t="s">
        <v>43</v>
      </c>
      <c r="G8780" s="24" t="s">
        <v>28</v>
      </c>
      <c r="H8780" s="26">
        <v>400</v>
      </c>
      <c r="I8780" s="24" t="s">
        <v>29</v>
      </c>
      <c r="J8780" s="36">
        <v>46050</v>
      </c>
      <c r="K8780" s="24" t="s">
        <v>22</v>
      </c>
    </row>
    <row r="8781" spans="1:11" x14ac:dyDescent="0.2">
      <c r="A8781" s="27" t="s">
        <v>20375</v>
      </c>
      <c r="B8781" s="27" t="s">
        <v>20376</v>
      </c>
      <c r="C8781" s="27" t="s">
        <v>20377</v>
      </c>
      <c r="D8781" s="27" t="s">
        <v>17</v>
      </c>
      <c r="E8781" s="27" t="s">
        <v>18</v>
      </c>
      <c r="F8781" s="27" t="s">
        <v>19</v>
      </c>
      <c r="G8781" s="27" t="s">
        <v>217</v>
      </c>
      <c r="H8781" s="29">
        <v>15</v>
      </c>
      <c r="I8781" s="27" t="s">
        <v>29</v>
      </c>
      <c r="J8781" s="37">
        <v>46023</v>
      </c>
      <c r="K8781" s="27" t="s">
        <v>22</v>
      </c>
    </row>
    <row r="8782" spans="1:11" x14ac:dyDescent="0.2">
      <c r="A8782" s="24" t="s">
        <v>20378</v>
      </c>
      <c r="B8782" s="24" t="s">
        <v>20379</v>
      </c>
      <c r="C8782" s="24" t="s">
        <v>18035</v>
      </c>
      <c r="D8782" s="24" t="s">
        <v>17</v>
      </c>
      <c r="E8782" s="24" t="s">
        <v>18</v>
      </c>
      <c r="F8782" s="24" t="s">
        <v>19</v>
      </c>
      <c r="G8782" s="24" t="s">
        <v>217</v>
      </c>
      <c r="H8782" s="26">
        <v>9</v>
      </c>
      <c r="I8782" s="24" t="s">
        <v>29</v>
      </c>
      <c r="J8782" s="36">
        <v>46023</v>
      </c>
      <c r="K8782" s="24" t="s">
        <v>22</v>
      </c>
    </row>
    <row r="8783" spans="1:11" x14ac:dyDescent="0.2">
      <c r="A8783" s="27" t="s">
        <v>20380</v>
      </c>
      <c r="B8783" s="27" t="s">
        <v>20381</v>
      </c>
      <c r="C8783" s="27" t="s">
        <v>20382</v>
      </c>
      <c r="D8783" s="27" t="s">
        <v>17</v>
      </c>
      <c r="E8783" s="27" t="s">
        <v>26</v>
      </c>
      <c r="F8783" s="27" t="s">
        <v>27</v>
      </c>
      <c r="G8783" s="27" t="s">
        <v>28</v>
      </c>
      <c r="H8783" s="29">
        <v>40</v>
      </c>
      <c r="I8783" s="27" t="s">
        <v>29</v>
      </c>
      <c r="J8783" s="37">
        <v>46030</v>
      </c>
      <c r="K8783" s="27" t="s">
        <v>22</v>
      </c>
    </row>
    <row r="8784" spans="1:11" x14ac:dyDescent="0.2">
      <c r="A8784" s="24" t="s">
        <v>20383</v>
      </c>
      <c r="B8784" s="24" t="s">
        <v>20384</v>
      </c>
      <c r="C8784" s="24" t="s">
        <v>3289</v>
      </c>
      <c r="D8784" s="24" t="s">
        <v>17</v>
      </c>
      <c r="E8784" s="24" t="s">
        <v>18</v>
      </c>
      <c r="F8784" s="24" t="s">
        <v>19</v>
      </c>
      <c r="G8784" s="24" t="s">
        <v>28</v>
      </c>
      <c r="H8784" s="26">
        <v>30</v>
      </c>
      <c r="I8784" s="24" t="s">
        <v>29</v>
      </c>
      <c r="J8784" s="36">
        <v>46048</v>
      </c>
      <c r="K8784" s="24" t="s">
        <v>22</v>
      </c>
    </row>
    <row r="8785" spans="1:11" x14ac:dyDescent="0.2">
      <c r="A8785" s="27" t="s">
        <v>20385</v>
      </c>
      <c r="B8785" s="27" t="s">
        <v>20386</v>
      </c>
      <c r="C8785" s="27" t="s">
        <v>20387</v>
      </c>
      <c r="D8785" s="27" t="s">
        <v>17</v>
      </c>
      <c r="E8785" s="27" t="s">
        <v>18</v>
      </c>
      <c r="F8785" s="27" t="s">
        <v>19</v>
      </c>
      <c r="G8785" s="27" t="s">
        <v>217</v>
      </c>
      <c r="H8785" s="29">
        <v>36</v>
      </c>
      <c r="I8785" s="27" t="s">
        <v>29</v>
      </c>
      <c r="J8785" s="37">
        <v>46051</v>
      </c>
      <c r="K8785" s="27" t="s">
        <v>22</v>
      </c>
    </row>
    <row r="8786" spans="1:11" x14ac:dyDescent="0.2">
      <c r="A8786" s="24" t="s">
        <v>20388</v>
      </c>
      <c r="B8786" s="24" t="s">
        <v>20389</v>
      </c>
      <c r="C8786" s="24" t="s">
        <v>662</v>
      </c>
      <c r="D8786" s="24" t="s">
        <v>17</v>
      </c>
      <c r="E8786" s="24" t="s">
        <v>48</v>
      </c>
      <c r="F8786" s="24" t="s">
        <v>49</v>
      </c>
      <c r="G8786" s="24" t="s">
        <v>217</v>
      </c>
      <c r="H8786" s="26">
        <v>104</v>
      </c>
      <c r="I8786" s="24" t="s">
        <v>29</v>
      </c>
      <c r="J8786" s="36">
        <v>46023</v>
      </c>
      <c r="K8786" s="24" t="s">
        <v>22</v>
      </c>
    </row>
    <row r="8787" spans="1:11" x14ac:dyDescent="0.2">
      <c r="A8787" s="27" t="s">
        <v>20390</v>
      </c>
      <c r="B8787" s="27" t="s">
        <v>20391</v>
      </c>
      <c r="C8787" s="27" t="s">
        <v>20392</v>
      </c>
      <c r="D8787" s="27" t="s">
        <v>17</v>
      </c>
      <c r="E8787" s="27" t="s">
        <v>48</v>
      </c>
      <c r="F8787" s="27" t="s">
        <v>49</v>
      </c>
      <c r="G8787" s="27" t="s">
        <v>28</v>
      </c>
      <c r="H8787" s="29">
        <v>90</v>
      </c>
      <c r="I8787" s="27" t="s">
        <v>29</v>
      </c>
      <c r="J8787" s="37">
        <v>46042</v>
      </c>
      <c r="K8787" s="27" t="s">
        <v>22</v>
      </c>
    </row>
    <row r="8788" spans="1:11" x14ac:dyDescent="0.2">
      <c r="A8788" s="24" t="s">
        <v>20393</v>
      </c>
      <c r="B8788" s="24" t="s">
        <v>20394</v>
      </c>
      <c r="C8788" s="24" t="s">
        <v>5617</v>
      </c>
      <c r="D8788" s="24" t="s">
        <v>17</v>
      </c>
      <c r="E8788" s="24" t="s">
        <v>48</v>
      </c>
      <c r="F8788" s="24" t="s">
        <v>49</v>
      </c>
      <c r="G8788" s="24" t="s">
        <v>28</v>
      </c>
      <c r="H8788" s="26">
        <v>100</v>
      </c>
      <c r="I8788" s="24" t="s">
        <v>29</v>
      </c>
      <c r="J8788" s="36">
        <v>46023</v>
      </c>
      <c r="K8788" s="24" t="s">
        <v>22</v>
      </c>
    </row>
    <row r="8789" spans="1:11" x14ac:dyDescent="0.2">
      <c r="A8789" s="27" t="s">
        <v>20395</v>
      </c>
      <c r="B8789" s="27" t="s">
        <v>20396</v>
      </c>
      <c r="C8789" s="27" t="s">
        <v>15681</v>
      </c>
      <c r="D8789" s="27" t="s">
        <v>17</v>
      </c>
      <c r="E8789" s="27" t="s">
        <v>48</v>
      </c>
      <c r="F8789" s="27" t="s">
        <v>49</v>
      </c>
      <c r="G8789" s="27" t="s">
        <v>217</v>
      </c>
      <c r="H8789" s="29">
        <v>200</v>
      </c>
      <c r="I8789" s="27" t="s">
        <v>29</v>
      </c>
      <c r="J8789" s="37">
        <v>46053</v>
      </c>
      <c r="K8789" s="27" t="s">
        <v>22</v>
      </c>
    </row>
    <row r="8790" spans="1:11" x14ac:dyDescent="0.2">
      <c r="A8790" s="24" t="s">
        <v>20397</v>
      </c>
      <c r="B8790" s="24" t="s">
        <v>20398</v>
      </c>
      <c r="C8790" s="24" t="s">
        <v>708</v>
      </c>
      <c r="D8790" s="24" t="s">
        <v>17</v>
      </c>
      <c r="E8790" s="24" t="s">
        <v>48</v>
      </c>
      <c r="F8790" s="24" t="s">
        <v>49</v>
      </c>
      <c r="G8790" s="24" t="s">
        <v>217</v>
      </c>
      <c r="H8790" s="26">
        <v>99</v>
      </c>
      <c r="I8790" s="24" t="s">
        <v>29</v>
      </c>
      <c r="J8790" s="36">
        <v>46051</v>
      </c>
      <c r="K8790" s="24" t="s">
        <v>22</v>
      </c>
    </row>
    <row r="8791" spans="1:11" x14ac:dyDescent="0.2">
      <c r="A8791" s="27" t="s">
        <v>20399</v>
      </c>
      <c r="B8791" s="27" t="s">
        <v>20400</v>
      </c>
      <c r="C8791" s="27" t="s">
        <v>71</v>
      </c>
      <c r="D8791" s="27" t="s">
        <v>17</v>
      </c>
      <c r="E8791" s="27" t="s">
        <v>26</v>
      </c>
      <c r="F8791" s="27" t="s">
        <v>27</v>
      </c>
      <c r="G8791" s="27" t="s">
        <v>28</v>
      </c>
      <c r="H8791" s="29">
        <v>300</v>
      </c>
      <c r="I8791" s="27" t="s">
        <v>29</v>
      </c>
      <c r="J8791" s="37">
        <v>46027</v>
      </c>
      <c r="K8791" s="27" t="s">
        <v>22</v>
      </c>
    </row>
    <row r="8792" spans="1:11" x14ac:dyDescent="0.2">
      <c r="A8792" s="24" t="s">
        <v>20401</v>
      </c>
      <c r="B8792" s="24" t="s">
        <v>20402</v>
      </c>
      <c r="C8792" s="24" t="s">
        <v>20403</v>
      </c>
      <c r="D8792" s="24" t="s">
        <v>17</v>
      </c>
      <c r="E8792" s="24" t="s">
        <v>18</v>
      </c>
      <c r="F8792" s="24" t="s">
        <v>19</v>
      </c>
      <c r="G8792" s="24" t="s">
        <v>217</v>
      </c>
      <c r="H8792" s="26">
        <v>72</v>
      </c>
      <c r="I8792" s="24" t="s">
        <v>29</v>
      </c>
      <c r="J8792" s="36">
        <v>46023</v>
      </c>
      <c r="K8792" s="24" t="s">
        <v>22</v>
      </c>
    </row>
    <row r="8793" spans="1:11" x14ac:dyDescent="0.2">
      <c r="A8793" s="27" t="s">
        <v>20404</v>
      </c>
      <c r="B8793" s="27" t="s">
        <v>20405</v>
      </c>
      <c r="C8793" s="27" t="s">
        <v>20406</v>
      </c>
      <c r="D8793" s="27" t="s">
        <v>17</v>
      </c>
      <c r="E8793" s="27" t="s">
        <v>18</v>
      </c>
      <c r="F8793" s="27" t="s">
        <v>19</v>
      </c>
      <c r="G8793" s="27" t="s">
        <v>217</v>
      </c>
      <c r="H8793" s="29">
        <v>36</v>
      </c>
      <c r="I8793" s="27" t="s">
        <v>29</v>
      </c>
      <c r="J8793" s="37">
        <v>46023</v>
      </c>
      <c r="K8793" s="27" t="s">
        <v>22</v>
      </c>
    </row>
    <row r="8794" spans="1:11" x14ac:dyDescent="0.2">
      <c r="A8794" s="24" t="s">
        <v>20407</v>
      </c>
      <c r="B8794" s="24" t="s">
        <v>20408</v>
      </c>
      <c r="C8794" s="24" t="s">
        <v>18551</v>
      </c>
      <c r="D8794" s="24" t="s">
        <v>17</v>
      </c>
      <c r="E8794" s="24" t="s">
        <v>18</v>
      </c>
      <c r="F8794" s="24" t="s">
        <v>19</v>
      </c>
      <c r="G8794" s="24" t="s">
        <v>28</v>
      </c>
      <c r="H8794" s="26">
        <v>10</v>
      </c>
      <c r="I8794" s="24" t="s">
        <v>29</v>
      </c>
      <c r="J8794" s="36">
        <v>46052</v>
      </c>
      <c r="K8794" s="24" t="s">
        <v>22</v>
      </c>
    </row>
    <row r="8795" spans="1:11" x14ac:dyDescent="0.2">
      <c r="A8795" s="27" t="s">
        <v>20409</v>
      </c>
      <c r="B8795" s="27" t="s">
        <v>20410</v>
      </c>
      <c r="C8795" s="27" t="s">
        <v>6033</v>
      </c>
      <c r="D8795" s="27" t="s">
        <v>17</v>
      </c>
      <c r="E8795" s="27" t="s">
        <v>42</v>
      </c>
      <c r="F8795" s="27" t="s">
        <v>43</v>
      </c>
      <c r="G8795" s="27" t="s">
        <v>28</v>
      </c>
      <c r="H8795" s="29">
        <v>141</v>
      </c>
      <c r="I8795" s="27" t="s">
        <v>29</v>
      </c>
      <c r="J8795" s="37">
        <v>46042</v>
      </c>
      <c r="K8795" s="27" t="s">
        <v>22</v>
      </c>
    </row>
    <row r="8796" spans="1:11" x14ac:dyDescent="0.2">
      <c r="A8796" s="24" t="s">
        <v>20411</v>
      </c>
      <c r="B8796" s="24" t="s">
        <v>20412</v>
      </c>
      <c r="C8796" s="24" t="s">
        <v>3141</v>
      </c>
      <c r="D8796" s="24" t="s">
        <v>17</v>
      </c>
      <c r="E8796" s="24" t="s">
        <v>163</v>
      </c>
      <c r="F8796" s="24" t="s">
        <v>164</v>
      </c>
      <c r="G8796" s="24" t="s">
        <v>28</v>
      </c>
      <c r="H8796" s="26">
        <v>30</v>
      </c>
      <c r="I8796" s="24" t="s">
        <v>29</v>
      </c>
      <c r="J8796" s="36">
        <v>46053</v>
      </c>
      <c r="K8796" s="24" t="s">
        <v>22</v>
      </c>
    </row>
    <row r="8797" spans="1:11" x14ac:dyDescent="0.2">
      <c r="A8797" s="27" t="s">
        <v>20413</v>
      </c>
      <c r="B8797" s="27" t="s">
        <v>20414</v>
      </c>
      <c r="C8797" s="27" t="s">
        <v>7041</v>
      </c>
      <c r="D8797" s="27" t="s">
        <v>17</v>
      </c>
      <c r="E8797" s="27" t="s">
        <v>18</v>
      </c>
      <c r="F8797" s="27" t="s">
        <v>19</v>
      </c>
      <c r="G8797" s="27" t="s">
        <v>28</v>
      </c>
      <c r="H8797" s="29">
        <v>27</v>
      </c>
      <c r="I8797" s="27" t="s">
        <v>29</v>
      </c>
      <c r="J8797" s="37">
        <v>46053</v>
      </c>
      <c r="K8797" s="27" t="s">
        <v>22</v>
      </c>
    </row>
    <row r="8798" spans="1:11" x14ac:dyDescent="0.2">
      <c r="A8798" s="24" t="s">
        <v>20415</v>
      </c>
      <c r="B8798" s="24" t="s">
        <v>20416</v>
      </c>
      <c r="C8798" s="24" t="s">
        <v>774</v>
      </c>
      <c r="D8798" s="24" t="s">
        <v>17</v>
      </c>
      <c r="E8798" s="24" t="s">
        <v>26</v>
      </c>
      <c r="F8798" s="24" t="s">
        <v>27</v>
      </c>
      <c r="G8798" s="24" t="s">
        <v>28</v>
      </c>
      <c r="H8798" s="26">
        <v>370</v>
      </c>
      <c r="I8798" s="24" t="s">
        <v>29</v>
      </c>
      <c r="J8798" s="36">
        <v>46052</v>
      </c>
      <c r="K8798" s="24" t="s">
        <v>22</v>
      </c>
    </row>
    <row r="8799" spans="1:11" x14ac:dyDescent="0.2">
      <c r="A8799" s="27" t="s">
        <v>20417</v>
      </c>
      <c r="B8799" s="27" t="s">
        <v>20418</v>
      </c>
      <c r="C8799" s="27" t="s">
        <v>9455</v>
      </c>
      <c r="D8799" s="27" t="s">
        <v>17</v>
      </c>
      <c r="E8799" s="27" t="s">
        <v>26</v>
      </c>
      <c r="F8799" s="27" t="s">
        <v>27</v>
      </c>
      <c r="G8799" s="27" t="s">
        <v>28</v>
      </c>
      <c r="H8799" s="29">
        <v>71</v>
      </c>
      <c r="I8799" s="27" t="s">
        <v>29</v>
      </c>
      <c r="J8799" s="37">
        <v>46053</v>
      </c>
      <c r="K8799" s="27" t="s">
        <v>22</v>
      </c>
    </row>
    <row r="8800" spans="1:11" x14ac:dyDescent="0.2">
      <c r="A8800" s="24" t="s">
        <v>20419</v>
      </c>
      <c r="B8800" s="24" t="s">
        <v>20420</v>
      </c>
      <c r="C8800" s="24" t="s">
        <v>18674</v>
      </c>
      <c r="D8800" s="24" t="s">
        <v>17</v>
      </c>
      <c r="E8800" s="24" t="s">
        <v>18</v>
      </c>
      <c r="F8800" s="24" t="s">
        <v>19</v>
      </c>
      <c r="G8800" s="24" t="s">
        <v>28</v>
      </c>
      <c r="H8800" s="26">
        <v>12</v>
      </c>
      <c r="I8800" s="24" t="s">
        <v>29</v>
      </c>
      <c r="J8800" s="36">
        <v>46044</v>
      </c>
      <c r="K8800" s="24" t="s">
        <v>22</v>
      </c>
    </row>
    <row r="8801" spans="1:11" x14ac:dyDescent="0.2">
      <c r="A8801" s="27" t="s">
        <v>20421</v>
      </c>
      <c r="B8801" s="27" t="s">
        <v>20422</v>
      </c>
      <c r="C8801" s="27" t="s">
        <v>13243</v>
      </c>
      <c r="D8801" s="27" t="s">
        <v>17</v>
      </c>
      <c r="E8801" s="27" t="s">
        <v>48</v>
      </c>
      <c r="F8801" s="27" t="s">
        <v>49</v>
      </c>
      <c r="G8801" s="27" t="s">
        <v>28</v>
      </c>
      <c r="H8801" s="29">
        <v>150</v>
      </c>
      <c r="I8801" s="27" t="s">
        <v>29</v>
      </c>
      <c r="J8801" s="37">
        <v>46027</v>
      </c>
      <c r="K8801" s="27" t="s">
        <v>22</v>
      </c>
    </row>
    <row r="8802" spans="1:11" x14ac:dyDescent="0.2">
      <c r="A8802" s="24" t="s">
        <v>20423</v>
      </c>
      <c r="B8802" s="24" t="s">
        <v>20424</v>
      </c>
      <c r="C8802" s="24" t="s">
        <v>3239</v>
      </c>
      <c r="D8802" s="24" t="s">
        <v>17</v>
      </c>
      <c r="E8802" s="24" t="s">
        <v>18</v>
      </c>
      <c r="F8802" s="24" t="s">
        <v>19</v>
      </c>
      <c r="G8802" s="24" t="s">
        <v>28</v>
      </c>
      <c r="H8802" s="26">
        <v>30</v>
      </c>
      <c r="I8802" s="24" t="s">
        <v>29</v>
      </c>
      <c r="J8802" s="36">
        <v>46023</v>
      </c>
      <c r="K8802" s="24" t="s">
        <v>22</v>
      </c>
    </row>
    <row r="8803" spans="1:11" x14ac:dyDescent="0.2">
      <c r="A8803" s="27" t="s">
        <v>20425</v>
      </c>
      <c r="B8803" s="27" t="s">
        <v>20426</v>
      </c>
      <c r="C8803" s="27" t="s">
        <v>2257</v>
      </c>
      <c r="D8803" s="27" t="s">
        <v>17</v>
      </c>
      <c r="E8803" s="27" t="s">
        <v>42</v>
      </c>
      <c r="F8803" s="27" t="s">
        <v>43</v>
      </c>
      <c r="G8803" s="27" t="s">
        <v>217</v>
      </c>
      <c r="H8803" s="29">
        <v>258</v>
      </c>
      <c r="I8803" s="27" t="s">
        <v>29</v>
      </c>
      <c r="J8803" s="37">
        <v>46023</v>
      </c>
      <c r="K8803" s="27" t="s">
        <v>22</v>
      </c>
    </row>
    <row r="8804" spans="1:11" x14ac:dyDescent="0.2">
      <c r="A8804" s="24" t="s">
        <v>20427</v>
      </c>
      <c r="B8804" s="24" t="s">
        <v>20428</v>
      </c>
      <c r="C8804" s="24" t="s">
        <v>1687</v>
      </c>
      <c r="D8804" s="24" t="s">
        <v>17</v>
      </c>
      <c r="E8804" s="24" t="s">
        <v>42</v>
      </c>
      <c r="F8804" s="24" t="s">
        <v>43</v>
      </c>
      <c r="G8804" s="24" t="s">
        <v>28</v>
      </c>
      <c r="H8804" s="26">
        <v>620</v>
      </c>
      <c r="I8804" s="24" t="s">
        <v>29</v>
      </c>
      <c r="J8804" s="36">
        <v>46036</v>
      </c>
      <c r="K8804" s="24" t="s">
        <v>22</v>
      </c>
    </row>
    <row r="8805" spans="1:11" x14ac:dyDescent="0.2">
      <c r="A8805" s="27" t="s">
        <v>20429</v>
      </c>
      <c r="B8805" s="27" t="s">
        <v>20430</v>
      </c>
      <c r="C8805" s="27" t="s">
        <v>1189</v>
      </c>
      <c r="D8805" s="27" t="s">
        <v>17</v>
      </c>
      <c r="E8805" s="27" t="s">
        <v>48</v>
      </c>
      <c r="F8805" s="27" t="s">
        <v>49</v>
      </c>
      <c r="G8805" s="27" t="s">
        <v>28</v>
      </c>
      <c r="H8805" s="29">
        <v>62</v>
      </c>
      <c r="I8805" s="27" t="s">
        <v>29</v>
      </c>
      <c r="J8805" s="37">
        <v>46032</v>
      </c>
      <c r="K8805" s="27" t="s">
        <v>22</v>
      </c>
    </row>
    <row r="8806" spans="1:11" x14ac:dyDescent="0.2">
      <c r="A8806" s="24" t="s">
        <v>20431</v>
      </c>
      <c r="B8806" s="24" t="s">
        <v>20432</v>
      </c>
      <c r="C8806" s="24" t="s">
        <v>667</v>
      </c>
      <c r="D8806" s="24" t="s">
        <v>17</v>
      </c>
      <c r="E8806" s="24" t="s">
        <v>48</v>
      </c>
      <c r="F8806" s="24" t="s">
        <v>49</v>
      </c>
      <c r="G8806" s="24" t="s">
        <v>217</v>
      </c>
      <c r="H8806" s="26">
        <v>150</v>
      </c>
      <c r="I8806" s="24" t="s">
        <v>29</v>
      </c>
      <c r="J8806" s="36">
        <v>46042</v>
      </c>
      <c r="K8806" s="24" t="s">
        <v>22</v>
      </c>
    </row>
    <row r="8807" spans="1:11" x14ac:dyDescent="0.2">
      <c r="A8807" s="27" t="s">
        <v>20433</v>
      </c>
      <c r="B8807" s="27" t="s">
        <v>20434</v>
      </c>
      <c r="C8807" s="27" t="s">
        <v>526</v>
      </c>
      <c r="D8807" s="27" t="s">
        <v>17</v>
      </c>
      <c r="E8807" s="27" t="s">
        <v>18</v>
      </c>
      <c r="F8807" s="27" t="s">
        <v>19</v>
      </c>
      <c r="G8807" s="27" t="s">
        <v>44</v>
      </c>
      <c r="H8807" s="29">
        <v>24</v>
      </c>
      <c r="I8807" s="27" t="s">
        <v>29</v>
      </c>
      <c r="J8807" s="37">
        <v>46034</v>
      </c>
      <c r="K8807" s="27" t="s">
        <v>22</v>
      </c>
    </row>
    <row r="8808" spans="1:11" x14ac:dyDescent="0.2">
      <c r="A8808" s="24" t="s">
        <v>20435</v>
      </c>
      <c r="B8808" s="24" t="s">
        <v>20436</v>
      </c>
      <c r="C8808" s="24" t="s">
        <v>10621</v>
      </c>
      <c r="D8808" s="24" t="s">
        <v>17</v>
      </c>
      <c r="E8808" s="24" t="s">
        <v>48</v>
      </c>
      <c r="F8808" s="24" t="s">
        <v>49</v>
      </c>
      <c r="G8808" s="24" t="s">
        <v>217</v>
      </c>
      <c r="H8808" s="26">
        <v>200</v>
      </c>
      <c r="I8808" s="24" t="s">
        <v>29</v>
      </c>
      <c r="J8808" s="36">
        <v>46023</v>
      </c>
      <c r="K8808" s="24" t="s">
        <v>22</v>
      </c>
    </row>
    <row r="8809" spans="1:11" x14ac:dyDescent="0.2">
      <c r="A8809" s="27" t="s">
        <v>20437</v>
      </c>
      <c r="B8809" s="27" t="s">
        <v>20438</v>
      </c>
      <c r="C8809" s="27" t="s">
        <v>1147</v>
      </c>
      <c r="D8809" s="27" t="s">
        <v>17</v>
      </c>
      <c r="E8809" s="27" t="s">
        <v>48</v>
      </c>
      <c r="F8809" s="27" t="s">
        <v>49</v>
      </c>
      <c r="G8809" s="27" t="s">
        <v>28</v>
      </c>
      <c r="H8809" s="29">
        <v>234</v>
      </c>
      <c r="I8809" s="27" t="s">
        <v>29</v>
      </c>
      <c r="J8809" s="37">
        <v>46036</v>
      </c>
      <c r="K8809" s="27" t="s">
        <v>22</v>
      </c>
    </row>
    <row r="8810" spans="1:11" x14ac:dyDescent="0.2">
      <c r="A8810" s="24" t="s">
        <v>20439</v>
      </c>
      <c r="B8810" s="24" t="s">
        <v>20440</v>
      </c>
      <c r="C8810" s="24" t="s">
        <v>12305</v>
      </c>
      <c r="D8810" s="24" t="s">
        <v>17</v>
      </c>
      <c r="E8810" s="24" t="s">
        <v>163</v>
      </c>
      <c r="F8810" s="24" t="s">
        <v>164</v>
      </c>
      <c r="G8810" s="24" t="s">
        <v>28</v>
      </c>
      <c r="H8810" s="26">
        <v>300</v>
      </c>
      <c r="I8810" s="24" t="s">
        <v>29</v>
      </c>
      <c r="J8810" s="36">
        <v>46051</v>
      </c>
      <c r="K8810" s="24" t="s">
        <v>22</v>
      </c>
    </row>
    <row r="8811" spans="1:11" x14ac:dyDescent="0.2">
      <c r="A8811" s="27" t="s">
        <v>20441</v>
      </c>
      <c r="B8811" s="27" t="s">
        <v>20442</v>
      </c>
      <c r="C8811" s="27" t="s">
        <v>3156</v>
      </c>
      <c r="D8811" s="27" t="s">
        <v>17</v>
      </c>
      <c r="E8811" s="27" t="s">
        <v>48</v>
      </c>
      <c r="F8811" s="27" t="s">
        <v>49</v>
      </c>
      <c r="G8811" s="27" t="s">
        <v>217</v>
      </c>
      <c r="H8811" s="29">
        <v>120</v>
      </c>
      <c r="I8811" s="27" t="s">
        <v>29</v>
      </c>
      <c r="J8811" s="37">
        <v>46023</v>
      </c>
      <c r="K8811" s="27" t="s">
        <v>22</v>
      </c>
    </row>
    <row r="8812" spans="1:11" x14ac:dyDescent="0.2">
      <c r="A8812" s="24" t="s">
        <v>20443</v>
      </c>
      <c r="B8812" s="24" t="s">
        <v>20444</v>
      </c>
      <c r="C8812" s="24" t="s">
        <v>301</v>
      </c>
      <c r="D8812" s="24" t="s">
        <v>17</v>
      </c>
      <c r="E8812" s="24" t="s">
        <v>48</v>
      </c>
      <c r="F8812" s="24" t="s">
        <v>49</v>
      </c>
      <c r="G8812" s="24" t="s">
        <v>116</v>
      </c>
      <c r="H8812" s="26">
        <v>0</v>
      </c>
      <c r="I8812" s="24" t="s">
        <v>21</v>
      </c>
      <c r="J8812" s="36">
        <v>46037</v>
      </c>
      <c r="K8812" s="24" t="s">
        <v>22</v>
      </c>
    </row>
    <row r="8813" spans="1:11" x14ac:dyDescent="0.2">
      <c r="A8813" s="27" t="s">
        <v>20445</v>
      </c>
      <c r="B8813" s="27" t="s">
        <v>20446</v>
      </c>
      <c r="C8813" s="27" t="s">
        <v>349</v>
      </c>
      <c r="D8813" s="27" t="s">
        <v>17</v>
      </c>
      <c r="E8813" s="27" t="s">
        <v>18</v>
      </c>
      <c r="F8813" s="27" t="s">
        <v>19</v>
      </c>
      <c r="G8813" s="27" t="s">
        <v>217</v>
      </c>
      <c r="H8813" s="29">
        <v>32</v>
      </c>
      <c r="I8813" s="27" t="s">
        <v>29</v>
      </c>
      <c r="J8813" s="37">
        <v>46052</v>
      </c>
      <c r="K8813" s="27" t="s">
        <v>22</v>
      </c>
    </row>
    <row r="8814" spans="1:11" x14ac:dyDescent="0.2">
      <c r="A8814" s="24" t="s">
        <v>20447</v>
      </c>
      <c r="B8814" s="24" t="s">
        <v>20448</v>
      </c>
      <c r="C8814" s="24" t="s">
        <v>20449</v>
      </c>
      <c r="D8814" s="24" t="s">
        <v>17</v>
      </c>
      <c r="E8814" s="24" t="s">
        <v>26</v>
      </c>
      <c r="F8814" s="24" t="s">
        <v>27</v>
      </c>
      <c r="G8814" s="24" t="s">
        <v>28</v>
      </c>
      <c r="H8814" s="26">
        <v>30</v>
      </c>
      <c r="I8814" s="24" t="s">
        <v>29</v>
      </c>
      <c r="J8814" s="36">
        <v>46023</v>
      </c>
      <c r="K8814" s="24" t="s">
        <v>22</v>
      </c>
    </row>
    <row r="8815" spans="1:11" x14ac:dyDescent="0.2">
      <c r="A8815" s="27" t="s">
        <v>20450</v>
      </c>
      <c r="B8815" s="27" t="s">
        <v>20451</v>
      </c>
      <c r="C8815" s="27" t="s">
        <v>20452</v>
      </c>
      <c r="D8815" s="27" t="s">
        <v>17</v>
      </c>
      <c r="E8815" s="27" t="s">
        <v>18</v>
      </c>
      <c r="F8815" s="27" t="s">
        <v>19</v>
      </c>
      <c r="G8815" s="27" t="s">
        <v>28</v>
      </c>
      <c r="H8815" s="29">
        <v>15</v>
      </c>
      <c r="I8815" s="27" t="s">
        <v>29</v>
      </c>
      <c r="J8815" s="37">
        <v>46034</v>
      </c>
      <c r="K8815" s="27" t="s">
        <v>22</v>
      </c>
    </row>
    <row r="8816" spans="1:11" x14ac:dyDescent="0.2">
      <c r="A8816" s="24" t="s">
        <v>20453</v>
      </c>
      <c r="B8816" s="24" t="s">
        <v>20454</v>
      </c>
      <c r="C8816" s="24" t="s">
        <v>6942</v>
      </c>
      <c r="D8816" s="24" t="s">
        <v>17</v>
      </c>
      <c r="E8816" s="24" t="s">
        <v>26</v>
      </c>
      <c r="F8816" s="24" t="s">
        <v>27</v>
      </c>
      <c r="G8816" s="24" t="s">
        <v>28</v>
      </c>
      <c r="H8816" s="26">
        <v>30</v>
      </c>
      <c r="I8816" s="24" t="s">
        <v>29</v>
      </c>
      <c r="J8816" s="36">
        <v>46051</v>
      </c>
      <c r="K8816" s="24" t="s">
        <v>22</v>
      </c>
    </row>
    <row r="8817" spans="1:11" x14ac:dyDescent="0.2">
      <c r="A8817" s="27" t="s">
        <v>20455</v>
      </c>
      <c r="B8817" s="27" t="s">
        <v>20456</v>
      </c>
      <c r="C8817" s="27" t="s">
        <v>1071</v>
      </c>
      <c r="D8817" s="27" t="s">
        <v>17</v>
      </c>
      <c r="E8817" s="27" t="s">
        <v>42</v>
      </c>
      <c r="F8817" s="27" t="s">
        <v>43</v>
      </c>
      <c r="G8817" s="27" t="s">
        <v>28</v>
      </c>
      <c r="H8817" s="29">
        <v>400</v>
      </c>
      <c r="I8817" s="27" t="s">
        <v>29</v>
      </c>
      <c r="J8817" s="37">
        <v>46034</v>
      </c>
      <c r="K8817" s="27" t="s">
        <v>22</v>
      </c>
    </row>
    <row r="8818" spans="1:11" x14ac:dyDescent="0.2">
      <c r="A8818" s="24" t="s">
        <v>20457</v>
      </c>
      <c r="B8818" s="24" t="s">
        <v>20458</v>
      </c>
      <c r="C8818" s="24" t="s">
        <v>5841</v>
      </c>
      <c r="D8818" s="24" t="s">
        <v>17</v>
      </c>
      <c r="E8818" s="24" t="s">
        <v>26</v>
      </c>
      <c r="F8818" s="24" t="s">
        <v>27</v>
      </c>
      <c r="G8818" s="24" t="s">
        <v>28</v>
      </c>
      <c r="H8818" s="26">
        <v>18</v>
      </c>
      <c r="I8818" s="24" t="s">
        <v>29</v>
      </c>
      <c r="J8818" s="36">
        <v>46050</v>
      </c>
      <c r="K8818" s="24" t="s">
        <v>22</v>
      </c>
    </row>
    <row r="8819" spans="1:11" x14ac:dyDescent="0.2">
      <c r="A8819" s="27" t="s">
        <v>20459</v>
      </c>
      <c r="B8819" s="27" t="s">
        <v>20460</v>
      </c>
      <c r="C8819" s="27" t="s">
        <v>13620</v>
      </c>
      <c r="D8819" s="27" t="s">
        <v>17</v>
      </c>
      <c r="E8819" s="27" t="s">
        <v>48</v>
      </c>
      <c r="F8819" s="27" t="s">
        <v>49</v>
      </c>
      <c r="G8819" s="27" t="s">
        <v>217</v>
      </c>
      <c r="H8819" s="29">
        <v>200</v>
      </c>
      <c r="I8819" s="27" t="s">
        <v>29</v>
      </c>
      <c r="J8819" s="37">
        <v>46052</v>
      </c>
      <c r="K8819" s="27" t="s">
        <v>22</v>
      </c>
    </row>
    <row r="8820" spans="1:11" x14ac:dyDescent="0.2">
      <c r="A8820" s="24" t="s">
        <v>20461</v>
      </c>
      <c r="B8820" s="24" t="s">
        <v>20462</v>
      </c>
      <c r="C8820" s="24" t="s">
        <v>301</v>
      </c>
      <c r="D8820" s="24" t="s">
        <v>17</v>
      </c>
      <c r="E8820" s="24" t="s">
        <v>42</v>
      </c>
      <c r="F8820" s="24" t="s">
        <v>43</v>
      </c>
      <c r="G8820" s="24" t="s">
        <v>28</v>
      </c>
      <c r="H8820" s="26">
        <v>115</v>
      </c>
      <c r="I8820" s="24" t="s">
        <v>29</v>
      </c>
      <c r="J8820" s="36">
        <v>46027</v>
      </c>
      <c r="K8820" s="24" t="s">
        <v>22</v>
      </c>
    </row>
    <row r="8821" spans="1:11" x14ac:dyDescent="0.2">
      <c r="A8821" s="27" t="s">
        <v>20463</v>
      </c>
      <c r="B8821" s="27" t="s">
        <v>20464</v>
      </c>
      <c r="C8821" s="27" t="s">
        <v>10289</v>
      </c>
      <c r="D8821" s="27" t="s">
        <v>17</v>
      </c>
      <c r="E8821" s="27" t="s">
        <v>48</v>
      </c>
      <c r="F8821" s="27" t="s">
        <v>49</v>
      </c>
      <c r="G8821" s="27" t="s">
        <v>217</v>
      </c>
      <c r="H8821" s="29">
        <v>10</v>
      </c>
      <c r="I8821" s="27" t="s">
        <v>29</v>
      </c>
      <c r="J8821" s="37">
        <v>46023</v>
      </c>
      <c r="K8821" s="27" t="s">
        <v>22</v>
      </c>
    </row>
    <row r="8822" spans="1:11" x14ac:dyDescent="0.2">
      <c r="A8822" s="24" t="s">
        <v>20465</v>
      </c>
      <c r="B8822" s="24" t="s">
        <v>20466</v>
      </c>
      <c r="C8822" s="24" t="s">
        <v>15351</v>
      </c>
      <c r="D8822" s="24" t="s">
        <v>17</v>
      </c>
      <c r="E8822" s="24" t="s">
        <v>81</v>
      </c>
      <c r="F8822" s="24" t="s">
        <v>82</v>
      </c>
      <c r="G8822" s="24" t="s">
        <v>217</v>
      </c>
      <c r="H8822" s="26">
        <v>24</v>
      </c>
      <c r="I8822" s="24" t="s">
        <v>29</v>
      </c>
      <c r="J8822" s="36">
        <v>46026</v>
      </c>
      <c r="K8822" s="24" t="s">
        <v>22</v>
      </c>
    </row>
    <row r="8823" spans="1:11" x14ac:dyDescent="0.2">
      <c r="A8823" s="27" t="s">
        <v>20467</v>
      </c>
      <c r="B8823" s="27" t="s">
        <v>20468</v>
      </c>
      <c r="C8823" s="27" t="s">
        <v>11389</v>
      </c>
      <c r="D8823" s="27" t="s">
        <v>17</v>
      </c>
      <c r="E8823" s="27" t="s">
        <v>42</v>
      </c>
      <c r="F8823" s="27" t="s">
        <v>43</v>
      </c>
      <c r="G8823" s="27" t="s">
        <v>217</v>
      </c>
      <c r="H8823" s="29">
        <v>120</v>
      </c>
      <c r="I8823" s="27" t="s">
        <v>29</v>
      </c>
      <c r="J8823" s="37">
        <v>46023</v>
      </c>
      <c r="K8823" s="27" t="s">
        <v>22</v>
      </c>
    </row>
    <row r="8824" spans="1:11" x14ac:dyDescent="0.2">
      <c r="A8824" s="24" t="s">
        <v>20469</v>
      </c>
      <c r="B8824" s="24" t="s">
        <v>20470</v>
      </c>
      <c r="C8824" s="24" t="s">
        <v>20471</v>
      </c>
      <c r="D8824" s="24" t="s">
        <v>17</v>
      </c>
      <c r="E8824" s="24" t="s">
        <v>42</v>
      </c>
      <c r="F8824" s="24" t="s">
        <v>43</v>
      </c>
      <c r="G8824" s="24" t="s">
        <v>217</v>
      </c>
      <c r="H8824" s="26">
        <v>600</v>
      </c>
      <c r="I8824" s="24" t="s">
        <v>29</v>
      </c>
      <c r="J8824" s="36">
        <v>46023</v>
      </c>
      <c r="K8824" s="24" t="s">
        <v>22</v>
      </c>
    </row>
    <row r="8825" spans="1:11" x14ac:dyDescent="0.2">
      <c r="A8825" s="27" t="s">
        <v>20472</v>
      </c>
      <c r="B8825" s="27" t="s">
        <v>20473</v>
      </c>
      <c r="C8825" s="27" t="s">
        <v>1444</v>
      </c>
      <c r="D8825" s="27" t="s">
        <v>17</v>
      </c>
      <c r="E8825" s="27" t="s">
        <v>48</v>
      </c>
      <c r="F8825" s="27" t="s">
        <v>49</v>
      </c>
      <c r="G8825" s="27" t="s">
        <v>217</v>
      </c>
      <c r="H8825" s="29">
        <v>30</v>
      </c>
      <c r="I8825" s="27" t="s">
        <v>29</v>
      </c>
      <c r="J8825" s="37">
        <v>46023</v>
      </c>
      <c r="K8825" s="27" t="s">
        <v>22</v>
      </c>
    </row>
    <row r="8826" spans="1:11" x14ac:dyDescent="0.2">
      <c r="A8826" s="24" t="s">
        <v>20474</v>
      </c>
      <c r="B8826" s="24" t="s">
        <v>20475</v>
      </c>
      <c r="C8826" s="24" t="s">
        <v>2779</v>
      </c>
      <c r="D8826" s="24" t="s">
        <v>17</v>
      </c>
      <c r="E8826" s="24" t="s">
        <v>42</v>
      </c>
      <c r="F8826" s="24" t="s">
        <v>43</v>
      </c>
      <c r="G8826" s="24" t="s">
        <v>28</v>
      </c>
      <c r="H8826" s="26">
        <v>500</v>
      </c>
      <c r="I8826" s="24" t="s">
        <v>29</v>
      </c>
      <c r="J8826" s="36">
        <v>46044</v>
      </c>
      <c r="K8826" s="24" t="s">
        <v>22</v>
      </c>
    </row>
    <row r="8827" spans="1:11" x14ac:dyDescent="0.2">
      <c r="A8827" s="27" t="s">
        <v>20476</v>
      </c>
      <c r="B8827" s="27" t="s">
        <v>20477</v>
      </c>
      <c r="C8827" s="27" t="s">
        <v>15830</v>
      </c>
      <c r="D8827" s="27" t="s">
        <v>17</v>
      </c>
      <c r="E8827" s="27" t="s">
        <v>48</v>
      </c>
      <c r="F8827" s="27" t="s">
        <v>49</v>
      </c>
      <c r="G8827" s="27" t="s">
        <v>217</v>
      </c>
      <c r="H8827" s="29">
        <v>180</v>
      </c>
      <c r="I8827" s="27" t="s">
        <v>29</v>
      </c>
      <c r="J8827" s="37">
        <v>46032</v>
      </c>
      <c r="K8827" s="27" t="s">
        <v>22</v>
      </c>
    </row>
    <row r="8828" spans="1:11" x14ac:dyDescent="0.2">
      <c r="A8828" s="24" t="s">
        <v>20478</v>
      </c>
      <c r="B8828" s="24" t="s">
        <v>20479</v>
      </c>
      <c r="C8828" s="24" t="s">
        <v>20480</v>
      </c>
      <c r="D8828" s="24" t="s">
        <v>17</v>
      </c>
      <c r="E8828" s="24" t="s">
        <v>18</v>
      </c>
      <c r="F8828" s="24" t="s">
        <v>19</v>
      </c>
      <c r="G8828" s="24" t="s">
        <v>28</v>
      </c>
      <c r="H8828" s="26">
        <v>64</v>
      </c>
      <c r="I8828" s="24" t="s">
        <v>29</v>
      </c>
      <c r="J8828" s="36">
        <v>46027</v>
      </c>
      <c r="K8828" s="24" t="s">
        <v>22</v>
      </c>
    </row>
    <row r="8829" spans="1:11" x14ac:dyDescent="0.2">
      <c r="A8829" s="27" t="s">
        <v>20481</v>
      </c>
      <c r="B8829" s="27" t="s">
        <v>20482</v>
      </c>
      <c r="C8829" s="27" t="s">
        <v>20483</v>
      </c>
      <c r="D8829" s="27" t="s">
        <v>17</v>
      </c>
      <c r="E8829" s="27" t="s">
        <v>26</v>
      </c>
      <c r="F8829" s="27" t="s">
        <v>27</v>
      </c>
      <c r="G8829" s="27" t="s">
        <v>28</v>
      </c>
      <c r="H8829" s="29">
        <v>24</v>
      </c>
      <c r="I8829" s="27" t="s">
        <v>29</v>
      </c>
      <c r="J8829" s="37">
        <v>46023</v>
      </c>
      <c r="K8829" s="27" t="s">
        <v>22</v>
      </c>
    </row>
    <row r="8830" spans="1:11" x14ac:dyDescent="0.2">
      <c r="A8830" s="24" t="s">
        <v>20484</v>
      </c>
      <c r="B8830" s="24" t="s">
        <v>20485</v>
      </c>
      <c r="C8830" s="24" t="s">
        <v>15046</v>
      </c>
      <c r="D8830" s="24" t="s">
        <v>17</v>
      </c>
      <c r="E8830" s="24" t="s">
        <v>48</v>
      </c>
      <c r="F8830" s="24" t="s">
        <v>49</v>
      </c>
      <c r="G8830" s="24" t="s">
        <v>28</v>
      </c>
      <c r="H8830" s="26">
        <v>12</v>
      </c>
      <c r="I8830" s="24" t="s">
        <v>29</v>
      </c>
      <c r="J8830" s="36">
        <v>46037</v>
      </c>
      <c r="K8830" s="24" t="s">
        <v>22</v>
      </c>
    </row>
    <row r="8831" spans="1:11" x14ac:dyDescent="0.2">
      <c r="A8831" s="27" t="s">
        <v>20486</v>
      </c>
      <c r="B8831" s="27" t="s">
        <v>20487</v>
      </c>
      <c r="C8831" s="27" t="s">
        <v>85</v>
      </c>
      <c r="D8831" s="27" t="s">
        <v>17</v>
      </c>
      <c r="E8831" s="27" t="s">
        <v>48</v>
      </c>
      <c r="F8831" s="27" t="s">
        <v>49</v>
      </c>
      <c r="G8831" s="27" t="s">
        <v>28</v>
      </c>
      <c r="H8831" s="29">
        <v>165</v>
      </c>
      <c r="I8831" s="27" t="s">
        <v>29</v>
      </c>
      <c r="J8831" s="37">
        <v>46045</v>
      </c>
      <c r="K8831" s="27" t="s">
        <v>22</v>
      </c>
    </row>
    <row r="8832" spans="1:11" x14ac:dyDescent="0.2">
      <c r="A8832" s="24" t="s">
        <v>20488</v>
      </c>
      <c r="B8832" s="24" t="s">
        <v>20489</v>
      </c>
      <c r="C8832" s="24" t="s">
        <v>13236</v>
      </c>
      <c r="D8832" s="24" t="s">
        <v>17</v>
      </c>
      <c r="E8832" s="24" t="s">
        <v>42</v>
      </c>
      <c r="F8832" s="24" t="s">
        <v>43</v>
      </c>
      <c r="G8832" s="24" t="s">
        <v>217</v>
      </c>
      <c r="H8832" s="26">
        <v>231</v>
      </c>
      <c r="I8832" s="24" t="s">
        <v>29</v>
      </c>
      <c r="J8832" s="36">
        <v>46023</v>
      </c>
      <c r="K8832" s="24" t="s">
        <v>22</v>
      </c>
    </row>
    <row r="8833" spans="1:11" x14ac:dyDescent="0.2">
      <c r="A8833" s="27" t="s">
        <v>20490</v>
      </c>
      <c r="B8833" s="27" t="s">
        <v>20491</v>
      </c>
      <c r="C8833" s="27" t="s">
        <v>9491</v>
      </c>
      <c r="D8833" s="27" t="s">
        <v>17</v>
      </c>
      <c r="E8833" s="27" t="s">
        <v>42</v>
      </c>
      <c r="F8833" s="27" t="s">
        <v>43</v>
      </c>
      <c r="G8833" s="27" t="s">
        <v>28</v>
      </c>
      <c r="H8833" s="29">
        <v>500</v>
      </c>
      <c r="I8833" s="27" t="s">
        <v>29</v>
      </c>
      <c r="J8833" s="37">
        <v>46044</v>
      </c>
      <c r="K8833" s="27" t="s">
        <v>22</v>
      </c>
    </row>
    <row r="8834" spans="1:11" x14ac:dyDescent="0.2">
      <c r="A8834" s="24" t="s">
        <v>20492</v>
      </c>
      <c r="B8834" s="24" t="s">
        <v>20493</v>
      </c>
      <c r="C8834" s="24" t="s">
        <v>4236</v>
      </c>
      <c r="D8834" s="24" t="s">
        <v>17</v>
      </c>
      <c r="E8834" s="24" t="s">
        <v>18</v>
      </c>
      <c r="F8834" s="24" t="s">
        <v>19</v>
      </c>
      <c r="G8834" s="24" t="s">
        <v>217</v>
      </c>
      <c r="H8834" s="26">
        <v>16</v>
      </c>
      <c r="I8834" s="24" t="s">
        <v>29</v>
      </c>
      <c r="J8834" s="36">
        <v>46052</v>
      </c>
      <c r="K8834" s="24" t="s">
        <v>22</v>
      </c>
    </row>
    <row r="8835" spans="1:11" x14ac:dyDescent="0.2">
      <c r="A8835" s="27" t="s">
        <v>20494</v>
      </c>
      <c r="B8835" s="27" t="s">
        <v>20495</v>
      </c>
      <c r="C8835" s="27" t="s">
        <v>251</v>
      </c>
      <c r="D8835" s="27" t="s">
        <v>17</v>
      </c>
      <c r="E8835" s="27" t="s">
        <v>26</v>
      </c>
      <c r="F8835" s="27" t="s">
        <v>27</v>
      </c>
      <c r="G8835" s="27" t="s">
        <v>28</v>
      </c>
      <c r="H8835" s="29">
        <v>155</v>
      </c>
      <c r="I8835" s="27" t="s">
        <v>29</v>
      </c>
      <c r="J8835" s="37">
        <v>46035</v>
      </c>
      <c r="K8835" s="27" t="s">
        <v>22</v>
      </c>
    </row>
    <row r="8836" spans="1:11" x14ac:dyDescent="0.2">
      <c r="A8836" s="24" t="s">
        <v>20496</v>
      </c>
      <c r="B8836" s="24" t="s">
        <v>20497</v>
      </c>
      <c r="C8836" s="24" t="s">
        <v>780</v>
      </c>
      <c r="D8836" s="24" t="s">
        <v>17</v>
      </c>
      <c r="E8836" s="24" t="s">
        <v>18</v>
      </c>
      <c r="F8836" s="24" t="s">
        <v>19</v>
      </c>
      <c r="G8836" s="24" t="s">
        <v>217</v>
      </c>
      <c r="H8836" s="26">
        <v>40</v>
      </c>
      <c r="I8836" s="24" t="s">
        <v>29</v>
      </c>
      <c r="J8836" s="36">
        <v>46047</v>
      </c>
      <c r="K8836" s="24" t="s">
        <v>22</v>
      </c>
    </row>
    <row r="8837" spans="1:11" x14ac:dyDescent="0.2">
      <c r="A8837" s="27" t="s">
        <v>20498</v>
      </c>
      <c r="B8837" s="27" t="s">
        <v>20499</v>
      </c>
      <c r="C8837" s="27" t="s">
        <v>97</v>
      </c>
      <c r="D8837" s="27" t="s">
        <v>17</v>
      </c>
      <c r="E8837" s="27" t="s">
        <v>18</v>
      </c>
      <c r="F8837" s="27" t="s">
        <v>19</v>
      </c>
      <c r="G8837" s="27" t="s">
        <v>28</v>
      </c>
      <c r="H8837" s="29">
        <v>28</v>
      </c>
      <c r="I8837" s="27" t="s">
        <v>29</v>
      </c>
      <c r="J8837" s="37">
        <v>46036</v>
      </c>
      <c r="K8837" s="27" t="s">
        <v>22</v>
      </c>
    </row>
    <row r="8838" spans="1:11" x14ac:dyDescent="0.2">
      <c r="A8838" s="24" t="s">
        <v>20500</v>
      </c>
      <c r="B8838" s="24" t="s">
        <v>20501</v>
      </c>
      <c r="C8838" s="24" t="s">
        <v>20502</v>
      </c>
      <c r="D8838" s="24" t="s">
        <v>17</v>
      </c>
      <c r="E8838" s="24" t="s">
        <v>48</v>
      </c>
      <c r="F8838" s="24" t="s">
        <v>49</v>
      </c>
      <c r="G8838" s="24" t="s">
        <v>28</v>
      </c>
      <c r="H8838" s="26">
        <v>40</v>
      </c>
      <c r="I8838" s="24" t="s">
        <v>29</v>
      </c>
      <c r="J8838" s="36">
        <v>46023</v>
      </c>
      <c r="K8838" s="24" t="s">
        <v>22</v>
      </c>
    </row>
    <row r="8839" spans="1:11" x14ac:dyDescent="0.2">
      <c r="A8839" s="27" t="s">
        <v>20503</v>
      </c>
      <c r="B8839" s="27" t="s">
        <v>20504</v>
      </c>
      <c r="C8839" s="27" t="s">
        <v>68</v>
      </c>
      <c r="D8839" s="27" t="s">
        <v>17</v>
      </c>
      <c r="E8839" s="27" t="s">
        <v>18</v>
      </c>
      <c r="F8839" s="27" t="s">
        <v>19</v>
      </c>
      <c r="G8839" s="27" t="s">
        <v>217</v>
      </c>
      <c r="H8839" s="29">
        <v>200</v>
      </c>
      <c r="I8839" s="27" t="s">
        <v>29</v>
      </c>
      <c r="J8839" s="37">
        <v>46043</v>
      </c>
      <c r="K8839" s="27" t="s">
        <v>22</v>
      </c>
    </row>
    <row r="8840" spans="1:11" x14ac:dyDescent="0.2">
      <c r="A8840" s="24" t="s">
        <v>20505</v>
      </c>
      <c r="B8840" s="24" t="s">
        <v>20506</v>
      </c>
      <c r="C8840" s="24" t="s">
        <v>792</v>
      </c>
      <c r="D8840" s="24" t="s">
        <v>17</v>
      </c>
      <c r="E8840" s="24" t="s">
        <v>26</v>
      </c>
      <c r="F8840" s="24" t="s">
        <v>27</v>
      </c>
      <c r="G8840" s="24" t="s">
        <v>28</v>
      </c>
      <c r="H8840" s="26">
        <v>420</v>
      </c>
      <c r="I8840" s="24" t="s">
        <v>29</v>
      </c>
      <c r="J8840" s="36">
        <v>46038</v>
      </c>
      <c r="K8840" s="24" t="s">
        <v>22</v>
      </c>
    </row>
    <row r="8841" spans="1:11" x14ac:dyDescent="0.2">
      <c r="A8841" s="27" t="s">
        <v>20507</v>
      </c>
      <c r="B8841" s="27" t="s">
        <v>20508</v>
      </c>
      <c r="C8841" s="27" t="s">
        <v>15874</v>
      </c>
      <c r="D8841" s="27" t="s">
        <v>17</v>
      </c>
      <c r="E8841" s="27" t="s">
        <v>48</v>
      </c>
      <c r="F8841" s="27" t="s">
        <v>49</v>
      </c>
      <c r="G8841" s="27" t="s">
        <v>28</v>
      </c>
      <c r="H8841" s="29">
        <v>90</v>
      </c>
      <c r="I8841" s="27" t="s">
        <v>29</v>
      </c>
      <c r="J8841" s="37">
        <v>46051</v>
      </c>
      <c r="K8841" s="27" t="s">
        <v>22</v>
      </c>
    </row>
    <row r="8842" spans="1:11" x14ac:dyDescent="0.2">
      <c r="A8842" s="24" t="s">
        <v>20509</v>
      </c>
      <c r="B8842" s="24" t="s">
        <v>20510</v>
      </c>
      <c r="C8842" s="24" t="s">
        <v>20511</v>
      </c>
      <c r="D8842" s="24" t="s">
        <v>17</v>
      </c>
      <c r="E8842" s="24" t="s">
        <v>18</v>
      </c>
      <c r="F8842" s="24" t="s">
        <v>19</v>
      </c>
      <c r="G8842" s="24" t="s">
        <v>217</v>
      </c>
      <c r="H8842" s="26">
        <v>8</v>
      </c>
      <c r="I8842" s="24" t="s">
        <v>29</v>
      </c>
      <c r="J8842" s="36">
        <v>46053</v>
      </c>
      <c r="K8842" s="24" t="s">
        <v>22</v>
      </c>
    </row>
    <row r="8843" spans="1:11" x14ac:dyDescent="0.2">
      <c r="A8843" s="27" t="s">
        <v>20512</v>
      </c>
      <c r="B8843" s="27" t="s">
        <v>20513</v>
      </c>
      <c r="C8843" s="27" t="s">
        <v>20514</v>
      </c>
      <c r="D8843" s="27" t="s">
        <v>17</v>
      </c>
      <c r="E8843" s="27" t="s">
        <v>48</v>
      </c>
      <c r="F8843" s="27" t="s">
        <v>49</v>
      </c>
      <c r="G8843" s="27" t="s">
        <v>217</v>
      </c>
      <c r="H8843" s="29">
        <v>78</v>
      </c>
      <c r="I8843" s="27" t="s">
        <v>29</v>
      </c>
      <c r="J8843" s="37">
        <v>46031</v>
      </c>
      <c r="K8843" s="27" t="s">
        <v>22</v>
      </c>
    </row>
    <row r="8844" spans="1:11" x14ac:dyDescent="0.2">
      <c r="A8844" s="24" t="s">
        <v>20515</v>
      </c>
      <c r="B8844" s="24" t="s">
        <v>20516</v>
      </c>
      <c r="C8844" s="24" t="s">
        <v>2669</v>
      </c>
      <c r="D8844" s="24" t="s">
        <v>17</v>
      </c>
      <c r="E8844" s="24" t="s">
        <v>48</v>
      </c>
      <c r="F8844" s="24" t="s">
        <v>49</v>
      </c>
      <c r="G8844" s="24" t="s">
        <v>28</v>
      </c>
      <c r="H8844" s="26">
        <v>200</v>
      </c>
      <c r="I8844" s="24" t="s">
        <v>29</v>
      </c>
      <c r="J8844" s="36">
        <v>46031</v>
      </c>
      <c r="K8844" s="24" t="s">
        <v>22</v>
      </c>
    </row>
    <row r="8845" spans="1:11" x14ac:dyDescent="0.2">
      <c r="A8845" s="27" t="s">
        <v>20517</v>
      </c>
      <c r="B8845" s="27" t="s">
        <v>20518</v>
      </c>
      <c r="C8845" s="27" t="s">
        <v>1895</v>
      </c>
      <c r="D8845" s="27" t="s">
        <v>17</v>
      </c>
      <c r="E8845" s="27" t="s">
        <v>48</v>
      </c>
      <c r="F8845" s="27" t="s">
        <v>49</v>
      </c>
      <c r="G8845" s="27" t="s">
        <v>217</v>
      </c>
      <c r="H8845" s="29">
        <v>1200</v>
      </c>
      <c r="I8845" s="27" t="s">
        <v>29</v>
      </c>
      <c r="J8845" s="37">
        <v>46029</v>
      </c>
      <c r="K8845" s="27" t="s">
        <v>22</v>
      </c>
    </row>
    <row r="8846" spans="1:11" x14ac:dyDescent="0.2">
      <c r="A8846" s="24" t="s">
        <v>20519</v>
      </c>
      <c r="B8846" s="24" t="s">
        <v>20520</v>
      </c>
      <c r="C8846" s="24" t="s">
        <v>8567</v>
      </c>
      <c r="D8846" s="24" t="s">
        <v>17</v>
      </c>
      <c r="E8846" s="24" t="s">
        <v>42</v>
      </c>
      <c r="F8846" s="24" t="s">
        <v>43</v>
      </c>
      <c r="G8846" s="24" t="s">
        <v>28</v>
      </c>
      <c r="H8846" s="26">
        <v>1300</v>
      </c>
      <c r="I8846" s="24" t="s">
        <v>29</v>
      </c>
      <c r="J8846" s="36">
        <v>46034</v>
      </c>
      <c r="K8846" s="24" t="s">
        <v>22</v>
      </c>
    </row>
    <row r="8847" spans="1:11" x14ac:dyDescent="0.2">
      <c r="A8847" s="27" t="s">
        <v>20521</v>
      </c>
      <c r="B8847" s="27" t="s">
        <v>20522</v>
      </c>
      <c r="C8847" s="27" t="s">
        <v>20523</v>
      </c>
      <c r="D8847" s="27" t="s">
        <v>17</v>
      </c>
      <c r="E8847" s="27" t="s">
        <v>26</v>
      </c>
      <c r="F8847" s="27" t="s">
        <v>27</v>
      </c>
      <c r="G8847" s="27" t="s">
        <v>28</v>
      </c>
      <c r="H8847" s="29">
        <v>6</v>
      </c>
      <c r="I8847" s="27" t="s">
        <v>29</v>
      </c>
      <c r="J8847" s="37">
        <v>46037</v>
      </c>
      <c r="K8847" s="27" t="s">
        <v>22</v>
      </c>
    </row>
    <row r="8848" spans="1:11" x14ac:dyDescent="0.2">
      <c r="A8848" s="24" t="s">
        <v>20524</v>
      </c>
      <c r="B8848" s="24" t="s">
        <v>20525</v>
      </c>
      <c r="C8848" s="24" t="s">
        <v>97</v>
      </c>
      <c r="D8848" s="24" t="s">
        <v>17</v>
      </c>
      <c r="E8848" s="24" t="s">
        <v>81</v>
      </c>
      <c r="F8848" s="24" t="s">
        <v>82</v>
      </c>
      <c r="G8848" s="24" t="s">
        <v>28</v>
      </c>
      <c r="H8848" s="26">
        <v>16</v>
      </c>
      <c r="I8848" s="24" t="s">
        <v>29</v>
      </c>
      <c r="J8848" s="36">
        <v>46038</v>
      </c>
      <c r="K8848" s="24" t="s">
        <v>22</v>
      </c>
    </row>
    <row r="8849" spans="1:11" x14ac:dyDescent="0.2">
      <c r="A8849" s="27" t="s">
        <v>20526</v>
      </c>
      <c r="B8849" s="27" t="s">
        <v>20527</v>
      </c>
      <c r="C8849" s="27" t="s">
        <v>3089</v>
      </c>
      <c r="D8849" s="27" t="s">
        <v>17</v>
      </c>
      <c r="E8849" s="27" t="s">
        <v>163</v>
      </c>
      <c r="F8849" s="27" t="s">
        <v>164</v>
      </c>
      <c r="G8849" s="27" t="s">
        <v>28</v>
      </c>
      <c r="H8849" s="29">
        <v>40</v>
      </c>
      <c r="I8849" s="27" t="s">
        <v>29</v>
      </c>
      <c r="J8849" s="37">
        <v>46027</v>
      </c>
      <c r="K8849" s="27" t="s">
        <v>22</v>
      </c>
    </row>
    <row r="8850" spans="1:11" x14ac:dyDescent="0.2">
      <c r="A8850" s="24" t="s">
        <v>20528</v>
      </c>
      <c r="B8850" s="24" t="s">
        <v>20529</v>
      </c>
      <c r="C8850" s="24" t="s">
        <v>5080</v>
      </c>
      <c r="D8850" s="24" t="s">
        <v>17</v>
      </c>
      <c r="E8850" s="24" t="s">
        <v>48</v>
      </c>
      <c r="F8850" s="24" t="s">
        <v>49</v>
      </c>
      <c r="G8850" s="24" t="s">
        <v>28</v>
      </c>
      <c r="H8850" s="26">
        <v>90</v>
      </c>
      <c r="I8850" s="24" t="s">
        <v>29</v>
      </c>
      <c r="J8850" s="36">
        <v>46024</v>
      </c>
      <c r="K8850" s="24" t="s">
        <v>22</v>
      </c>
    </row>
    <row r="8851" spans="1:11" x14ac:dyDescent="0.2">
      <c r="A8851" s="27" t="s">
        <v>20530</v>
      </c>
      <c r="B8851" s="27" t="s">
        <v>20531</v>
      </c>
      <c r="C8851" s="27" t="s">
        <v>20532</v>
      </c>
      <c r="D8851" s="27" t="s">
        <v>17</v>
      </c>
      <c r="E8851" s="27" t="s">
        <v>48</v>
      </c>
      <c r="F8851" s="27" t="s">
        <v>49</v>
      </c>
      <c r="G8851" s="27" t="s">
        <v>28</v>
      </c>
      <c r="H8851" s="29">
        <v>14</v>
      </c>
      <c r="I8851" s="27" t="s">
        <v>29</v>
      </c>
      <c r="J8851" s="37">
        <v>46044</v>
      </c>
      <c r="K8851" s="27" t="s">
        <v>22</v>
      </c>
    </row>
    <row r="8852" spans="1:11" x14ac:dyDescent="0.2">
      <c r="A8852" s="24" t="s">
        <v>20533</v>
      </c>
      <c r="B8852" s="24" t="s">
        <v>20534</v>
      </c>
      <c r="C8852" s="24" t="s">
        <v>13620</v>
      </c>
      <c r="D8852" s="24" t="s">
        <v>17</v>
      </c>
      <c r="E8852" s="24" t="s">
        <v>42</v>
      </c>
      <c r="F8852" s="24" t="s">
        <v>43</v>
      </c>
      <c r="G8852" s="24" t="s">
        <v>217</v>
      </c>
      <c r="H8852" s="26">
        <v>300</v>
      </c>
      <c r="I8852" s="24" t="s">
        <v>29</v>
      </c>
      <c r="J8852" s="36">
        <v>46042</v>
      </c>
      <c r="K8852" s="24" t="s">
        <v>22</v>
      </c>
    </row>
    <row r="8853" spans="1:11" x14ac:dyDescent="0.2">
      <c r="A8853" s="27" t="s">
        <v>20535</v>
      </c>
      <c r="B8853" s="27" t="s">
        <v>20536</v>
      </c>
      <c r="C8853" s="27" t="s">
        <v>20537</v>
      </c>
      <c r="D8853" s="27" t="s">
        <v>17</v>
      </c>
      <c r="E8853" s="27" t="s">
        <v>26</v>
      </c>
      <c r="F8853" s="27" t="s">
        <v>27</v>
      </c>
      <c r="G8853" s="27" t="s">
        <v>28</v>
      </c>
      <c r="H8853" s="29">
        <v>92</v>
      </c>
      <c r="I8853" s="27" t="s">
        <v>29</v>
      </c>
      <c r="J8853" s="37">
        <v>46048</v>
      </c>
      <c r="K8853" s="27" t="s">
        <v>22</v>
      </c>
    </row>
    <row r="8854" spans="1:11" x14ac:dyDescent="0.2">
      <c r="A8854" s="24" t="s">
        <v>20538</v>
      </c>
      <c r="B8854" s="24" t="s">
        <v>20539</v>
      </c>
      <c r="C8854" s="24" t="s">
        <v>613</v>
      </c>
      <c r="D8854" s="24" t="s">
        <v>17</v>
      </c>
      <c r="E8854" s="24" t="s">
        <v>18</v>
      </c>
      <c r="F8854" s="24" t="s">
        <v>19</v>
      </c>
      <c r="G8854" s="24" t="s">
        <v>28</v>
      </c>
      <c r="H8854" s="26">
        <v>60</v>
      </c>
      <c r="I8854" s="24" t="s">
        <v>29</v>
      </c>
      <c r="J8854" s="36">
        <v>46027</v>
      </c>
      <c r="K8854" s="24" t="s">
        <v>22</v>
      </c>
    </row>
    <row r="8855" spans="1:11" x14ac:dyDescent="0.2">
      <c r="A8855" s="27" t="s">
        <v>20540</v>
      </c>
      <c r="B8855" s="27" t="s">
        <v>20541</v>
      </c>
      <c r="C8855" s="27" t="s">
        <v>20542</v>
      </c>
      <c r="D8855" s="27" t="s">
        <v>17</v>
      </c>
      <c r="E8855" s="27" t="s">
        <v>26</v>
      </c>
      <c r="F8855" s="27" t="s">
        <v>27</v>
      </c>
      <c r="G8855" s="27" t="s">
        <v>44</v>
      </c>
      <c r="H8855" s="29">
        <v>1</v>
      </c>
      <c r="I8855" s="27" t="s">
        <v>29</v>
      </c>
      <c r="J8855" s="37">
        <v>46035</v>
      </c>
      <c r="K8855" s="27" t="s">
        <v>22</v>
      </c>
    </row>
    <row r="8856" spans="1:11" x14ac:dyDescent="0.2">
      <c r="A8856" s="24" t="s">
        <v>20543</v>
      </c>
      <c r="B8856" s="24" t="s">
        <v>20544</v>
      </c>
      <c r="C8856" s="24" t="s">
        <v>16658</v>
      </c>
      <c r="D8856" s="24" t="s">
        <v>17</v>
      </c>
      <c r="E8856" s="24" t="s">
        <v>18</v>
      </c>
      <c r="F8856" s="24" t="s">
        <v>19</v>
      </c>
      <c r="G8856" s="24" t="s">
        <v>28</v>
      </c>
      <c r="H8856" s="26">
        <v>48</v>
      </c>
      <c r="I8856" s="24" t="s">
        <v>29</v>
      </c>
      <c r="J8856" s="36">
        <v>46026</v>
      </c>
      <c r="K8856" s="24" t="s">
        <v>22</v>
      </c>
    </row>
    <row r="8857" spans="1:11" x14ac:dyDescent="0.2">
      <c r="A8857" s="27" t="s">
        <v>20545</v>
      </c>
      <c r="B8857" s="27" t="s">
        <v>20546</v>
      </c>
      <c r="C8857" s="27" t="s">
        <v>9491</v>
      </c>
      <c r="D8857" s="27" t="s">
        <v>17</v>
      </c>
      <c r="E8857" s="27" t="s">
        <v>18</v>
      </c>
      <c r="F8857" s="27" t="s">
        <v>19</v>
      </c>
      <c r="G8857" s="27" t="s">
        <v>28</v>
      </c>
      <c r="H8857" s="29">
        <v>138</v>
      </c>
      <c r="I8857" s="27" t="s">
        <v>29</v>
      </c>
      <c r="J8857" s="37">
        <v>46031</v>
      </c>
      <c r="K8857" s="27" t="s">
        <v>22</v>
      </c>
    </row>
    <row r="8858" spans="1:11" x14ac:dyDescent="0.2">
      <c r="A8858" s="24" t="s">
        <v>20547</v>
      </c>
      <c r="B8858" s="24" t="s">
        <v>20548</v>
      </c>
      <c r="C8858" s="24" t="s">
        <v>85</v>
      </c>
      <c r="D8858" s="24" t="s">
        <v>17</v>
      </c>
      <c r="E8858" s="24" t="s">
        <v>18</v>
      </c>
      <c r="F8858" s="24" t="s">
        <v>19</v>
      </c>
      <c r="G8858" s="24" t="s">
        <v>44</v>
      </c>
      <c r="H8858" s="26">
        <v>11</v>
      </c>
      <c r="I8858" s="24" t="s">
        <v>21</v>
      </c>
      <c r="J8858" s="36">
        <v>46037</v>
      </c>
      <c r="K8858" s="24" t="s">
        <v>22</v>
      </c>
    </row>
    <row r="8859" spans="1:11" x14ac:dyDescent="0.2">
      <c r="A8859" s="27" t="s">
        <v>20549</v>
      </c>
      <c r="B8859" s="27" t="s">
        <v>20550</v>
      </c>
      <c r="C8859" s="27" t="s">
        <v>2331</v>
      </c>
      <c r="D8859" s="27" t="s">
        <v>17</v>
      </c>
      <c r="E8859" s="27" t="s">
        <v>48</v>
      </c>
      <c r="F8859" s="27" t="s">
        <v>49</v>
      </c>
      <c r="G8859" s="27" t="s">
        <v>28</v>
      </c>
      <c r="H8859" s="29">
        <v>75</v>
      </c>
      <c r="I8859" s="27" t="s">
        <v>29</v>
      </c>
      <c r="J8859" s="37">
        <v>46037</v>
      </c>
      <c r="K8859" s="27" t="s">
        <v>22</v>
      </c>
    </row>
    <row r="8860" spans="1:11" x14ac:dyDescent="0.2">
      <c r="A8860" s="24" t="s">
        <v>20551</v>
      </c>
      <c r="B8860" s="24" t="s">
        <v>20552</v>
      </c>
      <c r="C8860" s="24" t="s">
        <v>613</v>
      </c>
      <c r="D8860" s="24" t="s">
        <v>17</v>
      </c>
      <c r="E8860" s="24" t="s">
        <v>18</v>
      </c>
      <c r="F8860" s="24" t="s">
        <v>19</v>
      </c>
      <c r="G8860" s="24" t="s">
        <v>28</v>
      </c>
      <c r="H8860" s="26">
        <v>260</v>
      </c>
      <c r="I8860" s="24" t="s">
        <v>29</v>
      </c>
      <c r="J8860" s="36">
        <v>46041</v>
      </c>
      <c r="K8860" s="24" t="s">
        <v>22</v>
      </c>
    </row>
    <row r="8861" spans="1:11" x14ac:dyDescent="0.2">
      <c r="A8861" s="27" t="s">
        <v>20553</v>
      </c>
      <c r="B8861" s="27" t="s">
        <v>20554</v>
      </c>
      <c r="C8861" s="27" t="s">
        <v>20555</v>
      </c>
      <c r="D8861" s="27" t="s">
        <v>17</v>
      </c>
      <c r="E8861" s="27" t="s">
        <v>42</v>
      </c>
      <c r="F8861" s="27" t="s">
        <v>43</v>
      </c>
      <c r="G8861" s="27" t="s">
        <v>217</v>
      </c>
      <c r="H8861" s="29">
        <v>412</v>
      </c>
      <c r="I8861" s="27" t="s">
        <v>29</v>
      </c>
      <c r="J8861" s="37">
        <v>46023</v>
      </c>
      <c r="K8861" s="27" t="s">
        <v>22</v>
      </c>
    </row>
    <row r="8862" spans="1:11" x14ac:dyDescent="0.2">
      <c r="A8862" s="24" t="s">
        <v>20556</v>
      </c>
      <c r="B8862" s="24" t="s">
        <v>20557</v>
      </c>
      <c r="C8862" s="24" t="s">
        <v>2257</v>
      </c>
      <c r="D8862" s="24" t="s">
        <v>17</v>
      </c>
      <c r="E8862" s="24" t="s">
        <v>26</v>
      </c>
      <c r="F8862" s="24" t="s">
        <v>27</v>
      </c>
      <c r="G8862" s="24" t="s">
        <v>217</v>
      </c>
      <c r="H8862" s="26">
        <v>200</v>
      </c>
      <c r="I8862" s="24" t="s">
        <v>29</v>
      </c>
      <c r="J8862" s="36">
        <v>46023</v>
      </c>
      <c r="K8862" s="24" t="s">
        <v>22</v>
      </c>
    </row>
    <row r="8863" spans="1:11" x14ac:dyDescent="0.2">
      <c r="A8863" s="27" t="s">
        <v>20558</v>
      </c>
      <c r="B8863" s="27" t="s">
        <v>20559</v>
      </c>
      <c r="C8863" s="27" t="s">
        <v>20560</v>
      </c>
      <c r="D8863" s="27" t="s">
        <v>17</v>
      </c>
      <c r="E8863" s="27" t="s">
        <v>26</v>
      </c>
      <c r="F8863" s="27" t="s">
        <v>27</v>
      </c>
      <c r="G8863" s="27" t="s">
        <v>28</v>
      </c>
      <c r="H8863" s="29">
        <v>36</v>
      </c>
      <c r="I8863" s="27" t="s">
        <v>29</v>
      </c>
      <c r="J8863" s="37">
        <v>46023</v>
      </c>
      <c r="K8863" s="27" t="s">
        <v>22</v>
      </c>
    </row>
    <row r="8864" spans="1:11" x14ac:dyDescent="0.2">
      <c r="A8864" s="24" t="s">
        <v>20561</v>
      </c>
      <c r="B8864" s="24" t="s">
        <v>20562</v>
      </c>
      <c r="C8864" s="24" t="s">
        <v>13083</v>
      </c>
      <c r="D8864" s="24" t="s">
        <v>17</v>
      </c>
      <c r="E8864" s="24" t="s">
        <v>33</v>
      </c>
      <c r="F8864" s="24" t="s">
        <v>34</v>
      </c>
      <c r="G8864" s="24" t="s">
        <v>28</v>
      </c>
      <c r="H8864" s="26">
        <v>400</v>
      </c>
      <c r="I8864" s="24" t="s">
        <v>29</v>
      </c>
      <c r="J8864" s="36">
        <v>46028</v>
      </c>
      <c r="K8864" s="24" t="s">
        <v>22</v>
      </c>
    </row>
    <row r="8865" spans="1:11" x14ac:dyDescent="0.2">
      <c r="A8865" s="27" t="s">
        <v>20563</v>
      </c>
      <c r="B8865" s="27" t="s">
        <v>20564</v>
      </c>
      <c r="C8865" s="27" t="s">
        <v>20565</v>
      </c>
      <c r="D8865" s="27" t="s">
        <v>17</v>
      </c>
      <c r="E8865" s="27" t="s">
        <v>48</v>
      </c>
      <c r="F8865" s="27" t="s">
        <v>49</v>
      </c>
      <c r="G8865" s="27" t="s">
        <v>217</v>
      </c>
      <c r="H8865" s="29">
        <v>105</v>
      </c>
      <c r="I8865" s="27" t="s">
        <v>29</v>
      </c>
      <c r="J8865" s="37">
        <v>46023</v>
      </c>
      <c r="K8865" s="27" t="s">
        <v>22</v>
      </c>
    </row>
    <row r="8866" spans="1:11" x14ac:dyDescent="0.2">
      <c r="A8866" s="24" t="s">
        <v>20566</v>
      </c>
      <c r="B8866" s="24" t="s">
        <v>20567</v>
      </c>
      <c r="C8866" s="24" t="s">
        <v>20568</v>
      </c>
      <c r="D8866" s="24" t="s">
        <v>17</v>
      </c>
      <c r="E8866" s="24" t="s">
        <v>18</v>
      </c>
      <c r="F8866" s="24" t="s">
        <v>19</v>
      </c>
      <c r="G8866" s="24" t="s">
        <v>28</v>
      </c>
      <c r="H8866" s="26">
        <v>6</v>
      </c>
      <c r="I8866" s="24" t="s">
        <v>29</v>
      </c>
      <c r="J8866" s="36">
        <v>46034</v>
      </c>
      <c r="K8866" s="24" t="s">
        <v>22</v>
      </c>
    </row>
    <row r="8867" spans="1:11" x14ac:dyDescent="0.2">
      <c r="A8867" s="27" t="s">
        <v>20569</v>
      </c>
      <c r="B8867" s="27" t="s">
        <v>20570</v>
      </c>
      <c r="C8867" s="27" t="s">
        <v>20571</v>
      </c>
      <c r="D8867" s="27" t="s">
        <v>17</v>
      </c>
      <c r="E8867" s="27" t="s">
        <v>18</v>
      </c>
      <c r="F8867" s="27" t="s">
        <v>19</v>
      </c>
      <c r="G8867" s="27" t="s">
        <v>28</v>
      </c>
      <c r="H8867" s="29">
        <v>56</v>
      </c>
      <c r="I8867" s="27" t="s">
        <v>29</v>
      </c>
      <c r="J8867" s="37">
        <v>46049</v>
      </c>
      <c r="K8867" s="27" t="s">
        <v>22</v>
      </c>
    </row>
    <row r="8868" spans="1:11" x14ac:dyDescent="0.2">
      <c r="A8868" s="24" t="s">
        <v>20572</v>
      </c>
      <c r="B8868" s="24" t="s">
        <v>20573</v>
      </c>
      <c r="C8868" s="24" t="s">
        <v>12891</v>
      </c>
      <c r="D8868" s="24" t="s">
        <v>17</v>
      </c>
      <c r="E8868" s="24" t="s">
        <v>18</v>
      </c>
      <c r="F8868" s="24" t="s">
        <v>19</v>
      </c>
      <c r="G8868" s="24" t="s">
        <v>28</v>
      </c>
      <c r="H8868" s="26">
        <v>36</v>
      </c>
      <c r="I8868" s="24" t="s">
        <v>29</v>
      </c>
      <c r="J8868" s="36">
        <v>46043</v>
      </c>
      <c r="K8868" s="24" t="s">
        <v>22</v>
      </c>
    </row>
    <row r="8869" spans="1:11" x14ac:dyDescent="0.2">
      <c r="A8869" s="27" t="s">
        <v>20574</v>
      </c>
      <c r="B8869" s="27" t="s">
        <v>20575</v>
      </c>
      <c r="C8869" s="27" t="s">
        <v>213</v>
      </c>
      <c r="D8869" s="27" t="s">
        <v>17</v>
      </c>
      <c r="E8869" s="27" t="s">
        <v>26</v>
      </c>
      <c r="F8869" s="27" t="s">
        <v>27</v>
      </c>
      <c r="G8869" s="27" t="s">
        <v>28</v>
      </c>
      <c r="H8869" s="29">
        <v>162</v>
      </c>
      <c r="I8869" s="27" t="s">
        <v>29</v>
      </c>
      <c r="J8869" s="37">
        <v>46052</v>
      </c>
      <c r="K8869" s="27" t="s">
        <v>22</v>
      </c>
    </row>
    <row r="8870" spans="1:11" x14ac:dyDescent="0.2">
      <c r="A8870" s="24" t="s">
        <v>20576</v>
      </c>
      <c r="B8870" s="24" t="s">
        <v>20577</v>
      </c>
      <c r="C8870" s="24" t="s">
        <v>613</v>
      </c>
      <c r="D8870" s="24" t="s">
        <v>17</v>
      </c>
      <c r="E8870" s="24" t="s">
        <v>18</v>
      </c>
      <c r="F8870" s="24" t="s">
        <v>19</v>
      </c>
      <c r="G8870" s="24" t="s">
        <v>217</v>
      </c>
      <c r="H8870" s="26">
        <v>56</v>
      </c>
      <c r="I8870" s="24" t="s">
        <v>29</v>
      </c>
      <c r="J8870" s="36">
        <v>46035</v>
      </c>
      <c r="K8870" s="24" t="s">
        <v>22</v>
      </c>
    </row>
    <row r="8871" spans="1:11" x14ac:dyDescent="0.2">
      <c r="A8871" s="27" t="s">
        <v>20578</v>
      </c>
      <c r="B8871" s="27" t="s">
        <v>20579</v>
      </c>
      <c r="C8871" s="27" t="s">
        <v>1330</v>
      </c>
      <c r="D8871" s="27" t="s">
        <v>17</v>
      </c>
      <c r="E8871" s="27" t="s">
        <v>48</v>
      </c>
      <c r="F8871" s="27" t="s">
        <v>49</v>
      </c>
      <c r="G8871" s="27" t="s">
        <v>28</v>
      </c>
      <c r="H8871" s="29">
        <v>285</v>
      </c>
      <c r="I8871" s="27" t="s">
        <v>29</v>
      </c>
      <c r="J8871" s="37">
        <v>46042</v>
      </c>
      <c r="K8871" s="27" t="s">
        <v>22</v>
      </c>
    </row>
    <row r="8872" spans="1:11" x14ac:dyDescent="0.2">
      <c r="A8872" s="24" t="s">
        <v>20580</v>
      </c>
      <c r="B8872" s="24" t="s">
        <v>20581</v>
      </c>
      <c r="C8872" s="24" t="s">
        <v>20582</v>
      </c>
      <c r="D8872" s="24" t="s">
        <v>17</v>
      </c>
      <c r="E8872" s="24" t="s">
        <v>26</v>
      </c>
      <c r="F8872" s="24" t="s">
        <v>27</v>
      </c>
      <c r="G8872" s="24" t="s">
        <v>28</v>
      </c>
      <c r="H8872" s="26">
        <v>144</v>
      </c>
      <c r="I8872" s="24" t="s">
        <v>29</v>
      </c>
      <c r="J8872" s="36">
        <v>46034</v>
      </c>
      <c r="K8872" s="24" t="s">
        <v>22</v>
      </c>
    </row>
    <row r="8873" spans="1:11" x14ac:dyDescent="0.2">
      <c r="A8873" s="27" t="s">
        <v>20583</v>
      </c>
      <c r="B8873" s="27" t="s">
        <v>20584</v>
      </c>
      <c r="C8873" s="27" t="s">
        <v>708</v>
      </c>
      <c r="D8873" s="27" t="s">
        <v>17</v>
      </c>
      <c r="E8873" s="27" t="s">
        <v>42</v>
      </c>
      <c r="F8873" s="27" t="s">
        <v>43</v>
      </c>
      <c r="G8873" s="27" t="s">
        <v>28</v>
      </c>
      <c r="H8873" s="29">
        <v>350</v>
      </c>
      <c r="I8873" s="27" t="s">
        <v>29</v>
      </c>
      <c r="J8873" s="37">
        <v>46032</v>
      </c>
      <c r="K8873" s="27" t="s">
        <v>22</v>
      </c>
    </row>
    <row r="8874" spans="1:11" x14ac:dyDescent="0.2">
      <c r="A8874" s="24" t="s">
        <v>20585</v>
      </c>
      <c r="B8874" s="24" t="s">
        <v>20586</v>
      </c>
      <c r="C8874" s="24" t="s">
        <v>602</v>
      </c>
      <c r="D8874" s="24" t="s">
        <v>17</v>
      </c>
      <c r="E8874" s="24" t="s">
        <v>26</v>
      </c>
      <c r="F8874" s="24" t="s">
        <v>27</v>
      </c>
      <c r="G8874" s="24" t="s">
        <v>217</v>
      </c>
      <c r="H8874" s="26">
        <v>60</v>
      </c>
      <c r="I8874" s="24" t="s">
        <v>29</v>
      </c>
      <c r="J8874" s="36">
        <v>46023</v>
      </c>
      <c r="K8874" s="24" t="s">
        <v>22</v>
      </c>
    </row>
    <row r="8875" spans="1:11" x14ac:dyDescent="0.2">
      <c r="A8875" s="27" t="s">
        <v>20587</v>
      </c>
      <c r="B8875" s="27" t="s">
        <v>20588</v>
      </c>
      <c r="C8875" s="27" t="s">
        <v>1938</v>
      </c>
      <c r="D8875" s="27" t="s">
        <v>17</v>
      </c>
      <c r="E8875" s="27" t="s">
        <v>26</v>
      </c>
      <c r="F8875" s="27" t="s">
        <v>27</v>
      </c>
      <c r="G8875" s="27" t="s">
        <v>28</v>
      </c>
      <c r="H8875" s="29">
        <v>200</v>
      </c>
      <c r="I8875" s="27" t="s">
        <v>29</v>
      </c>
      <c r="J8875" s="37">
        <v>46035</v>
      </c>
      <c r="K8875" s="27" t="s">
        <v>22</v>
      </c>
    </row>
    <row r="8876" spans="1:11" x14ac:dyDescent="0.2">
      <c r="A8876" s="24" t="s">
        <v>20589</v>
      </c>
      <c r="B8876" s="24" t="s">
        <v>20590</v>
      </c>
      <c r="C8876" s="24" t="s">
        <v>194</v>
      </c>
      <c r="D8876" s="24" t="s">
        <v>17</v>
      </c>
      <c r="E8876" s="24" t="s">
        <v>18</v>
      </c>
      <c r="F8876" s="24" t="s">
        <v>19</v>
      </c>
      <c r="G8876" s="24" t="s">
        <v>28</v>
      </c>
      <c r="H8876" s="26">
        <v>33</v>
      </c>
      <c r="I8876" s="24" t="s">
        <v>29</v>
      </c>
      <c r="J8876" s="36">
        <v>46034</v>
      </c>
      <c r="K8876" s="24" t="s">
        <v>22</v>
      </c>
    </row>
    <row r="8877" spans="1:11" x14ac:dyDescent="0.2">
      <c r="A8877" s="27" t="s">
        <v>20591</v>
      </c>
      <c r="B8877" s="27" t="s">
        <v>20592</v>
      </c>
      <c r="C8877" s="27" t="s">
        <v>301</v>
      </c>
      <c r="D8877" s="27" t="s">
        <v>17</v>
      </c>
      <c r="E8877" s="27" t="s">
        <v>18</v>
      </c>
      <c r="F8877" s="27" t="s">
        <v>19</v>
      </c>
      <c r="G8877" s="27" t="s">
        <v>28</v>
      </c>
      <c r="H8877" s="29">
        <v>130</v>
      </c>
      <c r="I8877" s="27" t="s">
        <v>29</v>
      </c>
      <c r="J8877" s="37">
        <v>46042</v>
      </c>
      <c r="K8877" s="27" t="s">
        <v>22</v>
      </c>
    </row>
    <row r="8878" spans="1:11" x14ac:dyDescent="0.2">
      <c r="A8878" s="24" t="s">
        <v>20593</v>
      </c>
      <c r="B8878" s="24" t="s">
        <v>20594</v>
      </c>
      <c r="C8878" s="24" t="s">
        <v>5998</v>
      </c>
      <c r="D8878" s="24" t="s">
        <v>17</v>
      </c>
      <c r="E8878" s="24" t="s">
        <v>26</v>
      </c>
      <c r="F8878" s="24" t="s">
        <v>27</v>
      </c>
      <c r="G8878" s="24" t="s">
        <v>28</v>
      </c>
      <c r="H8878" s="26">
        <v>30</v>
      </c>
      <c r="I8878" s="24" t="s">
        <v>29</v>
      </c>
      <c r="J8878" s="36">
        <v>46023</v>
      </c>
      <c r="K8878" s="24" t="s">
        <v>22</v>
      </c>
    </row>
    <row r="8879" spans="1:11" x14ac:dyDescent="0.2">
      <c r="A8879" s="27" t="s">
        <v>20595</v>
      </c>
      <c r="B8879" s="27" t="s">
        <v>20596</v>
      </c>
      <c r="C8879" s="27" t="s">
        <v>20597</v>
      </c>
      <c r="D8879" s="27" t="s">
        <v>17</v>
      </c>
      <c r="E8879" s="27" t="s">
        <v>18</v>
      </c>
      <c r="F8879" s="27" t="s">
        <v>19</v>
      </c>
      <c r="G8879" s="27" t="s">
        <v>217</v>
      </c>
      <c r="H8879" s="29">
        <v>150</v>
      </c>
      <c r="I8879" s="27" t="s">
        <v>29</v>
      </c>
      <c r="J8879" s="37">
        <v>46031</v>
      </c>
      <c r="K8879" s="27" t="s">
        <v>22</v>
      </c>
    </row>
    <row r="8880" spans="1:11" x14ac:dyDescent="0.2">
      <c r="A8880" s="24" t="s">
        <v>20598</v>
      </c>
      <c r="B8880" s="24" t="s">
        <v>20599</v>
      </c>
      <c r="C8880" s="24" t="s">
        <v>20600</v>
      </c>
      <c r="D8880" s="24" t="s">
        <v>17</v>
      </c>
      <c r="E8880" s="24" t="s">
        <v>48</v>
      </c>
      <c r="F8880" s="24" t="s">
        <v>49</v>
      </c>
      <c r="G8880" s="24" t="s">
        <v>28</v>
      </c>
      <c r="H8880" s="26">
        <v>100</v>
      </c>
      <c r="I8880" s="24" t="s">
        <v>29</v>
      </c>
      <c r="J8880" s="36">
        <v>46044</v>
      </c>
      <c r="K8880" s="24" t="s">
        <v>22</v>
      </c>
    </row>
    <row r="8881" spans="1:11" x14ac:dyDescent="0.2">
      <c r="A8881" s="27" t="s">
        <v>20601</v>
      </c>
      <c r="B8881" s="27" t="s">
        <v>20602</v>
      </c>
      <c r="C8881" s="27" t="s">
        <v>11211</v>
      </c>
      <c r="D8881" s="27" t="s">
        <v>17</v>
      </c>
      <c r="E8881" s="27" t="s">
        <v>26</v>
      </c>
      <c r="F8881" s="27" t="s">
        <v>27</v>
      </c>
      <c r="G8881" s="27" t="s">
        <v>28</v>
      </c>
      <c r="H8881" s="29">
        <v>368</v>
      </c>
      <c r="I8881" s="27" t="s">
        <v>29</v>
      </c>
      <c r="J8881" s="37">
        <v>46050</v>
      </c>
      <c r="K8881" s="27" t="s">
        <v>22</v>
      </c>
    </row>
    <row r="8882" spans="1:11" x14ac:dyDescent="0.2">
      <c r="A8882" s="24" t="s">
        <v>20603</v>
      </c>
      <c r="B8882" s="24" t="s">
        <v>20604</v>
      </c>
      <c r="C8882" s="24" t="s">
        <v>6622</v>
      </c>
      <c r="D8882" s="24" t="s">
        <v>17</v>
      </c>
      <c r="E8882" s="24" t="s">
        <v>81</v>
      </c>
      <c r="F8882" s="24" t="s">
        <v>82</v>
      </c>
      <c r="G8882" s="24" t="s">
        <v>28</v>
      </c>
      <c r="H8882" s="26">
        <v>8</v>
      </c>
      <c r="I8882" s="24" t="s">
        <v>29</v>
      </c>
      <c r="J8882" s="36">
        <v>46031</v>
      </c>
      <c r="K8882" s="24" t="s">
        <v>22</v>
      </c>
    </row>
    <row r="8883" spans="1:11" x14ac:dyDescent="0.2">
      <c r="A8883" s="27" t="s">
        <v>20605</v>
      </c>
      <c r="B8883" s="27" t="s">
        <v>20606</v>
      </c>
      <c r="C8883" s="27" t="s">
        <v>437</v>
      </c>
      <c r="D8883" s="27" t="s">
        <v>17</v>
      </c>
      <c r="E8883" s="27" t="s">
        <v>18</v>
      </c>
      <c r="F8883" s="27" t="s">
        <v>19</v>
      </c>
      <c r="G8883" s="27" t="s">
        <v>28</v>
      </c>
      <c r="H8883" s="29">
        <v>400</v>
      </c>
      <c r="I8883" s="27" t="s">
        <v>29</v>
      </c>
      <c r="J8883" s="37">
        <v>46038</v>
      </c>
      <c r="K8883" s="27" t="s">
        <v>22</v>
      </c>
    </row>
    <row r="8884" spans="1:11" x14ac:dyDescent="0.2">
      <c r="A8884" s="24" t="s">
        <v>20607</v>
      </c>
      <c r="B8884" s="24" t="s">
        <v>20608</v>
      </c>
      <c r="C8884" s="24" t="s">
        <v>3239</v>
      </c>
      <c r="D8884" s="24" t="s">
        <v>17</v>
      </c>
      <c r="E8884" s="24" t="s">
        <v>18</v>
      </c>
      <c r="F8884" s="24" t="s">
        <v>19</v>
      </c>
      <c r="G8884" s="24" t="s">
        <v>28</v>
      </c>
      <c r="H8884" s="26">
        <v>30</v>
      </c>
      <c r="I8884" s="24" t="s">
        <v>29</v>
      </c>
      <c r="J8884" s="36">
        <v>46023</v>
      </c>
      <c r="K8884" s="24" t="s">
        <v>22</v>
      </c>
    </row>
    <row r="8885" spans="1:11" x14ac:dyDescent="0.2">
      <c r="A8885" s="27" t="s">
        <v>20609</v>
      </c>
      <c r="B8885" s="27" t="s">
        <v>20610</v>
      </c>
      <c r="C8885" s="27" t="s">
        <v>5453</v>
      </c>
      <c r="D8885" s="27" t="s">
        <v>17</v>
      </c>
      <c r="E8885" s="27" t="s">
        <v>26</v>
      </c>
      <c r="F8885" s="27" t="s">
        <v>27</v>
      </c>
      <c r="G8885" s="27" t="s">
        <v>28</v>
      </c>
      <c r="H8885" s="29">
        <v>164</v>
      </c>
      <c r="I8885" s="27" t="s">
        <v>29</v>
      </c>
      <c r="J8885" s="37">
        <v>46053</v>
      </c>
      <c r="K8885" s="27" t="s">
        <v>22</v>
      </c>
    </row>
    <row r="8886" spans="1:11" x14ac:dyDescent="0.2">
      <c r="A8886" s="24" t="s">
        <v>20611</v>
      </c>
      <c r="B8886" s="24" t="s">
        <v>20612</v>
      </c>
      <c r="C8886" s="24" t="s">
        <v>1236</v>
      </c>
      <c r="D8886" s="24" t="s">
        <v>17</v>
      </c>
      <c r="E8886" s="24" t="s">
        <v>42</v>
      </c>
      <c r="F8886" s="24" t="s">
        <v>43</v>
      </c>
      <c r="G8886" s="24" t="s">
        <v>217</v>
      </c>
      <c r="H8886" s="26">
        <v>230</v>
      </c>
      <c r="I8886" s="24" t="s">
        <v>29</v>
      </c>
      <c r="J8886" s="36">
        <v>46048</v>
      </c>
      <c r="K8886" s="24" t="s">
        <v>22</v>
      </c>
    </row>
    <row r="8887" spans="1:11" x14ac:dyDescent="0.2">
      <c r="A8887" s="27" t="s">
        <v>20613</v>
      </c>
      <c r="B8887" s="27" t="s">
        <v>20614</v>
      </c>
      <c r="C8887" s="27" t="s">
        <v>331</v>
      </c>
      <c r="D8887" s="27" t="s">
        <v>17</v>
      </c>
      <c r="E8887" s="27" t="s">
        <v>18</v>
      </c>
      <c r="F8887" s="27" t="s">
        <v>19</v>
      </c>
      <c r="G8887" s="27" t="s">
        <v>28</v>
      </c>
      <c r="H8887" s="29">
        <v>280</v>
      </c>
      <c r="I8887" s="27" t="s">
        <v>29</v>
      </c>
      <c r="J8887" s="37">
        <v>46030</v>
      </c>
      <c r="K8887" s="27" t="s">
        <v>22</v>
      </c>
    </row>
    <row r="8888" spans="1:11" x14ac:dyDescent="0.2">
      <c r="A8888" s="24" t="s">
        <v>20615</v>
      </c>
      <c r="B8888" s="24" t="s">
        <v>20616</v>
      </c>
      <c r="C8888" s="24" t="s">
        <v>20617</v>
      </c>
      <c r="D8888" s="24" t="s">
        <v>17</v>
      </c>
      <c r="E8888" s="24" t="s">
        <v>26</v>
      </c>
      <c r="F8888" s="24" t="s">
        <v>27</v>
      </c>
      <c r="G8888" s="24" t="s">
        <v>28</v>
      </c>
      <c r="H8888" s="26">
        <v>22</v>
      </c>
      <c r="I8888" s="24" t="s">
        <v>29</v>
      </c>
      <c r="J8888" s="36">
        <v>46028</v>
      </c>
      <c r="K8888" s="24" t="s">
        <v>22</v>
      </c>
    </row>
    <row r="8889" spans="1:11" x14ac:dyDescent="0.2">
      <c r="A8889" s="27" t="s">
        <v>20618</v>
      </c>
      <c r="B8889" s="27" t="s">
        <v>20619</v>
      </c>
      <c r="C8889" s="27" t="s">
        <v>20620</v>
      </c>
      <c r="D8889" s="27" t="s">
        <v>17</v>
      </c>
      <c r="E8889" s="27" t="s">
        <v>33</v>
      </c>
      <c r="F8889" s="27" t="s">
        <v>34</v>
      </c>
      <c r="G8889" s="27" t="s">
        <v>217</v>
      </c>
      <c r="H8889" s="29">
        <v>306</v>
      </c>
      <c r="I8889" s="27" t="s">
        <v>29</v>
      </c>
      <c r="J8889" s="37">
        <v>46023</v>
      </c>
      <c r="K8889" s="27" t="s">
        <v>22</v>
      </c>
    </row>
    <row r="8890" spans="1:11" x14ac:dyDescent="0.2">
      <c r="A8890" s="24" t="s">
        <v>20621</v>
      </c>
      <c r="B8890" s="24" t="s">
        <v>20622</v>
      </c>
      <c r="C8890" s="24" t="s">
        <v>85</v>
      </c>
      <c r="D8890" s="24" t="s">
        <v>17</v>
      </c>
      <c r="E8890" s="24" t="s">
        <v>33</v>
      </c>
      <c r="F8890" s="24" t="s">
        <v>34</v>
      </c>
      <c r="G8890" s="24" t="s">
        <v>28</v>
      </c>
      <c r="H8890" s="26">
        <v>660</v>
      </c>
      <c r="I8890" s="24" t="s">
        <v>29</v>
      </c>
      <c r="J8890" s="36">
        <v>46030</v>
      </c>
      <c r="K8890" s="24" t="s">
        <v>22</v>
      </c>
    </row>
    <row r="8891" spans="1:11" x14ac:dyDescent="0.2">
      <c r="A8891" s="27" t="s">
        <v>20623</v>
      </c>
      <c r="B8891" s="27" t="s">
        <v>20624</v>
      </c>
      <c r="C8891" s="27" t="s">
        <v>20625</v>
      </c>
      <c r="D8891" s="27" t="s">
        <v>17</v>
      </c>
      <c r="E8891" s="27" t="s">
        <v>18</v>
      </c>
      <c r="F8891" s="27" t="s">
        <v>19</v>
      </c>
      <c r="G8891" s="27" t="s">
        <v>28</v>
      </c>
      <c r="H8891" s="29">
        <v>64</v>
      </c>
      <c r="I8891" s="27" t="s">
        <v>29</v>
      </c>
      <c r="J8891" s="37">
        <v>46034</v>
      </c>
      <c r="K8891" s="27" t="s">
        <v>22</v>
      </c>
    </row>
    <row r="8892" spans="1:11" x14ac:dyDescent="0.2">
      <c r="A8892" s="24" t="s">
        <v>20626</v>
      </c>
      <c r="B8892" s="24" t="s">
        <v>20627</v>
      </c>
      <c r="C8892" s="24" t="s">
        <v>1663</v>
      </c>
      <c r="D8892" s="24" t="s">
        <v>17</v>
      </c>
      <c r="E8892" s="24" t="s">
        <v>26</v>
      </c>
      <c r="F8892" s="24" t="s">
        <v>27</v>
      </c>
      <c r="G8892" s="24" t="s">
        <v>217</v>
      </c>
      <c r="H8892" s="26">
        <v>126</v>
      </c>
      <c r="I8892" s="24" t="s">
        <v>29</v>
      </c>
      <c r="J8892" s="36">
        <v>46053</v>
      </c>
      <c r="K8892" s="24" t="s">
        <v>22</v>
      </c>
    </row>
    <row r="8893" spans="1:11" x14ac:dyDescent="0.2">
      <c r="A8893" s="27" t="s">
        <v>20628</v>
      </c>
      <c r="B8893" s="27" t="s">
        <v>20629</v>
      </c>
      <c r="C8893" s="27" t="s">
        <v>3304</v>
      </c>
      <c r="D8893" s="27" t="s">
        <v>17</v>
      </c>
      <c r="E8893" s="27" t="s">
        <v>42</v>
      </c>
      <c r="F8893" s="27" t="s">
        <v>43</v>
      </c>
      <c r="G8893" s="27" t="s">
        <v>28</v>
      </c>
      <c r="H8893" s="29">
        <v>344</v>
      </c>
      <c r="I8893" s="27" t="s">
        <v>29</v>
      </c>
      <c r="J8893" s="37">
        <v>46029</v>
      </c>
      <c r="K8893" s="27" t="s">
        <v>22</v>
      </c>
    </row>
    <row r="8894" spans="1:11" x14ac:dyDescent="0.2">
      <c r="A8894" s="24" t="s">
        <v>20630</v>
      </c>
      <c r="B8894" s="24" t="s">
        <v>20631</v>
      </c>
      <c r="C8894" s="24" t="s">
        <v>17542</v>
      </c>
      <c r="D8894" s="24" t="s">
        <v>17</v>
      </c>
      <c r="E8894" s="24" t="s">
        <v>42</v>
      </c>
      <c r="F8894" s="24" t="s">
        <v>43</v>
      </c>
      <c r="G8894" s="24" t="s">
        <v>28</v>
      </c>
      <c r="H8894" s="26">
        <v>520</v>
      </c>
      <c r="I8894" s="24" t="s">
        <v>29</v>
      </c>
      <c r="J8894" s="36">
        <v>46047</v>
      </c>
      <c r="K8894" s="24" t="s">
        <v>22</v>
      </c>
    </row>
    <row r="8895" spans="1:11" x14ac:dyDescent="0.2">
      <c r="A8895" s="27" t="s">
        <v>20632</v>
      </c>
      <c r="B8895" s="27" t="s">
        <v>20633</v>
      </c>
      <c r="C8895" s="27" t="s">
        <v>11282</v>
      </c>
      <c r="D8895" s="27" t="s">
        <v>17</v>
      </c>
      <c r="E8895" s="27" t="s">
        <v>48</v>
      </c>
      <c r="F8895" s="27" t="s">
        <v>49</v>
      </c>
      <c r="G8895" s="27" t="s">
        <v>217</v>
      </c>
      <c r="H8895" s="29">
        <v>160</v>
      </c>
      <c r="I8895" s="27" t="s">
        <v>29</v>
      </c>
      <c r="J8895" s="37">
        <v>46023</v>
      </c>
      <c r="K8895" s="27" t="s">
        <v>22</v>
      </c>
    </row>
    <row r="8896" spans="1:11" x14ac:dyDescent="0.2">
      <c r="A8896" s="24" t="s">
        <v>20634</v>
      </c>
      <c r="B8896" s="24" t="s">
        <v>20635</v>
      </c>
      <c r="C8896" s="24" t="s">
        <v>1307</v>
      </c>
      <c r="D8896" s="24" t="s">
        <v>17</v>
      </c>
      <c r="E8896" s="24" t="s">
        <v>42</v>
      </c>
      <c r="F8896" s="24" t="s">
        <v>43</v>
      </c>
      <c r="G8896" s="24" t="s">
        <v>217</v>
      </c>
      <c r="H8896" s="26">
        <v>4800</v>
      </c>
      <c r="I8896" s="24" t="s">
        <v>29</v>
      </c>
      <c r="J8896" s="36">
        <v>46023</v>
      </c>
      <c r="K8896" s="24" t="s">
        <v>22</v>
      </c>
    </row>
    <row r="8897" spans="1:11" x14ac:dyDescent="0.2">
      <c r="A8897" s="27" t="s">
        <v>20636</v>
      </c>
      <c r="B8897" s="27" t="s">
        <v>20637</v>
      </c>
      <c r="C8897" s="27" t="s">
        <v>708</v>
      </c>
      <c r="D8897" s="27" t="s">
        <v>17</v>
      </c>
      <c r="E8897" s="27" t="s">
        <v>48</v>
      </c>
      <c r="F8897" s="27" t="s">
        <v>49</v>
      </c>
      <c r="G8897" s="27" t="s">
        <v>28</v>
      </c>
      <c r="H8897" s="29">
        <v>270</v>
      </c>
      <c r="I8897" s="27" t="s">
        <v>29</v>
      </c>
      <c r="J8897" s="37">
        <v>46031</v>
      </c>
      <c r="K8897" s="27" t="s">
        <v>22</v>
      </c>
    </row>
    <row r="8898" spans="1:11" x14ac:dyDescent="0.2">
      <c r="A8898" s="24" t="s">
        <v>20638</v>
      </c>
      <c r="B8898" s="24" t="s">
        <v>20639</v>
      </c>
      <c r="C8898" s="24" t="s">
        <v>18450</v>
      </c>
      <c r="D8898" s="24" t="s">
        <v>17</v>
      </c>
      <c r="E8898" s="24" t="s">
        <v>18</v>
      </c>
      <c r="F8898" s="24" t="s">
        <v>19</v>
      </c>
      <c r="G8898" s="24" t="s">
        <v>28</v>
      </c>
      <c r="H8898" s="26">
        <v>15</v>
      </c>
      <c r="I8898" s="24" t="s">
        <v>29</v>
      </c>
      <c r="J8898" s="36">
        <v>46030</v>
      </c>
      <c r="K8898" s="24" t="s">
        <v>22</v>
      </c>
    </row>
    <row r="8899" spans="1:11" x14ac:dyDescent="0.2">
      <c r="A8899" s="27" t="s">
        <v>20640</v>
      </c>
      <c r="B8899" s="27" t="s">
        <v>20641</v>
      </c>
      <c r="C8899" s="27" t="s">
        <v>6447</v>
      </c>
      <c r="D8899" s="27" t="s">
        <v>17</v>
      </c>
      <c r="E8899" s="27" t="s">
        <v>26</v>
      </c>
      <c r="F8899" s="27" t="s">
        <v>27</v>
      </c>
      <c r="G8899" s="27" t="s">
        <v>217</v>
      </c>
      <c r="H8899" s="29">
        <v>20</v>
      </c>
      <c r="I8899" s="27" t="s">
        <v>29</v>
      </c>
      <c r="J8899" s="37">
        <v>46023</v>
      </c>
      <c r="K8899" s="27" t="s">
        <v>22</v>
      </c>
    </row>
    <row r="8900" spans="1:11" x14ac:dyDescent="0.2">
      <c r="A8900" s="24" t="s">
        <v>20642</v>
      </c>
      <c r="B8900" s="24" t="s">
        <v>20643</v>
      </c>
      <c r="C8900" s="24" t="s">
        <v>10300</v>
      </c>
      <c r="D8900" s="24" t="s">
        <v>17</v>
      </c>
      <c r="E8900" s="24" t="s">
        <v>48</v>
      </c>
      <c r="F8900" s="24" t="s">
        <v>49</v>
      </c>
      <c r="G8900" s="24" t="s">
        <v>28</v>
      </c>
      <c r="H8900" s="26">
        <v>220</v>
      </c>
      <c r="I8900" s="24" t="s">
        <v>29</v>
      </c>
      <c r="J8900" s="36">
        <v>46023</v>
      </c>
      <c r="K8900" s="24" t="s">
        <v>22</v>
      </c>
    </row>
    <row r="8901" spans="1:11" x14ac:dyDescent="0.2">
      <c r="A8901" s="27" t="s">
        <v>20644</v>
      </c>
      <c r="B8901" s="27" t="s">
        <v>20645</v>
      </c>
      <c r="C8901" s="27" t="s">
        <v>1283</v>
      </c>
      <c r="D8901" s="27" t="s">
        <v>17</v>
      </c>
      <c r="E8901" s="27" t="s">
        <v>42</v>
      </c>
      <c r="F8901" s="27" t="s">
        <v>43</v>
      </c>
      <c r="G8901" s="27" t="s">
        <v>28</v>
      </c>
      <c r="H8901" s="29">
        <v>90</v>
      </c>
      <c r="I8901" s="27" t="s">
        <v>29</v>
      </c>
      <c r="J8901" s="37">
        <v>46030</v>
      </c>
      <c r="K8901" s="27" t="s">
        <v>22</v>
      </c>
    </row>
    <row r="8902" spans="1:11" x14ac:dyDescent="0.2">
      <c r="A8902" s="24" t="s">
        <v>20646</v>
      </c>
      <c r="B8902" s="24" t="s">
        <v>20647</v>
      </c>
      <c r="C8902" s="24" t="s">
        <v>1585</v>
      </c>
      <c r="D8902" s="24" t="s">
        <v>17</v>
      </c>
      <c r="E8902" s="24" t="s">
        <v>26</v>
      </c>
      <c r="F8902" s="24" t="s">
        <v>27</v>
      </c>
      <c r="G8902" s="24" t="s">
        <v>28</v>
      </c>
      <c r="H8902" s="26">
        <v>190</v>
      </c>
      <c r="I8902" s="24" t="s">
        <v>29</v>
      </c>
      <c r="J8902" s="36">
        <v>46031</v>
      </c>
      <c r="K8902" s="24" t="s">
        <v>22</v>
      </c>
    </row>
    <row r="8903" spans="1:11" x14ac:dyDescent="0.2">
      <c r="A8903" s="27" t="s">
        <v>20648</v>
      </c>
      <c r="B8903" s="27" t="s">
        <v>20649</v>
      </c>
      <c r="C8903" s="27" t="s">
        <v>2352</v>
      </c>
      <c r="D8903" s="27" t="s">
        <v>17</v>
      </c>
      <c r="E8903" s="27" t="s">
        <v>48</v>
      </c>
      <c r="F8903" s="27" t="s">
        <v>49</v>
      </c>
      <c r="G8903" s="27" t="s">
        <v>217</v>
      </c>
      <c r="H8903" s="29">
        <v>230</v>
      </c>
      <c r="I8903" s="27" t="s">
        <v>29</v>
      </c>
      <c r="J8903" s="37">
        <v>46023</v>
      </c>
      <c r="K8903" s="27" t="s">
        <v>22</v>
      </c>
    </row>
    <row r="8904" spans="1:11" x14ac:dyDescent="0.2">
      <c r="A8904" s="24" t="s">
        <v>20650</v>
      </c>
      <c r="B8904" s="24" t="s">
        <v>20651</v>
      </c>
      <c r="C8904" s="24" t="s">
        <v>2988</v>
      </c>
      <c r="D8904" s="24" t="s">
        <v>17</v>
      </c>
      <c r="E8904" s="24" t="s">
        <v>18</v>
      </c>
      <c r="F8904" s="24" t="s">
        <v>19</v>
      </c>
      <c r="G8904" s="24" t="s">
        <v>28</v>
      </c>
      <c r="H8904" s="26">
        <v>30</v>
      </c>
      <c r="I8904" s="24" t="s">
        <v>29</v>
      </c>
      <c r="J8904" s="36">
        <v>46036</v>
      </c>
      <c r="K8904" s="24" t="s">
        <v>22</v>
      </c>
    </row>
    <row r="8905" spans="1:11" x14ac:dyDescent="0.2">
      <c r="A8905" s="27" t="s">
        <v>20652</v>
      </c>
      <c r="B8905" s="27" t="s">
        <v>20653</v>
      </c>
      <c r="C8905" s="27" t="s">
        <v>9752</v>
      </c>
      <c r="D8905" s="27" t="s">
        <v>17</v>
      </c>
      <c r="E8905" s="27" t="s">
        <v>26</v>
      </c>
      <c r="F8905" s="27" t="s">
        <v>27</v>
      </c>
      <c r="G8905" s="27" t="s">
        <v>217</v>
      </c>
      <c r="H8905" s="29">
        <v>70</v>
      </c>
      <c r="I8905" s="27" t="s">
        <v>29</v>
      </c>
      <c r="J8905" s="37">
        <v>46041</v>
      </c>
      <c r="K8905" s="27" t="s">
        <v>22</v>
      </c>
    </row>
    <row r="8906" spans="1:11" x14ac:dyDescent="0.2">
      <c r="A8906" s="24" t="s">
        <v>20654</v>
      </c>
      <c r="B8906" s="24" t="s">
        <v>20655</v>
      </c>
      <c r="C8906" s="24" t="s">
        <v>595</v>
      </c>
      <c r="D8906" s="24" t="s">
        <v>17</v>
      </c>
      <c r="E8906" s="24" t="s">
        <v>18</v>
      </c>
      <c r="F8906" s="24" t="s">
        <v>19</v>
      </c>
      <c r="G8906" s="24" t="s">
        <v>28</v>
      </c>
      <c r="H8906" s="26">
        <v>32</v>
      </c>
      <c r="I8906" s="24" t="s">
        <v>29</v>
      </c>
      <c r="J8906" s="36">
        <v>46029</v>
      </c>
      <c r="K8906" s="24" t="s">
        <v>22</v>
      </c>
    </row>
    <row r="8907" spans="1:11" x14ac:dyDescent="0.2">
      <c r="A8907" s="27" t="s">
        <v>20656</v>
      </c>
      <c r="B8907" s="27" t="s">
        <v>20657</v>
      </c>
      <c r="C8907" s="27" t="s">
        <v>20658</v>
      </c>
      <c r="D8907" s="27" t="s">
        <v>17</v>
      </c>
      <c r="E8907" s="27" t="s">
        <v>48</v>
      </c>
      <c r="F8907" s="27" t="s">
        <v>49</v>
      </c>
      <c r="G8907" s="27" t="s">
        <v>217</v>
      </c>
      <c r="H8907" s="29">
        <v>60</v>
      </c>
      <c r="I8907" s="27" t="s">
        <v>29</v>
      </c>
      <c r="J8907" s="37">
        <v>46053</v>
      </c>
      <c r="K8907" s="27" t="s">
        <v>22</v>
      </c>
    </row>
    <row r="8908" spans="1:11" x14ac:dyDescent="0.2">
      <c r="A8908" s="24" t="s">
        <v>20659</v>
      </c>
      <c r="B8908" s="24" t="s">
        <v>20660</v>
      </c>
      <c r="C8908" s="24" t="s">
        <v>9424</v>
      </c>
      <c r="D8908" s="24" t="s">
        <v>17</v>
      </c>
      <c r="E8908" s="24" t="s">
        <v>18</v>
      </c>
      <c r="F8908" s="24" t="s">
        <v>19</v>
      </c>
      <c r="G8908" s="24" t="s">
        <v>28</v>
      </c>
      <c r="H8908" s="26">
        <v>60</v>
      </c>
      <c r="I8908" s="24" t="s">
        <v>29</v>
      </c>
      <c r="J8908" s="36">
        <v>46036</v>
      </c>
      <c r="K8908" s="24" t="s">
        <v>22</v>
      </c>
    </row>
    <row r="8909" spans="1:11" x14ac:dyDescent="0.2">
      <c r="A8909" s="27" t="s">
        <v>20661</v>
      </c>
      <c r="B8909" s="27" t="s">
        <v>20662</v>
      </c>
      <c r="C8909" s="27" t="s">
        <v>10073</v>
      </c>
      <c r="D8909" s="27" t="s">
        <v>17</v>
      </c>
      <c r="E8909" s="27" t="s">
        <v>18</v>
      </c>
      <c r="F8909" s="27" t="s">
        <v>19</v>
      </c>
      <c r="G8909" s="27" t="s">
        <v>28</v>
      </c>
      <c r="H8909" s="29">
        <v>90</v>
      </c>
      <c r="I8909" s="27" t="s">
        <v>29</v>
      </c>
      <c r="J8909" s="37">
        <v>46041</v>
      </c>
      <c r="K8909" s="27" t="s">
        <v>22</v>
      </c>
    </row>
    <row r="8910" spans="1:11" x14ac:dyDescent="0.2">
      <c r="A8910" s="24" t="s">
        <v>20663</v>
      </c>
      <c r="B8910" s="24" t="s">
        <v>20664</v>
      </c>
      <c r="C8910" s="24" t="s">
        <v>20665</v>
      </c>
      <c r="D8910" s="24" t="s">
        <v>17</v>
      </c>
      <c r="E8910" s="24" t="s">
        <v>48</v>
      </c>
      <c r="F8910" s="24" t="s">
        <v>49</v>
      </c>
      <c r="G8910" s="24" t="s">
        <v>28</v>
      </c>
      <c r="H8910" s="26">
        <v>180</v>
      </c>
      <c r="I8910" s="24" t="s">
        <v>29</v>
      </c>
      <c r="J8910" s="36">
        <v>46054</v>
      </c>
      <c r="K8910" s="24" t="s">
        <v>22</v>
      </c>
    </row>
    <row r="8911" spans="1:11" x14ac:dyDescent="0.2">
      <c r="A8911" s="27" t="s">
        <v>20666</v>
      </c>
      <c r="B8911" s="27" t="s">
        <v>20667</v>
      </c>
      <c r="C8911" s="27" t="s">
        <v>874</v>
      </c>
      <c r="D8911" s="27" t="s">
        <v>17</v>
      </c>
      <c r="E8911" s="27" t="s">
        <v>42</v>
      </c>
      <c r="F8911" s="27" t="s">
        <v>43</v>
      </c>
      <c r="G8911" s="27" t="s">
        <v>217</v>
      </c>
      <c r="H8911" s="29">
        <v>430</v>
      </c>
      <c r="I8911" s="27" t="s">
        <v>29</v>
      </c>
      <c r="J8911" s="37">
        <v>46054</v>
      </c>
      <c r="K8911" s="27" t="s">
        <v>22</v>
      </c>
    </row>
    <row r="8912" spans="1:11" x14ac:dyDescent="0.2">
      <c r="A8912" s="24" t="s">
        <v>20668</v>
      </c>
      <c r="B8912" s="24" t="s">
        <v>20669</v>
      </c>
      <c r="C8912" s="24" t="s">
        <v>2015</v>
      </c>
      <c r="D8912" s="24" t="s">
        <v>17</v>
      </c>
      <c r="E8912" s="24" t="s">
        <v>18</v>
      </c>
      <c r="F8912" s="24" t="s">
        <v>19</v>
      </c>
      <c r="G8912" s="24" t="s">
        <v>217</v>
      </c>
      <c r="H8912" s="26">
        <v>48</v>
      </c>
      <c r="I8912" s="24" t="s">
        <v>29</v>
      </c>
      <c r="J8912" s="36">
        <v>46054</v>
      </c>
      <c r="K8912" s="24" t="s">
        <v>22</v>
      </c>
    </row>
    <row r="8913" spans="1:11" x14ac:dyDescent="0.2">
      <c r="A8913" s="27" t="s">
        <v>20670</v>
      </c>
      <c r="B8913" s="27" t="s">
        <v>20671</v>
      </c>
      <c r="C8913" s="27" t="s">
        <v>12603</v>
      </c>
      <c r="D8913" s="27" t="s">
        <v>17</v>
      </c>
      <c r="E8913" s="27" t="s">
        <v>33</v>
      </c>
      <c r="F8913" s="27" t="s">
        <v>34</v>
      </c>
      <c r="G8913" s="27" t="s">
        <v>28</v>
      </c>
      <c r="H8913" s="29">
        <v>332</v>
      </c>
      <c r="I8913" s="27" t="s">
        <v>29</v>
      </c>
      <c r="J8913" s="37">
        <v>46066</v>
      </c>
      <c r="K8913" s="27" t="s">
        <v>22</v>
      </c>
    </row>
    <row r="8914" spans="1:11" x14ac:dyDescent="0.2">
      <c r="A8914" s="24" t="s">
        <v>20672</v>
      </c>
      <c r="B8914" s="24" t="s">
        <v>20673</v>
      </c>
      <c r="C8914" s="24" t="s">
        <v>5393</v>
      </c>
      <c r="D8914" s="24" t="s">
        <v>17</v>
      </c>
      <c r="E8914" s="24" t="s">
        <v>18</v>
      </c>
      <c r="F8914" s="24" t="s">
        <v>19</v>
      </c>
      <c r="G8914" s="24" t="s">
        <v>116</v>
      </c>
      <c r="H8914" s="26">
        <v>0</v>
      </c>
      <c r="I8914" s="24" t="s">
        <v>21</v>
      </c>
      <c r="J8914" s="36">
        <v>46054</v>
      </c>
      <c r="K8914" s="24" t="s">
        <v>22</v>
      </c>
    </row>
    <row r="8915" spans="1:11" x14ac:dyDescent="0.2">
      <c r="A8915" s="27" t="s">
        <v>20674</v>
      </c>
      <c r="B8915" s="27" t="s">
        <v>20675</v>
      </c>
      <c r="C8915" s="27" t="s">
        <v>690</v>
      </c>
      <c r="D8915" s="27" t="s">
        <v>17</v>
      </c>
      <c r="E8915" s="27" t="s">
        <v>42</v>
      </c>
      <c r="F8915" s="27" t="s">
        <v>43</v>
      </c>
      <c r="G8915" s="27" t="s">
        <v>217</v>
      </c>
      <c r="H8915" s="29">
        <v>280</v>
      </c>
      <c r="I8915" s="27" t="s">
        <v>29</v>
      </c>
      <c r="J8915" s="37">
        <v>46078</v>
      </c>
      <c r="K8915" s="27" t="s">
        <v>22</v>
      </c>
    </row>
    <row r="8916" spans="1:11" x14ac:dyDescent="0.2">
      <c r="A8916" s="24" t="s">
        <v>20676</v>
      </c>
      <c r="B8916" s="24" t="s">
        <v>20677</v>
      </c>
      <c r="C8916" s="24" t="s">
        <v>20678</v>
      </c>
      <c r="D8916" s="24" t="s">
        <v>17</v>
      </c>
      <c r="E8916" s="24" t="s">
        <v>42</v>
      </c>
      <c r="F8916" s="24" t="s">
        <v>43</v>
      </c>
      <c r="G8916" s="24" t="s">
        <v>217</v>
      </c>
      <c r="H8916" s="26">
        <v>572</v>
      </c>
      <c r="I8916" s="24" t="s">
        <v>29</v>
      </c>
      <c r="J8916" s="36">
        <v>46054</v>
      </c>
      <c r="K8916" s="24" t="s">
        <v>22</v>
      </c>
    </row>
    <row r="8917" spans="1:11" x14ac:dyDescent="0.2">
      <c r="A8917" s="27" t="s">
        <v>20679</v>
      </c>
      <c r="B8917" s="27" t="s">
        <v>20680</v>
      </c>
      <c r="C8917" s="27" t="s">
        <v>220</v>
      </c>
      <c r="D8917" s="27" t="s">
        <v>17</v>
      </c>
      <c r="E8917" s="27" t="s">
        <v>48</v>
      </c>
      <c r="F8917" s="27" t="s">
        <v>49</v>
      </c>
      <c r="G8917" s="27" t="s">
        <v>28</v>
      </c>
      <c r="H8917" s="29">
        <v>63</v>
      </c>
      <c r="I8917" s="27" t="s">
        <v>29</v>
      </c>
      <c r="J8917" s="37">
        <v>46055</v>
      </c>
      <c r="K8917" s="27" t="s">
        <v>22</v>
      </c>
    </row>
    <row r="8918" spans="1:11" x14ac:dyDescent="0.2">
      <c r="A8918" s="24" t="s">
        <v>20681</v>
      </c>
      <c r="B8918" s="24" t="s">
        <v>20682</v>
      </c>
      <c r="C8918" s="24" t="s">
        <v>7671</v>
      </c>
      <c r="D8918" s="24" t="s">
        <v>17</v>
      </c>
      <c r="E8918" s="24" t="s">
        <v>18</v>
      </c>
      <c r="F8918" s="24" t="s">
        <v>19</v>
      </c>
      <c r="G8918" s="24" t="s">
        <v>28</v>
      </c>
      <c r="H8918" s="26">
        <v>96</v>
      </c>
      <c r="I8918" s="24" t="s">
        <v>29</v>
      </c>
      <c r="J8918" s="36">
        <v>46076</v>
      </c>
      <c r="K8918" s="24" t="s">
        <v>22</v>
      </c>
    </row>
    <row r="8919" spans="1:11" x14ac:dyDescent="0.2">
      <c r="A8919" s="27" t="s">
        <v>20683</v>
      </c>
      <c r="B8919" s="27" t="s">
        <v>20684</v>
      </c>
      <c r="C8919" s="27" t="s">
        <v>13017</v>
      </c>
      <c r="D8919" s="27" t="s">
        <v>17</v>
      </c>
      <c r="E8919" s="27" t="s">
        <v>18</v>
      </c>
      <c r="F8919" s="27" t="s">
        <v>19</v>
      </c>
      <c r="G8919" s="27" t="s">
        <v>217</v>
      </c>
      <c r="H8919" s="29">
        <v>12</v>
      </c>
      <c r="I8919" s="27" t="s">
        <v>29</v>
      </c>
      <c r="J8919" s="37">
        <v>46081</v>
      </c>
      <c r="K8919" s="27" t="s">
        <v>22</v>
      </c>
    </row>
    <row r="8920" spans="1:11" x14ac:dyDescent="0.2">
      <c r="A8920" s="24" t="s">
        <v>20685</v>
      </c>
      <c r="B8920" s="24" t="s">
        <v>20686</v>
      </c>
      <c r="C8920" s="24" t="s">
        <v>10637</v>
      </c>
      <c r="D8920" s="24" t="s">
        <v>17</v>
      </c>
      <c r="E8920" s="24" t="s">
        <v>18</v>
      </c>
      <c r="F8920" s="24" t="s">
        <v>19</v>
      </c>
      <c r="G8920" s="24" t="s">
        <v>217</v>
      </c>
      <c r="H8920" s="26">
        <v>90</v>
      </c>
      <c r="I8920" s="24" t="s">
        <v>29</v>
      </c>
      <c r="J8920" s="36">
        <v>46054</v>
      </c>
      <c r="K8920" s="24" t="s">
        <v>22</v>
      </c>
    </row>
    <row r="8921" spans="1:11" x14ac:dyDescent="0.2">
      <c r="A8921" s="27" t="s">
        <v>20687</v>
      </c>
      <c r="B8921" s="27" t="s">
        <v>20688</v>
      </c>
      <c r="C8921" s="27" t="s">
        <v>1481</v>
      </c>
      <c r="D8921" s="27" t="s">
        <v>17</v>
      </c>
      <c r="E8921" s="27" t="s">
        <v>18</v>
      </c>
      <c r="F8921" s="27" t="s">
        <v>19</v>
      </c>
      <c r="G8921" s="27" t="s">
        <v>217</v>
      </c>
      <c r="H8921" s="29">
        <v>32</v>
      </c>
      <c r="I8921" s="27" t="s">
        <v>29</v>
      </c>
      <c r="J8921" s="37">
        <v>46054</v>
      </c>
      <c r="K8921" s="27" t="s">
        <v>22</v>
      </c>
    </row>
    <row r="8922" spans="1:11" x14ac:dyDescent="0.2">
      <c r="A8922" s="24" t="s">
        <v>20689</v>
      </c>
      <c r="B8922" s="24" t="s">
        <v>20690</v>
      </c>
      <c r="C8922" s="24" t="s">
        <v>20691</v>
      </c>
      <c r="D8922" s="24" t="s">
        <v>17</v>
      </c>
      <c r="E8922" s="24" t="s">
        <v>26</v>
      </c>
      <c r="F8922" s="24" t="s">
        <v>27</v>
      </c>
      <c r="G8922" s="24" t="s">
        <v>28</v>
      </c>
      <c r="H8922" s="26">
        <v>33</v>
      </c>
      <c r="I8922" s="24" t="s">
        <v>29</v>
      </c>
      <c r="J8922" s="36">
        <v>46057</v>
      </c>
      <c r="K8922" s="24" t="s">
        <v>22</v>
      </c>
    </row>
    <row r="8923" spans="1:11" x14ac:dyDescent="0.2">
      <c r="A8923" s="27" t="s">
        <v>20692</v>
      </c>
      <c r="B8923" s="27" t="s">
        <v>20693</v>
      </c>
      <c r="C8923" s="27" t="s">
        <v>12089</v>
      </c>
      <c r="D8923" s="27" t="s">
        <v>17</v>
      </c>
      <c r="E8923" s="27" t="s">
        <v>48</v>
      </c>
      <c r="F8923" s="27" t="s">
        <v>49</v>
      </c>
      <c r="G8923" s="27" t="s">
        <v>28</v>
      </c>
      <c r="H8923" s="29">
        <v>135</v>
      </c>
      <c r="I8923" s="27" t="s">
        <v>29</v>
      </c>
      <c r="J8923" s="37">
        <v>46054</v>
      </c>
      <c r="K8923" s="27" t="s">
        <v>22</v>
      </c>
    </row>
    <row r="8924" spans="1:11" x14ac:dyDescent="0.2">
      <c r="A8924" s="24" t="s">
        <v>20694</v>
      </c>
      <c r="B8924" s="24" t="s">
        <v>20695</v>
      </c>
      <c r="C8924" s="24" t="s">
        <v>20696</v>
      </c>
      <c r="D8924" s="24" t="s">
        <v>17</v>
      </c>
      <c r="E8924" s="24" t="s">
        <v>81</v>
      </c>
      <c r="F8924" s="24" t="s">
        <v>82</v>
      </c>
      <c r="G8924" s="24" t="s">
        <v>28</v>
      </c>
      <c r="H8924" s="26">
        <v>500</v>
      </c>
      <c r="I8924" s="24" t="s">
        <v>29</v>
      </c>
      <c r="J8924" s="36">
        <v>46065</v>
      </c>
      <c r="K8924" s="24" t="s">
        <v>22</v>
      </c>
    </row>
    <row r="8925" spans="1:11" x14ac:dyDescent="0.2">
      <c r="A8925" s="27" t="s">
        <v>20697</v>
      </c>
      <c r="B8925" s="27" t="s">
        <v>20698</v>
      </c>
      <c r="C8925" s="27" t="s">
        <v>526</v>
      </c>
      <c r="D8925" s="27" t="s">
        <v>17</v>
      </c>
      <c r="E8925" s="27" t="s">
        <v>48</v>
      </c>
      <c r="F8925" s="27" t="s">
        <v>49</v>
      </c>
      <c r="G8925" s="27" t="s">
        <v>28</v>
      </c>
      <c r="H8925" s="29">
        <v>465</v>
      </c>
      <c r="I8925" s="27" t="s">
        <v>29</v>
      </c>
      <c r="J8925" s="37">
        <v>46066</v>
      </c>
      <c r="K8925" s="27" t="s">
        <v>22</v>
      </c>
    </row>
    <row r="8926" spans="1:11" x14ac:dyDescent="0.2">
      <c r="A8926" s="24" t="s">
        <v>20699</v>
      </c>
      <c r="B8926" s="24" t="s">
        <v>20700</v>
      </c>
      <c r="C8926" s="24" t="s">
        <v>213</v>
      </c>
      <c r="D8926" s="24" t="s">
        <v>17</v>
      </c>
      <c r="E8926" s="24" t="s">
        <v>48</v>
      </c>
      <c r="F8926" s="24" t="s">
        <v>49</v>
      </c>
      <c r="G8926" s="24" t="s">
        <v>217</v>
      </c>
      <c r="H8926" s="26">
        <v>770</v>
      </c>
      <c r="I8926" s="24" t="s">
        <v>29</v>
      </c>
      <c r="J8926" s="36">
        <v>46076</v>
      </c>
      <c r="K8926" s="24" t="s">
        <v>22</v>
      </c>
    </row>
    <row r="8927" spans="1:11" x14ac:dyDescent="0.2">
      <c r="A8927" s="27" t="s">
        <v>20701</v>
      </c>
      <c r="B8927" s="27" t="s">
        <v>20702</v>
      </c>
      <c r="C8927" s="27" t="s">
        <v>354</v>
      </c>
      <c r="D8927" s="27" t="s">
        <v>17</v>
      </c>
      <c r="E8927" s="27" t="s">
        <v>18</v>
      </c>
      <c r="F8927" s="27" t="s">
        <v>19</v>
      </c>
      <c r="G8927" s="27" t="s">
        <v>217</v>
      </c>
      <c r="H8927" s="29">
        <v>128</v>
      </c>
      <c r="I8927" s="27" t="s">
        <v>29</v>
      </c>
      <c r="J8927" s="37">
        <v>46076</v>
      </c>
      <c r="K8927" s="27" t="s">
        <v>22</v>
      </c>
    </row>
    <row r="8928" spans="1:11" x14ac:dyDescent="0.2">
      <c r="A8928" s="24" t="s">
        <v>20703</v>
      </c>
      <c r="B8928" s="24" t="s">
        <v>20704</v>
      </c>
      <c r="C8928" s="24" t="s">
        <v>401</v>
      </c>
      <c r="D8928" s="24" t="s">
        <v>17</v>
      </c>
      <c r="E8928" s="24" t="s">
        <v>18</v>
      </c>
      <c r="F8928" s="24" t="s">
        <v>19</v>
      </c>
      <c r="G8928" s="24" t="s">
        <v>217</v>
      </c>
      <c r="H8928" s="26">
        <v>56</v>
      </c>
      <c r="I8928" s="24" t="s">
        <v>29</v>
      </c>
      <c r="J8928" s="36">
        <v>46054</v>
      </c>
      <c r="K8928" s="24" t="s">
        <v>22</v>
      </c>
    </row>
    <row r="8929" spans="1:11" x14ac:dyDescent="0.2">
      <c r="A8929" s="27" t="s">
        <v>20705</v>
      </c>
      <c r="B8929" s="27" t="s">
        <v>20706</v>
      </c>
      <c r="C8929" s="27" t="s">
        <v>20707</v>
      </c>
      <c r="D8929" s="27" t="s">
        <v>17</v>
      </c>
      <c r="E8929" s="27" t="s">
        <v>33</v>
      </c>
      <c r="F8929" s="27" t="s">
        <v>34</v>
      </c>
      <c r="G8929" s="27" t="s">
        <v>28</v>
      </c>
      <c r="H8929" s="29">
        <v>300</v>
      </c>
      <c r="I8929" s="27" t="s">
        <v>29</v>
      </c>
      <c r="J8929" s="37">
        <v>46055</v>
      </c>
      <c r="K8929" s="27" t="s">
        <v>22</v>
      </c>
    </row>
    <row r="8930" spans="1:11" x14ac:dyDescent="0.2">
      <c r="A8930" s="24" t="s">
        <v>20708</v>
      </c>
      <c r="B8930" s="24" t="s">
        <v>20709</v>
      </c>
      <c r="C8930" s="24" t="s">
        <v>106</v>
      </c>
      <c r="D8930" s="24" t="s">
        <v>17</v>
      </c>
      <c r="E8930" s="24" t="s">
        <v>42</v>
      </c>
      <c r="F8930" s="24" t="s">
        <v>43</v>
      </c>
      <c r="G8930" s="24" t="s">
        <v>28</v>
      </c>
      <c r="H8930" s="26">
        <v>80</v>
      </c>
      <c r="I8930" s="24" t="s">
        <v>29</v>
      </c>
      <c r="J8930" s="36">
        <v>46063</v>
      </c>
      <c r="K8930" s="24" t="s">
        <v>22</v>
      </c>
    </row>
    <row r="8931" spans="1:11" x14ac:dyDescent="0.2">
      <c r="A8931" s="27" t="s">
        <v>20710</v>
      </c>
      <c r="B8931" s="27" t="s">
        <v>20711</v>
      </c>
      <c r="C8931" s="27" t="s">
        <v>708</v>
      </c>
      <c r="D8931" s="27" t="s">
        <v>17</v>
      </c>
      <c r="E8931" s="27" t="s">
        <v>42</v>
      </c>
      <c r="F8931" s="27" t="s">
        <v>43</v>
      </c>
      <c r="G8931" s="27" t="s">
        <v>28</v>
      </c>
      <c r="H8931" s="29">
        <v>4</v>
      </c>
      <c r="I8931" s="27" t="s">
        <v>29</v>
      </c>
      <c r="J8931" s="37">
        <v>46062</v>
      </c>
      <c r="K8931" s="27" t="s">
        <v>22</v>
      </c>
    </row>
    <row r="8932" spans="1:11" x14ac:dyDescent="0.2">
      <c r="A8932" s="24" t="s">
        <v>20712</v>
      </c>
      <c r="B8932" s="24" t="s">
        <v>20713</v>
      </c>
      <c r="C8932" s="24" t="s">
        <v>97</v>
      </c>
      <c r="D8932" s="24" t="s">
        <v>17</v>
      </c>
      <c r="E8932" s="24" t="s">
        <v>18</v>
      </c>
      <c r="F8932" s="24" t="s">
        <v>19</v>
      </c>
      <c r="G8932" s="24" t="s">
        <v>28</v>
      </c>
      <c r="H8932" s="26">
        <v>26</v>
      </c>
      <c r="I8932" s="24" t="s">
        <v>29</v>
      </c>
      <c r="J8932" s="36">
        <v>46069</v>
      </c>
      <c r="K8932" s="24" t="s">
        <v>22</v>
      </c>
    </row>
    <row r="8933" spans="1:11" x14ac:dyDescent="0.2">
      <c r="A8933" s="27" t="s">
        <v>20714</v>
      </c>
      <c r="B8933" s="27" t="s">
        <v>20715</v>
      </c>
      <c r="C8933" s="27" t="s">
        <v>14459</v>
      </c>
      <c r="D8933" s="27" t="s">
        <v>17</v>
      </c>
      <c r="E8933" s="27" t="s">
        <v>42</v>
      </c>
      <c r="F8933" s="27" t="s">
        <v>43</v>
      </c>
      <c r="G8933" s="27" t="s">
        <v>28</v>
      </c>
      <c r="H8933" s="29">
        <v>320</v>
      </c>
      <c r="I8933" s="27" t="s">
        <v>29</v>
      </c>
      <c r="J8933" s="37">
        <v>46054</v>
      </c>
      <c r="K8933" s="27" t="s">
        <v>22</v>
      </c>
    </row>
    <row r="8934" spans="1:11" x14ac:dyDescent="0.2">
      <c r="A8934" s="24" t="s">
        <v>20716</v>
      </c>
      <c r="B8934" s="24" t="s">
        <v>20717</v>
      </c>
      <c r="C8934" s="24" t="s">
        <v>20718</v>
      </c>
      <c r="D8934" s="24" t="s">
        <v>17</v>
      </c>
      <c r="E8934" s="24" t="s">
        <v>42</v>
      </c>
      <c r="F8934" s="24" t="s">
        <v>43</v>
      </c>
      <c r="G8934" s="24" t="s">
        <v>217</v>
      </c>
      <c r="H8934" s="26">
        <v>300</v>
      </c>
      <c r="I8934" s="24" t="s">
        <v>29</v>
      </c>
      <c r="J8934" s="36">
        <v>46068</v>
      </c>
      <c r="K8934" s="24" t="s">
        <v>22</v>
      </c>
    </row>
    <row r="8935" spans="1:11" x14ac:dyDescent="0.2">
      <c r="A8935" s="27" t="s">
        <v>20719</v>
      </c>
      <c r="B8935" s="27" t="s">
        <v>20720</v>
      </c>
      <c r="C8935" s="27" t="s">
        <v>85</v>
      </c>
      <c r="D8935" s="27" t="s">
        <v>17</v>
      </c>
      <c r="E8935" s="27" t="s">
        <v>18</v>
      </c>
      <c r="F8935" s="27" t="s">
        <v>19</v>
      </c>
      <c r="G8935" s="27" t="s">
        <v>28</v>
      </c>
      <c r="H8935" s="29">
        <v>40</v>
      </c>
      <c r="I8935" s="27" t="s">
        <v>29</v>
      </c>
      <c r="J8935" s="37">
        <v>46064</v>
      </c>
      <c r="K8935" s="27" t="s">
        <v>22</v>
      </c>
    </row>
    <row r="8936" spans="1:11" x14ac:dyDescent="0.2">
      <c r="A8936" s="24" t="s">
        <v>20721</v>
      </c>
      <c r="B8936" s="24" t="s">
        <v>20722</v>
      </c>
      <c r="C8936" s="24" t="s">
        <v>526</v>
      </c>
      <c r="D8936" s="24" t="s">
        <v>17</v>
      </c>
      <c r="E8936" s="24" t="s">
        <v>18</v>
      </c>
      <c r="F8936" s="24" t="s">
        <v>19</v>
      </c>
      <c r="G8936" s="24" t="s">
        <v>217</v>
      </c>
      <c r="H8936" s="26">
        <v>36</v>
      </c>
      <c r="I8936" s="24" t="s">
        <v>29</v>
      </c>
      <c r="J8936" s="36">
        <v>46054</v>
      </c>
      <c r="K8936" s="24" t="s">
        <v>22</v>
      </c>
    </row>
    <row r="8937" spans="1:11" x14ac:dyDescent="0.2">
      <c r="A8937" s="27" t="s">
        <v>20723</v>
      </c>
      <c r="B8937" s="27" t="s">
        <v>20724</v>
      </c>
      <c r="C8937" s="27" t="s">
        <v>1627</v>
      </c>
      <c r="D8937" s="27" t="s">
        <v>17</v>
      </c>
      <c r="E8937" s="27" t="s">
        <v>18</v>
      </c>
      <c r="F8937" s="27" t="s">
        <v>19</v>
      </c>
      <c r="G8937" s="27" t="s">
        <v>28</v>
      </c>
      <c r="H8937" s="29">
        <v>36</v>
      </c>
      <c r="I8937" s="27" t="s">
        <v>29</v>
      </c>
      <c r="J8937" s="37">
        <v>46057</v>
      </c>
      <c r="K8937" s="27" t="s">
        <v>22</v>
      </c>
    </row>
    <row r="8938" spans="1:11" x14ac:dyDescent="0.2">
      <c r="A8938" s="24" t="s">
        <v>20725</v>
      </c>
      <c r="B8938" s="24" t="s">
        <v>20726</v>
      </c>
      <c r="C8938" s="24" t="s">
        <v>13952</v>
      </c>
      <c r="D8938" s="24" t="s">
        <v>17</v>
      </c>
      <c r="E8938" s="24" t="s">
        <v>48</v>
      </c>
      <c r="F8938" s="24" t="s">
        <v>49</v>
      </c>
      <c r="G8938" s="24" t="s">
        <v>28</v>
      </c>
      <c r="H8938" s="26">
        <v>21</v>
      </c>
      <c r="I8938" s="24" t="s">
        <v>29</v>
      </c>
      <c r="J8938" s="36">
        <v>46057</v>
      </c>
      <c r="K8938" s="24" t="s">
        <v>22</v>
      </c>
    </row>
    <row r="8939" spans="1:11" x14ac:dyDescent="0.2">
      <c r="A8939" s="27" t="s">
        <v>20727</v>
      </c>
      <c r="B8939" s="27" t="s">
        <v>20728</v>
      </c>
      <c r="C8939" s="27" t="s">
        <v>2690</v>
      </c>
      <c r="D8939" s="27" t="s">
        <v>17</v>
      </c>
      <c r="E8939" s="27" t="s">
        <v>18</v>
      </c>
      <c r="F8939" s="27" t="s">
        <v>19</v>
      </c>
      <c r="G8939" s="27" t="s">
        <v>28</v>
      </c>
      <c r="H8939" s="29">
        <v>8</v>
      </c>
      <c r="I8939" s="27" t="s">
        <v>29</v>
      </c>
      <c r="J8939" s="37">
        <v>46071</v>
      </c>
      <c r="K8939" s="27" t="s">
        <v>22</v>
      </c>
    </row>
    <row r="8940" spans="1:11" x14ac:dyDescent="0.2">
      <c r="A8940" s="24" t="s">
        <v>20729</v>
      </c>
      <c r="B8940" s="24" t="s">
        <v>20730</v>
      </c>
      <c r="C8940" s="24" t="s">
        <v>20731</v>
      </c>
      <c r="D8940" s="24" t="s">
        <v>17</v>
      </c>
      <c r="E8940" s="24" t="s">
        <v>18</v>
      </c>
      <c r="F8940" s="24" t="s">
        <v>19</v>
      </c>
      <c r="G8940" s="24" t="s">
        <v>217</v>
      </c>
      <c r="H8940" s="26">
        <v>86</v>
      </c>
      <c r="I8940" s="24" t="s">
        <v>29</v>
      </c>
      <c r="J8940" s="36">
        <v>46066</v>
      </c>
      <c r="K8940" s="24" t="s">
        <v>22</v>
      </c>
    </row>
    <row r="8941" spans="1:11" x14ac:dyDescent="0.2">
      <c r="A8941" s="27" t="s">
        <v>20732</v>
      </c>
      <c r="B8941" s="27" t="s">
        <v>20733</v>
      </c>
      <c r="C8941" s="27" t="s">
        <v>292</v>
      </c>
      <c r="D8941" s="27" t="s">
        <v>17</v>
      </c>
      <c r="E8941" s="27" t="s">
        <v>42</v>
      </c>
      <c r="F8941" s="27" t="s">
        <v>43</v>
      </c>
      <c r="G8941" s="27" t="s">
        <v>28</v>
      </c>
      <c r="H8941" s="29">
        <v>240</v>
      </c>
      <c r="I8941" s="27" t="s">
        <v>29</v>
      </c>
      <c r="J8941" s="37">
        <v>46062</v>
      </c>
      <c r="K8941" s="27" t="s">
        <v>22</v>
      </c>
    </row>
    <row r="8942" spans="1:11" x14ac:dyDescent="0.2">
      <c r="A8942" s="24" t="s">
        <v>20734</v>
      </c>
      <c r="B8942" s="24" t="s">
        <v>20735</v>
      </c>
      <c r="C8942" s="24" t="s">
        <v>6692</v>
      </c>
      <c r="D8942" s="24" t="s">
        <v>17</v>
      </c>
      <c r="E8942" s="24" t="s">
        <v>18</v>
      </c>
      <c r="F8942" s="24" t="s">
        <v>19</v>
      </c>
      <c r="G8942" s="24" t="s">
        <v>28</v>
      </c>
      <c r="H8942" s="26">
        <v>18</v>
      </c>
      <c r="I8942" s="24" t="s">
        <v>29</v>
      </c>
      <c r="J8942" s="36">
        <v>46081</v>
      </c>
      <c r="K8942" s="24" t="s">
        <v>22</v>
      </c>
    </row>
    <row r="8943" spans="1:11" x14ac:dyDescent="0.2">
      <c r="A8943" s="27" t="s">
        <v>20736</v>
      </c>
      <c r="B8943" s="27" t="s">
        <v>20737</v>
      </c>
      <c r="C8943" s="27" t="s">
        <v>20738</v>
      </c>
      <c r="D8943" s="27" t="s">
        <v>17</v>
      </c>
      <c r="E8943" s="27" t="s">
        <v>48</v>
      </c>
      <c r="F8943" s="27" t="s">
        <v>49</v>
      </c>
      <c r="G8943" s="27" t="s">
        <v>28</v>
      </c>
      <c r="H8943" s="29">
        <v>120</v>
      </c>
      <c r="I8943" s="27" t="s">
        <v>29</v>
      </c>
      <c r="J8943" s="37">
        <v>46072</v>
      </c>
      <c r="K8943" s="27" t="s">
        <v>22</v>
      </c>
    </row>
    <row r="8944" spans="1:11" x14ac:dyDescent="0.2">
      <c r="A8944" s="24" t="s">
        <v>20739</v>
      </c>
      <c r="B8944" s="24" t="s">
        <v>20740</v>
      </c>
      <c r="C8944" s="24" t="s">
        <v>19706</v>
      </c>
      <c r="D8944" s="24" t="s">
        <v>17</v>
      </c>
      <c r="E8944" s="24" t="s">
        <v>18</v>
      </c>
      <c r="F8944" s="24" t="s">
        <v>19</v>
      </c>
      <c r="G8944" s="24" t="s">
        <v>217</v>
      </c>
      <c r="H8944" s="26">
        <v>12</v>
      </c>
      <c r="I8944" s="24" t="s">
        <v>29</v>
      </c>
      <c r="J8944" s="36">
        <v>46054</v>
      </c>
      <c r="K8944" s="24" t="s">
        <v>22</v>
      </c>
    </row>
    <row r="8945" spans="1:11" x14ac:dyDescent="0.2">
      <c r="A8945" s="27" t="s">
        <v>20741</v>
      </c>
      <c r="B8945" s="27" t="s">
        <v>20742</v>
      </c>
      <c r="C8945" s="27" t="s">
        <v>41</v>
      </c>
      <c r="D8945" s="27" t="s">
        <v>17</v>
      </c>
      <c r="E8945" s="27" t="s">
        <v>18</v>
      </c>
      <c r="F8945" s="27" t="s">
        <v>19</v>
      </c>
      <c r="G8945" s="27" t="s">
        <v>217</v>
      </c>
      <c r="H8945" s="29">
        <v>48</v>
      </c>
      <c r="I8945" s="27" t="s">
        <v>29</v>
      </c>
      <c r="J8945" s="37">
        <v>46077</v>
      </c>
      <c r="K8945" s="27" t="s">
        <v>22</v>
      </c>
    </row>
    <row r="8946" spans="1:11" x14ac:dyDescent="0.2">
      <c r="A8946" s="24" t="s">
        <v>20743</v>
      </c>
      <c r="B8946" s="24" t="s">
        <v>20744</v>
      </c>
      <c r="C8946" s="24" t="s">
        <v>18643</v>
      </c>
      <c r="D8946" s="24" t="s">
        <v>17</v>
      </c>
      <c r="E8946" s="24" t="s">
        <v>48</v>
      </c>
      <c r="F8946" s="24" t="s">
        <v>49</v>
      </c>
      <c r="G8946" s="24" t="s">
        <v>28</v>
      </c>
      <c r="H8946" s="26">
        <v>24</v>
      </c>
      <c r="I8946" s="24" t="s">
        <v>29</v>
      </c>
      <c r="J8946" s="36">
        <v>46054</v>
      </c>
      <c r="K8946" s="24" t="s">
        <v>22</v>
      </c>
    </row>
    <row r="8947" spans="1:11" x14ac:dyDescent="0.2">
      <c r="A8947" s="27" t="s">
        <v>20745</v>
      </c>
      <c r="B8947" s="27" t="s">
        <v>20746</v>
      </c>
      <c r="C8947" s="27" t="s">
        <v>106</v>
      </c>
      <c r="D8947" s="27" t="s">
        <v>17</v>
      </c>
      <c r="E8947" s="27" t="s">
        <v>42</v>
      </c>
      <c r="F8947" s="27" t="s">
        <v>43</v>
      </c>
      <c r="G8947" s="27" t="s">
        <v>28</v>
      </c>
      <c r="H8947" s="29">
        <v>286</v>
      </c>
      <c r="I8947" s="27" t="s">
        <v>29</v>
      </c>
      <c r="J8947" s="37">
        <v>46069</v>
      </c>
      <c r="K8947" s="27" t="s">
        <v>22</v>
      </c>
    </row>
    <row r="8948" spans="1:11" x14ac:dyDescent="0.2">
      <c r="A8948" s="24" t="s">
        <v>20747</v>
      </c>
      <c r="B8948" s="24" t="s">
        <v>20748</v>
      </c>
      <c r="C8948" s="24" t="s">
        <v>9947</v>
      </c>
      <c r="D8948" s="24" t="s">
        <v>17</v>
      </c>
      <c r="E8948" s="24" t="s">
        <v>26</v>
      </c>
      <c r="F8948" s="24" t="s">
        <v>27</v>
      </c>
      <c r="G8948" s="24" t="s">
        <v>217</v>
      </c>
      <c r="H8948" s="26">
        <v>24</v>
      </c>
      <c r="I8948" s="24" t="s">
        <v>29</v>
      </c>
      <c r="J8948" s="36">
        <v>46054</v>
      </c>
      <c r="K8948" s="24" t="s">
        <v>22</v>
      </c>
    </row>
    <row r="8949" spans="1:11" x14ac:dyDescent="0.2">
      <c r="A8949" s="27" t="s">
        <v>20749</v>
      </c>
      <c r="B8949" s="27" t="s">
        <v>20750</v>
      </c>
      <c r="C8949" s="27" t="s">
        <v>20751</v>
      </c>
      <c r="D8949" s="27" t="s">
        <v>17</v>
      </c>
      <c r="E8949" s="27" t="s">
        <v>42</v>
      </c>
      <c r="F8949" s="27" t="s">
        <v>43</v>
      </c>
      <c r="G8949" s="27" t="s">
        <v>28</v>
      </c>
      <c r="H8949" s="29">
        <v>300</v>
      </c>
      <c r="I8949" s="27" t="s">
        <v>29</v>
      </c>
      <c r="J8949" s="37">
        <v>46054</v>
      </c>
      <c r="K8949" s="27" t="s">
        <v>22</v>
      </c>
    </row>
    <row r="8950" spans="1:11" x14ac:dyDescent="0.2">
      <c r="A8950" s="24" t="s">
        <v>20752</v>
      </c>
      <c r="B8950" s="24" t="s">
        <v>20753</v>
      </c>
      <c r="C8950" s="24" t="s">
        <v>115</v>
      </c>
      <c r="D8950" s="24" t="s">
        <v>17</v>
      </c>
      <c r="E8950" s="24" t="s">
        <v>48</v>
      </c>
      <c r="F8950" s="24" t="s">
        <v>49</v>
      </c>
      <c r="G8950" s="24" t="s">
        <v>217</v>
      </c>
      <c r="H8950" s="26">
        <v>27</v>
      </c>
      <c r="I8950" s="24" t="s">
        <v>29</v>
      </c>
      <c r="J8950" s="36">
        <v>46059</v>
      </c>
      <c r="K8950" s="24" t="s">
        <v>22</v>
      </c>
    </row>
    <row r="8951" spans="1:11" x14ac:dyDescent="0.2">
      <c r="A8951" s="27" t="s">
        <v>20754</v>
      </c>
      <c r="B8951" s="27" t="s">
        <v>20755</v>
      </c>
      <c r="C8951" s="27" t="s">
        <v>8768</v>
      </c>
      <c r="D8951" s="27" t="s">
        <v>17</v>
      </c>
      <c r="E8951" s="27" t="s">
        <v>42</v>
      </c>
      <c r="F8951" s="27" t="s">
        <v>43</v>
      </c>
      <c r="G8951" s="27" t="s">
        <v>28</v>
      </c>
      <c r="H8951" s="29">
        <v>90</v>
      </c>
      <c r="I8951" s="27" t="s">
        <v>29</v>
      </c>
      <c r="J8951" s="37">
        <v>46064</v>
      </c>
      <c r="K8951" s="27" t="s">
        <v>22</v>
      </c>
    </row>
    <row r="8952" spans="1:11" x14ac:dyDescent="0.2">
      <c r="A8952" s="24" t="s">
        <v>20756</v>
      </c>
      <c r="B8952" s="24" t="s">
        <v>20757</v>
      </c>
      <c r="C8952" s="24" t="s">
        <v>1883</v>
      </c>
      <c r="D8952" s="24" t="s">
        <v>17</v>
      </c>
      <c r="E8952" s="24" t="s">
        <v>42</v>
      </c>
      <c r="F8952" s="24" t="s">
        <v>43</v>
      </c>
      <c r="G8952" s="24" t="s">
        <v>28</v>
      </c>
      <c r="H8952" s="26">
        <v>240</v>
      </c>
      <c r="I8952" s="24" t="s">
        <v>29</v>
      </c>
      <c r="J8952" s="36">
        <v>46077</v>
      </c>
      <c r="K8952" s="24" t="s">
        <v>22</v>
      </c>
    </row>
    <row r="8953" spans="1:11" x14ac:dyDescent="0.2">
      <c r="A8953" s="27" t="s">
        <v>20758</v>
      </c>
      <c r="B8953" s="27" t="s">
        <v>20759</v>
      </c>
      <c r="C8953" s="27" t="s">
        <v>20760</v>
      </c>
      <c r="D8953" s="27" t="s">
        <v>17</v>
      </c>
      <c r="E8953" s="27" t="s">
        <v>18</v>
      </c>
      <c r="F8953" s="27" t="s">
        <v>19</v>
      </c>
      <c r="G8953" s="27" t="s">
        <v>28</v>
      </c>
      <c r="H8953" s="29">
        <v>90</v>
      </c>
      <c r="I8953" s="27" t="s">
        <v>29</v>
      </c>
      <c r="J8953" s="37">
        <v>46073</v>
      </c>
      <c r="K8953" s="27" t="s">
        <v>22</v>
      </c>
    </row>
    <row r="8954" spans="1:11" x14ac:dyDescent="0.2">
      <c r="A8954" s="24" t="s">
        <v>20761</v>
      </c>
      <c r="B8954" s="24" t="s">
        <v>20762</v>
      </c>
      <c r="C8954" s="24" t="s">
        <v>20763</v>
      </c>
      <c r="D8954" s="24" t="s">
        <v>17</v>
      </c>
      <c r="E8954" s="24" t="s">
        <v>42</v>
      </c>
      <c r="F8954" s="24" t="s">
        <v>43</v>
      </c>
      <c r="G8954" s="24" t="s">
        <v>28</v>
      </c>
      <c r="H8954" s="26">
        <v>500</v>
      </c>
      <c r="I8954" s="24" t="s">
        <v>29</v>
      </c>
      <c r="J8954" s="36">
        <v>46054</v>
      </c>
      <c r="K8954" s="24" t="s">
        <v>22</v>
      </c>
    </row>
    <row r="8955" spans="1:11" x14ac:dyDescent="0.2">
      <c r="A8955" s="27" t="s">
        <v>20764</v>
      </c>
      <c r="B8955" s="27" t="s">
        <v>20765</v>
      </c>
      <c r="C8955" s="27" t="s">
        <v>91</v>
      </c>
      <c r="D8955" s="27" t="s">
        <v>17</v>
      </c>
      <c r="E8955" s="27" t="s">
        <v>26</v>
      </c>
      <c r="F8955" s="27" t="s">
        <v>27</v>
      </c>
      <c r="G8955" s="27" t="s">
        <v>217</v>
      </c>
      <c r="H8955" s="29">
        <v>596</v>
      </c>
      <c r="I8955" s="27" t="s">
        <v>29</v>
      </c>
      <c r="J8955" s="37">
        <v>46081</v>
      </c>
      <c r="K8955" s="27" t="s">
        <v>22</v>
      </c>
    </row>
    <row r="8956" spans="1:11" x14ac:dyDescent="0.2">
      <c r="A8956" s="24" t="s">
        <v>20766</v>
      </c>
      <c r="B8956" s="24" t="s">
        <v>20767</v>
      </c>
      <c r="C8956" s="24" t="s">
        <v>2324</v>
      </c>
      <c r="D8956" s="24" t="s">
        <v>17</v>
      </c>
      <c r="E8956" s="24" t="s">
        <v>42</v>
      </c>
      <c r="F8956" s="24" t="s">
        <v>43</v>
      </c>
      <c r="G8956" s="24" t="s">
        <v>116</v>
      </c>
      <c r="H8956" s="26">
        <v>0</v>
      </c>
      <c r="I8956" s="24" t="s">
        <v>21</v>
      </c>
      <c r="J8956" s="36">
        <v>46059</v>
      </c>
      <c r="K8956" s="24" t="s">
        <v>22</v>
      </c>
    </row>
    <row r="8957" spans="1:11" x14ac:dyDescent="0.2">
      <c r="A8957" s="27" t="s">
        <v>20768</v>
      </c>
      <c r="B8957" s="27" t="s">
        <v>20769</v>
      </c>
      <c r="C8957" s="27" t="s">
        <v>20770</v>
      </c>
      <c r="D8957" s="27" t="s">
        <v>17</v>
      </c>
      <c r="E8957" s="27" t="s">
        <v>26</v>
      </c>
      <c r="F8957" s="27" t="s">
        <v>27</v>
      </c>
      <c r="G8957" s="27" t="s">
        <v>28</v>
      </c>
      <c r="H8957" s="29">
        <v>32</v>
      </c>
      <c r="I8957" s="27" t="s">
        <v>29</v>
      </c>
      <c r="J8957" s="37">
        <v>46054</v>
      </c>
      <c r="K8957" s="27" t="s">
        <v>22</v>
      </c>
    </row>
    <row r="8958" spans="1:11" x14ac:dyDescent="0.2">
      <c r="A8958" s="24" t="s">
        <v>20771</v>
      </c>
      <c r="B8958" s="24" t="s">
        <v>20772</v>
      </c>
      <c r="C8958" s="24" t="s">
        <v>409</v>
      </c>
      <c r="D8958" s="24" t="s">
        <v>17</v>
      </c>
      <c r="E8958" s="24" t="s">
        <v>48</v>
      </c>
      <c r="F8958" s="24" t="s">
        <v>49</v>
      </c>
      <c r="G8958" s="24" t="s">
        <v>28</v>
      </c>
      <c r="H8958" s="26">
        <v>45</v>
      </c>
      <c r="I8958" s="24" t="s">
        <v>29</v>
      </c>
      <c r="J8958" s="36">
        <v>46065</v>
      </c>
      <c r="K8958" s="24" t="s">
        <v>22</v>
      </c>
    </row>
    <row r="8959" spans="1:11" x14ac:dyDescent="0.2">
      <c r="A8959" s="27" t="s">
        <v>20773</v>
      </c>
      <c r="B8959" s="27" t="s">
        <v>20774</v>
      </c>
      <c r="C8959" s="27" t="s">
        <v>526</v>
      </c>
      <c r="D8959" s="27" t="s">
        <v>17</v>
      </c>
      <c r="E8959" s="27" t="s">
        <v>42</v>
      </c>
      <c r="F8959" s="27" t="s">
        <v>43</v>
      </c>
      <c r="G8959" s="27" t="s">
        <v>28</v>
      </c>
      <c r="H8959" s="29">
        <v>900</v>
      </c>
      <c r="I8959" s="27" t="s">
        <v>29</v>
      </c>
      <c r="J8959" s="37">
        <v>46062</v>
      </c>
      <c r="K8959" s="27" t="s">
        <v>22</v>
      </c>
    </row>
    <row r="8960" spans="1:11" x14ac:dyDescent="0.2">
      <c r="A8960" s="24" t="s">
        <v>20775</v>
      </c>
      <c r="B8960" s="24" t="s">
        <v>20776</v>
      </c>
      <c r="C8960" s="24" t="s">
        <v>9465</v>
      </c>
      <c r="D8960" s="24" t="s">
        <v>17</v>
      </c>
      <c r="E8960" s="24" t="s">
        <v>48</v>
      </c>
      <c r="F8960" s="24" t="s">
        <v>49</v>
      </c>
      <c r="G8960" s="24" t="s">
        <v>28</v>
      </c>
      <c r="H8960" s="26">
        <v>80</v>
      </c>
      <c r="I8960" s="24" t="s">
        <v>29</v>
      </c>
      <c r="J8960" s="36">
        <v>46076</v>
      </c>
      <c r="K8960" s="24" t="s">
        <v>22</v>
      </c>
    </row>
    <row r="8961" spans="1:11" x14ac:dyDescent="0.2">
      <c r="A8961" s="27" t="s">
        <v>20777</v>
      </c>
      <c r="B8961" s="27" t="s">
        <v>20778</v>
      </c>
      <c r="C8961" s="27" t="s">
        <v>20779</v>
      </c>
      <c r="D8961" s="27" t="s">
        <v>17</v>
      </c>
      <c r="E8961" s="27" t="s">
        <v>26</v>
      </c>
      <c r="F8961" s="27" t="s">
        <v>27</v>
      </c>
      <c r="G8961" s="27" t="s">
        <v>217</v>
      </c>
      <c r="H8961" s="29">
        <v>60</v>
      </c>
      <c r="I8961" s="27" t="s">
        <v>29</v>
      </c>
      <c r="J8961" s="37">
        <v>46054</v>
      </c>
      <c r="K8961" s="27" t="s">
        <v>22</v>
      </c>
    </row>
    <row r="8962" spans="1:11" x14ac:dyDescent="0.2">
      <c r="A8962" s="24" t="s">
        <v>20780</v>
      </c>
      <c r="B8962" s="24" t="s">
        <v>20781</v>
      </c>
      <c r="C8962" s="24" t="s">
        <v>526</v>
      </c>
      <c r="D8962" s="24" t="s">
        <v>17</v>
      </c>
      <c r="E8962" s="24" t="s">
        <v>42</v>
      </c>
      <c r="F8962" s="24" t="s">
        <v>43</v>
      </c>
      <c r="G8962" s="24" t="s">
        <v>28</v>
      </c>
      <c r="H8962" s="26">
        <v>800</v>
      </c>
      <c r="I8962" s="24" t="s">
        <v>29</v>
      </c>
      <c r="J8962" s="36">
        <v>46063</v>
      </c>
      <c r="K8962" s="24" t="s">
        <v>22</v>
      </c>
    </row>
    <row r="8963" spans="1:11" x14ac:dyDescent="0.2">
      <c r="A8963" s="27" t="s">
        <v>20782</v>
      </c>
      <c r="B8963" s="27" t="s">
        <v>20783</v>
      </c>
      <c r="C8963" s="27" t="s">
        <v>526</v>
      </c>
      <c r="D8963" s="27" t="s">
        <v>17</v>
      </c>
      <c r="E8963" s="27" t="s">
        <v>48</v>
      </c>
      <c r="F8963" s="27" t="s">
        <v>49</v>
      </c>
      <c r="G8963" s="27" t="s">
        <v>217</v>
      </c>
      <c r="H8963" s="29">
        <v>600</v>
      </c>
      <c r="I8963" s="27" t="s">
        <v>29</v>
      </c>
      <c r="J8963" s="37">
        <v>46054</v>
      </c>
      <c r="K8963" s="27" t="s">
        <v>22</v>
      </c>
    </row>
    <row r="8964" spans="1:11" x14ac:dyDescent="0.2">
      <c r="A8964" s="24" t="s">
        <v>20784</v>
      </c>
      <c r="B8964" s="24" t="s">
        <v>20785</v>
      </c>
      <c r="C8964" s="24" t="s">
        <v>354</v>
      </c>
      <c r="D8964" s="24" t="s">
        <v>17</v>
      </c>
      <c r="E8964" s="24" t="s">
        <v>18</v>
      </c>
      <c r="F8964" s="24" t="s">
        <v>19</v>
      </c>
      <c r="G8964" s="24" t="s">
        <v>28</v>
      </c>
      <c r="H8964" s="26">
        <v>12</v>
      </c>
      <c r="I8964" s="24" t="s">
        <v>29</v>
      </c>
      <c r="J8964" s="36">
        <v>46066</v>
      </c>
      <c r="K8964" s="24" t="s">
        <v>22</v>
      </c>
    </row>
    <row r="8965" spans="1:11" x14ac:dyDescent="0.2">
      <c r="A8965" s="27" t="s">
        <v>20786</v>
      </c>
      <c r="B8965" s="27" t="s">
        <v>20787</v>
      </c>
      <c r="C8965" s="27" t="s">
        <v>5080</v>
      </c>
      <c r="D8965" s="27" t="s">
        <v>17</v>
      </c>
      <c r="E8965" s="27" t="s">
        <v>18</v>
      </c>
      <c r="F8965" s="27" t="s">
        <v>19</v>
      </c>
      <c r="G8965" s="27" t="s">
        <v>217</v>
      </c>
      <c r="H8965" s="29">
        <v>86</v>
      </c>
      <c r="I8965" s="27" t="s">
        <v>29</v>
      </c>
      <c r="J8965" s="37">
        <v>46056</v>
      </c>
      <c r="K8965" s="27" t="s">
        <v>22</v>
      </c>
    </row>
    <row r="8966" spans="1:11" x14ac:dyDescent="0.2">
      <c r="A8966" s="24" t="s">
        <v>20788</v>
      </c>
      <c r="B8966" s="24" t="s">
        <v>20789</v>
      </c>
      <c r="C8966" s="24" t="s">
        <v>20790</v>
      </c>
      <c r="D8966" s="24" t="s">
        <v>17</v>
      </c>
      <c r="E8966" s="24" t="s">
        <v>18</v>
      </c>
      <c r="F8966" s="24" t="s">
        <v>19</v>
      </c>
      <c r="G8966" s="24" t="s">
        <v>217</v>
      </c>
      <c r="H8966" s="26">
        <v>102</v>
      </c>
      <c r="I8966" s="24" t="s">
        <v>29</v>
      </c>
      <c r="J8966" s="36">
        <v>46059</v>
      </c>
      <c r="K8966" s="24" t="s">
        <v>22</v>
      </c>
    </row>
    <row r="8967" spans="1:11" x14ac:dyDescent="0.2">
      <c r="A8967" s="27" t="s">
        <v>20791</v>
      </c>
      <c r="B8967" s="27" t="s">
        <v>20792</v>
      </c>
      <c r="C8967" s="27" t="s">
        <v>134</v>
      </c>
      <c r="D8967" s="27" t="s">
        <v>17</v>
      </c>
      <c r="E8967" s="27" t="s">
        <v>42</v>
      </c>
      <c r="F8967" s="27" t="s">
        <v>43</v>
      </c>
      <c r="G8967" s="27" t="s">
        <v>217</v>
      </c>
      <c r="H8967" s="29">
        <v>176</v>
      </c>
      <c r="I8967" s="27" t="s">
        <v>29</v>
      </c>
      <c r="J8967" s="37">
        <v>46080</v>
      </c>
      <c r="K8967" s="27" t="s">
        <v>22</v>
      </c>
    </row>
    <row r="8968" spans="1:11" x14ac:dyDescent="0.2">
      <c r="A8968" s="24" t="s">
        <v>20793</v>
      </c>
      <c r="B8968" s="24" t="s">
        <v>20794</v>
      </c>
      <c r="C8968" s="24" t="s">
        <v>687</v>
      </c>
      <c r="D8968" s="24" t="s">
        <v>17</v>
      </c>
      <c r="E8968" s="24" t="s">
        <v>48</v>
      </c>
      <c r="F8968" s="24" t="s">
        <v>49</v>
      </c>
      <c r="G8968" s="24" t="s">
        <v>28</v>
      </c>
      <c r="H8968" s="26">
        <v>333</v>
      </c>
      <c r="I8968" s="24" t="s">
        <v>29</v>
      </c>
      <c r="J8968" s="36">
        <v>46055</v>
      </c>
      <c r="K8968" s="24" t="s">
        <v>22</v>
      </c>
    </row>
    <row r="8969" spans="1:11" x14ac:dyDescent="0.2">
      <c r="A8969" s="27" t="s">
        <v>20795</v>
      </c>
      <c r="B8969" s="27" t="s">
        <v>20796</v>
      </c>
      <c r="C8969" s="27" t="s">
        <v>85</v>
      </c>
      <c r="D8969" s="27" t="s">
        <v>17</v>
      </c>
      <c r="E8969" s="27" t="s">
        <v>48</v>
      </c>
      <c r="F8969" s="27" t="s">
        <v>49</v>
      </c>
      <c r="G8969" s="27" t="s">
        <v>28</v>
      </c>
      <c r="H8969" s="29">
        <v>195</v>
      </c>
      <c r="I8969" s="27" t="s">
        <v>29</v>
      </c>
      <c r="J8969" s="37">
        <v>46056</v>
      </c>
      <c r="K8969" s="27" t="s">
        <v>22</v>
      </c>
    </row>
    <row r="8970" spans="1:11" x14ac:dyDescent="0.2">
      <c r="A8970" s="24" t="s">
        <v>20797</v>
      </c>
      <c r="B8970" s="24" t="s">
        <v>20798</v>
      </c>
      <c r="C8970" s="24" t="s">
        <v>1866</v>
      </c>
      <c r="D8970" s="24" t="s">
        <v>17</v>
      </c>
      <c r="E8970" s="24" t="s">
        <v>18</v>
      </c>
      <c r="F8970" s="24" t="s">
        <v>19</v>
      </c>
      <c r="G8970" s="24" t="s">
        <v>28</v>
      </c>
      <c r="H8970" s="26">
        <v>14</v>
      </c>
      <c r="I8970" s="24" t="s">
        <v>29</v>
      </c>
      <c r="J8970" s="36">
        <v>46057</v>
      </c>
      <c r="K8970" s="24" t="s">
        <v>22</v>
      </c>
    </row>
    <row r="8971" spans="1:11" x14ac:dyDescent="0.2">
      <c r="A8971" s="27" t="s">
        <v>20799</v>
      </c>
      <c r="B8971" s="27" t="s">
        <v>20800</v>
      </c>
      <c r="C8971" s="27" t="s">
        <v>55</v>
      </c>
      <c r="D8971" s="27" t="s">
        <v>17</v>
      </c>
      <c r="E8971" s="27" t="s">
        <v>42</v>
      </c>
      <c r="F8971" s="27" t="s">
        <v>43</v>
      </c>
      <c r="G8971" s="27" t="s">
        <v>28</v>
      </c>
      <c r="H8971" s="29">
        <v>900</v>
      </c>
      <c r="I8971" s="27" t="s">
        <v>29</v>
      </c>
      <c r="J8971" s="37">
        <v>46069</v>
      </c>
      <c r="K8971" s="27" t="s">
        <v>22</v>
      </c>
    </row>
    <row r="8972" spans="1:11" x14ac:dyDescent="0.2">
      <c r="A8972" s="24" t="s">
        <v>20801</v>
      </c>
      <c r="B8972" s="24" t="s">
        <v>20802</v>
      </c>
      <c r="C8972" s="24" t="s">
        <v>5103</v>
      </c>
      <c r="D8972" s="24" t="s">
        <v>17</v>
      </c>
      <c r="E8972" s="24" t="s">
        <v>18</v>
      </c>
      <c r="F8972" s="24" t="s">
        <v>19</v>
      </c>
      <c r="G8972" s="24" t="s">
        <v>28</v>
      </c>
      <c r="H8972" s="26">
        <v>93</v>
      </c>
      <c r="I8972" s="24" t="s">
        <v>29</v>
      </c>
      <c r="J8972" s="36">
        <v>46070</v>
      </c>
      <c r="K8972" s="24" t="s">
        <v>22</v>
      </c>
    </row>
    <row r="8973" spans="1:11" x14ac:dyDescent="0.2">
      <c r="A8973" s="27" t="s">
        <v>20803</v>
      </c>
      <c r="B8973" s="27" t="s">
        <v>20804</v>
      </c>
      <c r="C8973" s="27" t="s">
        <v>20805</v>
      </c>
      <c r="D8973" s="27" t="s">
        <v>17</v>
      </c>
      <c r="E8973" s="27" t="s">
        <v>18</v>
      </c>
      <c r="F8973" s="27" t="s">
        <v>19</v>
      </c>
      <c r="G8973" s="27" t="s">
        <v>217</v>
      </c>
      <c r="H8973" s="29">
        <v>20</v>
      </c>
      <c r="I8973" s="27" t="s">
        <v>29</v>
      </c>
      <c r="J8973" s="37">
        <v>46055</v>
      </c>
      <c r="K8973" s="27" t="s">
        <v>22</v>
      </c>
    </row>
    <row r="8974" spans="1:11" x14ac:dyDescent="0.2">
      <c r="A8974" s="24" t="s">
        <v>20806</v>
      </c>
      <c r="B8974" s="24" t="s">
        <v>20807</v>
      </c>
      <c r="C8974" s="24" t="s">
        <v>7450</v>
      </c>
      <c r="D8974" s="24" t="s">
        <v>17</v>
      </c>
      <c r="E8974" s="24" t="s">
        <v>48</v>
      </c>
      <c r="F8974" s="24" t="s">
        <v>49</v>
      </c>
      <c r="G8974" s="24" t="s">
        <v>217</v>
      </c>
      <c r="H8974" s="26">
        <v>81</v>
      </c>
      <c r="I8974" s="24" t="s">
        <v>29</v>
      </c>
      <c r="J8974" s="36">
        <v>46080</v>
      </c>
      <c r="K8974" s="24" t="s">
        <v>22</v>
      </c>
    </row>
    <row r="8975" spans="1:11" x14ac:dyDescent="0.2">
      <c r="A8975" s="27" t="s">
        <v>20808</v>
      </c>
      <c r="B8975" s="27" t="s">
        <v>20809</v>
      </c>
      <c r="C8975" s="27" t="s">
        <v>5315</v>
      </c>
      <c r="D8975" s="27" t="s">
        <v>17</v>
      </c>
      <c r="E8975" s="27" t="s">
        <v>42</v>
      </c>
      <c r="F8975" s="27" t="s">
        <v>43</v>
      </c>
      <c r="G8975" s="27" t="s">
        <v>28</v>
      </c>
      <c r="H8975" s="29">
        <v>300</v>
      </c>
      <c r="I8975" s="27" t="s">
        <v>29</v>
      </c>
      <c r="J8975" s="37">
        <v>46062</v>
      </c>
      <c r="K8975" s="27" t="s">
        <v>22</v>
      </c>
    </row>
    <row r="8976" spans="1:11" x14ac:dyDescent="0.2">
      <c r="A8976" s="24" t="s">
        <v>20810</v>
      </c>
      <c r="B8976" s="24" t="s">
        <v>20811</v>
      </c>
      <c r="C8976" s="24" t="s">
        <v>146</v>
      </c>
      <c r="D8976" s="24" t="s">
        <v>17</v>
      </c>
      <c r="E8976" s="24" t="s">
        <v>26</v>
      </c>
      <c r="F8976" s="24" t="s">
        <v>27</v>
      </c>
      <c r="G8976" s="24" t="s">
        <v>28</v>
      </c>
      <c r="H8976" s="26">
        <v>54</v>
      </c>
      <c r="I8976" s="24" t="s">
        <v>29</v>
      </c>
      <c r="J8976" s="36">
        <v>46063</v>
      </c>
      <c r="K8976" s="24" t="s">
        <v>22</v>
      </c>
    </row>
    <row r="8977" spans="1:11" x14ac:dyDescent="0.2">
      <c r="A8977" s="27" t="s">
        <v>20812</v>
      </c>
      <c r="B8977" s="27" t="s">
        <v>20813</v>
      </c>
      <c r="C8977" s="27" t="s">
        <v>134</v>
      </c>
      <c r="D8977" s="27" t="s">
        <v>17</v>
      </c>
      <c r="E8977" s="27" t="s">
        <v>42</v>
      </c>
      <c r="F8977" s="27" t="s">
        <v>43</v>
      </c>
      <c r="G8977" s="27" t="s">
        <v>217</v>
      </c>
      <c r="H8977" s="29">
        <v>176</v>
      </c>
      <c r="I8977" s="27" t="s">
        <v>29</v>
      </c>
      <c r="J8977" s="37">
        <v>46080</v>
      </c>
      <c r="K8977" s="27" t="s">
        <v>22</v>
      </c>
    </row>
    <row r="8978" spans="1:11" x14ac:dyDescent="0.2">
      <c r="A8978" s="24" t="s">
        <v>20814</v>
      </c>
      <c r="B8978" s="24" t="s">
        <v>20815</v>
      </c>
      <c r="C8978" s="24" t="s">
        <v>325</v>
      </c>
      <c r="D8978" s="24" t="s">
        <v>17</v>
      </c>
      <c r="E8978" s="24" t="s">
        <v>81</v>
      </c>
      <c r="F8978" s="24" t="s">
        <v>82</v>
      </c>
      <c r="G8978" s="24" t="s">
        <v>217</v>
      </c>
      <c r="H8978" s="26">
        <v>50</v>
      </c>
      <c r="I8978" s="24" t="s">
        <v>29</v>
      </c>
      <c r="J8978" s="36">
        <v>46066</v>
      </c>
      <c r="K8978" s="24" t="s">
        <v>22</v>
      </c>
    </row>
    <row r="8979" spans="1:11" x14ac:dyDescent="0.2">
      <c r="A8979" s="27" t="s">
        <v>20816</v>
      </c>
      <c r="B8979" s="27" t="s">
        <v>20817</v>
      </c>
      <c r="C8979" s="27" t="s">
        <v>68</v>
      </c>
      <c r="D8979" s="27" t="s">
        <v>17</v>
      </c>
      <c r="E8979" s="27" t="s">
        <v>42</v>
      </c>
      <c r="F8979" s="27" t="s">
        <v>43</v>
      </c>
      <c r="G8979" s="27" t="s">
        <v>217</v>
      </c>
      <c r="H8979" s="29">
        <v>150</v>
      </c>
      <c r="I8979" s="27" t="s">
        <v>29</v>
      </c>
      <c r="J8979" s="37">
        <v>46054</v>
      </c>
      <c r="K8979" s="27" t="s">
        <v>22</v>
      </c>
    </row>
    <row r="8980" spans="1:11" x14ac:dyDescent="0.2">
      <c r="A8980" s="24" t="s">
        <v>20818</v>
      </c>
      <c r="B8980" s="24" t="s">
        <v>20819</v>
      </c>
      <c r="C8980" s="24" t="s">
        <v>14535</v>
      </c>
      <c r="D8980" s="24" t="s">
        <v>17</v>
      </c>
      <c r="E8980" s="24" t="s">
        <v>42</v>
      </c>
      <c r="F8980" s="24" t="s">
        <v>43</v>
      </c>
      <c r="G8980" s="24" t="s">
        <v>28</v>
      </c>
      <c r="H8980" s="26">
        <v>180</v>
      </c>
      <c r="I8980" s="24" t="s">
        <v>29</v>
      </c>
      <c r="J8980" s="36">
        <v>46068</v>
      </c>
      <c r="K8980" s="24" t="s">
        <v>22</v>
      </c>
    </row>
    <row r="8981" spans="1:11" x14ac:dyDescent="0.2">
      <c r="A8981" s="27" t="s">
        <v>20820</v>
      </c>
      <c r="B8981" s="27" t="s">
        <v>20821</v>
      </c>
      <c r="C8981" s="27" t="s">
        <v>9677</v>
      </c>
      <c r="D8981" s="27" t="s">
        <v>17</v>
      </c>
      <c r="E8981" s="27" t="s">
        <v>18</v>
      </c>
      <c r="F8981" s="27" t="s">
        <v>19</v>
      </c>
      <c r="G8981" s="27" t="s">
        <v>28</v>
      </c>
      <c r="H8981" s="29">
        <v>12</v>
      </c>
      <c r="I8981" s="27" t="s">
        <v>29</v>
      </c>
      <c r="J8981" s="37">
        <v>46078</v>
      </c>
      <c r="K8981" s="27" t="s">
        <v>22</v>
      </c>
    </row>
    <row r="8982" spans="1:11" x14ac:dyDescent="0.2">
      <c r="A8982" s="24" t="s">
        <v>20822</v>
      </c>
      <c r="B8982" s="24" t="s">
        <v>20823</v>
      </c>
      <c r="C8982" s="24" t="s">
        <v>20824</v>
      </c>
      <c r="D8982" s="24" t="s">
        <v>17</v>
      </c>
      <c r="E8982" s="24" t="s">
        <v>48</v>
      </c>
      <c r="F8982" s="24" t="s">
        <v>49</v>
      </c>
      <c r="G8982" s="24" t="s">
        <v>28</v>
      </c>
      <c r="H8982" s="26">
        <v>60</v>
      </c>
      <c r="I8982" s="24" t="s">
        <v>29</v>
      </c>
      <c r="J8982" s="36">
        <v>46055</v>
      </c>
      <c r="K8982" s="24" t="s">
        <v>22</v>
      </c>
    </row>
    <row r="8983" spans="1:11" x14ac:dyDescent="0.2">
      <c r="A8983" s="27" t="s">
        <v>20825</v>
      </c>
      <c r="B8983" s="27" t="s">
        <v>20826</v>
      </c>
      <c r="C8983" s="27" t="s">
        <v>20827</v>
      </c>
      <c r="D8983" s="27" t="s">
        <v>17</v>
      </c>
      <c r="E8983" s="27" t="s">
        <v>42</v>
      </c>
      <c r="F8983" s="27" t="s">
        <v>43</v>
      </c>
      <c r="G8983" s="27" t="s">
        <v>217</v>
      </c>
      <c r="H8983" s="29">
        <v>524</v>
      </c>
      <c r="I8983" s="27" t="s">
        <v>29</v>
      </c>
      <c r="J8983" s="37">
        <v>46081</v>
      </c>
      <c r="K8983" s="27" t="s">
        <v>22</v>
      </c>
    </row>
    <row r="8984" spans="1:11" x14ac:dyDescent="0.2">
      <c r="A8984" s="24" t="s">
        <v>20828</v>
      </c>
      <c r="B8984" s="24" t="s">
        <v>20829</v>
      </c>
      <c r="C8984" s="24" t="s">
        <v>526</v>
      </c>
      <c r="D8984" s="24" t="s">
        <v>17</v>
      </c>
      <c r="E8984" s="24" t="s">
        <v>42</v>
      </c>
      <c r="F8984" s="24" t="s">
        <v>43</v>
      </c>
      <c r="G8984" s="24" t="s">
        <v>217</v>
      </c>
      <c r="H8984" s="26">
        <v>1000</v>
      </c>
      <c r="I8984" s="24" t="s">
        <v>29</v>
      </c>
      <c r="J8984" s="36">
        <v>46054</v>
      </c>
      <c r="K8984" s="24" t="s">
        <v>22</v>
      </c>
    </row>
    <row r="8985" spans="1:11" x14ac:dyDescent="0.2">
      <c r="A8985" s="27" t="s">
        <v>20830</v>
      </c>
      <c r="B8985" s="27" t="s">
        <v>20831</v>
      </c>
      <c r="C8985" s="27" t="s">
        <v>97</v>
      </c>
      <c r="D8985" s="27" t="s">
        <v>17</v>
      </c>
      <c r="E8985" s="27" t="s">
        <v>42</v>
      </c>
      <c r="F8985" s="27" t="s">
        <v>43</v>
      </c>
      <c r="G8985" s="27" t="s">
        <v>28</v>
      </c>
      <c r="H8985" s="29">
        <v>2130</v>
      </c>
      <c r="I8985" s="27" t="s">
        <v>29</v>
      </c>
      <c r="J8985" s="37">
        <v>46056</v>
      </c>
      <c r="K8985" s="27" t="s">
        <v>22</v>
      </c>
    </row>
    <row r="8986" spans="1:11" x14ac:dyDescent="0.2">
      <c r="A8986" s="24" t="s">
        <v>20832</v>
      </c>
      <c r="B8986" s="24" t="s">
        <v>20833</v>
      </c>
      <c r="C8986" s="24" t="s">
        <v>134</v>
      </c>
      <c r="D8986" s="24" t="s">
        <v>17</v>
      </c>
      <c r="E8986" s="24" t="s">
        <v>18</v>
      </c>
      <c r="F8986" s="24" t="s">
        <v>19</v>
      </c>
      <c r="G8986" s="24" t="s">
        <v>28</v>
      </c>
      <c r="H8986" s="26">
        <v>32</v>
      </c>
      <c r="I8986" s="24" t="s">
        <v>29</v>
      </c>
      <c r="J8986" s="36">
        <v>46072</v>
      </c>
      <c r="K8986" s="24" t="s">
        <v>22</v>
      </c>
    </row>
    <row r="8987" spans="1:11" x14ac:dyDescent="0.2">
      <c r="A8987" s="27" t="s">
        <v>20834</v>
      </c>
      <c r="B8987" s="27" t="s">
        <v>20835</v>
      </c>
      <c r="C8987" s="27" t="s">
        <v>266</v>
      </c>
      <c r="D8987" s="27" t="s">
        <v>17</v>
      </c>
      <c r="E8987" s="27" t="s">
        <v>18</v>
      </c>
      <c r="F8987" s="27" t="s">
        <v>19</v>
      </c>
      <c r="G8987" s="27" t="s">
        <v>217</v>
      </c>
      <c r="H8987" s="29">
        <v>51</v>
      </c>
      <c r="I8987" s="27" t="s">
        <v>29</v>
      </c>
      <c r="J8987" s="37">
        <v>46054</v>
      </c>
      <c r="K8987" s="27" t="s">
        <v>22</v>
      </c>
    </row>
    <row r="8988" spans="1:11" x14ac:dyDescent="0.2">
      <c r="A8988" s="24" t="s">
        <v>20836</v>
      </c>
      <c r="B8988" s="24" t="s">
        <v>20837</v>
      </c>
      <c r="C8988" s="24" t="s">
        <v>154</v>
      </c>
      <c r="D8988" s="24" t="s">
        <v>17</v>
      </c>
      <c r="E8988" s="24" t="s">
        <v>33</v>
      </c>
      <c r="F8988" s="24" t="s">
        <v>34</v>
      </c>
      <c r="G8988" s="24" t="s">
        <v>217</v>
      </c>
      <c r="H8988" s="26">
        <v>160</v>
      </c>
      <c r="I8988" s="24" t="s">
        <v>29</v>
      </c>
      <c r="J8988" s="36">
        <v>46054</v>
      </c>
      <c r="K8988" s="24" t="s">
        <v>22</v>
      </c>
    </row>
    <row r="8989" spans="1:11" x14ac:dyDescent="0.2">
      <c r="A8989" s="27" t="s">
        <v>20838</v>
      </c>
      <c r="B8989" s="27" t="s">
        <v>20839</v>
      </c>
      <c r="C8989" s="27" t="s">
        <v>20824</v>
      </c>
      <c r="D8989" s="27" t="s">
        <v>17</v>
      </c>
      <c r="E8989" s="27" t="s">
        <v>48</v>
      </c>
      <c r="F8989" s="27" t="s">
        <v>49</v>
      </c>
      <c r="G8989" s="27" t="s">
        <v>28</v>
      </c>
      <c r="H8989" s="29">
        <v>60</v>
      </c>
      <c r="I8989" s="27" t="s">
        <v>29</v>
      </c>
      <c r="J8989" s="37">
        <v>46055</v>
      </c>
      <c r="K8989" s="27" t="s">
        <v>22</v>
      </c>
    </row>
    <row r="8990" spans="1:11" x14ac:dyDescent="0.2">
      <c r="A8990" s="24" t="s">
        <v>20840</v>
      </c>
      <c r="B8990" s="24" t="s">
        <v>20841</v>
      </c>
      <c r="C8990" s="24" t="s">
        <v>1044</v>
      </c>
      <c r="D8990" s="24" t="s">
        <v>17</v>
      </c>
      <c r="E8990" s="24" t="s">
        <v>18</v>
      </c>
      <c r="F8990" s="24" t="s">
        <v>19</v>
      </c>
      <c r="G8990" s="24" t="s">
        <v>28</v>
      </c>
      <c r="H8990" s="26">
        <v>40</v>
      </c>
      <c r="I8990" s="24" t="s">
        <v>29</v>
      </c>
      <c r="J8990" s="36">
        <v>46073</v>
      </c>
      <c r="K8990" s="24" t="s">
        <v>22</v>
      </c>
    </row>
    <row r="8991" spans="1:11" x14ac:dyDescent="0.2">
      <c r="A8991" s="27" t="s">
        <v>20842</v>
      </c>
      <c r="B8991" s="27" t="s">
        <v>20843</v>
      </c>
      <c r="C8991" s="27" t="s">
        <v>20844</v>
      </c>
      <c r="D8991" s="27" t="s">
        <v>17</v>
      </c>
      <c r="E8991" s="27" t="s">
        <v>18</v>
      </c>
      <c r="F8991" s="27" t="s">
        <v>19</v>
      </c>
      <c r="G8991" s="27" t="s">
        <v>217</v>
      </c>
      <c r="H8991" s="29">
        <v>32</v>
      </c>
      <c r="I8991" s="27" t="s">
        <v>29</v>
      </c>
      <c r="J8991" s="37">
        <v>46076</v>
      </c>
      <c r="K8991" s="27" t="s">
        <v>22</v>
      </c>
    </row>
    <row r="8992" spans="1:11" x14ac:dyDescent="0.2">
      <c r="A8992" s="24" t="s">
        <v>20845</v>
      </c>
      <c r="B8992" s="24" t="s">
        <v>20846</v>
      </c>
      <c r="C8992" s="24" t="s">
        <v>16112</v>
      </c>
      <c r="D8992" s="24" t="s">
        <v>17</v>
      </c>
      <c r="E8992" s="24" t="s">
        <v>26</v>
      </c>
      <c r="F8992" s="24" t="s">
        <v>27</v>
      </c>
      <c r="G8992" s="24" t="s">
        <v>28</v>
      </c>
      <c r="H8992" s="26">
        <v>92</v>
      </c>
      <c r="I8992" s="24" t="s">
        <v>29</v>
      </c>
      <c r="J8992" s="36">
        <v>46081</v>
      </c>
      <c r="K8992" s="24" t="s">
        <v>22</v>
      </c>
    </row>
    <row r="8993" spans="1:11" x14ac:dyDescent="0.2">
      <c r="A8993" s="27" t="s">
        <v>20847</v>
      </c>
      <c r="B8993" s="27" t="s">
        <v>20848</v>
      </c>
      <c r="C8993" s="27" t="s">
        <v>20849</v>
      </c>
      <c r="D8993" s="27" t="s">
        <v>17</v>
      </c>
      <c r="E8993" s="27" t="s">
        <v>26</v>
      </c>
      <c r="F8993" s="27" t="s">
        <v>27</v>
      </c>
      <c r="G8993" s="27" t="s">
        <v>28</v>
      </c>
      <c r="H8993" s="29">
        <v>290</v>
      </c>
      <c r="I8993" s="27" t="s">
        <v>29</v>
      </c>
      <c r="J8993" s="37">
        <v>46070</v>
      </c>
      <c r="K8993" s="27" t="s">
        <v>22</v>
      </c>
    </row>
    <row r="8994" spans="1:11" x14ac:dyDescent="0.2">
      <c r="A8994" s="24" t="s">
        <v>20850</v>
      </c>
      <c r="B8994" s="24" t="s">
        <v>20851</v>
      </c>
      <c r="C8994" s="24" t="s">
        <v>20852</v>
      </c>
      <c r="D8994" s="24" t="s">
        <v>17</v>
      </c>
      <c r="E8994" s="24" t="s">
        <v>42</v>
      </c>
      <c r="F8994" s="24" t="s">
        <v>43</v>
      </c>
      <c r="G8994" s="24" t="s">
        <v>217</v>
      </c>
      <c r="H8994" s="26">
        <v>180</v>
      </c>
      <c r="I8994" s="24" t="s">
        <v>29</v>
      </c>
      <c r="J8994" s="36">
        <v>46054</v>
      </c>
      <c r="K8994" s="24" t="s">
        <v>22</v>
      </c>
    </row>
    <row r="8995" spans="1:11" x14ac:dyDescent="0.2">
      <c r="A8995" s="27" t="s">
        <v>20853</v>
      </c>
      <c r="B8995" s="27" t="s">
        <v>20854</v>
      </c>
      <c r="C8995" s="27" t="s">
        <v>801</v>
      </c>
      <c r="D8995" s="27" t="s">
        <v>17</v>
      </c>
      <c r="E8995" s="27" t="s">
        <v>18</v>
      </c>
      <c r="F8995" s="27" t="s">
        <v>19</v>
      </c>
      <c r="G8995" s="27" t="s">
        <v>28</v>
      </c>
      <c r="H8995" s="29">
        <v>162</v>
      </c>
      <c r="I8995" s="27" t="s">
        <v>29</v>
      </c>
      <c r="J8995" s="37">
        <v>46073</v>
      </c>
      <c r="K8995" s="27" t="s">
        <v>22</v>
      </c>
    </row>
    <row r="8996" spans="1:11" x14ac:dyDescent="0.2">
      <c r="A8996" s="24" t="s">
        <v>20855</v>
      </c>
      <c r="B8996" s="24" t="s">
        <v>20856</v>
      </c>
      <c r="C8996" s="24" t="s">
        <v>140</v>
      </c>
      <c r="D8996" s="24" t="s">
        <v>17</v>
      </c>
      <c r="E8996" s="24" t="s">
        <v>42</v>
      </c>
      <c r="F8996" s="24" t="s">
        <v>43</v>
      </c>
      <c r="G8996" s="24" t="s">
        <v>28</v>
      </c>
      <c r="H8996" s="26">
        <v>370</v>
      </c>
      <c r="I8996" s="24" t="s">
        <v>29</v>
      </c>
      <c r="J8996" s="36">
        <v>46054</v>
      </c>
      <c r="K8996" s="24" t="s">
        <v>22</v>
      </c>
    </row>
    <row r="8997" spans="1:11" x14ac:dyDescent="0.2">
      <c r="A8997" s="27" t="s">
        <v>20857</v>
      </c>
      <c r="B8997" s="27" t="s">
        <v>20858</v>
      </c>
      <c r="C8997" s="27" t="s">
        <v>1444</v>
      </c>
      <c r="D8997" s="27" t="s">
        <v>17</v>
      </c>
      <c r="E8997" s="27" t="s">
        <v>48</v>
      </c>
      <c r="F8997" s="27" t="s">
        <v>49</v>
      </c>
      <c r="G8997" s="27" t="s">
        <v>217</v>
      </c>
      <c r="H8997" s="29">
        <v>60</v>
      </c>
      <c r="I8997" s="27" t="s">
        <v>29</v>
      </c>
      <c r="J8997" s="37">
        <v>46054</v>
      </c>
      <c r="K8997" s="27" t="s">
        <v>22</v>
      </c>
    </row>
    <row r="8998" spans="1:11" x14ac:dyDescent="0.2">
      <c r="A8998" s="24" t="s">
        <v>20859</v>
      </c>
      <c r="B8998" s="24" t="s">
        <v>20860</v>
      </c>
      <c r="C8998" s="24" t="s">
        <v>1307</v>
      </c>
      <c r="D8998" s="24" t="s">
        <v>17</v>
      </c>
      <c r="E8998" s="24" t="s">
        <v>18</v>
      </c>
      <c r="F8998" s="24" t="s">
        <v>19</v>
      </c>
      <c r="G8998" s="24" t="s">
        <v>217</v>
      </c>
      <c r="H8998" s="26">
        <v>168</v>
      </c>
      <c r="I8998" s="24" t="s">
        <v>29</v>
      </c>
      <c r="J8998" s="36">
        <v>46054</v>
      </c>
      <c r="K8998" s="24" t="s">
        <v>22</v>
      </c>
    </row>
    <row r="8999" spans="1:11" x14ac:dyDescent="0.2">
      <c r="A8999" s="27" t="s">
        <v>20861</v>
      </c>
      <c r="B8999" s="27" t="s">
        <v>20862</v>
      </c>
      <c r="C8999" s="27" t="s">
        <v>3239</v>
      </c>
      <c r="D8999" s="27" t="s">
        <v>17</v>
      </c>
      <c r="E8999" s="27" t="s">
        <v>26</v>
      </c>
      <c r="F8999" s="27" t="s">
        <v>27</v>
      </c>
      <c r="G8999" s="27" t="s">
        <v>217</v>
      </c>
      <c r="H8999" s="29">
        <v>54</v>
      </c>
      <c r="I8999" s="27" t="s">
        <v>29</v>
      </c>
      <c r="J8999" s="37">
        <v>46073</v>
      </c>
      <c r="K8999" s="27" t="s">
        <v>22</v>
      </c>
    </row>
    <row r="9000" spans="1:11" x14ac:dyDescent="0.2">
      <c r="A9000" s="24" t="s">
        <v>20863</v>
      </c>
      <c r="B9000" s="24" t="s">
        <v>20864</v>
      </c>
      <c r="C9000" s="24" t="s">
        <v>11122</v>
      </c>
      <c r="D9000" s="24" t="s">
        <v>17</v>
      </c>
      <c r="E9000" s="24" t="s">
        <v>48</v>
      </c>
      <c r="F9000" s="24" t="s">
        <v>49</v>
      </c>
      <c r="G9000" s="24" t="s">
        <v>217</v>
      </c>
      <c r="H9000" s="26">
        <v>36</v>
      </c>
      <c r="I9000" s="24" t="s">
        <v>29</v>
      </c>
      <c r="J9000" s="36">
        <v>46081</v>
      </c>
      <c r="K9000" s="24" t="s">
        <v>22</v>
      </c>
    </row>
    <row r="9001" spans="1:11" x14ac:dyDescent="0.2">
      <c r="A9001" s="27" t="s">
        <v>20865</v>
      </c>
      <c r="B9001" s="27" t="s">
        <v>20866</v>
      </c>
      <c r="C9001" s="27" t="s">
        <v>197</v>
      </c>
      <c r="D9001" s="27" t="s">
        <v>17</v>
      </c>
      <c r="E9001" s="27" t="s">
        <v>18</v>
      </c>
      <c r="F9001" s="27" t="s">
        <v>19</v>
      </c>
      <c r="G9001" s="27" t="s">
        <v>28</v>
      </c>
      <c r="H9001" s="29">
        <v>54</v>
      </c>
      <c r="I9001" s="27" t="s">
        <v>29</v>
      </c>
      <c r="J9001" s="37">
        <v>46056</v>
      </c>
      <c r="K9001" s="27" t="s">
        <v>22</v>
      </c>
    </row>
    <row r="9002" spans="1:11" x14ac:dyDescent="0.2">
      <c r="A9002" s="24" t="s">
        <v>20867</v>
      </c>
      <c r="B9002" s="24" t="s">
        <v>20868</v>
      </c>
      <c r="C9002" s="24" t="s">
        <v>12800</v>
      </c>
      <c r="D9002" s="24" t="s">
        <v>17</v>
      </c>
      <c r="E9002" s="24" t="s">
        <v>42</v>
      </c>
      <c r="F9002" s="24" t="s">
        <v>43</v>
      </c>
      <c r="G9002" s="24" t="s">
        <v>28</v>
      </c>
      <c r="H9002" s="26">
        <v>540</v>
      </c>
      <c r="I9002" s="24" t="s">
        <v>29</v>
      </c>
      <c r="J9002" s="36">
        <v>46063</v>
      </c>
      <c r="K9002" s="24" t="s">
        <v>22</v>
      </c>
    </row>
    <row r="9003" spans="1:11" x14ac:dyDescent="0.2">
      <c r="A9003" s="27" t="s">
        <v>20869</v>
      </c>
      <c r="B9003" s="27" t="s">
        <v>20870</v>
      </c>
      <c r="C9003" s="27" t="s">
        <v>4236</v>
      </c>
      <c r="D9003" s="27" t="s">
        <v>17</v>
      </c>
      <c r="E9003" s="27" t="s">
        <v>26</v>
      </c>
      <c r="F9003" s="27" t="s">
        <v>27</v>
      </c>
      <c r="G9003" s="27" t="s">
        <v>28</v>
      </c>
      <c r="H9003" s="29">
        <v>61</v>
      </c>
      <c r="I9003" s="27" t="s">
        <v>29</v>
      </c>
      <c r="J9003" s="37">
        <v>46054</v>
      </c>
      <c r="K9003" s="27" t="s">
        <v>22</v>
      </c>
    </row>
    <row r="9004" spans="1:11" x14ac:dyDescent="0.2">
      <c r="A9004" s="24" t="s">
        <v>20871</v>
      </c>
      <c r="B9004" s="24" t="s">
        <v>20872</v>
      </c>
      <c r="C9004" s="24" t="s">
        <v>1110</v>
      </c>
      <c r="D9004" s="24" t="s">
        <v>17</v>
      </c>
      <c r="E9004" s="24" t="s">
        <v>48</v>
      </c>
      <c r="F9004" s="24" t="s">
        <v>49</v>
      </c>
      <c r="G9004" s="24" t="s">
        <v>28</v>
      </c>
      <c r="H9004" s="26">
        <v>80</v>
      </c>
      <c r="I9004" s="24" t="s">
        <v>29</v>
      </c>
      <c r="J9004" s="36">
        <v>46071</v>
      </c>
      <c r="K9004" s="24" t="s">
        <v>22</v>
      </c>
    </row>
    <row r="9005" spans="1:11" x14ac:dyDescent="0.2">
      <c r="A9005" s="27" t="s">
        <v>20873</v>
      </c>
      <c r="B9005" s="27" t="s">
        <v>20874</v>
      </c>
      <c r="C9005" s="27" t="s">
        <v>17542</v>
      </c>
      <c r="D9005" s="27" t="s">
        <v>17</v>
      </c>
      <c r="E9005" s="27" t="s">
        <v>18</v>
      </c>
      <c r="F9005" s="27" t="s">
        <v>19</v>
      </c>
      <c r="G9005" s="27" t="s">
        <v>28</v>
      </c>
      <c r="H9005" s="29">
        <v>260</v>
      </c>
      <c r="I9005" s="27" t="s">
        <v>29</v>
      </c>
      <c r="J9005" s="37">
        <v>46081</v>
      </c>
      <c r="K9005" s="27" t="s">
        <v>22</v>
      </c>
    </row>
    <row r="9006" spans="1:11" x14ac:dyDescent="0.2">
      <c r="A9006" s="24" t="s">
        <v>20875</v>
      </c>
      <c r="B9006" s="24" t="s">
        <v>20876</v>
      </c>
      <c r="C9006" s="24" t="s">
        <v>687</v>
      </c>
      <c r="D9006" s="24" t="s">
        <v>17</v>
      </c>
      <c r="E9006" s="24" t="s">
        <v>18</v>
      </c>
      <c r="F9006" s="24" t="s">
        <v>19</v>
      </c>
      <c r="G9006" s="24" t="s">
        <v>28</v>
      </c>
      <c r="H9006" s="26">
        <v>96</v>
      </c>
      <c r="I9006" s="24" t="s">
        <v>29</v>
      </c>
      <c r="J9006" s="36">
        <v>46077</v>
      </c>
      <c r="K9006" s="24" t="s">
        <v>22</v>
      </c>
    </row>
    <row r="9007" spans="1:11" x14ac:dyDescent="0.2">
      <c r="A9007" s="27" t="s">
        <v>20877</v>
      </c>
      <c r="B9007" s="27" t="s">
        <v>20878</v>
      </c>
      <c r="C9007" s="27" t="s">
        <v>641</v>
      </c>
      <c r="D9007" s="27" t="s">
        <v>17</v>
      </c>
      <c r="E9007" s="27" t="s">
        <v>48</v>
      </c>
      <c r="F9007" s="27" t="s">
        <v>49</v>
      </c>
      <c r="G9007" s="27" t="s">
        <v>217</v>
      </c>
      <c r="H9007" s="29">
        <v>200</v>
      </c>
      <c r="I9007" s="27" t="s">
        <v>29</v>
      </c>
      <c r="J9007" s="37">
        <v>46054</v>
      </c>
      <c r="K9007" s="27" t="s">
        <v>22</v>
      </c>
    </row>
    <row r="9008" spans="1:11" x14ac:dyDescent="0.2">
      <c r="A9008" s="24" t="s">
        <v>20879</v>
      </c>
      <c r="B9008" s="24" t="s">
        <v>20880</v>
      </c>
      <c r="C9008" s="24" t="s">
        <v>17830</v>
      </c>
      <c r="D9008" s="24" t="s">
        <v>17</v>
      </c>
      <c r="E9008" s="24" t="s">
        <v>18</v>
      </c>
      <c r="F9008" s="24" t="s">
        <v>19</v>
      </c>
      <c r="G9008" s="24" t="s">
        <v>28</v>
      </c>
      <c r="H9008" s="26">
        <v>36</v>
      </c>
      <c r="I9008" s="24" t="s">
        <v>29</v>
      </c>
      <c r="J9008" s="36">
        <v>46081</v>
      </c>
      <c r="K9008" s="24" t="s">
        <v>22</v>
      </c>
    </row>
    <row r="9009" spans="1:11" x14ac:dyDescent="0.2">
      <c r="A9009" s="27" t="s">
        <v>20881</v>
      </c>
      <c r="B9009" s="27" t="s">
        <v>20882</v>
      </c>
      <c r="C9009" s="27" t="s">
        <v>20883</v>
      </c>
      <c r="D9009" s="27" t="s">
        <v>17</v>
      </c>
      <c r="E9009" s="27" t="s">
        <v>33</v>
      </c>
      <c r="F9009" s="27" t="s">
        <v>34</v>
      </c>
      <c r="G9009" s="27" t="s">
        <v>28</v>
      </c>
      <c r="H9009" s="29">
        <v>240</v>
      </c>
      <c r="I9009" s="27" t="s">
        <v>29</v>
      </c>
      <c r="J9009" s="37">
        <v>46056</v>
      </c>
      <c r="K9009" s="27" t="s">
        <v>22</v>
      </c>
    </row>
    <row r="9010" spans="1:11" x14ac:dyDescent="0.2">
      <c r="A9010" s="24" t="s">
        <v>20884</v>
      </c>
      <c r="B9010" s="24" t="s">
        <v>20885</v>
      </c>
      <c r="C9010" s="24" t="s">
        <v>2669</v>
      </c>
      <c r="D9010" s="24" t="s">
        <v>17</v>
      </c>
      <c r="E9010" s="24" t="s">
        <v>48</v>
      </c>
      <c r="F9010" s="24" t="s">
        <v>49</v>
      </c>
      <c r="G9010" s="24" t="s">
        <v>217</v>
      </c>
      <c r="H9010" s="26">
        <v>84</v>
      </c>
      <c r="I9010" s="24" t="s">
        <v>29</v>
      </c>
      <c r="J9010" s="36">
        <v>46054</v>
      </c>
      <c r="K9010" s="24" t="s">
        <v>22</v>
      </c>
    </row>
    <row r="9011" spans="1:11" x14ac:dyDescent="0.2">
      <c r="A9011" s="27" t="s">
        <v>20886</v>
      </c>
      <c r="B9011" s="27" t="s">
        <v>20887</v>
      </c>
      <c r="C9011" s="27" t="s">
        <v>1648</v>
      </c>
      <c r="D9011" s="27" t="s">
        <v>17</v>
      </c>
      <c r="E9011" s="27" t="s">
        <v>18</v>
      </c>
      <c r="F9011" s="27" t="s">
        <v>19</v>
      </c>
      <c r="G9011" s="27" t="s">
        <v>28</v>
      </c>
      <c r="H9011" s="29">
        <v>8</v>
      </c>
      <c r="I9011" s="27" t="s">
        <v>29</v>
      </c>
      <c r="J9011" s="37">
        <v>46058</v>
      </c>
      <c r="K9011" s="27" t="s">
        <v>22</v>
      </c>
    </row>
    <row r="9012" spans="1:11" x14ac:dyDescent="0.2">
      <c r="A9012" s="24" t="s">
        <v>20888</v>
      </c>
      <c r="B9012" s="24" t="s">
        <v>20889</v>
      </c>
      <c r="C9012" s="24" t="s">
        <v>18450</v>
      </c>
      <c r="D9012" s="24" t="s">
        <v>17</v>
      </c>
      <c r="E9012" s="24" t="s">
        <v>163</v>
      </c>
      <c r="F9012" s="24" t="s">
        <v>164</v>
      </c>
      <c r="G9012" s="24" t="s">
        <v>217</v>
      </c>
      <c r="H9012" s="26">
        <v>12</v>
      </c>
      <c r="I9012" s="24" t="s">
        <v>29</v>
      </c>
      <c r="J9012" s="36">
        <v>46068</v>
      </c>
      <c r="K9012" s="24" t="s">
        <v>22</v>
      </c>
    </row>
    <row r="9013" spans="1:11" x14ac:dyDescent="0.2">
      <c r="A9013" s="27" t="s">
        <v>20890</v>
      </c>
      <c r="B9013" s="27" t="s">
        <v>20891</v>
      </c>
      <c r="C9013" s="27" t="s">
        <v>292</v>
      </c>
      <c r="D9013" s="27" t="s">
        <v>17</v>
      </c>
      <c r="E9013" s="27" t="s">
        <v>42</v>
      </c>
      <c r="F9013" s="27" t="s">
        <v>43</v>
      </c>
      <c r="G9013" s="27" t="s">
        <v>28</v>
      </c>
      <c r="H9013" s="29">
        <v>240</v>
      </c>
      <c r="I9013" s="27" t="s">
        <v>29</v>
      </c>
      <c r="J9013" s="37">
        <v>46079</v>
      </c>
      <c r="K9013" s="27" t="s">
        <v>22</v>
      </c>
    </row>
    <row r="9014" spans="1:11" x14ac:dyDescent="0.2">
      <c r="A9014" s="24" t="s">
        <v>20892</v>
      </c>
      <c r="B9014" s="24" t="s">
        <v>20893</v>
      </c>
      <c r="C9014" s="24" t="s">
        <v>301</v>
      </c>
      <c r="D9014" s="24" t="s">
        <v>17</v>
      </c>
      <c r="E9014" s="24" t="s">
        <v>48</v>
      </c>
      <c r="F9014" s="24" t="s">
        <v>49</v>
      </c>
      <c r="G9014" s="24" t="s">
        <v>28</v>
      </c>
      <c r="H9014" s="26">
        <v>157</v>
      </c>
      <c r="I9014" s="24" t="s">
        <v>29</v>
      </c>
      <c r="J9014" s="36">
        <v>46061</v>
      </c>
      <c r="K9014" s="24" t="s">
        <v>22</v>
      </c>
    </row>
    <row r="9015" spans="1:11" x14ac:dyDescent="0.2">
      <c r="A9015" s="27" t="s">
        <v>20894</v>
      </c>
      <c r="B9015" s="27" t="s">
        <v>20895</v>
      </c>
      <c r="C9015" s="27" t="s">
        <v>20896</v>
      </c>
      <c r="D9015" s="27" t="s">
        <v>17</v>
      </c>
      <c r="E9015" s="27" t="s">
        <v>26</v>
      </c>
      <c r="F9015" s="27" t="s">
        <v>27</v>
      </c>
      <c r="G9015" s="27" t="s">
        <v>217</v>
      </c>
      <c r="H9015" s="29">
        <v>99</v>
      </c>
      <c r="I9015" s="27" t="s">
        <v>29</v>
      </c>
      <c r="J9015" s="37">
        <v>46054</v>
      </c>
      <c r="K9015" s="27" t="s">
        <v>22</v>
      </c>
    </row>
    <row r="9016" spans="1:11" x14ac:dyDescent="0.2">
      <c r="A9016" s="24" t="s">
        <v>20897</v>
      </c>
      <c r="B9016" s="24" t="s">
        <v>20898</v>
      </c>
      <c r="C9016" s="24" t="s">
        <v>55</v>
      </c>
      <c r="D9016" s="24" t="s">
        <v>17</v>
      </c>
      <c r="E9016" s="24" t="s">
        <v>26</v>
      </c>
      <c r="F9016" s="24" t="s">
        <v>27</v>
      </c>
      <c r="G9016" s="24" t="s">
        <v>28</v>
      </c>
      <c r="H9016" s="26">
        <v>55</v>
      </c>
      <c r="I9016" s="24" t="s">
        <v>29</v>
      </c>
      <c r="J9016" s="36">
        <v>46062</v>
      </c>
      <c r="K9016" s="24" t="s">
        <v>22</v>
      </c>
    </row>
    <row r="9017" spans="1:11" x14ac:dyDescent="0.2">
      <c r="A9017" s="27" t="s">
        <v>20899</v>
      </c>
      <c r="B9017" s="27" t="s">
        <v>20900</v>
      </c>
      <c r="C9017" s="27" t="s">
        <v>13282</v>
      </c>
      <c r="D9017" s="27" t="s">
        <v>17</v>
      </c>
      <c r="E9017" s="27" t="s">
        <v>18</v>
      </c>
      <c r="F9017" s="27" t="s">
        <v>19</v>
      </c>
      <c r="G9017" s="27" t="s">
        <v>217</v>
      </c>
      <c r="H9017" s="29">
        <v>101</v>
      </c>
      <c r="I9017" s="27" t="s">
        <v>29</v>
      </c>
      <c r="J9017" s="37">
        <v>46054</v>
      </c>
      <c r="K9017" s="27" t="s">
        <v>22</v>
      </c>
    </row>
    <row r="9018" spans="1:11" x14ac:dyDescent="0.2">
      <c r="A9018" s="24" t="s">
        <v>20901</v>
      </c>
      <c r="B9018" s="24" t="s">
        <v>20902</v>
      </c>
      <c r="C9018" s="24" t="s">
        <v>2331</v>
      </c>
      <c r="D9018" s="24" t="s">
        <v>17</v>
      </c>
      <c r="E9018" s="24" t="s">
        <v>48</v>
      </c>
      <c r="F9018" s="24" t="s">
        <v>49</v>
      </c>
      <c r="G9018" s="24" t="s">
        <v>28</v>
      </c>
      <c r="H9018" s="26">
        <v>310</v>
      </c>
      <c r="I9018" s="24" t="s">
        <v>29</v>
      </c>
      <c r="J9018" s="36">
        <v>46073</v>
      </c>
      <c r="K9018" s="24" t="s">
        <v>22</v>
      </c>
    </row>
    <row r="9019" spans="1:11" x14ac:dyDescent="0.2">
      <c r="A9019" s="27" t="s">
        <v>20903</v>
      </c>
      <c r="B9019" s="27" t="s">
        <v>20904</v>
      </c>
      <c r="C9019" s="27" t="s">
        <v>437</v>
      </c>
      <c r="D9019" s="27" t="s">
        <v>17</v>
      </c>
      <c r="E9019" s="27" t="s">
        <v>48</v>
      </c>
      <c r="F9019" s="27" t="s">
        <v>49</v>
      </c>
      <c r="G9019" s="27" t="s">
        <v>217</v>
      </c>
      <c r="H9019" s="29">
        <v>30</v>
      </c>
      <c r="I9019" s="27" t="s">
        <v>29</v>
      </c>
      <c r="J9019" s="37">
        <v>46078</v>
      </c>
      <c r="K9019" s="27" t="s">
        <v>22</v>
      </c>
    </row>
    <row r="9020" spans="1:11" x14ac:dyDescent="0.2">
      <c r="A9020" s="24" t="s">
        <v>20905</v>
      </c>
      <c r="B9020" s="24" t="s">
        <v>20906</v>
      </c>
      <c r="C9020" s="24" t="s">
        <v>106</v>
      </c>
      <c r="D9020" s="24" t="s">
        <v>17</v>
      </c>
      <c r="E9020" s="24" t="s">
        <v>18</v>
      </c>
      <c r="F9020" s="24" t="s">
        <v>19</v>
      </c>
      <c r="G9020" s="24" t="s">
        <v>44</v>
      </c>
      <c r="H9020" s="26">
        <v>14</v>
      </c>
      <c r="I9020" s="24" t="s">
        <v>21</v>
      </c>
      <c r="J9020" s="36">
        <v>46059</v>
      </c>
      <c r="K9020" s="24" t="s">
        <v>22</v>
      </c>
    </row>
    <row r="9021" spans="1:11" x14ac:dyDescent="0.2">
      <c r="A9021" s="27" t="s">
        <v>20907</v>
      </c>
      <c r="B9021" s="27" t="s">
        <v>20908</v>
      </c>
      <c r="C9021" s="27" t="s">
        <v>16658</v>
      </c>
      <c r="D9021" s="27" t="s">
        <v>17</v>
      </c>
      <c r="E9021" s="27" t="s">
        <v>48</v>
      </c>
      <c r="F9021" s="27" t="s">
        <v>49</v>
      </c>
      <c r="G9021" s="27" t="s">
        <v>217</v>
      </c>
      <c r="H9021" s="29">
        <v>237</v>
      </c>
      <c r="I9021" s="27" t="s">
        <v>29</v>
      </c>
      <c r="J9021" s="37">
        <v>46054</v>
      </c>
      <c r="K9021" s="27" t="s">
        <v>22</v>
      </c>
    </row>
    <row r="9022" spans="1:11" x14ac:dyDescent="0.2">
      <c r="A9022" s="24" t="s">
        <v>20909</v>
      </c>
      <c r="B9022" s="24" t="s">
        <v>20910</v>
      </c>
      <c r="C9022" s="24" t="s">
        <v>20911</v>
      </c>
      <c r="D9022" s="24" t="s">
        <v>17</v>
      </c>
      <c r="E9022" s="24" t="s">
        <v>48</v>
      </c>
      <c r="F9022" s="24" t="s">
        <v>49</v>
      </c>
      <c r="G9022" s="24" t="s">
        <v>28</v>
      </c>
      <c r="H9022" s="26">
        <v>80</v>
      </c>
      <c r="I9022" s="24" t="s">
        <v>29</v>
      </c>
      <c r="J9022" s="36">
        <v>46054</v>
      </c>
      <c r="K9022" s="24" t="s">
        <v>22</v>
      </c>
    </row>
    <row r="9023" spans="1:11" x14ac:dyDescent="0.2">
      <c r="A9023" s="27" t="s">
        <v>20912</v>
      </c>
      <c r="B9023" s="27" t="s">
        <v>20913</v>
      </c>
      <c r="C9023" s="27" t="s">
        <v>12657</v>
      </c>
      <c r="D9023" s="27" t="s">
        <v>17</v>
      </c>
      <c r="E9023" s="27" t="s">
        <v>48</v>
      </c>
      <c r="F9023" s="27" t="s">
        <v>49</v>
      </c>
      <c r="G9023" s="27" t="s">
        <v>28</v>
      </c>
      <c r="H9023" s="29">
        <v>21</v>
      </c>
      <c r="I9023" s="27" t="s">
        <v>29</v>
      </c>
      <c r="J9023" s="37">
        <v>46073</v>
      </c>
      <c r="K9023" s="27" t="s">
        <v>22</v>
      </c>
    </row>
    <row r="9024" spans="1:11" x14ac:dyDescent="0.2">
      <c r="A9024" s="24" t="s">
        <v>20914</v>
      </c>
      <c r="B9024" s="24" t="s">
        <v>20915</v>
      </c>
      <c r="C9024" s="24" t="s">
        <v>429</v>
      </c>
      <c r="D9024" s="24" t="s">
        <v>17</v>
      </c>
      <c r="E9024" s="24" t="s">
        <v>48</v>
      </c>
      <c r="F9024" s="24" t="s">
        <v>49</v>
      </c>
      <c r="G9024" s="24" t="s">
        <v>28</v>
      </c>
      <c r="H9024" s="26">
        <v>120</v>
      </c>
      <c r="I9024" s="24" t="s">
        <v>29</v>
      </c>
      <c r="J9024" s="36">
        <v>46059</v>
      </c>
      <c r="K9024" s="24" t="s">
        <v>22</v>
      </c>
    </row>
    <row r="9025" spans="1:11" x14ac:dyDescent="0.2">
      <c r="A9025" s="27" t="s">
        <v>20916</v>
      </c>
      <c r="B9025" s="27" t="s">
        <v>20917</v>
      </c>
      <c r="C9025" s="27" t="s">
        <v>827</v>
      </c>
      <c r="D9025" s="27" t="s">
        <v>17</v>
      </c>
      <c r="E9025" s="27" t="s">
        <v>48</v>
      </c>
      <c r="F9025" s="27" t="s">
        <v>49</v>
      </c>
      <c r="G9025" s="27" t="s">
        <v>217</v>
      </c>
      <c r="H9025" s="29">
        <v>160</v>
      </c>
      <c r="I9025" s="27" t="s">
        <v>29</v>
      </c>
      <c r="J9025" s="37">
        <v>46081</v>
      </c>
      <c r="K9025" s="27" t="s">
        <v>22</v>
      </c>
    </row>
    <row r="9026" spans="1:11" x14ac:dyDescent="0.2">
      <c r="A9026" s="24" t="s">
        <v>20918</v>
      </c>
      <c r="B9026" s="24" t="s">
        <v>20919</v>
      </c>
      <c r="C9026" s="24" t="s">
        <v>7226</v>
      </c>
      <c r="D9026" s="24" t="s">
        <v>17</v>
      </c>
      <c r="E9026" s="24" t="s">
        <v>163</v>
      </c>
      <c r="F9026" s="24" t="s">
        <v>164</v>
      </c>
      <c r="G9026" s="24" t="s">
        <v>217</v>
      </c>
      <c r="H9026" s="26">
        <v>60</v>
      </c>
      <c r="I9026" s="24" t="s">
        <v>29</v>
      </c>
      <c r="J9026" s="36">
        <v>46069</v>
      </c>
      <c r="K9026" s="24" t="s">
        <v>22</v>
      </c>
    </row>
    <row r="9027" spans="1:11" x14ac:dyDescent="0.2">
      <c r="A9027" s="27" t="s">
        <v>20920</v>
      </c>
      <c r="B9027" s="27" t="s">
        <v>20921</v>
      </c>
      <c r="C9027" s="27" t="s">
        <v>20922</v>
      </c>
      <c r="D9027" s="27" t="s">
        <v>17</v>
      </c>
      <c r="E9027" s="27" t="s">
        <v>42</v>
      </c>
      <c r="F9027" s="27" t="s">
        <v>43</v>
      </c>
      <c r="G9027" s="27" t="s">
        <v>28</v>
      </c>
      <c r="H9027" s="29">
        <v>72</v>
      </c>
      <c r="I9027" s="27" t="s">
        <v>29</v>
      </c>
      <c r="J9027" s="37">
        <v>46054</v>
      </c>
      <c r="K9027" s="27" t="s">
        <v>22</v>
      </c>
    </row>
    <row r="9028" spans="1:11" x14ac:dyDescent="0.2">
      <c r="A9028" s="24" t="s">
        <v>20923</v>
      </c>
      <c r="B9028" s="24" t="s">
        <v>20924</v>
      </c>
      <c r="C9028" s="24" t="s">
        <v>20925</v>
      </c>
      <c r="D9028" s="24" t="s">
        <v>17</v>
      </c>
      <c r="E9028" s="24" t="s">
        <v>18</v>
      </c>
      <c r="F9028" s="24" t="s">
        <v>19</v>
      </c>
      <c r="G9028" s="24" t="s">
        <v>28</v>
      </c>
      <c r="H9028" s="26">
        <v>44</v>
      </c>
      <c r="I9028" s="24" t="s">
        <v>29</v>
      </c>
      <c r="J9028" s="36">
        <v>46055</v>
      </c>
      <c r="K9028" s="24" t="s">
        <v>22</v>
      </c>
    </row>
    <row r="9029" spans="1:11" x14ac:dyDescent="0.2">
      <c r="A9029" s="27" t="s">
        <v>20926</v>
      </c>
      <c r="B9029" s="27" t="s">
        <v>20927</v>
      </c>
      <c r="C9029" s="27" t="s">
        <v>20928</v>
      </c>
      <c r="D9029" s="27" t="s">
        <v>17</v>
      </c>
      <c r="E9029" s="27" t="s">
        <v>26</v>
      </c>
      <c r="F9029" s="27" t="s">
        <v>27</v>
      </c>
      <c r="G9029" s="27" t="s">
        <v>217</v>
      </c>
      <c r="H9029" s="29">
        <v>40</v>
      </c>
      <c r="I9029" s="27" t="s">
        <v>29</v>
      </c>
      <c r="J9029" s="37">
        <v>46054</v>
      </c>
      <c r="K9029" s="27" t="s">
        <v>22</v>
      </c>
    </row>
    <row r="9030" spans="1:11" x14ac:dyDescent="0.2">
      <c r="A9030" s="24" t="s">
        <v>20929</v>
      </c>
      <c r="B9030" s="24" t="s">
        <v>20930</v>
      </c>
      <c r="C9030" s="24" t="s">
        <v>5786</v>
      </c>
      <c r="D9030" s="24" t="s">
        <v>17</v>
      </c>
      <c r="E9030" s="24" t="s">
        <v>42</v>
      </c>
      <c r="F9030" s="24" t="s">
        <v>43</v>
      </c>
      <c r="G9030" s="24" t="s">
        <v>217</v>
      </c>
      <c r="H9030" s="26">
        <v>210</v>
      </c>
      <c r="I9030" s="24" t="s">
        <v>29</v>
      </c>
      <c r="J9030" s="36">
        <v>46063</v>
      </c>
      <c r="K9030" s="24" t="s">
        <v>22</v>
      </c>
    </row>
    <row r="9031" spans="1:11" x14ac:dyDescent="0.2">
      <c r="A9031" s="27" t="s">
        <v>20931</v>
      </c>
      <c r="B9031" s="27" t="s">
        <v>20932</v>
      </c>
      <c r="C9031" s="27" t="s">
        <v>97</v>
      </c>
      <c r="D9031" s="27" t="s">
        <v>17</v>
      </c>
      <c r="E9031" s="27" t="s">
        <v>26</v>
      </c>
      <c r="F9031" s="27" t="s">
        <v>27</v>
      </c>
      <c r="G9031" s="27" t="s">
        <v>217</v>
      </c>
      <c r="H9031" s="29">
        <v>180</v>
      </c>
      <c r="I9031" s="27" t="s">
        <v>29</v>
      </c>
      <c r="J9031" s="37">
        <v>46080</v>
      </c>
      <c r="K9031" s="27" t="s">
        <v>22</v>
      </c>
    </row>
    <row r="9032" spans="1:11" x14ac:dyDescent="0.2">
      <c r="A9032" s="24" t="s">
        <v>20933</v>
      </c>
      <c r="B9032" s="24" t="s">
        <v>20934</v>
      </c>
      <c r="C9032" s="24" t="s">
        <v>7423</v>
      </c>
      <c r="D9032" s="24" t="s">
        <v>17</v>
      </c>
      <c r="E9032" s="24" t="s">
        <v>42</v>
      </c>
      <c r="F9032" s="24" t="s">
        <v>43</v>
      </c>
      <c r="G9032" s="24" t="s">
        <v>217</v>
      </c>
      <c r="H9032" s="26">
        <v>150</v>
      </c>
      <c r="I9032" s="24" t="s">
        <v>29</v>
      </c>
      <c r="J9032" s="36">
        <v>46079</v>
      </c>
      <c r="K9032" s="24" t="s">
        <v>22</v>
      </c>
    </row>
    <row r="9033" spans="1:11" x14ac:dyDescent="0.2">
      <c r="A9033" s="27" t="s">
        <v>20935</v>
      </c>
      <c r="B9033" s="27" t="s">
        <v>20936</v>
      </c>
      <c r="C9033" s="27" t="s">
        <v>526</v>
      </c>
      <c r="D9033" s="27" t="s">
        <v>17</v>
      </c>
      <c r="E9033" s="27" t="s">
        <v>42</v>
      </c>
      <c r="F9033" s="27" t="s">
        <v>43</v>
      </c>
      <c r="G9033" s="27" t="s">
        <v>28</v>
      </c>
      <c r="H9033" s="29">
        <v>1980</v>
      </c>
      <c r="I9033" s="27" t="s">
        <v>29</v>
      </c>
      <c r="J9033" s="37">
        <v>46059</v>
      </c>
      <c r="K9033" s="27" t="s">
        <v>22</v>
      </c>
    </row>
    <row r="9034" spans="1:11" x14ac:dyDescent="0.2">
      <c r="A9034" s="24" t="s">
        <v>20937</v>
      </c>
      <c r="B9034" s="24" t="s">
        <v>20938</v>
      </c>
      <c r="C9034" s="24" t="s">
        <v>4128</v>
      </c>
      <c r="D9034" s="24" t="s">
        <v>17</v>
      </c>
      <c r="E9034" s="24" t="s">
        <v>48</v>
      </c>
      <c r="F9034" s="24" t="s">
        <v>49</v>
      </c>
      <c r="G9034" s="24" t="s">
        <v>217</v>
      </c>
      <c r="H9034" s="26">
        <v>92</v>
      </c>
      <c r="I9034" s="24" t="s">
        <v>29</v>
      </c>
      <c r="J9034" s="36">
        <v>46054</v>
      </c>
      <c r="K9034" s="24" t="s">
        <v>22</v>
      </c>
    </row>
    <row r="9035" spans="1:11" x14ac:dyDescent="0.2">
      <c r="A9035" s="27" t="s">
        <v>20939</v>
      </c>
      <c r="B9035" s="27" t="s">
        <v>20940</v>
      </c>
      <c r="C9035" s="27" t="s">
        <v>20941</v>
      </c>
      <c r="D9035" s="27" t="s">
        <v>17</v>
      </c>
      <c r="E9035" s="27" t="s">
        <v>26</v>
      </c>
      <c r="F9035" s="27" t="s">
        <v>27</v>
      </c>
      <c r="G9035" s="27" t="s">
        <v>28</v>
      </c>
      <c r="H9035" s="29">
        <v>36</v>
      </c>
      <c r="I9035" s="27" t="s">
        <v>29</v>
      </c>
      <c r="J9035" s="37">
        <v>46057</v>
      </c>
      <c r="K9035" s="27" t="s">
        <v>22</v>
      </c>
    </row>
    <row r="9036" spans="1:11" x14ac:dyDescent="0.2">
      <c r="A9036" s="24" t="s">
        <v>20942</v>
      </c>
      <c r="B9036" s="24" t="s">
        <v>20943</v>
      </c>
      <c r="C9036" s="24" t="s">
        <v>16398</v>
      </c>
      <c r="D9036" s="24" t="s">
        <v>17</v>
      </c>
      <c r="E9036" s="24" t="s">
        <v>48</v>
      </c>
      <c r="F9036" s="24" t="s">
        <v>49</v>
      </c>
      <c r="G9036" s="24" t="s">
        <v>217</v>
      </c>
      <c r="H9036" s="26">
        <v>104</v>
      </c>
      <c r="I9036" s="24" t="s">
        <v>29</v>
      </c>
      <c r="J9036" s="36">
        <v>46054</v>
      </c>
      <c r="K9036" s="24" t="s">
        <v>22</v>
      </c>
    </row>
    <row r="9037" spans="1:11" x14ac:dyDescent="0.2">
      <c r="A9037" s="27" t="s">
        <v>20944</v>
      </c>
      <c r="B9037" s="27" t="s">
        <v>20945</v>
      </c>
      <c r="C9037" s="27" t="s">
        <v>1678</v>
      </c>
      <c r="D9037" s="27" t="s">
        <v>17</v>
      </c>
      <c r="E9037" s="27" t="s">
        <v>48</v>
      </c>
      <c r="F9037" s="27" t="s">
        <v>49</v>
      </c>
      <c r="G9037" s="27" t="s">
        <v>28</v>
      </c>
      <c r="H9037" s="29">
        <v>111</v>
      </c>
      <c r="I9037" s="27" t="s">
        <v>29</v>
      </c>
      <c r="J9037" s="37">
        <v>46056</v>
      </c>
      <c r="K9037" s="27" t="s">
        <v>22</v>
      </c>
    </row>
    <row r="9038" spans="1:11" x14ac:dyDescent="0.2">
      <c r="A9038" s="24" t="s">
        <v>20946</v>
      </c>
      <c r="B9038" s="24" t="s">
        <v>20947</v>
      </c>
      <c r="C9038" s="24" t="s">
        <v>20948</v>
      </c>
      <c r="D9038" s="24" t="s">
        <v>17</v>
      </c>
      <c r="E9038" s="24" t="s">
        <v>18</v>
      </c>
      <c r="F9038" s="24" t="s">
        <v>19</v>
      </c>
      <c r="G9038" s="24" t="s">
        <v>217</v>
      </c>
      <c r="H9038" s="26">
        <v>116</v>
      </c>
      <c r="I9038" s="24" t="s">
        <v>29</v>
      </c>
      <c r="J9038" s="36">
        <v>46054</v>
      </c>
      <c r="K9038" s="24" t="s">
        <v>22</v>
      </c>
    </row>
    <row r="9039" spans="1:11" x14ac:dyDescent="0.2">
      <c r="A9039" s="27" t="s">
        <v>20949</v>
      </c>
      <c r="B9039" s="27" t="s">
        <v>20950</v>
      </c>
      <c r="C9039" s="27" t="s">
        <v>2663</v>
      </c>
      <c r="D9039" s="27" t="s">
        <v>17</v>
      </c>
      <c r="E9039" s="27" t="s">
        <v>18</v>
      </c>
      <c r="F9039" s="27" t="s">
        <v>19</v>
      </c>
      <c r="G9039" s="27" t="s">
        <v>28</v>
      </c>
      <c r="H9039" s="29">
        <v>12</v>
      </c>
      <c r="I9039" s="27" t="s">
        <v>29</v>
      </c>
      <c r="J9039" s="37">
        <v>46054</v>
      </c>
      <c r="K9039" s="27" t="s">
        <v>22</v>
      </c>
    </row>
    <row r="9040" spans="1:11" x14ac:dyDescent="0.2">
      <c r="A9040" s="24" t="s">
        <v>20951</v>
      </c>
      <c r="B9040" s="24" t="s">
        <v>20952</v>
      </c>
      <c r="C9040" s="24" t="s">
        <v>1186</v>
      </c>
      <c r="D9040" s="24" t="s">
        <v>17</v>
      </c>
      <c r="E9040" s="24" t="s">
        <v>42</v>
      </c>
      <c r="F9040" s="24" t="s">
        <v>43</v>
      </c>
      <c r="G9040" s="24" t="s">
        <v>217</v>
      </c>
      <c r="H9040" s="26">
        <v>316</v>
      </c>
      <c r="I9040" s="24" t="s">
        <v>29</v>
      </c>
      <c r="J9040" s="36">
        <v>46054</v>
      </c>
      <c r="K9040" s="24" t="s">
        <v>22</v>
      </c>
    </row>
    <row r="9041" spans="1:11" x14ac:dyDescent="0.2">
      <c r="A9041" s="27" t="s">
        <v>20953</v>
      </c>
      <c r="B9041" s="27" t="s">
        <v>20954</v>
      </c>
      <c r="C9041" s="27" t="s">
        <v>2569</v>
      </c>
      <c r="D9041" s="27" t="s">
        <v>17</v>
      </c>
      <c r="E9041" s="27" t="s">
        <v>42</v>
      </c>
      <c r="F9041" s="27" t="s">
        <v>43</v>
      </c>
      <c r="G9041" s="27" t="s">
        <v>28</v>
      </c>
      <c r="H9041" s="29">
        <v>20</v>
      </c>
      <c r="I9041" s="27" t="s">
        <v>29</v>
      </c>
      <c r="J9041" s="37">
        <v>46054</v>
      </c>
      <c r="K9041" s="27" t="s">
        <v>22</v>
      </c>
    </row>
    <row r="9042" spans="1:11" x14ac:dyDescent="0.2">
      <c r="A9042" s="24" t="s">
        <v>20955</v>
      </c>
      <c r="B9042" s="24" t="s">
        <v>20956</v>
      </c>
      <c r="C9042" s="24" t="s">
        <v>2624</v>
      </c>
      <c r="D9042" s="24" t="s">
        <v>17</v>
      </c>
      <c r="E9042" s="24" t="s">
        <v>26</v>
      </c>
      <c r="F9042" s="24" t="s">
        <v>27</v>
      </c>
      <c r="G9042" s="24" t="s">
        <v>28</v>
      </c>
      <c r="H9042" s="26">
        <v>70</v>
      </c>
      <c r="I9042" s="24" t="s">
        <v>29</v>
      </c>
      <c r="J9042" s="36">
        <v>46054</v>
      </c>
      <c r="K9042" s="24" t="s">
        <v>22</v>
      </c>
    </row>
    <row r="9043" spans="1:11" x14ac:dyDescent="0.2">
      <c r="A9043" s="27" t="s">
        <v>20957</v>
      </c>
      <c r="B9043" s="27" t="s">
        <v>20958</v>
      </c>
      <c r="C9043" s="27" t="s">
        <v>1059</v>
      </c>
      <c r="D9043" s="27" t="s">
        <v>17</v>
      </c>
      <c r="E9043" s="27" t="s">
        <v>18</v>
      </c>
      <c r="F9043" s="27" t="s">
        <v>19</v>
      </c>
      <c r="G9043" s="27" t="s">
        <v>28</v>
      </c>
      <c r="H9043" s="29">
        <v>44</v>
      </c>
      <c r="I9043" s="27" t="s">
        <v>29</v>
      </c>
      <c r="J9043" s="37">
        <v>46079</v>
      </c>
      <c r="K9043" s="27" t="s">
        <v>22</v>
      </c>
    </row>
    <row r="9044" spans="1:11" x14ac:dyDescent="0.2">
      <c r="A9044" s="24" t="s">
        <v>20959</v>
      </c>
      <c r="B9044" s="24" t="s">
        <v>20960</v>
      </c>
      <c r="C9044" s="24" t="s">
        <v>15628</v>
      </c>
      <c r="D9044" s="24" t="s">
        <v>17</v>
      </c>
      <c r="E9044" s="24" t="s">
        <v>42</v>
      </c>
      <c r="F9044" s="24" t="s">
        <v>43</v>
      </c>
      <c r="G9044" s="24" t="s">
        <v>28</v>
      </c>
      <c r="H9044" s="26">
        <v>15</v>
      </c>
      <c r="I9044" s="24" t="s">
        <v>29</v>
      </c>
      <c r="J9044" s="36">
        <v>46054</v>
      </c>
      <c r="K9044" s="24" t="s">
        <v>22</v>
      </c>
    </row>
    <row r="9045" spans="1:11" x14ac:dyDescent="0.2">
      <c r="A9045" s="27" t="s">
        <v>20961</v>
      </c>
      <c r="B9045" s="27" t="s">
        <v>20962</v>
      </c>
      <c r="C9045" s="27" t="s">
        <v>41</v>
      </c>
      <c r="D9045" s="27" t="s">
        <v>17</v>
      </c>
      <c r="E9045" s="27" t="s">
        <v>81</v>
      </c>
      <c r="F9045" s="27" t="s">
        <v>82</v>
      </c>
      <c r="G9045" s="27" t="s">
        <v>217</v>
      </c>
      <c r="H9045" s="29">
        <v>75</v>
      </c>
      <c r="I9045" s="27" t="s">
        <v>29</v>
      </c>
      <c r="J9045" s="37">
        <v>46080</v>
      </c>
      <c r="K9045" s="27" t="s">
        <v>22</v>
      </c>
    </row>
    <row r="9046" spans="1:11" x14ac:dyDescent="0.2">
      <c r="A9046" s="24" t="s">
        <v>20963</v>
      </c>
      <c r="B9046" s="24" t="s">
        <v>20964</v>
      </c>
      <c r="C9046" s="24" t="s">
        <v>20965</v>
      </c>
      <c r="D9046" s="24" t="s">
        <v>17</v>
      </c>
      <c r="E9046" s="24" t="s">
        <v>48</v>
      </c>
      <c r="F9046" s="24" t="s">
        <v>49</v>
      </c>
      <c r="G9046" s="24" t="s">
        <v>28</v>
      </c>
      <c r="H9046" s="26">
        <v>100</v>
      </c>
      <c r="I9046" s="24" t="s">
        <v>29</v>
      </c>
      <c r="J9046" s="36">
        <v>46058</v>
      </c>
      <c r="K9046" s="24" t="s">
        <v>22</v>
      </c>
    </row>
    <row r="9047" spans="1:11" x14ac:dyDescent="0.2">
      <c r="A9047" s="27" t="s">
        <v>20966</v>
      </c>
      <c r="B9047" s="27" t="s">
        <v>20967</v>
      </c>
      <c r="C9047" s="27" t="s">
        <v>146</v>
      </c>
      <c r="D9047" s="27" t="s">
        <v>17</v>
      </c>
      <c r="E9047" s="27" t="s">
        <v>48</v>
      </c>
      <c r="F9047" s="27" t="s">
        <v>49</v>
      </c>
      <c r="G9047" s="27" t="s">
        <v>217</v>
      </c>
      <c r="H9047" s="29">
        <v>537</v>
      </c>
      <c r="I9047" s="27" t="s">
        <v>29</v>
      </c>
      <c r="J9047" s="37">
        <v>46069</v>
      </c>
      <c r="K9047" s="27" t="s">
        <v>22</v>
      </c>
    </row>
    <row r="9048" spans="1:11" x14ac:dyDescent="0.2">
      <c r="A9048" s="24" t="s">
        <v>20968</v>
      </c>
      <c r="B9048" s="24" t="s">
        <v>20969</v>
      </c>
      <c r="C9048" s="24" t="s">
        <v>20941</v>
      </c>
      <c r="D9048" s="24" t="s">
        <v>17</v>
      </c>
      <c r="E9048" s="24" t="s">
        <v>18</v>
      </c>
      <c r="F9048" s="24" t="s">
        <v>19</v>
      </c>
      <c r="G9048" s="24" t="s">
        <v>28</v>
      </c>
      <c r="H9048" s="26">
        <v>36</v>
      </c>
      <c r="I9048" s="24" t="s">
        <v>29</v>
      </c>
      <c r="J9048" s="36">
        <v>46055</v>
      </c>
      <c r="K9048" s="24" t="s">
        <v>22</v>
      </c>
    </row>
    <row r="9049" spans="1:11" x14ac:dyDescent="0.2">
      <c r="A9049" s="27" t="s">
        <v>20970</v>
      </c>
      <c r="B9049" s="27" t="s">
        <v>20971</v>
      </c>
      <c r="C9049" s="27" t="s">
        <v>1199</v>
      </c>
      <c r="D9049" s="27" t="s">
        <v>17</v>
      </c>
      <c r="E9049" s="27" t="s">
        <v>42</v>
      </c>
      <c r="F9049" s="27" t="s">
        <v>43</v>
      </c>
      <c r="G9049" s="27" t="s">
        <v>28</v>
      </c>
      <c r="H9049" s="29">
        <v>462</v>
      </c>
      <c r="I9049" s="27" t="s">
        <v>29</v>
      </c>
      <c r="J9049" s="37">
        <v>46065</v>
      </c>
      <c r="K9049" s="27" t="s">
        <v>22</v>
      </c>
    </row>
    <row r="9050" spans="1:11" x14ac:dyDescent="0.2">
      <c r="A9050" s="24" t="s">
        <v>20972</v>
      </c>
      <c r="B9050" s="24" t="s">
        <v>20973</v>
      </c>
      <c r="C9050" s="24" t="s">
        <v>415</v>
      </c>
      <c r="D9050" s="24" t="s">
        <v>17</v>
      </c>
      <c r="E9050" s="24" t="s">
        <v>48</v>
      </c>
      <c r="F9050" s="24" t="s">
        <v>49</v>
      </c>
      <c r="G9050" s="24" t="s">
        <v>217</v>
      </c>
      <c r="H9050" s="26">
        <v>45</v>
      </c>
      <c r="I9050" s="24" t="s">
        <v>29</v>
      </c>
      <c r="J9050" s="36">
        <v>46079</v>
      </c>
      <c r="K9050" s="24" t="s">
        <v>22</v>
      </c>
    </row>
    <row r="9051" spans="1:11" x14ac:dyDescent="0.2">
      <c r="A9051" s="27" t="s">
        <v>20974</v>
      </c>
      <c r="B9051" s="27" t="s">
        <v>20975</v>
      </c>
      <c r="C9051" s="27" t="s">
        <v>10237</v>
      </c>
      <c r="D9051" s="27" t="s">
        <v>17</v>
      </c>
      <c r="E9051" s="27" t="s">
        <v>18</v>
      </c>
      <c r="F9051" s="27" t="s">
        <v>19</v>
      </c>
      <c r="G9051" s="27" t="s">
        <v>28</v>
      </c>
      <c r="H9051" s="29">
        <v>20</v>
      </c>
      <c r="I9051" s="27" t="s">
        <v>29</v>
      </c>
      <c r="J9051" s="37">
        <v>46063</v>
      </c>
      <c r="K9051" s="27" t="s">
        <v>22</v>
      </c>
    </row>
    <row r="9052" spans="1:11" x14ac:dyDescent="0.2">
      <c r="A9052" s="24" t="s">
        <v>20976</v>
      </c>
      <c r="B9052" s="24" t="s">
        <v>20977</v>
      </c>
      <c r="C9052" s="24" t="s">
        <v>97</v>
      </c>
      <c r="D9052" s="24" t="s">
        <v>17</v>
      </c>
      <c r="E9052" s="24" t="s">
        <v>48</v>
      </c>
      <c r="F9052" s="24" t="s">
        <v>49</v>
      </c>
      <c r="G9052" s="24" t="s">
        <v>28</v>
      </c>
      <c r="H9052" s="26">
        <v>124</v>
      </c>
      <c r="I9052" s="24" t="s">
        <v>29</v>
      </c>
      <c r="J9052" s="36">
        <v>46063</v>
      </c>
      <c r="K9052" s="24" t="s">
        <v>22</v>
      </c>
    </row>
    <row r="9053" spans="1:11" x14ac:dyDescent="0.2">
      <c r="A9053" s="27" t="s">
        <v>20978</v>
      </c>
      <c r="B9053" s="27" t="s">
        <v>20979</v>
      </c>
      <c r="C9053" s="27" t="s">
        <v>68</v>
      </c>
      <c r="D9053" s="27" t="s">
        <v>17</v>
      </c>
      <c r="E9053" s="27" t="s">
        <v>48</v>
      </c>
      <c r="F9053" s="27" t="s">
        <v>49</v>
      </c>
      <c r="G9053" s="27" t="s">
        <v>28</v>
      </c>
      <c r="H9053" s="29">
        <v>120</v>
      </c>
      <c r="I9053" s="27" t="s">
        <v>29</v>
      </c>
      <c r="J9053" s="37">
        <v>46077</v>
      </c>
      <c r="K9053" s="27" t="s">
        <v>22</v>
      </c>
    </row>
    <row r="9054" spans="1:11" x14ac:dyDescent="0.2">
      <c r="A9054" s="24" t="s">
        <v>20980</v>
      </c>
      <c r="B9054" s="24" t="s">
        <v>20981</v>
      </c>
      <c r="C9054" s="24" t="s">
        <v>5939</v>
      </c>
      <c r="D9054" s="24" t="s">
        <v>17</v>
      </c>
      <c r="E9054" s="24" t="s">
        <v>81</v>
      </c>
      <c r="F9054" s="24" t="s">
        <v>82</v>
      </c>
      <c r="G9054" s="24" t="s">
        <v>217</v>
      </c>
      <c r="H9054" s="26">
        <v>70</v>
      </c>
      <c r="I9054" s="24" t="s">
        <v>29</v>
      </c>
      <c r="J9054" s="36">
        <v>46054</v>
      </c>
      <c r="K9054" s="24" t="s">
        <v>22</v>
      </c>
    </row>
    <row r="9055" spans="1:11" x14ac:dyDescent="0.2">
      <c r="A9055" s="27" t="s">
        <v>20982</v>
      </c>
      <c r="B9055" s="27" t="s">
        <v>20983</v>
      </c>
      <c r="C9055" s="27" t="s">
        <v>106</v>
      </c>
      <c r="D9055" s="27" t="s">
        <v>17</v>
      </c>
      <c r="E9055" s="27" t="s">
        <v>18</v>
      </c>
      <c r="F9055" s="27" t="s">
        <v>19</v>
      </c>
      <c r="G9055" s="27" t="s">
        <v>44</v>
      </c>
      <c r="H9055" s="29">
        <v>14</v>
      </c>
      <c r="I9055" s="27" t="s">
        <v>21</v>
      </c>
      <c r="J9055" s="37">
        <v>46062</v>
      </c>
      <c r="K9055" s="27" t="s">
        <v>22</v>
      </c>
    </row>
    <row r="9056" spans="1:11" x14ac:dyDescent="0.2">
      <c r="A9056" s="24" t="s">
        <v>20984</v>
      </c>
      <c r="B9056" s="24" t="s">
        <v>20985</v>
      </c>
      <c r="C9056" s="24" t="s">
        <v>20941</v>
      </c>
      <c r="D9056" s="24" t="s">
        <v>17</v>
      </c>
      <c r="E9056" s="24" t="s">
        <v>26</v>
      </c>
      <c r="F9056" s="24" t="s">
        <v>27</v>
      </c>
      <c r="G9056" s="24" t="s">
        <v>28</v>
      </c>
      <c r="H9056" s="26">
        <v>48</v>
      </c>
      <c r="I9056" s="24" t="s">
        <v>29</v>
      </c>
      <c r="J9056" s="36">
        <v>46055</v>
      </c>
      <c r="K9056" s="24" t="s">
        <v>22</v>
      </c>
    </row>
    <row r="9057" spans="1:11" x14ac:dyDescent="0.2">
      <c r="A9057" s="27" t="s">
        <v>20986</v>
      </c>
      <c r="B9057" s="27" t="s">
        <v>20987</v>
      </c>
      <c r="C9057" s="27" t="s">
        <v>2083</v>
      </c>
      <c r="D9057" s="27" t="s">
        <v>17</v>
      </c>
      <c r="E9057" s="27" t="s">
        <v>48</v>
      </c>
      <c r="F9057" s="27" t="s">
        <v>49</v>
      </c>
      <c r="G9057" s="27" t="s">
        <v>28</v>
      </c>
      <c r="H9057" s="29">
        <v>14</v>
      </c>
      <c r="I9057" s="27" t="s">
        <v>29</v>
      </c>
      <c r="J9057" s="37">
        <v>46073</v>
      </c>
      <c r="K9057" s="27" t="s">
        <v>22</v>
      </c>
    </row>
    <row r="9058" spans="1:11" x14ac:dyDescent="0.2">
      <c r="A9058" s="24" t="s">
        <v>20988</v>
      </c>
      <c r="B9058" s="24" t="s">
        <v>20989</v>
      </c>
      <c r="C9058" s="24" t="s">
        <v>20990</v>
      </c>
      <c r="D9058" s="24" t="s">
        <v>17</v>
      </c>
      <c r="E9058" s="24" t="s">
        <v>26</v>
      </c>
      <c r="F9058" s="24" t="s">
        <v>27</v>
      </c>
      <c r="G9058" s="24" t="s">
        <v>217</v>
      </c>
      <c r="H9058" s="26">
        <v>40</v>
      </c>
      <c r="I9058" s="24" t="s">
        <v>29</v>
      </c>
      <c r="J9058" s="36">
        <v>46054</v>
      </c>
      <c r="K9058" s="24" t="s">
        <v>22</v>
      </c>
    </row>
    <row r="9059" spans="1:11" x14ac:dyDescent="0.2">
      <c r="A9059" s="27" t="s">
        <v>20991</v>
      </c>
      <c r="B9059" s="27" t="s">
        <v>20992</v>
      </c>
      <c r="C9059" s="27" t="s">
        <v>1938</v>
      </c>
      <c r="D9059" s="27" t="s">
        <v>17</v>
      </c>
      <c r="E9059" s="27" t="s">
        <v>26</v>
      </c>
      <c r="F9059" s="27" t="s">
        <v>27</v>
      </c>
      <c r="G9059" s="27" t="s">
        <v>28</v>
      </c>
      <c r="H9059" s="29">
        <v>280</v>
      </c>
      <c r="I9059" s="27" t="s">
        <v>29</v>
      </c>
      <c r="J9059" s="37">
        <v>46064</v>
      </c>
      <c r="K9059" s="27" t="s">
        <v>22</v>
      </c>
    </row>
    <row r="9060" spans="1:11" x14ac:dyDescent="0.2">
      <c r="A9060" s="24" t="s">
        <v>20993</v>
      </c>
      <c r="B9060" s="24" t="s">
        <v>20994</v>
      </c>
      <c r="C9060" s="24" t="s">
        <v>20995</v>
      </c>
      <c r="D9060" s="24" t="s">
        <v>17</v>
      </c>
      <c r="E9060" s="24" t="s">
        <v>18</v>
      </c>
      <c r="F9060" s="24" t="s">
        <v>19</v>
      </c>
      <c r="G9060" s="24" t="s">
        <v>217</v>
      </c>
      <c r="H9060" s="26">
        <v>6</v>
      </c>
      <c r="I9060" s="24" t="s">
        <v>29</v>
      </c>
      <c r="J9060" s="36">
        <v>46080</v>
      </c>
      <c r="K9060" s="24" t="s">
        <v>22</v>
      </c>
    </row>
    <row r="9061" spans="1:11" x14ac:dyDescent="0.2">
      <c r="A9061" s="27" t="s">
        <v>20996</v>
      </c>
      <c r="B9061" s="27" t="s">
        <v>20997</v>
      </c>
      <c r="C9061" s="27" t="s">
        <v>331</v>
      </c>
      <c r="D9061" s="27" t="s">
        <v>17</v>
      </c>
      <c r="E9061" s="27" t="s">
        <v>18</v>
      </c>
      <c r="F9061" s="27" t="s">
        <v>19</v>
      </c>
      <c r="G9061" s="27" t="s">
        <v>217</v>
      </c>
      <c r="H9061" s="29">
        <v>218</v>
      </c>
      <c r="I9061" s="27" t="s">
        <v>29</v>
      </c>
      <c r="J9061" s="37">
        <v>46079</v>
      </c>
      <c r="K9061" s="27" t="s">
        <v>22</v>
      </c>
    </row>
    <row r="9062" spans="1:11" x14ac:dyDescent="0.2">
      <c r="A9062" s="24" t="s">
        <v>20998</v>
      </c>
      <c r="B9062" s="24" t="s">
        <v>20999</v>
      </c>
      <c r="C9062" s="24" t="s">
        <v>973</v>
      </c>
      <c r="D9062" s="24" t="s">
        <v>17</v>
      </c>
      <c r="E9062" s="24" t="s">
        <v>18</v>
      </c>
      <c r="F9062" s="24" t="s">
        <v>19</v>
      </c>
      <c r="G9062" s="24" t="s">
        <v>28</v>
      </c>
      <c r="H9062" s="26">
        <v>60</v>
      </c>
      <c r="I9062" s="24" t="s">
        <v>29</v>
      </c>
      <c r="J9062" s="36">
        <v>46078</v>
      </c>
      <c r="K9062" s="24" t="s">
        <v>22</v>
      </c>
    </row>
    <row r="9063" spans="1:11" x14ac:dyDescent="0.2">
      <c r="A9063" s="27" t="s">
        <v>21000</v>
      </c>
      <c r="B9063" s="27" t="s">
        <v>21001</v>
      </c>
      <c r="C9063" s="27" t="s">
        <v>13620</v>
      </c>
      <c r="D9063" s="27" t="s">
        <v>17</v>
      </c>
      <c r="E9063" s="27" t="s">
        <v>18</v>
      </c>
      <c r="F9063" s="27" t="s">
        <v>19</v>
      </c>
      <c r="G9063" s="27" t="s">
        <v>217</v>
      </c>
      <c r="H9063" s="29">
        <v>30</v>
      </c>
      <c r="I9063" s="27" t="s">
        <v>29</v>
      </c>
      <c r="J9063" s="37">
        <v>46068</v>
      </c>
      <c r="K9063" s="27" t="s">
        <v>22</v>
      </c>
    </row>
    <row r="9064" spans="1:11" x14ac:dyDescent="0.2">
      <c r="A9064" s="24" t="s">
        <v>21002</v>
      </c>
      <c r="B9064" s="24" t="s">
        <v>21003</v>
      </c>
      <c r="C9064" s="24" t="s">
        <v>708</v>
      </c>
      <c r="D9064" s="24" t="s">
        <v>17</v>
      </c>
      <c r="E9064" s="24" t="s">
        <v>26</v>
      </c>
      <c r="F9064" s="24" t="s">
        <v>27</v>
      </c>
      <c r="G9064" s="24" t="s">
        <v>28</v>
      </c>
      <c r="H9064" s="26">
        <v>24</v>
      </c>
      <c r="I9064" s="24" t="s">
        <v>29</v>
      </c>
      <c r="J9064" s="36">
        <v>46064</v>
      </c>
      <c r="K9064" s="24" t="s">
        <v>22</v>
      </c>
    </row>
    <row r="9065" spans="1:11" x14ac:dyDescent="0.2">
      <c r="A9065" s="27" t="s">
        <v>21004</v>
      </c>
      <c r="B9065" s="27" t="s">
        <v>21005</v>
      </c>
      <c r="C9065" s="27" t="s">
        <v>21006</v>
      </c>
      <c r="D9065" s="27" t="s">
        <v>17</v>
      </c>
      <c r="E9065" s="27" t="s">
        <v>42</v>
      </c>
      <c r="F9065" s="27" t="s">
        <v>43</v>
      </c>
      <c r="G9065" s="27" t="s">
        <v>28</v>
      </c>
      <c r="H9065" s="29">
        <v>24</v>
      </c>
      <c r="I9065" s="27" t="s">
        <v>29</v>
      </c>
      <c r="J9065" s="37">
        <v>46054</v>
      </c>
      <c r="K9065" s="27" t="s">
        <v>22</v>
      </c>
    </row>
    <row r="9066" spans="1:11" x14ac:dyDescent="0.2">
      <c r="A9066" s="24" t="s">
        <v>21007</v>
      </c>
      <c r="B9066" s="24" t="s">
        <v>21008</v>
      </c>
      <c r="C9066" s="24" t="s">
        <v>11358</v>
      </c>
      <c r="D9066" s="24" t="s">
        <v>17</v>
      </c>
      <c r="E9066" s="24" t="s">
        <v>26</v>
      </c>
      <c r="F9066" s="24" t="s">
        <v>27</v>
      </c>
      <c r="G9066" s="24" t="s">
        <v>28</v>
      </c>
      <c r="H9066" s="26">
        <v>35</v>
      </c>
      <c r="I9066" s="24" t="s">
        <v>29</v>
      </c>
      <c r="J9066" s="36">
        <v>46076</v>
      </c>
      <c r="K9066" s="24" t="s">
        <v>22</v>
      </c>
    </row>
    <row r="9067" spans="1:11" x14ac:dyDescent="0.2">
      <c r="A9067" s="27" t="s">
        <v>21009</v>
      </c>
      <c r="B9067" s="27" t="s">
        <v>21010</v>
      </c>
      <c r="C9067" s="27" t="s">
        <v>2616</v>
      </c>
      <c r="D9067" s="27" t="s">
        <v>17</v>
      </c>
      <c r="E9067" s="27" t="s">
        <v>48</v>
      </c>
      <c r="F9067" s="27" t="s">
        <v>49</v>
      </c>
      <c r="G9067" s="27" t="s">
        <v>28</v>
      </c>
      <c r="H9067" s="29">
        <v>200</v>
      </c>
      <c r="I9067" s="27" t="s">
        <v>29</v>
      </c>
      <c r="J9067" s="37">
        <v>46054</v>
      </c>
      <c r="K9067" s="27" t="s">
        <v>22</v>
      </c>
    </row>
    <row r="9068" spans="1:11" x14ac:dyDescent="0.2">
      <c r="A9068" s="24" t="s">
        <v>21011</v>
      </c>
      <c r="B9068" s="24" t="s">
        <v>21012</v>
      </c>
      <c r="C9068" s="24" t="s">
        <v>526</v>
      </c>
      <c r="D9068" s="24" t="s">
        <v>17</v>
      </c>
      <c r="E9068" s="24" t="s">
        <v>18</v>
      </c>
      <c r="F9068" s="24" t="s">
        <v>19</v>
      </c>
      <c r="G9068" s="24" t="s">
        <v>28</v>
      </c>
      <c r="H9068" s="26">
        <v>28</v>
      </c>
      <c r="I9068" s="24" t="s">
        <v>29</v>
      </c>
      <c r="J9068" s="36">
        <v>46077</v>
      </c>
      <c r="K9068" s="24" t="s">
        <v>22</v>
      </c>
    </row>
    <row r="9069" spans="1:11" x14ac:dyDescent="0.2">
      <c r="A9069" s="27" t="s">
        <v>21013</v>
      </c>
      <c r="B9069" s="27" t="s">
        <v>21014</v>
      </c>
      <c r="C9069" s="27" t="s">
        <v>21015</v>
      </c>
      <c r="D9069" s="27" t="s">
        <v>17</v>
      </c>
      <c r="E9069" s="27" t="s">
        <v>42</v>
      </c>
      <c r="F9069" s="27" t="s">
        <v>43</v>
      </c>
      <c r="G9069" s="27" t="s">
        <v>217</v>
      </c>
      <c r="H9069" s="29">
        <v>315</v>
      </c>
      <c r="I9069" s="27" t="s">
        <v>29</v>
      </c>
      <c r="J9069" s="37">
        <v>46055</v>
      </c>
      <c r="K9069" s="27" t="s">
        <v>22</v>
      </c>
    </row>
    <row r="9070" spans="1:11" x14ac:dyDescent="0.2">
      <c r="A9070" s="24" t="s">
        <v>21016</v>
      </c>
      <c r="B9070" s="24" t="s">
        <v>21017</v>
      </c>
      <c r="C9070" s="24" t="s">
        <v>13195</v>
      </c>
      <c r="D9070" s="24" t="s">
        <v>17</v>
      </c>
      <c r="E9070" s="24" t="s">
        <v>81</v>
      </c>
      <c r="F9070" s="24" t="s">
        <v>82</v>
      </c>
      <c r="G9070" s="24" t="s">
        <v>28</v>
      </c>
      <c r="H9070" s="26">
        <v>10</v>
      </c>
      <c r="I9070" s="24" t="s">
        <v>29</v>
      </c>
      <c r="J9070" s="36">
        <v>46054</v>
      </c>
      <c r="K9070" s="24" t="s">
        <v>22</v>
      </c>
    </row>
    <row r="9071" spans="1:11" x14ac:dyDescent="0.2">
      <c r="A9071" s="27" t="s">
        <v>21018</v>
      </c>
      <c r="B9071" s="27" t="s">
        <v>21019</v>
      </c>
      <c r="C9071" s="27" t="s">
        <v>3718</v>
      </c>
      <c r="D9071" s="27" t="s">
        <v>17</v>
      </c>
      <c r="E9071" s="27" t="s">
        <v>26</v>
      </c>
      <c r="F9071" s="27" t="s">
        <v>27</v>
      </c>
      <c r="G9071" s="27" t="s">
        <v>28</v>
      </c>
      <c r="H9071" s="29">
        <v>75</v>
      </c>
      <c r="I9071" s="27" t="s">
        <v>29</v>
      </c>
      <c r="J9071" s="37">
        <v>46071</v>
      </c>
      <c r="K9071" s="27" t="s">
        <v>22</v>
      </c>
    </row>
    <row r="9072" spans="1:11" x14ac:dyDescent="0.2">
      <c r="A9072" s="24" t="s">
        <v>21020</v>
      </c>
      <c r="B9072" s="24" t="s">
        <v>21021</v>
      </c>
      <c r="C9072" s="24" t="s">
        <v>21022</v>
      </c>
      <c r="D9072" s="24" t="s">
        <v>17</v>
      </c>
      <c r="E9072" s="24" t="s">
        <v>48</v>
      </c>
      <c r="F9072" s="24" t="s">
        <v>49</v>
      </c>
      <c r="G9072" s="24" t="s">
        <v>227</v>
      </c>
      <c r="H9072" s="26">
        <v>40</v>
      </c>
      <c r="I9072" s="24" t="s">
        <v>29</v>
      </c>
      <c r="J9072" s="36">
        <v>46063</v>
      </c>
      <c r="K9072" s="24" t="s">
        <v>22</v>
      </c>
    </row>
    <row r="9073" spans="1:11" x14ac:dyDescent="0.2">
      <c r="A9073" s="27" t="s">
        <v>21023</v>
      </c>
      <c r="B9073" s="27" t="s">
        <v>21024</v>
      </c>
      <c r="C9073" s="27" t="s">
        <v>21025</v>
      </c>
      <c r="D9073" s="27" t="s">
        <v>17</v>
      </c>
      <c r="E9073" s="27" t="s">
        <v>18</v>
      </c>
      <c r="F9073" s="27" t="s">
        <v>19</v>
      </c>
      <c r="G9073" s="27" t="s">
        <v>28</v>
      </c>
      <c r="H9073" s="29">
        <v>36</v>
      </c>
      <c r="I9073" s="27" t="s">
        <v>29</v>
      </c>
      <c r="J9073" s="37">
        <v>46066</v>
      </c>
      <c r="K9073" s="27" t="s">
        <v>22</v>
      </c>
    </row>
    <row r="9074" spans="1:11" x14ac:dyDescent="0.2">
      <c r="A9074" s="24" t="s">
        <v>21026</v>
      </c>
      <c r="B9074" s="24" t="s">
        <v>21027</v>
      </c>
      <c r="C9074" s="24" t="s">
        <v>21028</v>
      </c>
      <c r="D9074" s="24" t="s">
        <v>17</v>
      </c>
      <c r="E9074" s="24" t="s">
        <v>48</v>
      </c>
      <c r="F9074" s="24" t="s">
        <v>49</v>
      </c>
      <c r="G9074" s="24" t="s">
        <v>28</v>
      </c>
      <c r="H9074" s="26">
        <v>75</v>
      </c>
      <c r="I9074" s="24" t="s">
        <v>29</v>
      </c>
      <c r="J9074" s="36">
        <v>46054</v>
      </c>
      <c r="K9074" s="24" t="s">
        <v>22</v>
      </c>
    </row>
    <row r="9075" spans="1:11" x14ac:dyDescent="0.2">
      <c r="A9075" s="27" t="s">
        <v>21029</v>
      </c>
      <c r="B9075" s="27" t="s">
        <v>21030</v>
      </c>
      <c r="C9075" s="27" t="s">
        <v>21031</v>
      </c>
      <c r="D9075" s="27" t="s">
        <v>17</v>
      </c>
      <c r="E9075" s="27" t="s">
        <v>81</v>
      </c>
      <c r="F9075" s="27" t="s">
        <v>82</v>
      </c>
      <c r="G9075" s="27" t="s">
        <v>217</v>
      </c>
      <c r="H9075" s="29">
        <v>30</v>
      </c>
      <c r="I9075" s="27" t="s">
        <v>29</v>
      </c>
      <c r="J9075" s="37">
        <v>46054</v>
      </c>
      <c r="K9075" s="27" t="s">
        <v>22</v>
      </c>
    </row>
    <row r="9076" spans="1:11" x14ac:dyDescent="0.2">
      <c r="A9076" s="24" t="s">
        <v>21032</v>
      </c>
      <c r="B9076" s="24" t="s">
        <v>21033</v>
      </c>
      <c r="C9076" s="24" t="s">
        <v>2063</v>
      </c>
      <c r="D9076" s="24" t="s">
        <v>17</v>
      </c>
      <c r="E9076" s="24" t="s">
        <v>48</v>
      </c>
      <c r="F9076" s="24" t="s">
        <v>49</v>
      </c>
      <c r="G9076" s="24" t="s">
        <v>217</v>
      </c>
      <c r="H9076" s="26">
        <v>240</v>
      </c>
      <c r="I9076" s="24" t="s">
        <v>29</v>
      </c>
      <c r="J9076" s="36">
        <v>46058</v>
      </c>
      <c r="K9076" s="24" t="s">
        <v>22</v>
      </c>
    </row>
    <row r="9077" spans="1:11" x14ac:dyDescent="0.2">
      <c r="A9077" s="27" t="s">
        <v>21034</v>
      </c>
      <c r="B9077" s="27" t="s">
        <v>21035</v>
      </c>
      <c r="C9077" s="27" t="s">
        <v>134</v>
      </c>
      <c r="D9077" s="27" t="s">
        <v>17</v>
      </c>
      <c r="E9077" s="27" t="s">
        <v>81</v>
      </c>
      <c r="F9077" s="27" t="s">
        <v>82</v>
      </c>
      <c r="G9077" s="27" t="s">
        <v>28</v>
      </c>
      <c r="H9077" s="29">
        <v>35</v>
      </c>
      <c r="I9077" s="27" t="s">
        <v>29</v>
      </c>
      <c r="J9077" s="37">
        <v>46080</v>
      </c>
      <c r="K9077" s="27" t="s">
        <v>22</v>
      </c>
    </row>
    <row r="9078" spans="1:11" x14ac:dyDescent="0.2">
      <c r="A9078" s="24" t="s">
        <v>21036</v>
      </c>
      <c r="B9078" s="24" t="s">
        <v>21037</v>
      </c>
      <c r="C9078" s="24" t="s">
        <v>20941</v>
      </c>
      <c r="D9078" s="24" t="s">
        <v>17</v>
      </c>
      <c r="E9078" s="24" t="s">
        <v>26</v>
      </c>
      <c r="F9078" s="24" t="s">
        <v>27</v>
      </c>
      <c r="G9078" s="24" t="s">
        <v>28</v>
      </c>
      <c r="H9078" s="26">
        <v>60</v>
      </c>
      <c r="I9078" s="24" t="s">
        <v>29</v>
      </c>
      <c r="J9078" s="36">
        <v>46055</v>
      </c>
      <c r="K9078" s="24" t="s">
        <v>22</v>
      </c>
    </row>
    <row r="9079" spans="1:11" x14ac:dyDescent="0.2">
      <c r="A9079" s="27" t="s">
        <v>21038</v>
      </c>
      <c r="B9079" s="27" t="s">
        <v>21039</v>
      </c>
      <c r="C9079" s="27" t="s">
        <v>266</v>
      </c>
      <c r="D9079" s="27" t="s">
        <v>17</v>
      </c>
      <c r="E9079" s="27" t="s">
        <v>18</v>
      </c>
      <c r="F9079" s="27" t="s">
        <v>19</v>
      </c>
      <c r="G9079" s="27" t="s">
        <v>217</v>
      </c>
      <c r="H9079" s="29">
        <v>36</v>
      </c>
      <c r="I9079" s="27" t="s">
        <v>29</v>
      </c>
      <c r="J9079" s="37">
        <v>46054</v>
      </c>
      <c r="K9079" s="27" t="s">
        <v>22</v>
      </c>
    </row>
    <row r="9080" spans="1:11" x14ac:dyDescent="0.2">
      <c r="A9080" s="24" t="s">
        <v>21040</v>
      </c>
      <c r="B9080" s="24" t="s">
        <v>21041</v>
      </c>
      <c r="C9080" s="24" t="s">
        <v>1330</v>
      </c>
      <c r="D9080" s="24" t="s">
        <v>17</v>
      </c>
      <c r="E9080" s="24" t="s">
        <v>18</v>
      </c>
      <c r="F9080" s="24" t="s">
        <v>19</v>
      </c>
      <c r="G9080" s="24" t="s">
        <v>28</v>
      </c>
      <c r="H9080" s="26">
        <v>40</v>
      </c>
      <c r="I9080" s="24" t="s">
        <v>29</v>
      </c>
      <c r="J9080" s="36">
        <v>46078</v>
      </c>
      <c r="K9080" s="24" t="s">
        <v>22</v>
      </c>
    </row>
    <row r="9081" spans="1:11" x14ac:dyDescent="0.2">
      <c r="A9081" s="27" t="s">
        <v>21042</v>
      </c>
      <c r="B9081" s="27" t="s">
        <v>21043</v>
      </c>
      <c r="C9081" s="27" t="s">
        <v>106</v>
      </c>
      <c r="D9081" s="27" t="s">
        <v>17</v>
      </c>
      <c r="E9081" s="27" t="s">
        <v>18</v>
      </c>
      <c r="F9081" s="27" t="s">
        <v>19</v>
      </c>
      <c r="G9081" s="27" t="s">
        <v>28</v>
      </c>
      <c r="H9081" s="29">
        <v>80</v>
      </c>
      <c r="I9081" s="27" t="s">
        <v>29</v>
      </c>
      <c r="J9081" s="37">
        <v>46079</v>
      </c>
      <c r="K9081" s="27" t="s">
        <v>22</v>
      </c>
    </row>
    <row r="9082" spans="1:11" x14ac:dyDescent="0.2">
      <c r="A9082" s="24" t="s">
        <v>21044</v>
      </c>
      <c r="B9082" s="24" t="s">
        <v>21045</v>
      </c>
      <c r="C9082" s="24" t="s">
        <v>16543</v>
      </c>
      <c r="D9082" s="24" t="s">
        <v>17</v>
      </c>
      <c r="E9082" s="24" t="s">
        <v>42</v>
      </c>
      <c r="F9082" s="24" t="s">
        <v>43</v>
      </c>
      <c r="G9082" s="24" t="s">
        <v>217</v>
      </c>
      <c r="H9082" s="26">
        <v>72</v>
      </c>
      <c r="I9082" s="24" t="s">
        <v>29</v>
      </c>
      <c r="J9082" s="36">
        <v>46054</v>
      </c>
      <c r="K9082" s="24" t="s">
        <v>22</v>
      </c>
    </row>
    <row r="9083" spans="1:11" x14ac:dyDescent="0.2">
      <c r="A9083" s="27" t="s">
        <v>21046</v>
      </c>
      <c r="B9083" s="27" t="s">
        <v>21047</v>
      </c>
      <c r="C9083" s="27" t="s">
        <v>21048</v>
      </c>
      <c r="D9083" s="27" t="s">
        <v>17</v>
      </c>
      <c r="E9083" s="27" t="s">
        <v>18</v>
      </c>
      <c r="F9083" s="27" t="s">
        <v>19</v>
      </c>
      <c r="G9083" s="27" t="s">
        <v>28</v>
      </c>
      <c r="H9083" s="29">
        <v>54</v>
      </c>
      <c r="I9083" s="27" t="s">
        <v>29</v>
      </c>
      <c r="J9083" s="37">
        <v>46080</v>
      </c>
      <c r="K9083" s="27" t="s">
        <v>22</v>
      </c>
    </row>
    <row r="9084" spans="1:11" x14ac:dyDescent="0.2">
      <c r="A9084" s="24" t="s">
        <v>21049</v>
      </c>
      <c r="B9084" s="24" t="s">
        <v>21050</v>
      </c>
      <c r="C9084" s="24" t="s">
        <v>21051</v>
      </c>
      <c r="D9084" s="24" t="s">
        <v>17</v>
      </c>
      <c r="E9084" s="24" t="s">
        <v>163</v>
      </c>
      <c r="F9084" s="24" t="s">
        <v>164</v>
      </c>
      <c r="G9084" s="24" t="s">
        <v>217</v>
      </c>
      <c r="H9084" s="26">
        <v>60</v>
      </c>
      <c r="I9084" s="24" t="s">
        <v>29</v>
      </c>
      <c r="J9084" s="36">
        <v>46054</v>
      </c>
      <c r="K9084" s="24" t="s">
        <v>22</v>
      </c>
    </row>
    <row r="9085" spans="1:11" x14ac:dyDescent="0.2">
      <c r="A9085" s="27" t="s">
        <v>21052</v>
      </c>
      <c r="B9085" s="27" t="s">
        <v>21053</v>
      </c>
      <c r="C9085" s="27" t="s">
        <v>15008</v>
      </c>
      <c r="D9085" s="27" t="s">
        <v>17</v>
      </c>
      <c r="E9085" s="27" t="s">
        <v>163</v>
      </c>
      <c r="F9085" s="27" t="s">
        <v>164</v>
      </c>
      <c r="G9085" s="27" t="s">
        <v>227</v>
      </c>
      <c r="H9085" s="29">
        <v>90</v>
      </c>
      <c r="I9085" s="27" t="s">
        <v>29</v>
      </c>
      <c r="J9085" s="37">
        <v>46055</v>
      </c>
      <c r="K9085" s="27" t="s">
        <v>22</v>
      </c>
    </row>
    <row r="9086" spans="1:11" x14ac:dyDescent="0.2">
      <c r="A9086" s="24" t="s">
        <v>21054</v>
      </c>
      <c r="B9086" s="24" t="s">
        <v>21055</v>
      </c>
      <c r="C9086" s="24" t="s">
        <v>21056</v>
      </c>
      <c r="D9086" s="24" t="s">
        <v>17</v>
      </c>
      <c r="E9086" s="24" t="s">
        <v>42</v>
      </c>
      <c r="F9086" s="24" t="s">
        <v>43</v>
      </c>
      <c r="G9086" s="24" t="s">
        <v>217</v>
      </c>
      <c r="H9086" s="26">
        <v>316</v>
      </c>
      <c r="I9086" s="24" t="s">
        <v>29</v>
      </c>
      <c r="J9086" s="36">
        <v>46054</v>
      </c>
      <c r="K9086" s="24" t="s">
        <v>22</v>
      </c>
    </row>
    <row r="9087" spans="1:11" x14ac:dyDescent="0.2">
      <c r="A9087" s="27" t="s">
        <v>21057</v>
      </c>
      <c r="B9087" s="27" t="s">
        <v>21058</v>
      </c>
      <c r="C9087" s="27" t="s">
        <v>106</v>
      </c>
      <c r="D9087" s="27" t="s">
        <v>17</v>
      </c>
      <c r="E9087" s="27" t="s">
        <v>48</v>
      </c>
      <c r="F9087" s="27" t="s">
        <v>49</v>
      </c>
      <c r="G9087" s="27" t="s">
        <v>28</v>
      </c>
      <c r="H9087" s="29">
        <v>30</v>
      </c>
      <c r="I9087" s="27" t="s">
        <v>29</v>
      </c>
      <c r="J9087" s="37">
        <v>46080</v>
      </c>
      <c r="K9087" s="27" t="s">
        <v>22</v>
      </c>
    </row>
    <row r="9088" spans="1:11" x14ac:dyDescent="0.2">
      <c r="A9088" s="24" t="s">
        <v>21059</v>
      </c>
      <c r="B9088" s="24" t="s">
        <v>21060</v>
      </c>
      <c r="C9088" s="24" t="s">
        <v>85</v>
      </c>
      <c r="D9088" s="24" t="s">
        <v>17</v>
      </c>
      <c r="E9088" s="24" t="s">
        <v>18</v>
      </c>
      <c r="F9088" s="24" t="s">
        <v>19</v>
      </c>
      <c r="G9088" s="24" t="s">
        <v>217</v>
      </c>
      <c r="H9088" s="26">
        <v>32</v>
      </c>
      <c r="I9088" s="24" t="s">
        <v>29</v>
      </c>
      <c r="J9088" s="36">
        <v>46076</v>
      </c>
      <c r="K9088" s="24" t="s">
        <v>22</v>
      </c>
    </row>
    <row r="9089" spans="1:11" x14ac:dyDescent="0.2">
      <c r="A9089" s="27" t="s">
        <v>21061</v>
      </c>
      <c r="B9089" s="27" t="s">
        <v>21062</v>
      </c>
      <c r="C9089" s="27" t="s">
        <v>1093</v>
      </c>
      <c r="D9089" s="27" t="s">
        <v>17</v>
      </c>
      <c r="E9089" s="27" t="s">
        <v>48</v>
      </c>
      <c r="F9089" s="27" t="s">
        <v>49</v>
      </c>
      <c r="G9089" s="27" t="s">
        <v>217</v>
      </c>
      <c r="H9089" s="29">
        <v>240</v>
      </c>
      <c r="I9089" s="27" t="s">
        <v>29</v>
      </c>
      <c r="J9089" s="37">
        <v>46054</v>
      </c>
      <c r="K9089" s="27" t="s">
        <v>22</v>
      </c>
    </row>
    <row r="9090" spans="1:11" x14ac:dyDescent="0.2">
      <c r="A9090" s="24" t="s">
        <v>21063</v>
      </c>
      <c r="B9090" s="24" t="s">
        <v>21064</v>
      </c>
      <c r="C9090" s="24" t="s">
        <v>3801</v>
      </c>
      <c r="D9090" s="24" t="s">
        <v>17</v>
      </c>
      <c r="E9090" s="24" t="s">
        <v>48</v>
      </c>
      <c r="F9090" s="24" t="s">
        <v>49</v>
      </c>
      <c r="G9090" s="24" t="s">
        <v>28</v>
      </c>
      <c r="H9090" s="26">
        <v>100</v>
      </c>
      <c r="I9090" s="24" t="s">
        <v>29</v>
      </c>
      <c r="J9090" s="36">
        <v>46054</v>
      </c>
      <c r="K9090" s="24" t="s">
        <v>22</v>
      </c>
    </row>
    <row r="9091" spans="1:11" x14ac:dyDescent="0.2">
      <c r="A9091" s="27" t="s">
        <v>21065</v>
      </c>
      <c r="B9091" s="27" t="s">
        <v>21066</v>
      </c>
      <c r="C9091" s="27" t="s">
        <v>21067</v>
      </c>
      <c r="D9091" s="27" t="s">
        <v>17</v>
      </c>
      <c r="E9091" s="27" t="s">
        <v>26</v>
      </c>
      <c r="F9091" s="27" t="s">
        <v>27</v>
      </c>
      <c r="G9091" s="27" t="s">
        <v>28</v>
      </c>
      <c r="H9091" s="29">
        <v>306</v>
      </c>
      <c r="I9091" s="27" t="s">
        <v>29</v>
      </c>
      <c r="J9091" s="37">
        <v>46081</v>
      </c>
      <c r="K9091" s="27" t="s">
        <v>22</v>
      </c>
    </row>
    <row r="9092" spans="1:11" x14ac:dyDescent="0.2">
      <c r="A9092" s="24" t="s">
        <v>21068</v>
      </c>
      <c r="B9092" s="24" t="s">
        <v>21069</v>
      </c>
      <c r="C9092" s="24" t="s">
        <v>97</v>
      </c>
      <c r="D9092" s="24" t="s">
        <v>17</v>
      </c>
      <c r="E9092" s="24" t="s">
        <v>81</v>
      </c>
      <c r="F9092" s="24" t="s">
        <v>82</v>
      </c>
      <c r="G9092" s="24" t="s">
        <v>217</v>
      </c>
      <c r="H9092" s="26">
        <v>100</v>
      </c>
      <c r="I9092" s="24" t="s">
        <v>29</v>
      </c>
      <c r="J9092" s="36">
        <v>46080</v>
      </c>
      <c r="K9092" s="24" t="s">
        <v>22</v>
      </c>
    </row>
    <row r="9093" spans="1:11" x14ac:dyDescent="0.2">
      <c r="A9093" s="27" t="s">
        <v>21070</v>
      </c>
      <c r="B9093" s="27" t="s">
        <v>21071</v>
      </c>
      <c r="C9093" s="27" t="s">
        <v>109</v>
      </c>
      <c r="D9093" s="27" t="s">
        <v>17</v>
      </c>
      <c r="E9093" s="27" t="s">
        <v>18</v>
      </c>
      <c r="F9093" s="27" t="s">
        <v>19</v>
      </c>
      <c r="G9093" s="27" t="s">
        <v>28</v>
      </c>
      <c r="H9093" s="29">
        <v>121</v>
      </c>
      <c r="I9093" s="27" t="s">
        <v>29</v>
      </c>
      <c r="J9093" s="37">
        <v>46054</v>
      </c>
      <c r="K9093" s="27" t="s">
        <v>22</v>
      </c>
    </row>
    <row r="9094" spans="1:11" x14ac:dyDescent="0.2">
      <c r="A9094" s="24" t="s">
        <v>21072</v>
      </c>
      <c r="B9094" s="24" t="s">
        <v>21073</v>
      </c>
      <c r="C9094" s="24" t="s">
        <v>55</v>
      </c>
      <c r="D9094" s="24" t="s">
        <v>17</v>
      </c>
      <c r="E9094" s="24" t="s">
        <v>18</v>
      </c>
      <c r="F9094" s="24" t="s">
        <v>19</v>
      </c>
      <c r="G9094" s="24" t="s">
        <v>28</v>
      </c>
      <c r="H9094" s="26">
        <v>21</v>
      </c>
      <c r="I9094" s="24" t="s">
        <v>29</v>
      </c>
      <c r="J9094" s="36">
        <v>46072</v>
      </c>
      <c r="K9094" s="24" t="s">
        <v>22</v>
      </c>
    </row>
    <row r="9095" spans="1:11" x14ac:dyDescent="0.2">
      <c r="A9095" s="27" t="s">
        <v>21074</v>
      </c>
      <c r="B9095" s="27" t="s">
        <v>21075</v>
      </c>
      <c r="C9095" s="27" t="s">
        <v>423</v>
      </c>
      <c r="D9095" s="27" t="s">
        <v>17</v>
      </c>
      <c r="E9095" s="27" t="s">
        <v>18</v>
      </c>
      <c r="F9095" s="27" t="s">
        <v>19</v>
      </c>
      <c r="G9095" s="27" t="s">
        <v>28</v>
      </c>
      <c r="H9095" s="29">
        <v>519</v>
      </c>
      <c r="I9095" s="27" t="s">
        <v>29</v>
      </c>
      <c r="J9095" s="37">
        <v>46062</v>
      </c>
      <c r="K9095" s="27" t="s">
        <v>22</v>
      </c>
    </row>
    <row r="9096" spans="1:11" x14ac:dyDescent="0.2">
      <c r="A9096" s="24" t="s">
        <v>21076</v>
      </c>
      <c r="B9096" s="24" t="s">
        <v>21077</v>
      </c>
      <c r="C9096" s="24" t="s">
        <v>21078</v>
      </c>
      <c r="D9096" s="24" t="s">
        <v>17</v>
      </c>
      <c r="E9096" s="24" t="s">
        <v>26</v>
      </c>
      <c r="F9096" s="24" t="s">
        <v>27</v>
      </c>
      <c r="G9096" s="24" t="s">
        <v>217</v>
      </c>
      <c r="H9096" s="26">
        <v>72</v>
      </c>
      <c r="I9096" s="24" t="s">
        <v>29</v>
      </c>
      <c r="J9096" s="36">
        <v>46054</v>
      </c>
      <c r="K9096" s="24" t="s">
        <v>22</v>
      </c>
    </row>
    <row r="9097" spans="1:11" x14ac:dyDescent="0.2">
      <c r="A9097" s="27" t="s">
        <v>21079</v>
      </c>
      <c r="B9097" s="27" t="s">
        <v>21080</v>
      </c>
      <c r="C9097" s="27" t="s">
        <v>1110</v>
      </c>
      <c r="D9097" s="27" t="s">
        <v>17</v>
      </c>
      <c r="E9097" s="27" t="s">
        <v>48</v>
      </c>
      <c r="F9097" s="27" t="s">
        <v>49</v>
      </c>
      <c r="G9097" s="27" t="s">
        <v>116</v>
      </c>
      <c r="H9097" s="29">
        <v>0</v>
      </c>
      <c r="I9097" s="27" t="s">
        <v>21</v>
      </c>
      <c r="J9097" s="37">
        <v>46054</v>
      </c>
      <c r="K9097" s="27" t="s">
        <v>22</v>
      </c>
    </row>
    <row r="9098" spans="1:11" x14ac:dyDescent="0.2">
      <c r="A9098" s="24" t="s">
        <v>21081</v>
      </c>
      <c r="B9098" s="24" t="s">
        <v>21082</v>
      </c>
      <c r="C9098" s="24" t="s">
        <v>5453</v>
      </c>
      <c r="D9098" s="24" t="s">
        <v>17</v>
      </c>
      <c r="E9098" s="24" t="s">
        <v>26</v>
      </c>
      <c r="F9098" s="24" t="s">
        <v>27</v>
      </c>
      <c r="G9098" s="24" t="s">
        <v>217</v>
      </c>
      <c r="H9098" s="26">
        <v>120</v>
      </c>
      <c r="I9098" s="24" t="s">
        <v>29</v>
      </c>
      <c r="J9098" s="36">
        <v>46065</v>
      </c>
      <c r="K9098" s="24" t="s">
        <v>22</v>
      </c>
    </row>
    <row r="9099" spans="1:11" x14ac:dyDescent="0.2">
      <c r="A9099" s="27" t="s">
        <v>21083</v>
      </c>
      <c r="B9099" s="27" t="s">
        <v>21084</v>
      </c>
      <c r="C9099" s="27" t="s">
        <v>3253</v>
      </c>
      <c r="D9099" s="27" t="s">
        <v>17</v>
      </c>
      <c r="E9099" s="27" t="s">
        <v>42</v>
      </c>
      <c r="F9099" s="27" t="s">
        <v>43</v>
      </c>
      <c r="G9099" s="27" t="s">
        <v>28</v>
      </c>
      <c r="H9099" s="29">
        <v>300</v>
      </c>
      <c r="I9099" s="27" t="s">
        <v>29</v>
      </c>
      <c r="J9099" s="37">
        <v>46080</v>
      </c>
      <c r="K9099" s="27" t="s">
        <v>22</v>
      </c>
    </row>
    <row r="9100" spans="1:11" x14ac:dyDescent="0.2">
      <c r="A9100" s="24" t="s">
        <v>21085</v>
      </c>
      <c r="B9100" s="24" t="s">
        <v>21086</v>
      </c>
      <c r="C9100" s="24" t="s">
        <v>1470</v>
      </c>
      <c r="D9100" s="24" t="s">
        <v>17</v>
      </c>
      <c r="E9100" s="24" t="s">
        <v>42</v>
      </c>
      <c r="F9100" s="24" t="s">
        <v>43</v>
      </c>
      <c r="G9100" s="24" t="s">
        <v>217</v>
      </c>
      <c r="H9100" s="26">
        <v>360</v>
      </c>
      <c r="I9100" s="24" t="s">
        <v>29</v>
      </c>
      <c r="J9100" s="36">
        <v>46054</v>
      </c>
      <c r="K9100" s="24" t="s">
        <v>22</v>
      </c>
    </row>
    <row r="9101" spans="1:11" x14ac:dyDescent="0.2">
      <c r="A9101" s="27" t="s">
        <v>21087</v>
      </c>
      <c r="B9101" s="27" t="s">
        <v>21088</v>
      </c>
      <c r="C9101" s="27" t="s">
        <v>12418</v>
      </c>
      <c r="D9101" s="27" t="s">
        <v>17</v>
      </c>
      <c r="E9101" s="27" t="s">
        <v>26</v>
      </c>
      <c r="F9101" s="27" t="s">
        <v>27</v>
      </c>
      <c r="G9101" s="27" t="s">
        <v>217</v>
      </c>
      <c r="H9101" s="29">
        <v>36</v>
      </c>
      <c r="I9101" s="27" t="s">
        <v>29</v>
      </c>
      <c r="J9101" s="37">
        <v>46062</v>
      </c>
      <c r="K9101" s="27" t="s">
        <v>22</v>
      </c>
    </row>
    <row r="9102" spans="1:11" x14ac:dyDescent="0.2">
      <c r="A9102" s="24" t="s">
        <v>21089</v>
      </c>
      <c r="B9102" s="24" t="s">
        <v>21090</v>
      </c>
      <c r="C9102" s="24" t="s">
        <v>5350</v>
      </c>
      <c r="D9102" s="24" t="s">
        <v>17</v>
      </c>
      <c r="E9102" s="24" t="s">
        <v>42</v>
      </c>
      <c r="F9102" s="24" t="s">
        <v>43</v>
      </c>
      <c r="G9102" s="24" t="s">
        <v>28</v>
      </c>
      <c r="H9102" s="26">
        <v>250</v>
      </c>
      <c r="I9102" s="24" t="s">
        <v>29</v>
      </c>
      <c r="J9102" s="36">
        <v>46079</v>
      </c>
      <c r="K9102" s="24" t="s">
        <v>22</v>
      </c>
    </row>
    <row r="9103" spans="1:11" x14ac:dyDescent="0.2">
      <c r="A9103" s="27" t="s">
        <v>21091</v>
      </c>
      <c r="B9103" s="27" t="s">
        <v>21092</v>
      </c>
      <c r="C9103" s="27" t="s">
        <v>97</v>
      </c>
      <c r="D9103" s="27" t="s">
        <v>17</v>
      </c>
      <c r="E9103" s="27" t="s">
        <v>42</v>
      </c>
      <c r="F9103" s="27" t="s">
        <v>43</v>
      </c>
      <c r="G9103" s="27" t="s">
        <v>28</v>
      </c>
      <c r="H9103" s="29">
        <v>508</v>
      </c>
      <c r="I9103" s="27" t="s">
        <v>29</v>
      </c>
      <c r="J9103" s="37">
        <v>46076</v>
      </c>
      <c r="K9103" s="27" t="s">
        <v>22</v>
      </c>
    </row>
    <row r="9104" spans="1:11" x14ac:dyDescent="0.2">
      <c r="A9104" s="24" t="s">
        <v>21093</v>
      </c>
      <c r="B9104" s="24" t="s">
        <v>21094</v>
      </c>
      <c r="C9104" s="24" t="s">
        <v>6264</v>
      </c>
      <c r="D9104" s="24" t="s">
        <v>17</v>
      </c>
      <c r="E9104" s="24" t="s">
        <v>18</v>
      </c>
      <c r="F9104" s="24" t="s">
        <v>19</v>
      </c>
      <c r="G9104" s="24" t="s">
        <v>28</v>
      </c>
      <c r="H9104" s="26">
        <v>20</v>
      </c>
      <c r="I9104" s="24" t="s">
        <v>29</v>
      </c>
      <c r="J9104" s="36">
        <v>46056</v>
      </c>
      <c r="K9104" s="24" t="s">
        <v>22</v>
      </c>
    </row>
    <row r="9105" spans="1:11" x14ac:dyDescent="0.2">
      <c r="A9105" s="27" t="s">
        <v>21095</v>
      </c>
      <c r="B9105" s="27" t="s">
        <v>21096</v>
      </c>
      <c r="C9105" s="27" t="s">
        <v>134</v>
      </c>
      <c r="D9105" s="27" t="s">
        <v>17</v>
      </c>
      <c r="E9105" s="27" t="s">
        <v>26</v>
      </c>
      <c r="F9105" s="27" t="s">
        <v>27</v>
      </c>
      <c r="G9105" s="27" t="s">
        <v>28</v>
      </c>
      <c r="H9105" s="29">
        <v>240</v>
      </c>
      <c r="I9105" s="27" t="s">
        <v>29</v>
      </c>
      <c r="J9105" s="37">
        <v>46056</v>
      </c>
      <c r="K9105" s="27" t="s">
        <v>22</v>
      </c>
    </row>
    <row r="9106" spans="1:11" x14ac:dyDescent="0.2">
      <c r="A9106" s="24" t="s">
        <v>21097</v>
      </c>
      <c r="B9106" s="24" t="s">
        <v>21098</v>
      </c>
      <c r="C9106" s="24" t="s">
        <v>4128</v>
      </c>
      <c r="D9106" s="24" t="s">
        <v>17</v>
      </c>
      <c r="E9106" s="24" t="s">
        <v>48</v>
      </c>
      <c r="F9106" s="24" t="s">
        <v>49</v>
      </c>
      <c r="G9106" s="24" t="s">
        <v>217</v>
      </c>
      <c r="H9106" s="26">
        <v>92</v>
      </c>
      <c r="I9106" s="24" t="s">
        <v>29</v>
      </c>
      <c r="J9106" s="36">
        <v>46054</v>
      </c>
      <c r="K9106" s="24" t="s">
        <v>22</v>
      </c>
    </row>
    <row r="9107" spans="1:11" x14ac:dyDescent="0.2">
      <c r="A9107" s="27" t="s">
        <v>21099</v>
      </c>
      <c r="B9107" s="27" t="s">
        <v>21100</v>
      </c>
      <c r="C9107" s="27" t="s">
        <v>21101</v>
      </c>
      <c r="D9107" s="27" t="s">
        <v>17</v>
      </c>
      <c r="E9107" s="27" t="s">
        <v>26</v>
      </c>
      <c r="F9107" s="27" t="s">
        <v>27</v>
      </c>
      <c r="G9107" s="27" t="s">
        <v>217</v>
      </c>
      <c r="H9107" s="29">
        <v>178</v>
      </c>
      <c r="I9107" s="27" t="s">
        <v>29</v>
      </c>
      <c r="J9107" s="37">
        <v>46063</v>
      </c>
      <c r="K9107" s="27" t="s">
        <v>22</v>
      </c>
    </row>
    <row r="9108" spans="1:11" x14ac:dyDescent="0.2">
      <c r="A9108" s="24" t="s">
        <v>21102</v>
      </c>
      <c r="B9108" s="24" t="s">
        <v>21103</v>
      </c>
      <c r="C9108" s="24" t="s">
        <v>2953</v>
      </c>
      <c r="D9108" s="24" t="s">
        <v>17</v>
      </c>
      <c r="E9108" s="24" t="s">
        <v>18</v>
      </c>
      <c r="F9108" s="24" t="s">
        <v>19</v>
      </c>
      <c r="G9108" s="24" t="s">
        <v>28</v>
      </c>
      <c r="H9108" s="26">
        <v>30</v>
      </c>
      <c r="I9108" s="24" t="s">
        <v>29</v>
      </c>
      <c r="J9108" s="36">
        <v>46073</v>
      </c>
      <c r="K9108" s="24" t="s">
        <v>22</v>
      </c>
    </row>
    <row r="9109" spans="1:11" x14ac:dyDescent="0.2">
      <c r="A9109" s="27" t="s">
        <v>21104</v>
      </c>
      <c r="B9109" s="27" t="s">
        <v>21105</v>
      </c>
      <c r="C9109" s="27" t="s">
        <v>2331</v>
      </c>
      <c r="D9109" s="27" t="s">
        <v>17</v>
      </c>
      <c r="E9109" s="27" t="s">
        <v>18</v>
      </c>
      <c r="F9109" s="27" t="s">
        <v>19</v>
      </c>
      <c r="G9109" s="27" t="s">
        <v>28</v>
      </c>
      <c r="H9109" s="29">
        <v>61</v>
      </c>
      <c r="I9109" s="27" t="s">
        <v>29</v>
      </c>
      <c r="J9109" s="37">
        <v>46062</v>
      </c>
      <c r="K9109" s="27" t="s">
        <v>22</v>
      </c>
    </row>
    <row r="9110" spans="1:11" x14ac:dyDescent="0.2">
      <c r="A9110" s="24" t="s">
        <v>21106</v>
      </c>
      <c r="B9110" s="24" t="s">
        <v>21107</v>
      </c>
      <c r="C9110" s="24" t="s">
        <v>68</v>
      </c>
      <c r="D9110" s="24" t="s">
        <v>17</v>
      </c>
      <c r="E9110" s="24" t="s">
        <v>48</v>
      </c>
      <c r="F9110" s="24" t="s">
        <v>49</v>
      </c>
      <c r="G9110" s="24" t="s">
        <v>217</v>
      </c>
      <c r="H9110" s="26">
        <v>340</v>
      </c>
      <c r="I9110" s="24" t="s">
        <v>29</v>
      </c>
      <c r="J9110" s="36">
        <v>46054</v>
      </c>
      <c r="K9110" s="24" t="s">
        <v>22</v>
      </c>
    </row>
    <row r="9111" spans="1:11" x14ac:dyDescent="0.2">
      <c r="A9111" s="27" t="s">
        <v>21108</v>
      </c>
      <c r="B9111" s="27" t="s">
        <v>21109</v>
      </c>
      <c r="C9111" s="27" t="s">
        <v>5636</v>
      </c>
      <c r="D9111" s="27" t="s">
        <v>17</v>
      </c>
      <c r="E9111" s="27" t="s">
        <v>42</v>
      </c>
      <c r="F9111" s="27" t="s">
        <v>43</v>
      </c>
      <c r="G9111" s="27" t="s">
        <v>217</v>
      </c>
      <c r="H9111" s="29">
        <v>386</v>
      </c>
      <c r="I9111" s="27" t="s">
        <v>29</v>
      </c>
      <c r="J9111" s="37">
        <v>46054</v>
      </c>
      <c r="K9111" s="27" t="s">
        <v>22</v>
      </c>
    </row>
    <row r="9112" spans="1:11" x14ac:dyDescent="0.2">
      <c r="A9112" s="24" t="s">
        <v>21110</v>
      </c>
      <c r="B9112" s="24" t="s">
        <v>21111</v>
      </c>
      <c r="C9112" s="24" t="s">
        <v>526</v>
      </c>
      <c r="D9112" s="24" t="s">
        <v>17</v>
      </c>
      <c r="E9112" s="24" t="s">
        <v>42</v>
      </c>
      <c r="F9112" s="24" t="s">
        <v>43</v>
      </c>
      <c r="G9112" s="24" t="s">
        <v>28</v>
      </c>
      <c r="H9112" s="26">
        <v>300</v>
      </c>
      <c r="I9112" s="24" t="s">
        <v>29</v>
      </c>
      <c r="J9112" s="36">
        <v>46058</v>
      </c>
      <c r="K9112" s="24" t="s">
        <v>22</v>
      </c>
    </row>
    <row r="9113" spans="1:11" x14ac:dyDescent="0.2">
      <c r="A9113" s="27" t="s">
        <v>21112</v>
      </c>
      <c r="B9113" s="27" t="s">
        <v>21113</v>
      </c>
      <c r="C9113" s="27" t="s">
        <v>1307</v>
      </c>
      <c r="D9113" s="27" t="s">
        <v>17</v>
      </c>
      <c r="E9113" s="27" t="s">
        <v>26</v>
      </c>
      <c r="F9113" s="27" t="s">
        <v>27</v>
      </c>
      <c r="G9113" s="27" t="s">
        <v>217</v>
      </c>
      <c r="H9113" s="29">
        <v>180</v>
      </c>
      <c r="I9113" s="27" t="s">
        <v>29</v>
      </c>
      <c r="J9113" s="37">
        <v>46054</v>
      </c>
      <c r="K9113" s="27" t="s">
        <v>22</v>
      </c>
    </row>
    <row r="9114" spans="1:11" x14ac:dyDescent="0.2">
      <c r="A9114" s="24" t="s">
        <v>21114</v>
      </c>
      <c r="B9114" s="24" t="s">
        <v>21115</v>
      </c>
      <c r="C9114" s="24" t="s">
        <v>11824</v>
      </c>
      <c r="D9114" s="24" t="s">
        <v>17</v>
      </c>
      <c r="E9114" s="24" t="s">
        <v>18</v>
      </c>
      <c r="F9114" s="24" t="s">
        <v>19</v>
      </c>
      <c r="G9114" s="24" t="s">
        <v>217</v>
      </c>
      <c r="H9114" s="26">
        <v>24</v>
      </c>
      <c r="I9114" s="24" t="s">
        <v>29</v>
      </c>
      <c r="J9114" s="36">
        <v>46054</v>
      </c>
      <c r="K9114" s="24" t="s">
        <v>22</v>
      </c>
    </row>
    <row r="9115" spans="1:11" x14ac:dyDescent="0.2">
      <c r="A9115" s="27" t="s">
        <v>21116</v>
      </c>
      <c r="B9115" s="27" t="s">
        <v>21117</v>
      </c>
      <c r="C9115" s="27" t="s">
        <v>213</v>
      </c>
      <c r="D9115" s="27" t="s">
        <v>17</v>
      </c>
      <c r="E9115" s="27" t="s">
        <v>26</v>
      </c>
      <c r="F9115" s="27" t="s">
        <v>27</v>
      </c>
      <c r="G9115" s="27" t="s">
        <v>28</v>
      </c>
      <c r="H9115" s="29">
        <v>224</v>
      </c>
      <c r="I9115" s="27" t="s">
        <v>29</v>
      </c>
      <c r="J9115" s="37">
        <v>46063</v>
      </c>
      <c r="K9115" s="27" t="s">
        <v>22</v>
      </c>
    </row>
    <row r="9116" spans="1:11" x14ac:dyDescent="0.2">
      <c r="A9116" s="24" t="s">
        <v>21118</v>
      </c>
      <c r="B9116" s="24" t="s">
        <v>21119</v>
      </c>
      <c r="C9116" s="24" t="s">
        <v>595</v>
      </c>
      <c r="D9116" s="24" t="s">
        <v>17</v>
      </c>
      <c r="E9116" s="24" t="s">
        <v>48</v>
      </c>
      <c r="F9116" s="24" t="s">
        <v>49</v>
      </c>
      <c r="G9116" s="24" t="s">
        <v>217</v>
      </c>
      <c r="H9116" s="26">
        <v>450</v>
      </c>
      <c r="I9116" s="24" t="s">
        <v>29</v>
      </c>
      <c r="J9116" s="36">
        <v>46054</v>
      </c>
      <c r="K9116" s="24" t="s">
        <v>22</v>
      </c>
    </row>
    <row r="9117" spans="1:11" x14ac:dyDescent="0.2">
      <c r="A9117" s="27" t="s">
        <v>21120</v>
      </c>
      <c r="B9117" s="27" t="s">
        <v>21121</v>
      </c>
      <c r="C9117" s="27" t="s">
        <v>4294</v>
      </c>
      <c r="D9117" s="27" t="s">
        <v>17</v>
      </c>
      <c r="E9117" s="27" t="s">
        <v>26</v>
      </c>
      <c r="F9117" s="27" t="s">
        <v>27</v>
      </c>
      <c r="G9117" s="27" t="s">
        <v>28</v>
      </c>
      <c r="H9117" s="29">
        <v>12</v>
      </c>
      <c r="I9117" s="27" t="s">
        <v>29</v>
      </c>
      <c r="J9117" s="37">
        <v>46063</v>
      </c>
      <c r="K9117" s="27" t="s">
        <v>22</v>
      </c>
    </row>
    <row r="9118" spans="1:11" x14ac:dyDescent="0.2">
      <c r="A9118" s="24" t="s">
        <v>21122</v>
      </c>
      <c r="B9118" s="24" t="s">
        <v>21123</v>
      </c>
      <c r="C9118" s="24" t="s">
        <v>3066</v>
      </c>
      <c r="D9118" s="24" t="s">
        <v>17</v>
      </c>
      <c r="E9118" s="24" t="s">
        <v>42</v>
      </c>
      <c r="F9118" s="24" t="s">
        <v>43</v>
      </c>
      <c r="G9118" s="24" t="s">
        <v>28</v>
      </c>
      <c r="H9118" s="26">
        <v>394</v>
      </c>
      <c r="I9118" s="24" t="s">
        <v>29</v>
      </c>
      <c r="J9118" s="36">
        <v>46058</v>
      </c>
      <c r="K9118" s="24" t="s">
        <v>22</v>
      </c>
    </row>
    <row r="9119" spans="1:11" x14ac:dyDescent="0.2">
      <c r="A9119" s="27" t="s">
        <v>21124</v>
      </c>
      <c r="B9119" s="27" t="s">
        <v>21125</v>
      </c>
      <c r="C9119" s="27" t="s">
        <v>331</v>
      </c>
      <c r="D9119" s="27" t="s">
        <v>17</v>
      </c>
      <c r="E9119" s="27" t="s">
        <v>48</v>
      </c>
      <c r="F9119" s="27" t="s">
        <v>49</v>
      </c>
      <c r="G9119" s="27" t="s">
        <v>28</v>
      </c>
      <c r="H9119" s="29">
        <v>40</v>
      </c>
      <c r="I9119" s="27" t="s">
        <v>29</v>
      </c>
      <c r="J9119" s="37">
        <v>46055</v>
      </c>
      <c r="K9119" s="27" t="s">
        <v>22</v>
      </c>
    </row>
    <row r="9120" spans="1:11" x14ac:dyDescent="0.2">
      <c r="A9120" s="24" t="s">
        <v>21126</v>
      </c>
      <c r="B9120" s="24" t="s">
        <v>21127</v>
      </c>
      <c r="C9120" s="24" t="s">
        <v>185</v>
      </c>
      <c r="D9120" s="24" t="s">
        <v>17</v>
      </c>
      <c r="E9120" s="24" t="s">
        <v>26</v>
      </c>
      <c r="F9120" s="24" t="s">
        <v>27</v>
      </c>
      <c r="G9120" s="24" t="s">
        <v>28</v>
      </c>
      <c r="H9120" s="26">
        <v>50</v>
      </c>
      <c r="I9120" s="24" t="s">
        <v>29</v>
      </c>
      <c r="J9120" s="36">
        <v>46067</v>
      </c>
      <c r="K9120" s="24" t="s">
        <v>22</v>
      </c>
    </row>
    <row r="9121" spans="1:11" x14ac:dyDescent="0.2">
      <c r="A9121" s="27" t="s">
        <v>21128</v>
      </c>
      <c r="B9121" s="27" t="s">
        <v>21129</v>
      </c>
      <c r="C9121" s="27" t="s">
        <v>21130</v>
      </c>
      <c r="D9121" s="27" t="s">
        <v>17</v>
      </c>
      <c r="E9121" s="27" t="s">
        <v>18</v>
      </c>
      <c r="F9121" s="27" t="s">
        <v>19</v>
      </c>
      <c r="G9121" s="27" t="s">
        <v>28</v>
      </c>
      <c r="H9121" s="29">
        <v>90</v>
      </c>
      <c r="I9121" s="27" t="s">
        <v>29</v>
      </c>
      <c r="J9121" s="37">
        <v>46069</v>
      </c>
      <c r="K9121" s="27" t="s">
        <v>22</v>
      </c>
    </row>
    <row r="9122" spans="1:11" x14ac:dyDescent="0.2">
      <c r="A9122" s="24" t="s">
        <v>21131</v>
      </c>
      <c r="B9122" s="24" t="s">
        <v>21132</v>
      </c>
      <c r="C9122" s="24" t="s">
        <v>251</v>
      </c>
      <c r="D9122" s="24" t="s">
        <v>17</v>
      </c>
      <c r="E9122" s="24" t="s">
        <v>48</v>
      </c>
      <c r="F9122" s="24" t="s">
        <v>49</v>
      </c>
      <c r="G9122" s="24" t="s">
        <v>217</v>
      </c>
      <c r="H9122" s="26">
        <v>32</v>
      </c>
      <c r="I9122" s="24" t="s">
        <v>29</v>
      </c>
      <c r="J9122" s="36">
        <v>46073</v>
      </c>
      <c r="K9122" s="24" t="s">
        <v>22</v>
      </c>
    </row>
    <row r="9123" spans="1:11" x14ac:dyDescent="0.2">
      <c r="A9123" s="27" t="s">
        <v>21133</v>
      </c>
      <c r="B9123" s="27" t="s">
        <v>21134</v>
      </c>
      <c r="C9123" s="27" t="s">
        <v>494</v>
      </c>
      <c r="D9123" s="27" t="s">
        <v>17</v>
      </c>
      <c r="E9123" s="27" t="s">
        <v>26</v>
      </c>
      <c r="F9123" s="27" t="s">
        <v>27</v>
      </c>
      <c r="G9123" s="27" t="s">
        <v>28</v>
      </c>
      <c r="H9123" s="29">
        <v>105</v>
      </c>
      <c r="I9123" s="27" t="s">
        <v>29</v>
      </c>
      <c r="J9123" s="37">
        <v>46065</v>
      </c>
      <c r="K9123" s="27" t="s">
        <v>22</v>
      </c>
    </row>
    <row r="9124" spans="1:11" x14ac:dyDescent="0.2">
      <c r="A9124" s="24" t="s">
        <v>21135</v>
      </c>
      <c r="B9124" s="24" t="s">
        <v>21136</v>
      </c>
      <c r="C9124" s="24" t="s">
        <v>15008</v>
      </c>
      <c r="D9124" s="24" t="s">
        <v>17</v>
      </c>
      <c r="E9124" s="24" t="s">
        <v>163</v>
      </c>
      <c r="F9124" s="24" t="s">
        <v>164</v>
      </c>
      <c r="G9124" s="24" t="s">
        <v>28</v>
      </c>
      <c r="H9124" s="26">
        <v>12</v>
      </c>
      <c r="I9124" s="24" t="s">
        <v>29</v>
      </c>
      <c r="J9124" s="36">
        <v>46055</v>
      </c>
      <c r="K9124" s="24" t="s">
        <v>22</v>
      </c>
    </row>
    <row r="9125" spans="1:11" x14ac:dyDescent="0.2">
      <c r="A9125" s="27" t="s">
        <v>21137</v>
      </c>
      <c r="B9125" s="27" t="s">
        <v>21138</v>
      </c>
      <c r="C9125" s="27" t="s">
        <v>19336</v>
      </c>
      <c r="D9125" s="27" t="s">
        <v>17</v>
      </c>
      <c r="E9125" s="27" t="s">
        <v>81</v>
      </c>
      <c r="F9125" s="27" t="s">
        <v>82</v>
      </c>
      <c r="G9125" s="27" t="s">
        <v>217</v>
      </c>
      <c r="H9125" s="29">
        <v>144</v>
      </c>
      <c r="I9125" s="27" t="s">
        <v>29</v>
      </c>
      <c r="J9125" s="37">
        <v>46054</v>
      </c>
      <c r="K9125" s="27" t="s">
        <v>22</v>
      </c>
    </row>
    <row r="9126" spans="1:11" x14ac:dyDescent="0.2">
      <c r="A9126" s="24" t="s">
        <v>21139</v>
      </c>
      <c r="B9126" s="24" t="s">
        <v>21140</v>
      </c>
      <c r="C9126" s="24" t="s">
        <v>7601</v>
      </c>
      <c r="D9126" s="24" t="s">
        <v>17</v>
      </c>
      <c r="E9126" s="24" t="s">
        <v>33</v>
      </c>
      <c r="F9126" s="24" t="s">
        <v>34</v>
      </c>
      <c r="G9126" s="24" t="s">
        <v>28</v>
      </c>
      <c r="H9126" s="26">
        <v>120</v>
      </c>
      <c r="I9126" s="24" t="s">
        <v>29</v>
      </c>
      <c r="J9126" s="36">
        <v>46079</v>
      </c>
      <c r="K9126" s="24" t="s">
        <v>22</v>
      </c>
    </row>
    <row r="9127" spans="1:11" x14ac:dyDescent="0.2">
      <c r="A9127" s="27" t="s">
        <v>21141</v>
      </c>
      <c r="B9127" s="27" t="s">
        <v>21142</v>
      </c>
      <c r="C9127" s="27" t="s">
        <v>21143</v>
      </c>
      <c r="D9127" s="27" t="s">
        <v>17</v>
      </c>
      <c r="E9127" s="27" t="s">
        <v>42</v>
      </c>
      <c r="F9127" s="27" t="s">
        <v>43</v>
      </c>
      <c r="G9127" s="27" t="s">
        <v>28</v>
      </c>
      <c r="H9127" s="29">
        <v>220</v>
      </c>
      <c r="I9127" s="27" t="s">
        <v>29</v>
      </c>
      <c r="J9127" s="37">
        <v>46054</v>
      </c>
      <c r="K9127" s="27" t="s">
        <v>22</v>
      </c>
    </row>
    <row r="9128" spans="1:11" x14ac:dyDescent="0.2">
      <c r="A9128" s="24" t="s">
        <v>21144</v>
      </c>
      <c r="B9128" s="24" t="s">
        <v>21145</v>
      </c>
      <c r="C9128" s="24" t="s">
        <v>21146</v>
      </c>
      <c r="D9128" s="24" t="s">
        <v>17</v>
      </c>
      <c r="E9128" s="24" t="s">
        <v>26</v>
      </c>
      <c r="F9128" s="24" t="s">
        <v>27</v>
      </c>
      <c r="G9128" s="24" t="s">
        <v>217</v>
      </c>
      <c r="H9128" s="26">
        <v>10</v>
      </c>
      <c r="I9128" s="24" t="s">
        <v>29</v>
      </c>
      <c r="J9128" s="36">
        <v>46054</v>
      </c>
      <c r="K9128" s="24" t="s">
        <v>22</v>
      </c>
    </row>
    <row r="9129" spans="1:11" x14ac:dyDescent="0.2">
      <c r="A9129" s="27" t="s">
        <v>21147</v>
      </c>
      <c r="B9129" s="27" t="s">
        <v>21148</v>
      </c>
      <c r="C9129" s="27" t="s">
        <v>340</v>
      </c>
      <c r="D9129" s="27" t="s">
        <v>17</v>
      </c>
      <c r="E9129" s="27" t="s">
        <v>18</v>
      </c>
      <c r="F9129" s="27" t="s">
        <v>19</v>
      </c>
      <c r="G9129" s="27" t="s">
        <v>28</v>
      </c>
      <c r="H9129" s="29">
        <v>138</v>
      </c>
      <c r="I9129" s="27" t="s">
        <v>29</v>
      </c>
      <c r="J9129" s="37">
        <v>46066</v>
      </c>
      <c r="K9129" s="27" t="s">
        <v>22</v>
      </c>
    </row>
    <row r="9130" spans="1:11" x14ac:dyDescent="0.2">
      <c r="A9130" s="24" t="s">
        <v>21149</v>
      </c>
      <c r="B9130" s="24" t="s">
        <v>21150</v>
      </c>
      <c r="C9130" s="24" t="s">
        <v>85</v>
      </c>
      <c r="D9130" s="24" t="s">
        <v>17</v>
      </c>
      <c r="E9130" s="24" t="s">
        <v>18</v>
      </c>
      <c r="F9130" s="24" t="s">
        <v>19</v>
      </c>
      <c r="G9130" s="24" t="s">
        <v>28</v>
      </c>
      <c r="H9130" s="26">
        <v>20</v>
      </c>
      <c r="I9130" s="24" t="s">
        <v>29</v>
      </c>
      <c r="J9130" s="36">
        <v>46064</v>
      </c>
      <c r="K9130" s="24" t="s">
        <v>22</v>
      </c>
    </row>
    <row r="9131" spans="1:11" x14ac:dyDescent="0.2">
      <c r="A9131" s="27" t="s">
        <v>21151</v>
      </c>
      <c r="B9131" s="27" t="s">
        <v>21152</v>
      </c>
      <c r="C9131" s="27" t="s">
        <v>1093</v>
      </c>
      <c r="D9131" s="27" t="s">
        <v>17</v>
      </c>
      <c r="E9131" s="27" t="s">
        <v>81</v>
      </c>
      <c r="F9131" s="27" t="s">
        <v>82</v>
      </c>
      <c r="G9131" s="27" t="s">
        <v>217</v>
      </c>
      <c r="H9131" s="29">
        <v>40</v>
      </c>
      <c r="I9131" s="27" t="s">
        <v>29</v>
      </c>
      <c r="J9131" s="37">
        <v>46054</v>
      </c>
      <c r="K9131" s="27" t="s">
        <v>22</v>
      </c>
    </row>
    <row r="9132" spans="1:11" x14ac:dyDescent="0.2">
      <c r="A9132" s="24" t="s">
        <v>21153</v>
      </c>
      <c r="B9132" s="24" t="s">
        <v>21154</v>
      </c>
      <c r="C9132" s="24" t="s">
        <v>109</v>
      </c>
      <c r="D9132" s="24" t="s">
        <v>17</v>
      </c>
      <c r="E9132" s="24" t="s">
        <v>18</v>
      </c>
      <c r="F9132" s="24" t="s">
        <v>19</v>
      </c>
      <c r="G9132" s="24" t="s">
        <v>28</v>
      </c>
      <c r="H9132" s="26">
        <v>78</v>
      </c>
      <c r="I9132" s="24" t="s">
        <v>29</v>
      </c>
      <c r="J9132" s="36">
        <v>46069</v>
      </c>
      <c r="K9132" s="24" t="s">
        <v>22</v>
      </c>
    </row>
    <row r="9133" spans="1:11" x14ac:dyDescent="0.2">
      <c r="A9133" s="27" t="s">
        <v>21155</v>
      </c>
      <c r="B9133" s="27" t="s">
        <v>21156</v>
      </c>
      <c r="C9133" s="27" t="s">
        <v>3687</v>
      </c>
      <c r="D9133" s="27" t="s">
        <v>17</v>
      </c>
      <c r="E9133" s="27" t="s">
        <v>163</v>
      </c>
      <c r="F9133" s="27" t="s">
        <v>164</v>
      </c>
      <c r="G9133" s="27" t="s">
        <v>28</v>
      </c>
      <c r="H9133" s="29">
        <v>144</v>
      </c>
      <c r="I9133" s="27" t="s">
        <v>29</v>
      </c>
      <c r="J9133" s="37">
        <v>46069</v>
      </c>
      <c r="K9133" s="27" t="s">
        <v>22</v>
      </c>
    </row>
    <row r="9134" spans="1:11" x14ac:dyDescent="0.2">
      <c r="A9134" s="24" t="s">
        <v>21157</v>
      </c>
      <c r="B9134" s="24" t="s">
        <v>21158</v>
      </c>
      <c r="C9134" s="24" t="s">
        <v>9424</v>
      </c>
      <c r="D9134" s="24" t="s">
        <v>17</v>
      </c>
      <c r="E9134" s="24" t="s">
        <v>18</v>
      </c>
      <c r="F9134" s="24" t="s">
        <v>19</v>
      </c>
      <c r="G9134" s="24" t="s">
        <v>28</v>
      </c>
      <c r="H9134" s="26">
        <v>74</v>
      </c>
      <c r="I9134" s="24" t="s">
        <v>29</v>
      </c>
      <c r="J9134" s="36">
        <v>46059</v>
      </c>
      <c r="K9134" s="24" t="s">
        <v>22</v>
      </c>
    </row>
    <row r="9135" spans="1:11" x14ac:dyDescent="0.2">
      <c r="A9135" s="27" t="s">
        <v>21159</v>
      </c>
      <c r="B9135" s="27" t="s">
        <v>21160</v>
      </c>
      <c r="C9135" s="27" t="s">
        <v>12719</v>
      </c>
      <c r="D9135" s="27" t="s">
        <v>17</v>
      </c>
      <c r="E9135" s="27" t="s">
        <v>18</v>
      </c>
      <c r="F9135" s="27" t="s">
        <v>19</v>
      </c>
      <c r="G9135" s="27" t="s">
        <v>217</v>
      </c>
      <c r="H9135" s="29">
        <v>32</v>
      </c>
      <c r="I9135" s="27" t="s">
        <v>29</v>
      </c>
      <c r="J9135" s="37">
        <v>46054</v>
      </c>
      <c r="K9135" s="27" t="s">
        <v>22</v>
      </c>
    </row>
    <row r="9136" spans="1:11" x14ac:dyDescent="0.2">
      <c r="A9136" s="24" t="s">
        <v>21161</v>
      </c>
      <c r="B9136" s="24" t="s">
        <v>21162</v>
      </c>
      <c r="C9136" s="24" t="s">
        <v>213</v>
      </c>
      <c r="D9136" s="24" t="s">
        <v>17</v>
      </c>
      <c r="E9136" s="24" t="s">
        <v>26</v>
      </c>
      <c r="F9136" s="24" t="s">
        <v>27</v>
      </c>
      <c r="G9136" s="24" t="s">
        <v>217</v>
      </c>
      <c r="H9136" s="26">
        <v>132</v>
      </c>
      <c r="I9136" s="24" t="s">
        <v>29</v>
      </c>
      <c r="J9136" s="36">
        <v>46080</v>
      </c>
      <c r="K9136" s="24" t="s">
        <v>22</v>
      </c>
    </row>
    <row r="9137" spans="1:11" x14ac:dyDescent="0.2">
      <c r="A9137" s="27" t="s">
        <v>21163</v>
      </c>
      <c r="B9137" s="27" t="s">
        <v>21164</v>
      </c>
      <c r="C9137" s="27" t="s">
        <v>3833</v>
      </c>
      <c r="D9137" s="27" t="s">
        <v>17</v>
      </c>
      <c r="E9137" s="27" t="s">
        <v>42</v>
      </c>
      <c r="F9137" s="27" t="s">
        <v>43</v>
      </c>
      <c r="G9137" s="27" t="s">
        <v>217</v>
      </c>
      <c r="H9137" s="29">
        <v>990</v>
      </c>
      <c r="I9137" s="27" t="s">
        <v>29</v>
      </c>
      <c r="J9137" s="37">
        <v>46054</v>
      </c>
      <c r="K9137" s="27" t="s">
        <v>22</v>
      </c>
    </row>
    <row r="9138" spans="1:11" x14ac:dyDescent="0.2">
      <c r="A9138" s="24" t="s">
        <v>21165</v>
      </c>
      <c r="B9138" s="24" t="s">
        <v>21166</v>
      </c>
      <c r="C9138" s="24" t="s">
        <v>21167</v>
      </c>
      <c r="D9138" s="24" t="s">
        <v>17</v>
      </c>
      <c r="E9138" s="24" t="s">
        <v>18</v>
      </c>
      <c r="F9138" s="24" t="s">
        <v>19</v>
      </c>
      <c r="G9138" s="24" t="s">
        <v>28</v>
      </c>
      <c r="H9138" s="26">
        <v>290</v>
      </c>
      <c r="I9138" s="24" t="s">
        <v>29</v>
      </c>
      <c r="J9138" s="36">
        <v>46067</v>
      </c>
      <c r="K9138" s="24" t="s">
        <v>22</v>
      </c>
    </row>
    <row r="9139" spans="1:11" x14ac:dyDescent="0.2">
      <c r="A9139" s="27" t="s">
        <v>21168</v>
      </c>
      <c r="B9139" s="27" t="s">
        <v>21169</v>
      </c>
      <c r="C9139" s="27" t="s">
        <v>2690</v>
      </c>
      <c r="D9139" s="27" t="s">
        <v>17</v>
      </c>
      <c r="E9139" s="27" t="s">
        <v>48</v>
      </c>
      <c r="F9139" s="27" t="s">
        <v>49</v>
      </c>
      <c r="G9139" s="27" t="s">
        <v>217</v>
      </c>
      <c r="H9139" s="29">
        <v>85</v>
      </c>
      <c r="I9139" s="27" t="s">
        <v>29</v>
      </c>
      <c r="J9139" s="37">
        <v>46054</v>
      </c>
      <c r="K9139" s="27" t="s">
        <v>22</v>
      </c>
    </row>
    <row r="9140" spans="1:11" x14ac:dyDescent="0.2">
      <c r="A9140" s="24" t="s">
        <v>21170</v>
      </c>
      <c r="B9140" s="24" t="s">
        <v>21171</v>
      </c>
      <c r="C9140" s="24" t="s">
        <v>21172</v>
      </c>
      <c r="D9140" s="24" t="s">
        <v>17</v>
      </c>
      <c r="E9140" s="24" t="s">
        <v>26</v>
      </c>
      <c r="F9140" s="24" t="s">
        <v>27</v>
      </c>
      <c r="G9140" s="24" t="s">
        <v>217</v>
      </c>
      <c r="H9140" s="26">
        <v>39</v>
      </c>
      <c r="I9140" s="24" t="s">
        <v>29</v>
      </c>
      <c r="J9140" s="36">
        <v>46054</v>
      </c>
      <c r="K9140" s="24" t="s">
        <v>22</v>
      </c>
    </row>
    <row r="9141" spans="1:11" x14ac:dyDescent="0.2">
      <c r="A9141" s="27" t="s">
        <v>21173</v>
      </c>
      <c r="B9141" s="27" t="s">
        <v>21174</v>
      </c>
      <c r="C9141" s="27" t="s">
        <v>21175</v>
      </c>
      <c r="D9141" s="27" t="s">
        <v>17</v>
      </c>
      <c r="E9141" s="27" t="s">
        <v>26</v>
      </c>
      <c r="F9141" s="27" t="s">
        <v>27</v>
      </c>
      <c r="G9141" s="27" t="s">
        <v>217</v>
      </c>
      <c r="H9141" s="29">
        <v>80</v>
      </c>
      <c r="I9141" s="27" t="s">
        <v>29</v>
      </c>
      <c r="J9141" s="37">
        <v>46054</v>
      </c>
      <c r="K9141" s="27" t="s">
        <v>22</v>
      </c>
    </row>
    <row r="9142" spans="1:11" x14ac:dyDescent="0.2">
      <c r="A9142" s="24" t="s">
        <v>21176</v>
      </c>
      <c r="B9142" s="24" t="s">
        <v>21177</v>
      </c>
      <c r="C9142" s="24" t="s">
        <v>687</v>
      </c>
      <c r="D9142" s="24" t="s">
        <v>17</v>
      </c>
      <c r="E9142" s="24" t="s">
        <v>18</v>
      </c>
      <c r="F9142" s="24" t="s">
        <v>19</v>
      </c>
      <c r="G9142" s="24" t="s">
        <v>217</v>
      </c>
      <c r="H9142" s="26">
        <v>100</v>
      </c>
      <c r="I9142" s="24" t="s">
        <v>29</v>
      </c>
      <c r="J9142" s="36">
        <v>46062</v>
      </c>
      <c r="K9142" s="24" t="s">
        <v>22</v>
      </c>
    </row>
    <row r="9143" spans="1:11" x14ac:dyDescent="0.2">
      <c r="A9143" s="27" t="s">
        <v>21178</v>
      </c>
      <c r="B9143" s="27" t="s">
        <v>21179</v>
      </c>
      <c r="C9143" s="27" t="s">
        <v>1080</v>
      </c>
      <c r="D9143" s="27" t="s">
        <v>17</v>
      </c>
      <c r="E9143" s="27" t="s">
        <v>26</v>
      </c>
      <c r="F9143" s="27" t="s">
        <v>27</v>
      </c>
      <c r="G9143" s="27" t="s">
        <v>28</v>
      </c>
      <c r="H9143" s="29">
        <v>55</v>
      </c>
      <c r="I9143" s="27" t="s">
        <v>29</v>
      </c>
      <c r="J9143" s="37">
        <v>46054</v>
      </c>
      <c r="K9143" s="27" t="s">
        <v>22</v>
      </c>
    </row>
    <row r="9144" spans="1:11" x14ac:dyDescent="0.2">
      <c r="A9144" s="24" t="s">
        <v>21180</v>
      </c>
      <c r="B9144" s="24" t="s">
        <v>21181</v>
      </c>
      <c r="C9144" s="24" t="s">
        <v>526</v>
      </c>
      <c r="D9144" s="24" t="s">
        <v>17</v>
      </c>
      <c r="E9144" s="24" t="s">
        <v>48</v>
      </c>
      <c r="F9144" s="24" t="s">
        <v>49</v>
      </c>
      <c r="G9144" s="24" t="s">
        <v>217</v>
      </c>
      <c r="H9144" s="26">
        <v>450</v>
      </c>
      <c r="I9144" s="24" t="s">
        <v>29</v>
      </c>
      <c r="J9144" s="36">
        <v>46054</v>
      </c>
      <c r="K9144" s="24" t="s">
        <v>22</v>
      </c>
    </row>
    <row r="9145" spans="1:11" x14ac:dyDescent="0.2">
      <c r="A9145" s="27" t="s">
        <v>21182</v>
      </c>
      <c r="B9145" s="27" t="s">
        <v>21183</v>
      </c>
      <c r="C9145" s="27" t="s">
        <v>423</v>
      </c>
      <c r="D9145" s="27" t="s">
        <v>17</v>
      </c>
      <c r="E9145" s="27" t="s">
        <v>18</v>
      </c>
      <c r="F9145" s="27" t="s">
        <v>19</v>
      </c>
      <c r="G9145" s="27" t="s">
        <v>217</v>
      </c>
      <c r="H9145" s="29">
        <v>32</v>
      </c>
      <c r="I9145" s="27" t="s">
        <v>29</v>
      </c>
      <c r="J9145" s="37">
        <v>46076</v>
      </c>
      <c r="K9145" s="27" t="s">
        <v>22</v>
      </c>
    </row>
    <row r="9146" spans="1:11" x14ac:dyDescent="0.2">
      <c r="A9146" s="24" t="s">
        <v>21184</v>
      </c>
      <c r="B9146" s="24" t="s">
        <v>21185</v>
      </c>
      <c r="C9146" s="24" t="s">
        <v>21186</v>
      </c>
      <c r="D9146" s="24" t="s">
        <v>17</v>
      </c>
      <c r="E9146" s="24" t="s">
        <v>26</v>
      </c>
      <c r="F9146" s="24" t="s">
        <v>27</v>
      </c>
      <c r="G9146" s="24" t="s">
        <v>28</v>
      </c>
      <c r="H9146" s="26">
        <v>96</v>
      </c>
      <c r="I9146" s="24" t="s">
        <v>29</v>
      </c>
      <c r="J9146" s="36">
        <v>46058</v>
      </c>
      <c r="K9146" s="24" t="s">
        <v>22</v>
      </c>
    </row>
    <row r="9147" spans="1:11" x14ac:dyDescent="0.2">
      <c r="A9147" s="27" t="s">
        <v>21187</v>
      </c>
      <c r="B9147" s="27" t="s">
        <v>21188</v>
      </c>
      <c r="C9147" s="27" t="s">
        <v>106</v>
      </c>
      <c r="D9147" s="27" t="s">
        <v>17</v>
      </c>
      <c r="E9147" s="27" t="s">
        <v>42</v>
      </c>
      <c r="F9147" s="27" t="s">
        <v>43</v>
      </c>
      <c r="G9147" s="27" t="s">
        <v>28</v>
      </c>
      <c r="H9147" s="29">
        <v>1325</v>
      </c>
      <c r="I9147" s="27" t="s">
        <v>29</v>
      </c>
      <c r="J9147" s="37">
        <v>46070</v>
      </c>
      <c r="K9147" s="27" t="s">
        <v>22</v>
      </c>
    </row>
    <row r="9148" spans="1:11" x14ac:dyDescent="0.2">
      <c r="A9148" s="24" t="s">
        <v>21189</v>
      </c>
      <c r="B9148" s="24" t="s">
        <v>21190</v>
      </c>
      <c r="C9148" s="24" t="s">
        <v>21191</v>
      </c>
      <c r="D9148" s="24" t="s">
        <v>17</v>
      </c>
      <c r="E9148" s="24" t="s">
        <v>18</v>
      </c>
      <c r="F9148" s="24" t="s">
        <v>19</v>
      </c>
      <c r="G9148" s="24" t="s">
        <v>28</v>
      </c>
      <c r="H9148" s="26">
        <v>40</v>
      </c>
      <c r="I9148" s="24" t="s">
        <v>29</v>
      </c>
      <c r="J9148" s="36">
        <v>46054</v>
      </c>
      <c r="K9148" s="24" t="s">
        <v>22</v>
      </c>
    </row>
    <row r="9149" spans="1:11" x14ac:dyDescent="0.2">
      <c r="A9149" s="27" t="s">
        <v>21192</v>
      </c>
      <c r="B9149" s="27" t="s">
        <v>21193</v>
      </c>
      <c r="C9149" s="27" t="s">
        <v>21194</v>
      </c>
      <c r="D9149" s="27" t="s">
        <v>17</v>
      </c>
      <c r="E9149" s="27" t="s">
        <v>18</v>
      </c>
      <c r="F9149" s="27" t="s">
        <v>19</v>
      </c>
      <c r="G9149" s="27" t="s">
        <v>20</v>
      </c>
      <c r="H9149" s="29">
        <v>13</v>
      </c>
      <c r="I9149" s="27" t="s">
        <v>21</v>
      </c>
      <c r="J9149" s="37">
        <v>46062</v>
      </c>
      <c r="K9149" s="27" t="s">
        <v>22</v>
      </c>
    </row>
    <row r="9150" spans="1:11" x14ac:dyDescent="0.2">
      <c r="A9150" s="24" t="s">
        <v>21195</v>
      </c>
      <c r="B9150" s="24" t="s">
        <v>21196</v>
      </c>
      <c r="C9150" s="24" t="s">
        <v>21197</v>
      </c>
      <c r="D9150" s="24" t="s">
        <v>17</v>
      </c>
      <c r="E9150" s="24" t="s">
        <v>18</v>
      </c>
      <c r="F9150" s="24" t="s">
        <v>19</v>
      </c>
      <c r="G9150" s="24" t="s">
        <v>217</v>
      </c>
      <c r="H9150" s="26">
        <v>48</v>
      </c>
      <c r="I9150" s="24" t="s">
        <v>29</v>
      </c>
      <c r="J9150" s="36">
        <v>46080</v>
      </c>
      <c r="K9150" s="24" t="s">
        <v>22</v>
      </c>
    </row>
    <row r="9151" spans="1:11" x14ac:dyDescent="0.2">
      <c r="A9151" s="27" t="s">
        <v>21198</v>
      </c>
      <c r="B9151" s="27" t="s">
        <v>21199</v>
      </c>
      <c r="C9151" s="27" t="s">
        <v>12300</v>
      </c>
      <c r="D9151" s="27" t="s">
        <v>17</v>
      </c>
      <c r="E9151" s="27" t="s">
        <v>48</v>
      </c>
      <c r="F9151" s="27" t="s">
        <v>49</v>
      </c>
      <c r="G9151" s="27" t="s">
        <v>217</v>
      </c>
      <c r="H9151" s="29">
        <v>10</v>
      </c>
      <c r="I9151" s="27" t="s">
        <v>29</v>
      </c>
      <c r="J9151" s="37">
        <v>46063</v>
      </c>
      <c r="K9151" s="27" t="s">
        <v>22</v>
      </c>
    </row>
    <row r="9152" spans="1:11" x14ac:dyDescent="0.2">
      <c r="A9152" s="24" t="s">
        <v>21200</v>
      </c>
      <c r="B9152" s="24" t="s">
        <v>21201</v>
      </c>
      <c r="C9152" s="24" t="s">
        <v>213</v>
      </c>
      <c r="D9152" s="24" t="s">
        <v>17</v>
      </c>
      <c r="E9152" s="24" t="s">
        <v>42</v>
      </c>
      <c r="F9152" s="24" t="s">
        <v>43</v>
      </c>
      <c r="G9152" s="24" t="s">
        <v>217</v>
      </c>
      <c r="H9152" s="26">
        <v>999</v>
      </c>
      <c r="I9152" s="24" t="s">
        <v>29</v>
      </c>
      <c r="J9152" s="36">
        <v>46065</v>
      </c>
      <c r="K9152" s="24" t="s">
        <v>22</v>
      </c>
    </row>
    <row r="9153" spans="1:11" x14ac:dyDescent="0.2">
      <c r="A9153" s="27" t="s">
        <v>21202</v>
      </c>
      <c r="B9153" s="27" t="s">
        <v>21203</v>
      </c>
      <c r="C9153" s="27" t="s">
        <v>6961</v>
      </c>
      <c r="D9153" s="27" t="s">
        <v>17</v>
      </c>
      <c r="E9153" s="27" t="s">
        <v>42</v>
      </c>
      <c r="F9153" s="27" t="s">
        <v>43</v>
      </c>
      <c r="G9153" s="27" t="s">
        <v>217</v>
      </c>
      <c r="H9153" s="29">
        <v>738</v>
      </c>
      <c r="I9153" s="27" t="s">
        <v>29</v>
      </c>
      <c r="J9153" s="37">
        <v>46054</v>
      </c>
      <c r="K9153" s="27" t="s">
        <v>22</v>
      </c>
    </row>
    <row r="9154" spans="1:11" x14ac:dyDescent="0.2">
      <c r="A9154" s="24" t="s">
        <v>21204</v>
      </c>
      <c r="B9154" s="24" t="s">
        <v>21205</v>
      </c>
      <c r="C9154" s="24" t="s">
        <v>55</v>
      </c>
      <c r="D9154" s="24" t="s">
        <v>17</v>
      </c>
      <c r="E9154" s="24" t="s">
        <v>18</v>
      </c>
      <c r="F9154" s="24" t="s">
        <v>19</v>
      </c>
      <c r="G9154" s="24" t="s">
        <v>28</v>
      </c>
      <c r="H9154" s="26">
        <v>40</v>
      </c>
      <c r="I9154" s="24" t="s">
        <v>29</v>
      </c>
      <c r="J9154" s="36">
        <v>46080</v>
      </c>
      <c r="K9154" s="24" t="s">
        <v>22</v>
      </c>
    </row>
    <row r="9155" spans="1:11" x14ac:dyDescent="0.2">
      <c r="A9155" s="27" t="s">
        <v>21206</v>
      </c>
      <c r="B9155" s="27" t="s">
        <v>21207</v>
      </c>
      <c r="C9155" s="27" t="s">
        <v>91</v>
      </c>
      <c r="D9155" s="27" t="s">
        <v>17</v>
      </c>
      <c r="E9155" s="27" t="s">
        <v>42</v>
      </c>
      <c r="F9155" s="27" t="s">
        <v>43</v>
      </c>
      <c r="G9155" s="27" t="s">
        <v>217</v>
      </c>
      <c r="H9155" s="29">
        <v>123</v>
      </c>
      <c r="I9155" s="27" t="s">
        <v>29</v>
      </c>
      <c r="J9155" s="37">
        <v>46059</v>
      </c>
      <c r="K9155" s="27" t="s">
        <v>22</v>
      </c>
    </row>
    <row r="9156" spans="1:11" x14ac:dyDescent="0.2">
      <c r="A9156" s="24" t="s">
        <v>21208</v>
      </c>
      <c r="B9156" s="24" t="s">
        <v>21209</v>
      </c>
      <c r="C9156" s="24" t="s">
        <v>106</v>
      </c>
      <c r="D9156" s="24" t="s">
        <v>17</v>
      </c>
      <c r="E9156" s="24" t="s">
        <v>18</v>
      </c>
      <c r="F9156" s="24" t="s">
        <v>19</v>
      </c>
      <c r="G9156" s="24" t="s">
        <v>28</v>
      </c>
      <c r="H9156" s="26">
        <v>69</v>
      </c>
      <c r="I9156" s="24" t="s">
        <v>29</v>
      </c>
      <c r="J9156" s="36">
        <v>46077</v>
      </c>
      <c r="K9156" s="24" t="s">
        <v>22</v>
      </c>
    </row>
    <row r="9157" spans="1:11" x14ac:dyDescent="0.2">
      <c r="A9157" s="27" t="s">
        <v>21210</v>
      </c>
      <c r="B9157" s="27" t="s">
        <v>21211</v>
      </c>
      <c r="C9157" s="27" t="s">
        <v>512</v>
      </c>
      <c r="D9157" s="27" t="s">
        <v>17</v>
      </c>
      <c r="E9157" s="27" t="s">
        <v>18</v>
      </c>
      <c r="F9157" s="27" t="s">
        <v>19</v>
      </c>
      <c r="G9157" s="27" t="s">
        <v>28</v>
      </c>
      <c r="H9157" s="29">
        <v>18</v>
      </c>
      <c r="I9157" s="27" t="s">
        <v>29</v>
      </c>
      <c r="J9157" s="37">
        <v>46054</v>
      </c>
      <c r="K9157" s="27" t="s">
        <v>22</v>
      </c>
    </row>
    <row r="9158" spans="1:11" x14ac:dyDescent="0.2">
      <c r="A9158" s="24" t="s">
        <v>21212</v>
      </c>
      <c r="B9158" s="24" t="s">
        <v>21213</v>
      </c>
      <c r="C9158" s="24" t="s">
        <v>2811</v>
      </c>
      <c r="D9158" s="24" t="s">
        <v>17</v>
      </c>
      <c r="E9158" s="24" t="s">
        <v>18</v>
      </c>
      <c r="F9158" s="24" t="s">
        <v>19</v>
      </c>
      <c r="G9158" s="24" t="s">
        <v>217</v>
      </c>
      <c r="H9158" s="26">
        <v>160</v>
      </c>
      <c r="I9158" s="24" t="s">
        <v>29</v>
      </c>
      <c r="J9158" s="36">
        <v>46060</v>
      </c>
      <c r="K9158" s="24" t="s">
        <v>22</v>
      </c>
    </row>
    <row r="9159" spans="1:11" x14ac:dyDescent="0.2">
      <c r="A9159" s="27" t="s">
        <v>21214</v>
      </c>
      <c r="B9159" s="27" t="s">
        <v>21215</v>
      </c>
      <c r="C9159" s="27" t="s">
        <v>1678</v>
      </c>
      <c r="D9159" s="27" t="s">
        <v>17</v>
      </c>
      <c r="E9159" s="27" t="s">
        <v>42</v>
      </c>
      <c r="F9159" s="27" t="s">
        <v>43</v>
      </c>
      <c r="G9159" s="27" t="s">
        <v>28</v>
      </c>
      <c r="H9159" s="29">
        <v>105</v>
      </c>
      <c r="I9159" s="27" t="s">
        <v>29</v>
      </c>
      <c r="J9159" s="37">
        <v>46066</v>
      </c>
      <c r="K9159" s="27" t="s">
        <v>22</v>
      </c>
    </row>
    <row r="9160" spans="1:11" x14ac:dyDescent="0.2">
      <c r="A9160" s="24" t="s">
        <v>21216</v>
      </c>
      <c r="B9160" s="24" t="s">
        <v>21217</v>
      </c>
      <c r="C9160" s="24" t="s">
        <v>21218</v>
      </c>
      <c r="D9160" s="24" t="s">
        <v>17</v>
      </c>
      <c r="E9160" s="24" t="s">
        <v>18</v>
      </c>
      <c r="F9160" s="24" t="s">
        <v>19</v>
      </c>
      <c r="G9160" s="24" t="s">
        <v>28</v>
      </c>
      <c r="H9160" s="26">
        <v>60</v>
      </c>
      <c r="I9160" s="24" t="s">
        <v>29</v>
      </c>
      <c r="J9160" s="36">
        <v>46059</v>
      </c>
      <c r="K9160" s="24" t="s">
        <v>22</v>
      </c>
    </row>
    <row r="9161" spans="1:11" x14ac:dyDescent="0.2">
      <c r="A9161" s="27" t="s">
        <v>21219</v>
      </c>
      <c r="B9161" s="27" t="s">
        <v>21220</v>
      </c>
      <c r="C9161" s="27" t="s">
        <v>7038</v>
      </c>
      <c r="D9161" s="27" t="s">
        <v>17</v>
      </c>
      <c r="E9161" s="27" t="s">
        <v>42</v>
      </c>
      <c r="F9161" s="27" t="s">
        <v>43</v>
      </c>
      <c r="G9161" s="27" t="s">
        <v>217</v>
      </c>
      <c r="H9161" s="29">
        <v>440</v>
      </c>
      <c r="I9161" s="27" t="s">
        <v>29</v>
      </c>
      <c r="J9161" s="37">
        <v>46081</v>
      </c>
      <c r="K9161" s="27" t="s">
        <v>22</v>
      </c>
    </row>
    <row r="9162" spans="1:11" x14ac:dyDescent="0.2">
      <c r="A9162" s="24" t="s">
        <v>21221</v>
      </c>
      <c r="B9162" s="24" t="s">
        <v>21222</v>
      </c>
      <c r="C9162" s="24" t="s">
        <v>21223</v>
      </c>
      <c r="D9162" s="24" t="s">
        <v>17</v>
      </c>
      <c r="E9162" s="24" t="s">
        <v>81</v>
      </c>
      <c r="F9162" s="24" t="s">
        <v>82</v>
      </c>
      <c r="G9162" s="24" t="s">
        <v>217</v>
      </c>
      <c r="H9162" s="26">
        <v>48</v>
      </c>
      <c r="I9162" s="24" t="s">
        <v>29</v>
      </c>
      <c r="J9162" s="36">
        <v>46054</v>
      </c>
      <c r="K9162" s="24" t="s">
        <v>22</v>
      </c>
    </row>
    <row r="9163" spans="1:11" x14ac:dyDescent="0.2">
      <c r="A9163" s="27" t="s">
        <v>21224</v>
      </c>
      <c r="B9163" s="27" t="s">
        <v>21225</v>
      </c>
      <c r="C9163" s="27" t="s">
        <v>21226</v>
      </c>
      <c r="D9163" s="27" t="s">
        <v>17</v>
      </c>
      <c r="E9163" s="27" t="s">
        <v>18</v>
      </c>
      <c r="F9163" s="27" t="s">
        <v>19</v>
      </c>
      <c r="G9163" s="27" t="s">
        <v>28</v>
      </c>
      <c r="H9163" s="29">
        <v>100</v>
      </c>
      <c r="I9163" s="27" t="s">
        <v>29</v>
      </c>
      <c r="J9163" s="37">
        <v>46059</v>
      </c>
      <c r="K9163" s="27" t="s">
        <v>22</v>
      </c>
    </row>
    <row r="9164" spans="1:11" x14ac:dyDescent="0.2">
      <c r="A9164" s="24" t="s">
        <v>21227</v>
      </c>
      <c r="B9164" s="24" t="s">
        <v>21228</v>
      </c>
      <c r="C9164" s="24" t="s">
        <v>437</v>
      </c>
      <c r="D9164" s="24" t="s">
        <v>17</v>
      </c>
      <c r="E9164" s="24" t="s">
        <v>42</v>
      </c>
      <c r="F9164" s="24" t="s">
        <v>43</v>
      </c>
      <c r="G9164" s="24" t="s">
        <v>28</v>
      </c>
      <c r="H9164" s="26">
        <v>270</v>
      </c>
      <c r="I9164" s="24" t="s">
        <v>29</v>
      </c>
      <c r="J9164" s="36">
        <v>46062</v>
      </c>
      <c r="K9164" s="24" t="s">
        <v>22</v>
      </c>
    </row>
    <row r="9165" spans="1:11" x14ac:dyDescent="0.2">
      <c r="A9165" s="27" t="s">
        <v>21229</v>
      </c>
      <c r="B9165" s="27" t="s">
        <v>21230</v>
      </c>
      <c r="C9165" s="27" t="s">
        <v>21231</v>
      </c>
      <c r="D9165" s="27" t="s">
        <v>17</v>
      </c>
      <c r="E9165" s="27" t="s">
        <v>42</v>
      </c>
      <c r="F9165" s="27" t="s">
        <v>43</v>
      </c>
      <c r="G9165" s="27" t="s">
        <v>28</v>
      </c>
      <c r="H9165" s="29">
        <v>1900</v>
      </c>
      <c r="I9165" s="27" t="s">
        <v>29</v>
      </c>
      <c r="J9165" s="37">
        <v>46054</v>
      </c>
      <c r="K9165" s="27" t="s">
        <v>22</v>
      </c>
    </row>
    <row r="9166" spans="1:11" x14ac:dyDescent="0.2">
      <c r="A9166" s="24" t="s">
        <v>21232</v>
      </c>
      <c r="B9166" s="24" t="s">
        <v>21233</v>
      </c>
      <c r="C9166" s="24" t="s">
        <v>20824</v>
      </c>
      <c r="D9166" s="24" t="s">
        <v>17</v>
      </c>
      <c r="E9166" s="24" t="s">
        <v>48</v>
      </c>
      <c r="F9166" s="24" t="s">
        <v>49</v>
      </c>
      <c r="G9166" s="24" t="s">
        <v>28</v>
      </c>
      <c r="H9166" s="26">
        <v>120</v>
      </c>
      <c r="I9166" s="24" t="s">
        <v>29</v>
      </c>
      <c r="J9166" s="36">
        <v>46055</v>
      </c>
      <c r="K9166" s="24" t="s">
        <v>22</v>
      </c>
    </row>
    <row r="9167" spans="1:11" x14ac:dyDescent="0.2">
      <c r="A9167" s="27" t="s">
        <v>21234</v>
      </c>
      <c r="B9167" s="27" t="s">
        <v>21235</v>
      </c>
      <c r="C9167" s="27" t="s">
        <v>1276</v>
      </c>
      <c r="D9167" s="27" t="s">
        <v>17</v>
      </c>
      <c r="E9167" s="27" t="s">
        <v>48</v>
      </c>
      <c r="F9167" s="27" t="s">
        <v>49</v>
      </c>
      <c r="G9167" s="27" t="s">
        <v>28</v>
      </c>
      <c r="H9167" s="29">
        <v>40</v>
      </c>
      <c r="I9167" s="27" t="s">
        <v>29</v>
      </c>
      <c r="J9167" s="37">
        <v>46058</v>
      </c>
      <c r="K9167" s="27" t="s">
        <v>22</v>
      </c>
    </row>
    <row r="9168" spans="1:11" x14ac:dyDescent="0.2">
      <c r="A9168" s="24" t="s">
        <v>21236</v>
      </c>
      <c r="B9168" s="24" t="s">
        <v>21237</v>
      </c>
      <c r="C9168" s="24" t="s">
        <v>15830</v>
      </c>
      <c r="D9168" s="24" t="s">
        <v>17</v>
      </c>
      <c r="E9168" s="24" t="s">
        <v>18</v>
      </c>
      <c r="F9168" s="24" t="s">
        <v>19</v>
      </c>
      <c r="G9168" s="24" t="s">
        <v>217</v>
      </c>
      <c r="H9168" s="26">
        <v>92</v>
      </c>
      <c r="I9168" s="24" t="s">
        <v>29</v>
      </c>
      <c r="J9168" s="36">
        <v>46056</v>
      </c>
      <c r="K9168" s="24" t="s">
        <v>22</v>
      </c>
    </row>
    <row r="9169" spans="1:11" x14ac:dyDescent="0.2">
      <c r="A9169" s="27" t="s">
        <v>21238</v>
      </c>
      <c r="B9169" s="27" t="s">
        <v>21239</v>
      </c>
      <c r="C9169" s="27" t="s">
        <v>21240</v>
      </c>
      <c r="D9169" s="27" t="s">
        <v>17</v>
      </c>
      <c r="E9169" s="27" t="s">
        <v>18</v>
      </c>
      <c r="F9169" s="27" t="s">
        <v>19</v>
      </c>
      <c r="G9169" s="27" t="s">
        <v>28</v>
      </c>
      <c r="H9169" s="29">
        <v>84</v>
      </c>
      <c r="I9169" s="27" t="s">
        <v>29</v>
      </c>
      <c r="J9169" s="37">
        <v>46070</v>
      </c>
      <c r="K9169" s="27" t="s">
        <v>22</v>
      </c>
    </row>
    <row r="9170" spans="1:11" x14ac:dyDescent="0.2">
      <c r="A9170" s="24" t="s">
        <v>21241</v>
      </c>
      <c r="B9170" s="24" t="s">
        <v>21242</v>
      </c>
      <c r="C9170" s="24" t="s">
        <v>21243</v>
      </c>
      <c r="D9170" s="24" t="s">
        <v>17</v>
      </c>
      <c r="E9170" s="24" t="s">
        <v>48</v>
      </c>
      <c r="F9170" s="24" t="s">
        <v>49</v>
      </c>
      <c r="G9170" s="24" t="s">
        <v>217</v>
      </c>
      <c r="H9170" s="26">
        <v>168</v>
      </c>
      <c r="I9170" s="24" t="s">
        <v>29</v>
      </c>
      <c r="J9170" s="36">
        <v>46076</v>
      </c>
      <c r="K9170" s="24" t="s">
        <v>22</v>
      </c>
    </row>
    <row r="9171" spans="1:11" x14ac:dyDescent="0.2">
      <c r="A9171" s="27" t="s">
        <v>21244</v>
      </c>
      <c r="B9171" s="27" t="s">
        <v>21245</v>
      </c>
      <c r="C9171" s="27" t="s">
        <v>220</v>
      </c>
      <c r="D9171" s="27" t="s">
        <v>17</v>
      </c>
      <c r="E9171" s="27" t="s">
        <v>48</v>
      </c>
      <c r="F9171" s="27" t="s">
        <v>49</v>
      </c>
      <c r="G9171" s="27" t="s">
        <v>28</v>
      </c>
      <c r="H9171" s="29">
        <v>84</v>
      </c>
      <c r="I9171" s="27" t="s">
        <v>29</v>
      </c>
      <c r="J9171" s="37">
        <v>46061</v>
      </c>
      <c r="K9171" s="27" t="s">
        <v>22</v>
      </c>
    </row>
    <row r="9172" spans="1:11" x14ac:dyDescent="0.2">
      <c r="A9172" s="24" t="s">
        <v>21246</v>
      </c>
      <c r="B9172" s="24" t="s">
        <v>21247</v>
      </c>
      <c r="C9172" s="24" t="s">
        <v>1212</v>
      </c>
      <c r="D9172" s="24" t="s">
        <v>17</v>
      </c>
      <c r="E9172" s="24" t="s">
        <v>48</v>
      </c>
      <c r="F9172" s="24" t="s">
        <v>49</v>
      </c>
      <c r="G9172" s="24" t="s">
        <v>217</v>
      </c>
      <c r="H9172" s="26">
        <v>44</v>
      </c>
      <c r="I9172" s="24" t="s">
        <v>29</v>
      </c>
      <c r="J9172" s="36">
        <v>46054</v>
      </c>
      <c r="K9172" s="24" t="s">
        <v>22</v>
      </c>
    </row>
    <row r="9173" spans="1:11" x14ac:dyDescent="0.2">
      <c r="A9173" s="27" t="s">
        <v>21248</v>
      </c>
      <c r="B9173" s="27" t="s">
        <v>21249</v>
      </c>
      <c r="C9173" s="27" t="s">
        <v>20315</v>
      </c>
      <c r="D9173" s="27" t="s">
        <v>17</v>
      </c>
      <c r="E9173" s="27" t="s">
        <v>81</v>
      </c>
      <c r="F9173" s="27" t="s">
        <v>82</v>
      </c>
      <c r="G9173" s="27" t="s">
        <v>28</v>
      </c>
      <c r="H9173" s="29">
        <v>54</v>
      </c>
      <c r="I9173" s="27" t="s">
        <v>29</v>
      </c>
      <c r="J9173" s="37">
        <v>46064</v>
      </c>
      <c r="K9173" s="27" t="s">
        <v>22</v>
      </c>
    </row>
    <row r="9174" spans="1:11" x14ac:dyDescent="0.2">
      <c r="A9174" s="24" t="s">
        <v>21250</v>
      </c>
      <c r="B9174" s="24" t="s">
        <v>21251</v>
      </c>
      <c r="C9174" s="24" t="s">
        <v>7226</v>
      </c>
      <c r="D9174" s="24" t="s">
        <v>17</v>
      </c>
      <c r="E9174" s="24" t="s">
        <v>33</v>
      </c>
      <c r="F9174" s="24" t="s">
        <v>34</v>
      </c>
      <c r="G9174" s="24" t="s">
        <v>217</v>
      </c>
      <c r="H9174" s="26">
        <v>800</v>
      </c>
      <c r="I9174" s="24" t="s">
        <v>29</v>
      </c>
      <c r="J9174" s="36">
        <v>46069</v>
      </c>
      <c r="K9174" s="24" t="s">
        <v>22</v>
      </c>
    </row>
    <row r="9175" spans="1:11" x14ac:dyDescent="0.2">
      <c r="A9175" s="27" t="s">
        <v>21252</v>
      </c>
      <c r="B9175" s="27" t="s">
        <v>21253</v>
      </c>
      <c r="C9175" s="27" t="s">
        <v>197</v>
      </c>
      <c r="D9175" s="27" t="s">
        <v>17</v>
      </c>
      <c r="E9175" s="27" t="s">
        <v>26</v>
      </c>
      <c r="F9175" s="27" t="s">
        <v>27</v>
      </c>
      <c r="G9175" s="27" t="s">
        <v>28</v>
      </c>
      <c r="H9175" s="29">
        <v>428</v>
      </c>
      <c r="I9175" s="27" t="s">
        <v>29</v>
      </c>
      <c r="J9175" s="37">
        <v>46058</v>
      </c>
      <c r="K9175" s="27" t="s">
        <v>22</v>
      </c>
    </row>
    <row r="9176" spans="1:11" x14ac:dyDescent="0.2">
      <c r="A9176" s="24" t="s">
        <v>21254</v>
      </c>
      <c r="B9176" s="24" t="s">
        <v>21255</v>
      </c>
      <c r="C9176" s="24" t="s">
        <v>21256</v>
      </c>
      <c r="D9176" s="24" t="s">
        <v>17</v>
      </c>
      <c r="E9176" s="24" t="s">
        <v>18</v>
      </c>
      <c r="F9176" s="24" t="s">
        <v>19</v>
      </c>
      <c r="G9176" s="24" t="s">
        <v>217</v>
      </c>
      <c r="H9176" s="26">
        <v>104</v>
      </c>
      <c r="I9176" s="24" t="s">
        <v>29</v>
      </c>
      <c r="J9176" s="36">
        <v>46054</v>
      </c>
      <c r="K9176" s="24" t="s">
        <v>22</v>
      </c>
    </row>
    <row r="9177" spans="1:11" x14ac:dyDescent="0.2">
      <c r="A9177" s="27" t="s">
        <v>21257</v>
      </c>
      <c r="B9177" s="27" t="s">
        <v>21258</v>
      </c>
      <c r="C9177" s="27" t="s">
        <v>518</v>
      </c>
      <c r="D9177" s="27" t="s">
        <v>17</v>
      </c>
      <c r="E9177" s="27" t="s">
        <v>26</v>
      </c>
      <c r="F9177" s="27" t="s">
        <v>27</v>
      </c>
      <c r="G9177" s="27" t="s">
        <v>28</v>
      </c>
      <c r="H9177" s="29">
        <v>44</v>
      </c>
      <c r="I9177" s="27" t="s">
        <v>29</v>
      </c>
      <c r="J9177" s="37">
        <v>46055</v>
      </c>
      <c r="K9177" s="27" t="s">
        <v>22</v>
      </c>
    </row>
    <row r="9178" spans="1:11" x14ac:dyDescent="0.2">
      <c r="A9178" s="24" t="s">
        <v>21259</v>
      </c>
      <c r="B9178" s="24" t="s">
        <v>21260</v>
      </c>
      <c r="C9178" s="24" t="s">
        <v>301</v>
      </c>
      <c r="D9178" s="24" t="s">
        <v>17</v>
      </c>
      <c r="E9178" s="24" t="s">
        <v>42</v>
      </c>
      <c r="F9178" s="24" t="s">
        <v>43</v>
      </c>
      <c r="G9178" s="24" t="s">
        <v>28</v>
      </c>
      <c r="H9178" s="26">
        <v>400</v>
      </c>
      <c r="I9178" s="24" t="s">
        <v>29</v>
      </c>
      <c r="J9178" s="36">
        <v>46057</v>
      </c>
      <c r="K9178" s="24" t="s">
        <v>22</v>
      </c>
    </row>
    <row r="9179" spans="1:11" x14ac:dyDescent="0.2">
      <c r="A9179" s="27" t="s">
        <v>21261</v>
      </c>
      <c r="B9179" s="27" t="s">
        <v>21262</v>
      </c>
      <c r="C9179" s="27" t="s">
        <v>21263</v>
      </c>
      <c r="D9179" s="27" t="s">
        <v>17</v>
      </c>
      <c r="E9179" s="27" t="s">
        <v>18</v>
      </c>
      <c r="F9179" s="27" t="s">
        <v>19</v>
      </c>
      <c r="G9179" s="27" t="s">
        <v>217</v>
      </c>
      <c r="H9179" s="29">
        <v>30</v>
      </c>
      <c r="I9179" s="27" t="s">
        <v>29</v>
      </c>
      <c r="J9179" s="37">
        <v>46077</v>
      </c>
      <c r="K9179" s="27" t="s">
        <v>22</v>
      </c>
    </row>
    <row r="9180" spans="1:11" x14ac:dyDescent="0.2">
      <c r="A9180" s="24" t="s">
        <v>21264</v>
      </c>
      <c r="B9180" s="24" t="s">
        <v>21265</v>
      </c>
      <c r="C9180" s="24" t="s">
        <v>1236</v>
      </c>
      <c r="D9180" s="24" t="s">
        <v>17</v>
      </c>
      <c r="E9180" s="24" t="s">
        <v>42</v>
      </c>
      <c r="F9180" s="24" t="s">
        <v>43</v>
      </c>
      <c r="G9180" s="24" t="s">
        <v>217</v>
      </c>
      <c r="H9180" s="26">
        <v>212</v>
      </c>
      <c r="I9180" s="24" t="s">
        <v>29</v>
      </c>
      <c r="J9180" s="36">
        <v>46081</v>
      </c>
      <c r="K9180" s="24" t="s">
        <v>22</v>
      </c>
    </row>
    <row r="9181" spans="1:11" x14ac:dyDescent="0.2">
      <c r="A9181" s="27" t="s">
        <v>21266</v>
      </c>
      <c r="B9181" s="27" t="s">
        <v>21267</v>
      </c>
      <c r="C9181" s="27" t="s">
        <v>197</v>
      </c>
      <c r="D9181" s="27" t="s">
        <v>17</v>
      </c>
      <c r="E9181" s="27" t="s">
        <v>42</v>
      </c>
      <c r="F9181" s="27" t="s">
        <v>43</v>
      </c>
      <c r="G9181" s="27" t="s">
        <v>28</v>
      </c>
      <c r="H9181" s="29">
        <v>614</v>
      </c>
      <c r="I9181" s="27" t="s">
        <v>29</v>
      </c>
      <c r="J9181" s="37">
        <v>46070</v>
      </c>
      <c r="K9181" s="27" t="s">
        <v>22</v>
      </c>
    </row>
    <row r="9182" spans="1:11" x14ac:dyDescent="0.2">
      <c r="A9182" s="24" t="s">
        <v>21268</v>
      </c>
      <c r="B9182" s="24" t="s">
        <v>21269</v>
      </c>
      <c r="C9182" s="24" t="s">
        <v>641</v>
      </c>
      <c r="D9182" s="24" t="s">
        <v>17</v>
      </c>
      <c r="E9182" s="24" t="s">
        <v>48</v>
      </c>
      <c r="F9182" s="24" t="s">
        <v>49</v>
      </c>
      <c r="G9182" s="24" t="s">
        <v>217</v>
      </c>
      <c r="H9182" s="26">
        <v>75</v>
      </c>
      <c r="I9182" s="24" t="s">
        <v>29</v>
      </c>
      <c r="J9182" s="36">
        <v>46054</v>
      </c>
      <c r="K9182" s="24" t="s">
        <v>22</v>
      </c>
    </row>
    <row r="9183" spans="1:11" x14ac:dyDescent="0.2">
      <c r="A9183" s="27" t="s">
        <v>21270</v>
      </c>
      <c r="B9183" s="27" t="s">
        <v>21271</v>
      </c>
      <c r="C9183" s="27" t="s">
        <v>667</v>
      </c>
      <c r="D9183" s="27" t="s">
        <v>17</v>
      </c>
      <c r="E9183" s="27" t="s">
        <v>48</v>
      </c>
      <c r="F9183" s="27" t="s">
        <v>49</v>
      </c>
      <c r="G9183" s="27" t="s">
        <v>217</v>
      </c>
      <c r="H9183" s="29">
        <v>46</v>
      </c>
      <c r="I9183" s="27" t="s">
        <v>29</v>
      </c>
      <c r="J9183" s="37">
        <v>46055</v>
      </c>
      <c r="K9183" s="27" t="s">
        <v>22</v>
      </c>
    </row>
    <row r="9184" spans="1:11" x14ac:dyDescent="0.2">
      <c r="A9184" s="24" t="s">
        <v>21272</v>
      </c>
      <c r="B9184" s="24" t="s">
        <v>21273</v>
      </c>
      <c r="C9184" s="24" t="s">
        <v>3253</v>
      </c>
      <c r="D9184" s="24" t="s">
        <v>17</v>
      </c>
      <c r="E9184" s="24" t="s">
        <v>26</v>
      </c>
      <c r="F9184" s="24" t="s">
        <v>27</v>
      </c>
      <c r="G9184" s="24" t="s">
        <v>28</v>
      </c>
      <c r="H9184" s="26">
        <v>102</v>
      </c>
      <c r="I9184" s="24" t="s">
        <v>29</v>
      </c>
      <c r="J9184" s="36">
        <v>46059</v>
      </c>
      <c r="K9184" s="24" t="s">
        <v>22</v>
      </c>
    </row>
    <row r="9185" spans="1:11" x14ac:dyDescent="0.2">
      <c r="A9185" s="27" t="s">
        <v>21274</v>
      </c>
      <c r="B9185" s="27" t="s">
        <v>21275</v>
      </c>
      <c r="C9185" s="27" t="s">
        <v>134</v>
      </c>
      <c r="D9185" s="27" t="s">
        <v>17</v>
      </c>
      <c r="E9185" s="27" t="s">
        <v>18</v>
      </c>
      <c r="F9185" s="27" t="s">
        <v>19</v>
      </c>
      <c r="G9185" s="27" t="s">
        <v>217</v>
      </c>
      <c r="H9185" s="29">
        <v>46</v>
      </c>
      <c r="I9185" s="27" t="s">
        <v>29</v>
      </c>
      <c r="J9185" s="37">
        <v>46081</v>
      </c>
      <c r="K9185" s="27" t="s">
        <v>22</v>
      </c>
    </row>
    <row r="9186" spans="1:11" x14ac:dyDescent="0.2">
      <c r="A9186" s="24" t="s">
        <v>21276</v>
      </c>
      <c r="B9186" s="24" t="s">
        <v>21277</v>
      </c>
      <c r="C9186" s="24" t="s">
        <v>1444</v>
      </c>
      <c r="D9186" s="24" t="s">
        <v>17</v>
      </c>
      <c r="E9186" s="24" t="s">
        <v>48</v>
      </c>
      <c r="F9186" s="24" t="s">
        <v>49</v>
      </c>
      <c r="G9186" s="24" t="s">
        <v>217</v>
      </c>
      <c r="H9186" s="26">
        <v>60</v>
      </c>
      <c r="I9186" s="24" t="s">
        <v>29</v>
      </c>
      <c r="J9186" s="36">
        <v>46054</v>
      </c>
      <c r="K9186" s="24" t="s">
        <v>22</v>
      </c>
    </row>
    <row r="9187" spans="1:11" x14ac:dyDescent="0.2">
      <c r="A9187" s="27" t="s">
        <v>21278</v>
      </c>
      <c r="B9187" s="27" t="s">
        <v>21279</v>
      </c>
      <c r="C9187" s="27" t="s">
        <v>21280</v>
      </c>
      <c r="D9187" s="27" t="s">
        <v>17</v>
      </c>
      <c r="E9187" s="27" t="s">
        <v>48</v>
      </c>
      <c r="F9187" s="27" t="s">
        <v>49</v>
      </c>
      <c r="G9187" s="27" t="s">
        <v>217</v>
      </c>
      <c r="H9187" s="29">
        <v>30</v>
      </c>
      <c r="I9187" s="27" t="s">
        <v>29</v>
      </c>
      <c r="J9187" s="37">
        <v>46054</v>
      </c>
      <c r="K9187" s="27" t="s">
        <v>22</v>
      </c>
    </row>
    <row r="9188" spans="1:11" x14ac:dyDescent="0.2">
      <c r="A9188" s="24" t="s">
        <v>21281</v>
      </c>
      <c r="B9188" s="24" t="s">
        <v>21282</v>
      </c>
      <c r="C9188" s="24" t="s">
        <v>1199</v>
      </c>
      <c r="D9188" s="24" t="s">
        <v>17</v>
      </c>
      <c r="E9188" s="24" t="s">
        <v>26</v>
      </c>
      <c r="F9188" s="24" t="s">
        <v>27</v>
      </c>
      <c r="G9188" s="24" t="s">
        <v>28</v>
      </c>
      <c r="H9188" s="26">
        <v>70</v>
      </c>
      <c r="I9188" s="24" t="s">
        <v>29</v>
      </c>
      <c r="J9188" s="36">
        <v>46080</v>
      </c>
      <c r="K9188" s="24" t="s">
        <v>22</v>
      </c>
    </row>
    <row r="9189" spans="1:11" x14ac:dyDescent="0.2">
      <c r="A9189" s="27" t="s">
        <v>21283</v>
      </c>
      <c r="B9189" s="27" t="s">
        <v>21284</v>
      </c>
      <c r="C9189" s="27" t="s">
        <v>743</v>
      </c>
      <c r="D9189" s="27" t="s">
        <v>17</v>
      </c>
      <c r="E9189" s="27" t="s">
        <v>48</v>
      </c>
      <c r="F9189" s="27" t="s">
        <v>49</v>
      </c>
      <c r="G9189" s="27" t="s">
        <v>217</v>
      </c>
      <c r="H9189" s="29">
        <v>90</v>
      </c>
      <c r="I9189" s="27" t="s">
        <v>29</v>
      </c>
      <c r="J9189" s="37">
        <v>46079</v>
      </c>
      <c r="K9189" s="27" t="s">
        <v>22</v>
      </c>
    </row>
    <row r="9190" spans="1:11" x14ac:dyDescent="0.2">
      <c r="A9190" s="24" t="s">
        <v>21285</v>
      </c>
      <c r="B9190" s="24" t="s">
        <v>21286</v>
      </c>
      <c r="C9190" s="24" t="s">
        <v>213</v>
      </c>
      <c r="D9190" s="24" t="s">
        <v>17</v>
      </c>
      <c r="E9190" s="24" t="s">
        <v>18</v>
      </c>
      <c r="F9190" s="24" t="s">
        <v>19</v>
      </c>
      <c r="G9190" s="24" t="s">
        <v>28</v>
      </c>
      <c r="H9190" s="26">
        <v>54</v>
      </c>
      <c r="I9190" s="24" t="s">
        <v>29</v>
      </c>
      <c r="J9190" s="36">
        <v>46057</v>
      </c>
      <c r="K9190" s="24" t="s">
        <v>22</v>
      </c>
    </row>
    <row r="9191" spans="1:11" x14ac:dyDescent="0.2">
      <c r="A9191" s="27" t="s">
        <v>21287</v>
      </c>
      <c r="B9191" s="27" t="s">
        <v>21288</v>
      </c>
      <c r="C9191" s="27" t="s">
        <v>11081</v>
      </c>
      <c r="D9191" s="27" t="s">
        <v>17</v>
      </c>
      <c r="E9191" s="27" t="s">
        <v>48</v>
      </c>
      <c r="F9191" s="27" t="s">
        <v>49</v>
      </c>
      <c r="G9191" s="27" t="s">
        <v>28</v>
      </c>
      <c r="H9191" s="29">
        <v>309</v>
      </c>
      <c r="I9191" s="27" t="s">
        <v>29</v>
      </c>
      <c r="J9191" s="37">
        <v>46055</v>
      </c>
      <c r="K9191" s="27" t="s">
        <v>22</v>
      </c>
    </row>
    <row r="9192" spans="1:11" x14ac:dyDescent="0.2">
      <c r="A9192" s="24" t="s">
        <v>21289</v>
      </c>
      <c r="B9192" s="24" t="s">
        <v>21290</v>
      </c>
      <c r="C9192" s="24" t="s">
        <v>924</v>
      </c>
      <c r="D9192" s="24" t="s">
        <v>17</v>
      </c>
      <c r="E9192" s="24" t="s">
        <v>26</v>
      </c>
      <c r="F9192" s="24" t="s">
        <v>27</v>
      </c>
      <c r="G9192" s="24" t="s">
        <v>217</v>
      </c>
      <c r="H9192" s="26">
        <v>21</v>
      </c>
      <c r="I9192" s="24" t="s">
        <v>29</v>
      </c>
      <c r="J9192" s="36">
        <v>46078</v>
      </c>
      <c r="K9192" s="24" t="s">
        <v>22</v>
      </c>
    </row>
    <row r="9193" spans="1:11" x14ac:dyDescent="0.2">
      <c r="A9193" s="27" t="s">
        <v>21291</v>
      </c>
      <c r="B9193" s="27" t="s">
        <v>21292</v>
      </c>
      <c r="C9193" s="27" t="s">
        <v>21293</v>
      </c>
      <c r="D9193" s="27" t="s">
        <v>17</v>
      </c>
      <c r="E9193" s="27" t="s">
        <v>163</v>
      </c>
      <c r="F9193" s="27" t="s">
        <v>164</v>
      </c>
      <c r="G9193" s="27" t="s">
        <v>217</v>
      </c>
      <c r="H9193" s="29">
        <v>12</v>
      </c>
      <c r="I9193" s="27" t="s">
        <v>29</v>
      </c>
      <c r="J9193" s="37">
        <v>46076</v>
      </c>
      <c r="K9193" s="27" t="s">
        <v>22</v>
      </c>
    </row>
    <row r="9194" spans="1:11" x14ac:dyDescent="0.2">
      <c r="A9194" s="24" t="s">
        <v>21294</v>
      </c>
      <c r="B9194" s="24" t="s">
        <v>21295</v>
      </c>
      <c r="C9194" s="24" t="s">
        <v>2386</v>
      </c>
      <c r="D9194" s="24" t="s">
        <v>17</v>
      </c>
      <c r="E9194" s="24" t="s">
        <v>18</v>
      </c>
      <c r="F9194" s="24" t="s">
        <v>19</v>
      </c>
      <c r="G9194" s="24" t="s">
        <v>28</v>
      </c>
      <c r="H9194" s="26">
        <v>96</v>
      </c>
      <c r="I9194" s="24" t="s">
        <v>29</v>
      </c>
      <c r="J9194" s="36">
        <v>46078</v>
      </c>
      <c r="K9194" s="24" t="s">
        <v>22</v>
      </c>
    </row>
    <row r="9195" spans="1:11" x14ac:dyDescent="0.2">
      <c r="A9195" s="27" t="s">
        <v>21296</v>
      </c>
      <c r="B9195" s="27" t="s">
        <v>21297</v>
      </c>
      <c r="C9195" s="27" t="s">
        <v>3253</v>
      </c>
      <c r="D9195" s="27" t="s">
        <v>17</v>
      </c>
      <c r="E9195" s="27" t="s">
        <v>42</v>
      </c>
      <c r="F9195" s="27" t="s">
        <v>43</v>
      </c>
      <c r="G9195" s="27" t="s">
        <v>28</v>
      </c>
      <c r="H9195" s="29">
        <v>1300</v>
      </c>
      <c r="I9195" s="27" t="s">
        <v>29</v>
      </c>
      <c r="J9195" s="37">
        <v>46071</v>
      </c>
      <c r="K9195" s="27" t="s">
        <v>22</v>
      </c>
    </row>
    <row r="9196" spans="1:11" x14ac:dyDescent="0.2">
      <c r="A9196" s="24" t="s">
        <v>21298</v>
      </c>
      <c r="B9196" s="24" t="s">
        <v>21299</v>
      </c>
      <c r="C9196" s="24" t="s">
        <v>3253</v>
      </c>
      <c r="D9196" s="24" t="s">
        <v>17</v>
      </c>
      <c r="E9196" s="24" t="s">
        <v>18</v>
      </c>
      <c r="F9196" s="24" t="s">
        <v>19</v>
      </c>
      <c r="G9196" s="24" t="s">
        <v>217</v>
      </c>
      <c r="H9196" s="26">
        <v>6</v>
      </c>
      <c r="I9196" s="24" t="s">
        <v>29</v>
      </c>
      <c r="J9196" s="36">
        <v>46069</v>
      </c>
      <c r="K9196" s="24" t="s">
        <v>22</v>
      </c>
    </row>
    <row r="9197" spans="1:11" x14ac:dyDescent="0.2">
      <c r="A9197" s="27" t="s">
        <v>21300</v>
      </c>
      <c r="B9197" s="27" t="s">
        <v>21301</v>
      </c>
      <c r="C9197" s="27" t="s">
        <v>5978</v>
      </c>
      <c r="D9197" s="27" t="s">
        <v>17</v>
      </c>
      <c r="E9197" s="27" t="s">
        <v>48</v>
      </c>
      <c r="F9197" s="27" t="s">
        <v>49</v>
      </c>
      <c r="G9197" s="27" t="s">
        <v>217</v>
      </c>
      <c r="H9197" s="29">
        <v>210</v>
      </c>
      <c r="I9197" s="27" t="s">
        <v>29</v>
      </c>
      <c r="J9197" s="37">
        <v>46054</v>
      </c>
      <c r="K9197" s="27" t="s">
        <v>22</v>
      </c>
    </row>
    <row r="9198" spans="1:11" x14ac:dyDescent="0.2">
      <c r="A9198" s="24" t="s">
        <v>21302</v>
      </c>
      <c r="B9198" s="24" t="s">
        <v>21303</v>
      </c>
      <c r="C9198" s="24" t="s">
        <v>20941</v>
      </c>
      <c r="D9198" s="24" t="s">
        <v>17</v>
      </c>
      <c r="E9198" s="24" t="s">
        <v>26</v>
      </c>
      <c r="F9198" s="24" t="s">
        <v>27</v>
      </c>
      <c r="G9198" s="24" t="s">
        <v>28</v>
      </c>
      <c r="H9198" s="26">
        <v>48</v>
      </c>
      <c r="I9198" s="24" t="s">
        <v>29</v>
      </c>
      <c r="J9198" s="36">
        <v>46054</v>
      </c>
      <c r="K9198" s="24" t="s">
        <v>22</v>
      </c>
    </row>
    <row r="9199" spans="1:11" x14ac:dyDescent="0.2">
      <c r="A9199" s="27" t="s">
        <v>21304</v>
      </c>
      <c r="B9199" s="27" t="s">
        <v>21305</v>
      </c>
      <c r="C9199" s="27" t="s">
        <v>2367</v>
      </c>
      <c r="D9199" s="27" t="s">
        <v>17</v>
      </c>
      <c r="E9199" s="27" t="s">
        <v>42</v>
      </c>
      <c r="F9199" s="27" t="s">
        <v>43</v>
      </c>
      <c r="G9199" s="27" t="s">
        <v>28</v>
      </c>
      <c r="H9199" s="29">
        <v>333</v>
      </c>
      <c r="I9199" s="27" t="s">
        <v>29</v>
      </c>
      <c r="J9199" s="37">
        <v>46058</v>
      </c>
      <c r="K9199" s="27" t="s">
        <v>22</v>
      </c>
    </row>
    <row r="9200" spans="1:11" x14ac:dyDescent="0.2">
      <c r="A9200" s="24" t="s">
        <v>21306</v>
      </c>
      <c r="B9200" s="24" t="s">
        <v>21307</v>
      </c>
      <c r="C9200" s="24" t="s">
        <v>21308</v>
      </c>
      <c r="D9200" s="24" t="s">
        <v>17</v>
      </c>
      <c r="E9200" s="24" t="s">
        <v>26</v>
      </c>
      <c r="F9200" s="24" t="s">
        <v>27</v>
      </c>
      <c r="G9200" s="24" t="s">
        <v>28</v>
      </c>
      <c r="H9200" s="26">
        <v>728</v>
      </c>
      <c r="I9200" s="24" t="s">
        <v>29</v>
      </c>
      <c r="J9200" s="36">
        <v>46078</v>
      </c>
      <c r="K9200" s="24" t="s">
        <v>22</v>
      </c>
    </row>
    <row r="9201" spans="1:11" x14ac:dyDescent="0.2">
      <c r="A9201" s="27" t="s">
        <v>21309</v>
      </c>
      <c r="B9201" s="27" t="s">
        <v>21310</v>
      </c>
      <c r="C9201" s="27" t="s">
        <v>9947</v>
      </c>
      <c r="D9201" s="27" t="s">
        <v>17</v>
      </c>
      <c r="E9201" s="27" t="s">
        <v>163</v>
      </c>
      <c r="F9201" s="27" t="s">
        <v>164</v>
      </c>
      <c r="G9201" s="27" t="s">
        <v>28</v>
      </c>
      <c r="H9201" s="29">
        <v>12</v>
      </c>
      <c r="I9201" s="27" t="s">
        <v>29</v>
      </c>
      <c r="J9201" s="37">
        <v>46057</v>
      </c>
      <c r="K9201" s="27" t="s">
        <v>22</v>
      </c>
    </row>
    <row r="9202" spans="1:11" x14ac:dyDescent="0.2">
      <c r="A9202" s="24" t="s">
        <v>21311</v>
      </c>
      <c r="B9202" s="24" t="s">
        <v>21312</v>
      </c>
      <c r="C9202" s="24" t="s">
        <v>526</v>
      </c>
      <c r="D9202" s="24" t="s">
        <v>17</v>
      </c>
      <c r="E9202" s="24" t="s">
        <v>48</v>
      </c>
      <c r="F9202" s="24" t="s">
        <v>49</v>
      </c>
      <c r="G9202" s="24" t="s">
        <v>28</v>
      </c>
      <c r="H9202" s="26">
        <v>150</v>
      </c>
      <c r="I9202" s="24" t="s">
        <v>29</v>
      </c>
      <c r="J9202" s="36">
        <v>46069</v>
      </c>
      <c r="K9202" s="24" t="s">
        <v>22</v>
      </c>
    </row>
    <row r="9203" spans="1:11" x14ac:dyDescent="0.2">
      <c r="A9203" s="27" t="s">
        <v>21313</v>
      </c>
      <c r="B9203" s="27" t="s">
        <v>21314</v>
      </c>
      <c r="C9203" s="27" t="s">
        <v>21218</v>
      </c>
      <c r="D9203" s="27" t="s">
        <v>17</v>
      </c>
      <c r="E9203" s="27" t="s">
        <v>48</v>
      </c>
      <c r="F9203" s="27" t="s">
        <v>49</v>
      </c>
      <c r="G9203" s="27" t="s">
        <v>28</v>
      </c>
      <c r="H9203" s="29">
        <v>100</v>
      </c>
      <c r="I9203" s="27" t="s">
        <v>29</v>
      </c>
      <c r="J9203" s="37">
        <v>46071</v>
      </c>
      <c r="K9203" s="27" t="s">
        <v>22</v>
      </c>
    </row>
    <row r="9204" spans="1:11" x14ac:dyDescent="0.2">
      <c r="A9204" s="24" t="s">
        <v>21315</v>
      </c>
      <c r="B9204" s="24" t="s">
        <v>21316</v>
      </c>
      <c r="C9204" s="24" t="s">
        <v>526</v>
      </c>
      <c r="D9204" s="24" t="s">
        <v>17</v>
      </c>
      <c r="E9204" s="24" t="s">
        <v>42</v>
      </c>
      <c r="F9204" s="24" t="s">
        <v>43</v>
      </c>
      <c r="G9204" s="24" t="s">
        <v>28</v>
      </c>
      <c r="H9204" s="26">
        <v>900</v>
      </c>
      <c r="I9204" s="24" t="s">
        <v>29</v>
      </c>
      <c r="J9204" s="36">
        <v>46063</v>
      </c>
      <c r="K9204" s="24" t="s">
        <v>22</v>
      </c>
    </row>
    <row r="9205" spans="1:11" x14ac:dyDescent="0.2">
      <c r="A9205" s="27" t="s">
        <v>21317</v>
      </c>
      <c r="B9205" s="27" t="s">
        <v>21318</v>
      </c>
      <c r="C9205" s="27" t="s">
        <v>494</v>
      </c>
      <c r="D9205" s="27" t="s">
        <v>17</v>
      </c>
      <c r="E9205" s="27" t="s">
        <v>42</v>
      </c>
      <c r="F9205" s="27" t="s">
        <v>43</v>
      </c>
      <c r="G9205" s="27" t="s">
        <v>217</v>
      </c>
      <c r="H9205" s="29">
        <v>177</v>
      </c>
      <c r="I9205" s="27" t="s">
        <v>29</v>
      </c>
      <c r="J9205" s="37">
        <v>46054</v>
      </c>
      <c r="K9205" s="27" t="s">
        <v>22</v>
      </c>
    </row>
    <row r="9206" spans="1:11" x14ac:dyDescent="0.2">
      <c r="A9206" s="24" t="s">
        <v>21319</v>
      </c>
      <c r="B9206" s="24" t="s">
        <v>21320</v>
      </c>
      <c r="C9206" s="24" t="s">
        <v>429</v>
      </c>
      <c r="D9206" s="24" t="s">
        <v>17</v>
      </c>
      <c r="E9206" s="24" t="s">
        <v>48</v>
      </c>
      <c r="F9206" s="24" t="s">
        <v>49</v>
      </c>
      <c r="G9206" s="24" t="s">
        <v>217</v>
      </c>
      <c r="H9206" s="26">
        <v>10</v>
      </c>
      <c r="I9206" s="24" t="s">
        <v>29</v>
      </c>
      <c r="J9206" s="36">
        <v>46057</v>
      </c>
      <c r="K9206" s="24" t="s">
        <v>22</v>
      </c>
    </row>
    <row r="9207" spans="1:11" x14ac:dyDescent="0.2">
      <c r="A9207" s="27" t="s">
        <v>21321</v>
      </c>
      <c r="B9207" s="27" t="s">
        <v>21322</v>
      </c>
      <c r="C9207" s="27" t="s">
        <v>3071</v>
      </c>
      <c r="D9207" s="27" t="s">
        <v>17</v>
      </c>
      <c r="E9207" s="27" t="s">
        <v>18</v>
      </c>
      <c r="F9207" s="27" t="s">
        <v>19</v>
      </c>
      <c r="G9207" s="27" t="s">
        <v>217</v>
      </c>
      <c r="H9207" s="29">
        <v>27</v>
      </c>
      <c r="I9207" s="27" t="s">
        <v>29</v>
      </c>
      <c r="J9207" s="37">
        <v>46054</v>
      </c>
      <c r="K9207" s="27" t="s">
        <v>22</v>
      </c>
    </row>
    <row r="9208" spans="1:11" x14ac:dyDescent="0.2">
      <c r="A9208" s="24" t="s">
        <v>21323</v>
      </c>
      <c r="B9208" s="24" t="s">
        <v>21324</v>
      </c>
      <c r="C9208" s="24" t="s">
        <v>85</v>
      </c>
      <c r="D9208" s="24" t="s">
        <v>17</v>
      </c>
      <c r="E9208" s="24" t="s">
        <v>48</v>
      </c>
      <c r="F9208" s="24" t="s">
        <v>49</v>
      </c>
      <c r="G9208" s="24" t="s">
        <v>28</v>
      </c>
      <c r="H9208" s="26">
        <v>200</v>
      </c>
      <c r="I9208" s="24" t="s">
        <v>29</v>
      </c>
      <c r="J9208" s="36">
        <v>46057</v>
      </c>
      <c r="K9208" s="24" t="s">
        <v>22</v>
      </c>
    </row>
    <row r="9209" spans="1:11" x14ac:dyDescent="0.2">
      <c r="A9209" s="27" t="s">
        <v>21325</v>
      </c>
      <c r="B9209" s="27" t="s">
        <v>21326</v>
      </c>
      <c r="C9209" s="27" t="s">
        <v>68</v>
      </c>
      <c r="D9209" s="27" t="s">
        <v>17</v>
      </c>
      <c r="E9209" s="27" t="s">
        <v>48</v>
      </c>
      <c r="F9209" s="27" t="s">
        <v>49</v>
      </c>
      <c r="G9209" s="27" t="s">
        <v>217</v>
      </c>
      <c r="H9209" s="29">
        <v>60</v>
      </c>
      <c r="I9209" s="27" t="s">
        <v>29</v>
      </c>
      <c r="J9209" s="37">
        <v>46054</v>
      </c>
      <c r="K9209" s="27" t="s">
        <v>22</v>
      </c>
    </row>
    <row r="9210" spans="1:11" x14ac:dyDescent="0.2">
      <c r="A9210" s="24" t="s">
        <v>21327</v>
      </c>
      <c r="B9210" s="24" t="s">
        <v>21328</v>
      </c>
      <c r="C9210" s="24" t="s">
        <v>97</v>
      </c>
      <c r="D9210" s="24" t="s">
        <v>17</v>
      </c>
      <c r="E9210" s="24" t="s">
        <v>18</v>
      </c>
      <c r="F9210" s="24" t="s">
        <v>19</v>
      </c>
      <c r="G9210" s="24" t="s">
        <v>28</v>
      </c>
      <c r="H9210" s="26">
        <v>40</v>
      </c>
      <c r="I9210" s="24" t="s">
        <v>29</v>
      </c>
      <c r="J9210" s="36">
        <v>46077</v>
      </c>
      <c r="K9210" s="24" t="s">
        <v>22</v>
      </c>
    </row>
    <row r="9211" spans="1:11" x14ac:dyDescent="0.2">
      <c r="A9211" s="27" t="s">
        <v>21329</v>
      </c>
      <c r="B9211" s="27" t="s">
        <v>21330</v>
      </c>
      <c r="C9211" s="27" t="s">
        <v>687</v>
      </c>
      <c r="D9211" s="27" t="s">
        <v>17</v>
      </c>
      <c r="E9211" s="27" t="s">
        <v>42</v>
      </c>
      <c r="F9211" s="27" t="s">
        <v>43</v>
      </c>
      <c r="G9211" s="27" t="s">
        <v>28</v>
      </c>
      <c r="H9211" s="29">
        <v>1150</v>
      </c>
      <c r="I9211" s="27" t="s">
        <v>29</v>
      </c>
      <c r="J9211" s="37">
        <v>46077</v>
      </c>
      <c r="K9211" s="27" t="s">
        <v>22</v>
      </c>
    </row>
    <row r="9212" spans="1:11" x14ac:dyDescent="0.2">
      <c r="A9212" s="24" t="s">
        <v>21331</v>
      </c>
      <c r="B9212" s="24" t="s">
        <v>21332</v>
      </c>
      <c r="C9212" s="24" t="s">
        <v>68</v>
      </c>
      <c r="D9212" s="24" t="s">
        <v>17</v>
      </c>
      <c r="E9212" s="24" t="s">
        <v>42</v>
      </c>
      <c r="F9212" s="24" t="s">
        <v>43</v>
      </c>
      <c r="G9212" s="24" t="s">
        <v>28</v>
      </c>
      <c r="H9212" s="26">
        <v>370</v>
      </c>
      <c r="I9212" s="24" t="s">
        <v>29</v>
      </c>
      <c r="J9212" s="36">
        <v>46055</v>
      </c>
      <c r="K9212" s="24" t="s">
        <v>22</v>
      </c>
    </row>
    <row r="9213" spans="1:11" x14ac:dyDescent="0.2">
      <c r="A9213" s="27" t="s">
        <v>21333</v>
      </c>
      <c r="B9213" s="27" t="s">
        <v>21334</v>
      </c>
      <c r="C9213" s="27" t="s">
        <v>8567</v>
      </c>
      <c r="D9213" s="27" t="s">
        <v>17</v>
      </c>
      <c r="E9213" s="27" t="s">
        <v>42</v>
      </c>
      <c r="F9213" s="27" t="s">
        <v>43</v>
      </c>
      <c r="G9213" s="27" t="s">
        <v>28</v>
      </c>
      <c r="H9213" s="29">
        <v>720</v>
      </c>
      <c r="I9213" s="27" t="s">
        <v>29</v>
      </c>
      <c r="J9213" s="37">
        <v>46062</v>
      </c>
      <c r="K9213" s="27" t="s">
        <v>22</v>
      </c>
    </row>
    <row r="9214" spans="1:11" x14ac:dyDescent="0.2">
      <c r="A9214" s="24" t="s">
        <v>21335</v>
      </c>
      <c r="B9214" s="24" t="s">
        <v>21336</v>
      </c>
      <c r="C9214" s="24" t="s">
        <v>20852</v>
      </c>
      <c r="D9214" s="24" t="s">
        <v>17</v>
      </c>
      <c r="E9214" s="24" t="s">
        <v>42</v>
      </c>
      <c r="F9214" s="24" t="s">
        <v>43</v>
      </c>
      <c r="G9214" s="24" t="s">
        <v>217</v>
      </c>
      <c r="H9214" s="26">
        <v>60</v>
      </c>
      <c r="I9214" s="24" t="s">
        <v>29</v>
      </c>
      <c r="J9214" s="36">
        <v>46054</v>
      </c>
      <c r="K9214" s="24" t="s">
        <v>22</v>
      </c>
    </row>
    <row r="9215" spans="1:11" x14ac:dyDescent="0.2">
      <c r="A9215" s="27" t="s">
        <v>21337</v>
      </c>
      <c r="B9215" s="27" t="s">
        <v>21338</v>
      </c>
      <c r="C9215" s="27" t="s">
        <v>1147</v>
      </c>
      <c r="D9215" s="27" t="s">
        <v>17</v>
      </c>
      <c r="E9215" s="27" t="s">
        <v>48</v>
      </c>
      <c r="F9215" s="27" t="s">
        <v>49</v>
      </c>
      <c r="G9215" s="27" t="s">
        <v>28</v>
      </c>
      <c r="H9215" s="29">
        <v>108</v>
      </c>
      <c r="I9215" s="27" t="s">
        <v>29</v>
      </c>
      <c r="J9215" s="37">
        <v>46078</v>
      </c>
      <c r="K9215" s="27" t="s">
        <v>22</v>
      </c>
    </row>
    <row r="9216" spans="1:11" x14ac:dyDescent="0.2">
      <c r="A9216" s="24" t="s">
        <v>21339</v>
      </c>
      <c r="B9216" s="24" t="s">
        <v>21340</v>
      </c>
      <c r="C9216" s="24" t="s">
        <v>13069</v>
      </c>
      <c r="D9216" s="24" t="s">
        <v>17</v>
      </c>
      <c r="E9216" s="24" t="s">
        <v>18</v>
      </c>
      <c r="F9216" s="24" t="s">
        <v>19</v>
      </c>
      <c r="G9216" s="24" t="s">
        <v>217</v>
      </c>
      <c r="H9216" s="26">
        <v>56</v>
      </c>
      <c r="I9216" s="24" t="s">
        <v>29</v>
      </c>
      <c r="J9216" s="36">
        <v>46057</v>
      </c>
      <c r="K9216" s="24" t="s">
        <v>22</v>
      </c>
    </row>
    <row r="9217" spans="1:11" x14ac:dyDescent="0.2">
      <c r="A9217" s="27" t="s">
        <v>21341</v>
      </c>
      <c r="B9217" s="27" t="s">
        <v>21342</v>
      </c>
      <c r="C9217" s="27" t="s">
        <v>1260</v>
      </c>
      <c r="D9217" s="27" t="s">
        <v>17</v>
      </c>
      <c r="E9217" s="27" t="s">
        <v>48</v>
      </c>
      <c r="F9217" s="27" t="s">
        <v>49</v>
      </c>
      <c r="G9217" s="27" t="s">
        <v>28</v>
      </c>
      <c r="H9217" s="29">
        <v>150</v>
      </c>
      <c r="I9217" s="27" t="s">
        <v>29</v>
      </c>
      <c r="J9217" s="37">
        <v>46064</v>
      </c>
      <c r="K9217" s="27" t="s">
        <v>22</v>
      </c>
    </row>
    <row r="9218" spans="1:11" x14ac:dyDescent="0.2">
      <c r="A9218" s="24" t="s">
        <v>21343</v>
      </c>
      <c r="B9218" s="24" t="s">
        <v>21344</v>
      </c>
      <c r="C9218" s="24" t="s">
        <v>708</v>
      </c>
      <c r="D9218" s="24" t="s">
        <v>17</v>
      </c>
      <c r="E9218" s="24" t="s">
        <v>42</v>
      </c>
      <c r="F9218" s="24" t="s">
        <v>43</v>
      </c>
      <c r="G9218" s="24" t="s">
        <v>217</v>
      </c>
      <c r="H9218" s="26">
        <v>28</v>
      </c>
      <c r="I9218" s="24" t="s">
        <v>29</v>
      </c>
      <c r="J9218" s="36">
        <v>46080</v>
      </c>
      <c r="K9218" s="24" t="s">
        <v>22</v>
      </c>
    </row>
    <row r="9219" spans="1:11" x14ac:dyDescent="0.2">
      <c r="A9219" s="27" t="s">
        <v>21345</v>
      </c>
      <c r="B9219" s="27" t="s">
        <v>21346</v>
      </c>
      <c r="C9219" s="27" t="s">
        <v>21347</v>
      </c>
      <c r="D9219" s="27" t="s">
        <v>17</v>
      </c>
      <c r="E9219" s="27" t="s">
        <v>18</v>
      </c>
      <c r="F9219" s="27" t="s">
        <v>19</v>
      </c>
      <c r="G9219" s="27" t="s">
        <v>28</v>
      </c>
      <c r="H9219" s="29">
        <v>6</v>
      </c>
      <c r="I9219" s="27" t="s">
        <v>29</v>
      </c>
      <c r="J9219" s="37">
        <v>46061</v>
      </c>
      <c r="K9219" s="27" t="s">
        <v>22</v>
      </c>
    </row>
    <row r="9220" spans="1:11" x14ac:dyDescent="0.2">
      <c r="A9220" s="24" t="s">
        <v>21348</v>
      </c>
      <c r="B9220" s="24" t="s">
        <v>21349</v>
      </c>
      <c r="C9220" s="24" t="s">
        <v>140</v>
      </c>
      <c r="D9220" s="24" t="s">
        <v>17</v>
      </c>
      <c r="E9220" s="24" t="s">
        <v>48</v>
      </c>
      <c r="F9220" s="24" t="s">
        <v>49</v>
      </c>
      <c r="G9220" s="24" t="s">
        <v>28</v>
      </c>
      <c r="H9220" s="26">
        <v>150</v>
      </c>
      <c r="I9220" s="24" t="s">
        <v>29</v>
      </c>
      <c r="J9220" s="36">
        <v>46056</v>
      </c>
      <c r="K9220" s="24" t="s">
        <v>22</v>
      </c>
    </row>
    <row r="9221" spans="1:11" x14ac:dyDescent="0.2">
      <c r="A9221" s="27" t="s">
        <v>21350</v>
      </c>
      <c r="B9221" s="27" t="s">
        <v>21351</v>
      </c>
      <c r="C9221" s="27" t="s">
        <v>4128</v>
      </c>
      <c r="D9221" s="27" t="s">
        <v>17</v>
      </c>
      <c r="E9221" s="27" t="s">
        <v>48</v>
      </c>
      <c r="F9221" s="27" t="s">
        <v>49</v>
      </c>
      <c r="G9221" s="27" t="s">
        <v>217</v>
      </c>
      <c r="H9221" s="29">
        <v>180</v>
      </c>
      <c r="I9221" s="27" t="s">
        <v>29</v>
      </c>
      <c r="J9221" s="37">
        <v>46054</v>
      </c>
      <c r="K9221" s="27" t="s">
        <v>22</v>
      </c>
    </row>
    <row r="9222" spans="1:11" x14ac:dyDescent="0.2">
      <c r="A9222" s="24" t="s">
        <v>21352</v>
      </c>
      <c r="B9222" s="24" t="s">
        <v>21353</v>
      </c>
      <c r="C9222" s="24" t="s">
        <v>3692</v>
      </c>
      <c r="D9222" s="24" t="s">
        <v>17</v>
      </c>
      <c r="E9222" s="24" t="s">
        <v>18</v>
      </c>
      <c r="F9222" s="24" t="s">
        <v>19</v>
      </c>
      <c r="G9222" s="24" t="s">
        <v>28</v>
      </c>
      <c r="H9222" s="26">
        <v>18</v>
      </c>
      <c r="I9222" s="24" t="s">
        <v>29</v>
      </c>
      <c r="J9222" s="36">
        <v>46076</v>
      </c>
      <c r="K9222" s="24" t="s">
        <v>22</v>
      </c>
    </row>
    <row r="9223" spans="1:11" x14ac:dyDescent="0.2">
      <c r="A9223" s="27" t="s">
        <v>21354</v>
      </c>
      <c r="B9223" s="27" t="s">
        <v>21355</v>
      </c>
      <c r="C9223" s="27" t="s">
        <v>177</v>
      </c>
      <c r="D9223" s="27" t="s">
        <v>17</v>
      </c>
      <c r="E9223" s="27" t="s">
        <v>18</v>
      </c>
      <c r="F9223" s="27" t="s">
        <v>19</v>
      </c>
      <c r="G9223" s="27" t="s">
        <v>44</v>
      </c>
      <c r="H9223" s="29">
        <v>8</v>
      </c>
      <c r="I9223" s="27" t="s">
        <v>29</v>
      </c>
      <c r="J9223" s="37">
        <v>46056</v>
      </c>
      <c r="K9223" s="27" t="s">
        <v>22</v>
      </c>
    </row>
    <row r="9224" spans="1:11" x14ac:dyDescent="0.2">
      <c r="A9224" s="24" t="s">
        <v>21356</v>
      </c>
      <c r="B9224" s="24" t="s">
        <v>21357</v>
      </c>
      <c r="C9224" s="24" t="s">
        <v>20824</v>
      </c>
      <c r="D9224" s="24" t="s">
        <v>17</v>
      </c>
      <c r="E9224" s="24" t="s">
        <v>48</v>
      </c>
      <c r="F9224" s="24" t="s">
        <v>49</v>
      </c>
      <c r="G9224" s="24" t="s">
        <v>28</v>
      </c>
      <c r="H9224" s="26">
        <v>300</v>
      </c>
      <c r="I9224" s="24" t="s">
        <v>29</v>
      </c>
      <c r="J9224" s="36">
        <v>46068</v>
      </c>
      <c r="K9224" s="24" t="s">
        <v>22</v>
      </c>
    </row>
    <row r="9225" spans="1:11" x14ac:dyDescent="0.2">
      <c r="A9225" s="27" t="s">
        <v>21358</v>
      </c>
      <c r="B9225" s="27" t="s">
        <v>21359</v>
      </c>
      <c r="C9225" s="27" t="s">
        <v>21360</v>
      </c>
      <c r="D9225" s="27" t="s">
        <v>17</v>
      </c>
      <c r="E9225" s="27" t="s">
        <v>26</v>
      </c>
      <c r="F9225" s="27" t="s">
        <v>27</v>
      </c>
      <c r="G9225" s="27" t="s">
        <v>28</v>
      </c>
      <c r="H9225" s="29">
        <v>50</v>
      </c>
      <c r="I9225" s="27" t="s">
        <v>29</v>
      </c>
      <c r="J9225" s="37">
        <v>46062</v>
      </c>
      <c r="K9225" s="27" t="s">
        <v>22</v>
      </c>
    </row>
    <row r="9226" spans="1:11" x14ac:dyDescent="0.2">
      <c r="A9226" s="24" t="s">
        <v>21361</v>
      </c>
      <c r="B9226" s="24" t="s">
        <v>21362</v>
      </c>
      <c r="C9226" s="24" t="s">
        <v>409</v>
      </c>
      <c r="D9226" s="24" t="s">
        <v>17</v>
      </c>
      <c r="E9226" s="24" t="s">
        <v>42</v>
      </c>
      <c r="F9226" s="24" t="s">
        <v>43</v>
      </c>
      <c r="G9226" s="24" t="s">
        <v>217</v>
      </c>
      <c r="H9226" s="26">
        <v>118</v>
      </c>
      <c r="I9226" s="24" t="s">
        <v>29</v>
      </c>
      <c r="J9226" s="36">
        <v>46054</v>
      </c>
      <c r="K9226" s="24" t="s">
        <v>22</v>
      </c>
    </row>
    <row r="9227" spans="1:11" x14ac:dyDescent="0.2">
      <c r="A9227" s="27" t="s">
        <v>21363</v>
      </c>
      <c r="B9227" s="27" t="s">
        <v>21364</v>
      </c>
      <c r="C9227" s="27" t="s">
        <v>55</v>
      </c>
      <c r="D9227" s="27" t="s">
        <v>17</v>
      </c>
      <c r="E9227" s="27" t="s">
        <v>18</v>
      </c>
      <c r="F9227" s="27" t="s">
        <v>19</v>
      </c>
      <c r="G9227" s="27" t="s">
        <v>28</v>
      </c>
      <c r="H9227" s="29">
        <v>16</v>
      </c>
      <c r="I9227" s="27" t="s">
        <v>29</v>
      </c>
      <c r="J9227" s="37">
        <v>46059</v>
      </c>
      <c r="K9227" s="27" t="s">
        <v>22</v>
      </c>
    </row>
    <row r="9228" spans="1:11" x14ac:dyDescent="0.2">
      <c r="A9228" s="24" t="s">
        <v>21365</v>
      </c>
      <c r="B9228" s="24" t="s">
        <v>21366</v>
      </c>
      <c r="C9228" s="24" t="s">
        <v>106</v>
      </c>
      <c r="D9228" s="24" t="s">
        <v>17</v>
      </c>
      <c r="E9228" s="24" t="s">
        <v>18</v>
      </c>
      <c r="F9228" s="24" t="s">
        <v>19</v>
      </c>
      <c r="G9228" s="24" t="s">
        <v>28</v>
      </c>
      <c r="H9228" s="26">
        <v>187</v>
      </c>
      <c r="I9228" s="24" t="s">
        <v>29</v>
      </c>
      <c r="J9228" s="36">
        <v>46080</v>
      </c>
      <c r="K9228" s="24" t="s">
        <v>22</v>
      </c>
    </row>
    <row r="9229" spans="1:11" x14ac:dyDescent="0.2">
      <c r="A9229" s="27" t="s">
        <v>21367</v>
      </c>
      <c r="B9229" s="27" t="s">
        <v>21368</v>
      </c>
      <c r="C9229" s="27" t="s">
        <v>13749</v>
      </c>
      <c r="D9229" s="27" t="s">
        <v>17</v>
      </c>
      <c r="E9229" s="27" t="s">
        <v>26</v>
      </c>
      <c r="F9229" s="27" t="s">
        <v>27</v>
      </c>
      <c r="G9229" s="27" t="s">
        <v>217</v>
      </c>
      <c r="H9229" s="29">
        <v>110</v>
      </c>
      <c r="I9229" s="27" t="s">
        <v>29</v>
      </c>
      <c r="J9229" s="37">
        <v>46054</v>
      </c>
      <c r="K9229" s="27" t="s">
        <v>22</v>
      </c>
    </row>
    <row r="9230" spans="1:11" x14ac:dyDescent="0.2">
      <c r="A9230" s="24" t="s">
        <v>21369</v>
      </c>
      <c r="B9230" s="24" t="s">
        <v>21370</v>
      </c>
      <c r="C9230" s="24" t="s">
        <v>21371</v>
      </c>
      <c r="D9230" s="24" t="s">
        <v>17</v>
      </c>
      <c r="E9230" s="24" t="s">
        <v>48</v>
      </c>
      <c r="F9230" s="24" t="s">
        <v>49</v>
      </c>
      <c r="G9230" s="24" t="s">
        <v>217</v>
      </c>
      <c r="H9230" s="26">
        <v>60</v>
      </c>
      <c r="I9230" s="24" t="s">
        <v>29</v>
      </c>
      <c r="J9230" s="36">
        <v>46068</v>
      </c>
      <c r="K9230" s="24" t="s">
        <v>22</v>
      </c>
    </row>
    <row r="9231" spans="1:11" x14ac:dyDescent="0.2">
      <c r="A9231" s="27" t="s">
        <v>21372</v>
      </c>
      <c r="B9231" s="27" t="s">
        <v>21373</v>
      </c>
      <c r="C9231" s="27" t="s">
        <v>146</v>
      </c>
      <c r="D9231" s="27" t="s">
        <v>17</v>
      </c>
      <c r="E9231" s="27" t="s">
        <v>18</v>
      </c>
      <c r="F9231" s="27" t="s">
        <v>19</v>
      </c>
      <c r="G9231" s="27" t="s">
        <v>28</v>
      </c>
      <c r="H9231" s="29">
        <v>54</v>
      </c>
      <c r="I9231" s="27" t="s">
        <v>29</v>
      </c>
      <c r="J9231" s="37">
        <v>46063</v>
      </c>
      <c r="K9231" s="27" t="s">
        <v>22</v>
      </c>
    </row>
    <row r="9232" spans="1:11" x14ac:dyDescent="0.2">
      <c r="A9232" s="24" t="s">
        <v>21374</v>
      </c>
      <c r="B9232" s="24" t="s">
        <v>21375</v>
      </c>
      <c r="C9232" s="24" t="s">
        <v>18450</v>
      </c>
      <c r="D9232" s="24" t="s">
        <v>17</v>
      </c>
      <c r="E9232" s="24" t="s">
        <v>163</v>
      </c>
      <c r="F9232" s="24" t="s">
        <v>164</v>
      </c>
      <c r="G9232" s="24" t="s">
        <v>217</v>
      </c>
      <c r="H9232" s="26">
        <v>12</v>
      </c>
      <c r="I9232" s="24" t="s">
        <v>29</v>
      </c>
      <c r="J9232" s="36">
        <v>46068</v>
      </c>
      <c r="K9232" s="24" t="s">
        <v>22</v>
      </c>
    </row>
    <row r="9233" spans="1:11" x14ac:dyDescent="0.2">
      <c r="A9233" s="27" t="s">
        <v>21376</v>
      </c>
      <c r="B9233" s="27" t="s">
        <v>21377</v>
      </c>
      <c r="C9233" s="27" t="s">
        <v>194</v>
      </c>
      <c r="D9233" s="27" t="s">
        <v>17</v>
      </c>
      <c r="E9233" s="27" t="s">
        <v>48</v>
      </c>
      <c r="F9233" s="27" t="s">
        <v>49</v>
      </c>
      <c r="G9233" s="27" t="s">
        <v>28</v>
      </c>
      <c r="H9233" s="29">
        <v>80</v>
      </c>
      <c r="I9233" s="27" t="s">
        <v>29</v>
      </c>
      <c r="J9233" s="37">
        <v>46056</v>
      </c>
      <c r="K9233" s="27" t="s">
        <v>22</v>
      </c>
    </row>
    <row r="9234" spans="1:11" x14ac:dyDescent="0.2">
      <c r="A9234" s="24" t="s">
        <v>21378</v>
      </c>
      <c r="B9234" s="24" t="s">
        <v>21379</v>
      </c>
      <c r="C9234" s="24" t="s">
        <v>14417</v>
      </c>
      <c r="D9234" s="24" t="s">
        <v>17</v>
      </c>
      <c r="E9234" s="24" t="s">
        <v>48</v>
      </c>
      <c r="F9234" s="24" t="s">
        <v>49</v>
      </c>
      <c r="G9234" s="24" t="s">
        <v>28</v>
      </c>
      <c r="H9234" s="26">
        <v>110</v>
      </c>
      <c r="I9234" s="24" t="s">
        <v>29</v>
      </c>
      <c r="J9234" s="36">
        <v>46079</v>
      </c>
      <c r="K9234" s="24" t="s">
        <v>22</v>
      </c>
    </row>
    <row r="9235" spans="1:11" x14ac:dyDescent="0.2">
      <c r="A9235" s="27" t="s">
        <v>21380</v>
      </c>
      <c r="B9235" s="27" t="s">
        <v>21381</v>
      </c>
      <c r="C9235" s="27" t="s">
        <v>1186</v>
      </c>
      <c r="D9235" s="27" t="s">
        <v>17</v>
      </c>
      <c r="E9235" s="27" t="s">
        <v>26</v>
      </c>
      <c r="F9235" s="27" t="s">
        <v>27</v>
      </c>
      <c r="G9235" s="27" t="s">
        <v>217</v>
      </c>
      <c r="H9235" s="29">
        <v>130</v>
      </c>
      <c r="I9235" s="27" t="s">
        <v>29</v>
      </c>
      <c r="J9235" s="37">
        <v>46054</v>
      </c>
      <c r="K9235" s="27" t="s">
        <v>22</v>
      </c>
    </row>
    <row r="9236" spans="1:11" x14ac:dyDescent="0.2">
      <c r="A9236" s="24" t="s">
        <v>21382</v>
      </c>
      <c r="B9236" s="24" t="s">
        <v>21383</v>
      </c>
      <c r="C9236" s="24" t="s">
        <v>526</v>
      </c>
      <c r="D9236" s="24" t="s">
        <v>17</v>
      </c>
      <c r="E9236" s="24" t="s">
        <v>18</v>
      </c>
      <c r="F9236" s="24" t="s">
        <v>19</v>
      </c>
      <c r="G9236" s="24" t="s">
        <v>217</v>
      </c>
      <c r="H9236" s="26">
        <v>360</v>
      </c>
      <c r="I9236" s="24" t="s">
        <v>29</v>
      </c>
      <c r="J9236" s="36">
        <v>46054</v>
      </c>
      <c r="K9236" s="24" t="s">
        <v>22</v>
      </c>
    </row>
    <row r="9237" spans="1:11" x14ac:dyDescent="0.2">
      <c r="A9237" s="27" t="s">
        <v>21384</v>
      </c>
      <c r="B9237" s="27" t="s">
        <v>21385</v>
      </c>
      <c r="C9237" s="27" t="s">
        <v>5409</v>
      </c>
      <c r="D9237" s="27" t="s">
        <v>17</v>
      </c>
      <c r="E9237" s="27" t="s">
        <v>18</v>
      </c>
      <c r="F9237" s="27" t="s">
        <v>19</v>
      </c>
      <c r="G9237" s="27" t="s">
        <v>28</v>
      </c>
      <c r="H9237" s="29">
        <v>48</v>
      </c>
      <c r="I9237" s="27" t="s">
        <v>29</v>
      </c>
      <c r="J9237" s="37">
        <v>46055</v>
      </c>
      <c r="K9237" s="27" t="s">
        <v>22</v>
      </c>
    </row>
    <row r="9238" spans="1:11" x14ac:dyDescent="0.2">
      <c r="A9238" s="24" t="s">
        <v>21386</v>
      </c>
      <c r="B9238" s="24" t="s">
        <v>21387</v>
      </c>
      <c r="C9238" s="24" t="s">
        <v>9616</v>
      </c>
      <c r="D9238" s="24" t="s">
        <v>17</v>
      </c>
      <c r="E9238" s="24" t="s">
        <v>18</v>
      </c>
      <c r="F9238" s="24" t="s">
        <v>19</v>
      </c>
      <c r="G9238" s="24" t="s">
        <v>28</v>
      </c>
      <c r="H9238" s="26">
        <v>212</v>
      </c>
      <c r="I9238" s="24" t="s">
        <v>29</v>
      </c>
      <c r="J9238" s="36">
        <v>46078</v>
      </c>
      <c r="K9238" s="24" t="s">
        <v>22</v>
      </c>
    </row>
    <row r="9239" spans="1:11" x14ac:dyDescent="0.2">
      <c r="A9239" s="27" t="s">
        <v>21388</v>
      </c>
      <c r="B9239" s="27" t="s">
        <v>21389</v>
      </c>
      <c r="C9239" s="27" t="s">
        <v>20941</v>
      </c>
      <c r="D9239" s="27" t="s">
        <v>17</v>
      </c>
      <c r="E9239" s="27" t="s">
        <v>26</v>
      </c>
      <c r="F9239" s="27" t="s">
        <v>27</v>
      </c>
      <c r="G9239" s="27" t="s">
        <v>28</v>
      </c>
      <c r="H9239" s="29">
        <v>42</v>
      </c>
      <c r="I9239" s="27" t="s">
        <v>29</v>
      </c>
      <c r="J9239" s="37">
        <v>46055</v>
      </c>
      <c r="K9239" s="27" t="s">
        <v>22</v>
      </c>
    </row>
    <row r="9240" spans="1:11" x14ac:dyDescent="0.2">
      <c r="A9240" s="24" t="s">
        <v>21390</v>
      </c>
      <c r="B9240" s="24" t="s">
        <v>21391</v>
      </c>
      <c r="C9240" s="24" t="s">
        <v>21392</v>
      </c>
      <c r="D9240" s="24" t="s">
        <v>17</v>
      </c>
      <c r="E9240" s="24" t="s">
        <v>48</v>
      </c>
      <c r="F9240" s="24" t="s">
        <v>49</v>
      </c>
      <c r="G9240" s="24" t="s">
        <v>217</v>
      </c>
      <c r="H9240" s="26">
        <v>84</v>
      </c>
      <c r="I9240" s="24" t="s">
        <v>29</v>
      </c>
      <c r="J9240" s="36">
        <v>46055</v>
      </c>
      <c r="K9240" s="24" t="s">
        <v>22</v>
      </c>
    </row>
    <row r="9241" spans="1:11" x14ac:dyDescent="0.2">
      <c r="A9241" s="27" t="s">
        <v>21393</v>
      </c>
      <c r="B9241" s="27" t="s">
        <v>21394</v>
      </c>
      <c r="C9241" s="27" t="s">
        <v>6436</v>
      </c>
      <c r="D9241" s="27" t="s">
        <v>17</v>
      </c>
      <c r="E9241" s="27" t="s">
        <v>18</v>
      </c>
      <c r="F9241" s="27" t="s">
        <v>19</v>
      </c>
      <c r="G9241" s="27" t="s">
        <v>28</v>
      </c>
      <c r="H9241" s="29">
        <v>42</v>
      </c>
      <c r="I9241" s="27" t="s">
        <v>29</v>
      </c>
      <c r="J9241" s="37">
        <v>46058</v>
      </c>
      <c r="K9241" s="27" t="s">
        <v>22</v>
      </c>
    </row>
    <row r="9242" spans="1:11" x14ac:dyDescent="0.2">
      <c r="A9242" s="24" t="s">
        <v>21395</v>
      </c>
      <c r="B9242" s="24" t="s">
        <v>21396</v>
      </c>
      <c r="C9242" s="24" t="s">
        <v>21397</v>
      </c>
      <c r="D9242" s="24" t="s">
        <v>17</v>
      </c>
      <c r="E9242" s="24" t="s">
        <v>48</v>
      </c>
      <c r="F9242" s="24" t="s">
        <v>49</v>
      </c>
      <c r="G9242" s="24" t="s">
        <v>28</v>
      </c>
      <c r="H9242" s="26">
        <v>108</v>
      </c>
      <c r="I9242" s="24" t="s">
        <v>29</v>
      </c>
      <c r="J9242" s="36">
        <v>46054</v>
      </c>
      <c r="K9242" s="24" t="s">
        <v>22</v>
      </c>
    </row>
    <row r="9243" spans="1:11" x14ac:dyDescent="0.2">
      <c r="A9243" s="27" t="s">
        <v>21398</v>
      </c>
      <c r="B9243" s="27" t="s">
        <v>21399</v>
      </c>
      <c r="C9243" s="27" t="s">
        <v>16841</v>
      </c>
      <c r="D9243" s="27" t="s">
        <v>17</v>
      </c>
      <c r="E9243" s="27" t="s">
        <v>163</v>
      </c>
      <c r="F9243" s="27" t="s">
        <v>164</v>
      </c>
      <c r="G9243" s="27" t="s">
        <v>28</v>
      </c>
      <c r="H9243" s="29">
        <v>10</v>
      </c>
      <c r="I9243" s="27" t="s">
        <v>29</v>
      </c>
      <c r="J9243" s="37">
        <v>46066</v>
      </c>
      <c r="K9243" s="27" t="s">
        <v>22</v>
      </c>
    </row>
    <row r="9244" spans="1:11" x14ac:dyDescent="0.2">
      <c r="A9244" s="24" t="s">
        <v>21400</v>
      </c>
      <c r="B9244" s="24" t="s">
        <v>21401</v>
      </c>
      <c r="C9244" s="24" t="s">
        <v>9809</v>
      </c>
      <c r="D9244" s="24" t="s">
        <v>17</v>
      </c>
      <c r="E9244" s="24" t="s">
        <v>48</v>
      </c>
      <c r="F9244" s="24" t="s">
        <v>49</v>
      </c>
      <c r="G9244" s="24" t="s">
        <v>116</v>
      </c>
      <c r="H9244" s="26">
        <v>0</v>
      </c>
      <c r="I9244" s="24" t="s">
        <v>21</v>
      </c>
      <c r="J9244" s="36">
        <v>46054</v>
      </c>
      <c r="K9244" s="24" t="s">
        <v>22</v>
      </c>
    </row>
    <row r="9245" spans="1:11" x14ac:dyDescent="0.2">
      <c r="A9245" s="27" t="s">
        <v>21402</v>
      </c>
      <c r="B9245" s="27" t="s">
        <v>21403</v>
      </c>
      <c r="C9245" s="27" t="s">
        <v>21404</v>
      </c>
      <c r="D9245" s="27" t="s">
        <v>17</v>
      </c>
      <c r="E9245" s="27" t="s">
        <v>18</v>
      </c>
      <c r="F9245" s="27" t="s">
        <v>19</v>
      </c>
      <c r="G9245" s="27" t="s">
        <v>217</v>
      </c>
      <c r="H9245" s="29">
        <v>35</v>
      </c>
      <c r="I9245" s="27" t="s">
        <v>29</v>
      </c>
      <c r="J9245" s="37">
        <v>46054</v>
      </c>
      <c r="K9245" s="27" t="s">
        <v>22</v>
      </c>
    </row>
    <row r="9246" spans="1:11" x14ac:dyDescent="0.2">
      <c r="A9246" s="24" t="s">
        <v>21405</v>
      </c>
      <c r="B9246" s="24" t="s">
        <v>21406</v>
      </c>
      <c r="C9246" s="24" t="s">
        <v>21407</v>
      </c>
      <c r="D9246" s="24" t="s">
        <v>17</v>
      </c>
      <c r="E9246" s="24" t="s">
        <v>48</v>
      </c>
      <c r="F9246" s="24" t="s">
        <v>49</v>
      </c>
      <c r="G9246" s="24" t="s">
        <v>217</v>
      </c>
      <c r="H9246" s="26">
        <v>120</v>
      </c>
      <c r="I9246" s="24" t="s">
        <v>29</v>
      </c>
      <c r="J9246" s="36">
        <v>46058</v>
      </c>
      <c r="K9246" s="24" t="s">
        <v>22</v>
      </c>
    </row>
    <row r="9247" spans="1:11" x14ac:dyDescent="0.2">
      <c r="A9247" s="27" t="s">
        <v>21408</v>
      </c>
      <c r="B9247" s="27" t="s">
        <v>21409</v>
      </c>
      <c r="C9247" s="27" t="s">
        <v>429</v>
      </c>
      <c r="D9247" s="27" t="s">
        <v>17</v>
      </c>
      <c r="E9247" s="27" t="s">
        <v>48</v>
      </c>
      <c r="F9247" s="27" t="s">
        <v>49</v>
      </c>
      <c r="G9247" s="27" t="s">
        <v>217</v>
      </c>
      <c r="H9247" s="29">
        <v>352</v>
      </c>
      <c r="I9247" s="27" t="s">
        <v>29</v>
      </c>
      <c r="J9247" s="37">
        <v>46059</v>
      </c>
      <c r="K9247" s="27" t="s">
        <v>22</v>
      </c>
    </row>
    <row r="9248" spans="1:11" x14ac:dyDescent="0.2">
      <c r="A9248" s="24" t="s">
        <v>21410</v>
      </c>
      <c r="B9248" s="24" t="s">
        <v>21411</v>
      </c>
      <c r="C9248" s="24" t="s">
        <v>21412</v>
      </c>
      <c r="D9248" s="24" t="s">
        <v>17</v>
      </c>
      <c r="E9248" s="24" t="s">
        <v>18</v>
      </c>
      <c r="F9248" s="24" t="s">
        <v>19</v>
      </c>
      <c r="G9248" s="24" t="s">
        <v>28</v>
      </c>
      <c r="H9248" s="26">
        <v>5</v>
      </c>
      <c r="I9248" s="24" t="s">
        <v>29</v>
      </c>
      <c r="J9248" s="36">
        <v>46055</v>
      </c>
      <c r="K9248" s="24" t="s">
        <v>22</v>
      </c>
    </row>
    <row r="9249" spans="1:11" x14ac:dyDescent="0.2">
      <c r="A9249" s="27" t="s">
        <v>21413</v>
      </c>
      <c r="B9249" s="27" t="s">
        <v>21414</v>
      </c>
      <c r="C9249" s="27" t="s">
        <v>15008</v>
      </c>
      <c r="D9249" s="27" t="s">
        <v>17</v>
      </c>
      <c r="E9249" s="27" t="s">
        <v>163</v>
      </c>
      <c r="F9249" s="27" t="s">
        <v>164</v>
      </c>
      <c r="G9249" s="27" t="s">
        <v>227</v>
      </c>
      <c r="H9249" s="29">
        <v>40</v>
      </c>
      <c r="I9249" s="27" t="s">
        <v>29</v>
      </c>
      <c r="J9249" s="37">
        <v>46055</v>
      </c>
      <c r="K9249" s="27" t="s">
        <v>22</v>
      </c>
    </row>
    <row r="9250" spans="1:11" x14ac:dyDescent="0.2">
      <c r="A9250" s="24" t="s">
        <v>21415</v>
      </c>
      <c r="B9250" s="24" t="s">
        <v>21416</v>
      </c>
      <c r="C9250" s="24" t="s">
        <v>21417</v>
      </c>
      <c r="D9250" s="24" t="s">
        <v>17</v>
      </c>
      <c r="E9250" s="24" t="s">
        <v>48</v>
      </c>
      <c r="F9250" s="24" t="s">
        <v>49</v>
      </c>
      <c r="G9250" s="24" t="s">
        <v>28</v>
      </c>
      <c r="H9250" s="26">
        <v>120</v>
      </c>
      <c r="I9250" s="24" t="s">
        <v>29</v>
      </c>
      <c r="J9250" s="36">
        <v>46055</v>
      </c>
      <c r="K9250" s="24" t="s">
        <v>22</v>
      </c>
    </row>
    <row r="9251" spans="1:11" x14ac:dyDescent="0.2">
      <c r="A9251" s="27" t="s">
        <v>21418</v>
      </c>
      <c r="B9251" s="27" t="s">
        <v>21419</v>
      </c>
      <c r="C9251" s="27" t="s">
        <v>7450</v>
      </c>
      <c r="D9251" s="27" t="s">
        <v>17</v>
      </c>
      <c r="E9251" s="27" t="s">
        <v>26</v>
      </c>
      <c r="F9251" s="27" t="s">
        <v>27</v>
      </c>
      <c r="G9251" s="27" t="s">
        <v>217</v>
      </c>
      <c r="H9251" s="29">
        <v>49</v>
      </c>
      <c r="I9251" s="27" t="s">
        <v>29</v>
      </c>
      <c r="J9251" s="37">
        <v>46080</v>
      </c>
      <c r="K9251" s="27" t="s">
        <v>22</v>
      </c>
    </row>
    <row r="9252" spans="1:11" x14ac:dyDescent="0.2">
      <c r="A9252" s="24" t="s">
        <v>21420</v>
      </c>
      <c r="B9252" s="24" t="s">
        <v>21421</v>
      </c>
      <c r="C9252" s="24" t="s">
        <v>13620</v>
      </c>
      <c r="D9252" s="24" t="s">
        <v>17</v>
      </c>
      <c r="E9252" s="24" t="s">
        <v>33</v>
      </c>
      <c r="F9252" s="24" t="s">
        <v>34</v>
      </c>
      <c r="G9252" s="24" t="s">
        <v>217</v>
      </c>
      <c r="H9252" s="26">
        <v>298</v>
      </c>
      <c r="I9252" s="24" t="s">
        <v>29</v>
      </c>
      <c r="J9252" s="36">
        <v>46081</v>
      </c>
      <c r="K9252" s="24" t="s">
        <v>22</v>
      </c>
    </row>
    <row r="9253" spans="1:11" x14ac:dyDescent="0.2">
      <c r="A9253" s="27" t="s">
        <v>21422</v>
      </c>
      <c r="B9253" s="27" t="s">
        <v>21423</v>
      </c>
      <c r="C9253" s="27" t="s">
        <v>2015</v>
      </c>
      <c r="D9253" s="27" t="s">
        <v>17</v>
      </c>
      <c r="E9253" s="27" t="s">
        <v>18</v>
      </c>
      <c r="F9253" s="27" t="s">
        <v>19</v>
      </c>
      <c r="G9253" s="27" t="s">
        <v>217</v>
      </c>
      <c r="H9253" s="29">
        <v>36</v>
      </c>
      <c r="I9253" s="27" t="s">
        <v>29</v>
      </c>
      <c r="J9253" s="37">
        <v>46054</v>
      </c>
      <c r="K9253" s="27" t="s">
        <v>22</v>
      </c>
    </row>
  </sheetData>
  <autoFilter ref="A1:K9253"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DD7EE"/>
  </sheetPr>
  <dimension ref="A1:J125"/>
  <sheetViews>
    <sheetView workbookViewId="0">
      <pane ySplit="2" topLeftCell="A3" activePane="bottomLeft" state="frozen"/>
      <selection pane="bottomLeft"/>
    </sheetView>
  </sheetViews>
  <sheetFormatPr baseColWidth="10" defaultColWidth="8.83203125" defaultRowHeight="15" x14ac:dyDescent="0.2"/>
  <cols>
    <col min="1" max="1" width="12.6640625" customWidth="1"/>
    <col min="2" max="3" width="14.6640625" customWidth="1"/>
    <col min="4" max="4" width="18.6640625" customWidth="1"/>
    <col min="5" max="5" width="22.6640625" customWidth="1"/>
    <col min="6" max="7" width="8.6640625" customWidth="1"/>
    <col min="8" max="8" width="12.6640625" customWidth="1"/>
    <col min="9" max="9" width="40.6640625" customWidth="1"/>
    <col min="10" max="10" width="50.6640625" customWidth="1"/>
  </cols>
  <sheetData>
    <row r="1" spans="1:10" x14ac:dyDescent="0.2">
      <c r="A1" s="18" t="s">
        <v>21445</v>
      </c>
    </row>
    <row r="2" spans="1:10" x14ac:dyDescent="0.2">
      <c r="A2" s="20" t="s">
        <v>21446</v>
      </c>
      <c r="B2" s="20" t="s">
        <v>21447</v>
      </c>
      <c r="C2" s="20" t="s">
        <v>21448</v>
      </c>
      <c r="D2" s="6" t="s">
        <v>21449</v>
      </c>
      <c r="E2" s="6" t="s">
        <v>21450</v>
      </c>
      <c r="F2" s="6" t="s">
        <v>21438</v>
      </c>
      <c r="G2" s="6" t="s">
        <v>21424</v>
      </c>
      <c r="H2" s="6" t="s">
        <v>21451</v>
      </c>
      <c r="I2" s="6" t="s">
        <v>21452</v>
      </c>
      <c r="J2" s="6" t="s">
        <v>21453</v>
      </c>
    </row>
    <row r="3" spans="1:10" x14ac:dyDescent="0.2">
      <c r="A3" s="24" t="s">
        <v>21454</v>
      </c>
      <c r="B3" s="38">
        <v>46080</v>
      </c>
      <c r="C3" s="24" t="s">
        <v>21455</v>
      </c>
      <c r="D3" s="24" t="s">
        <v>21456</v>
      </c>
      <c r="E3" s="24" t="s">
        <v>21457</v>
      </c>
      <c r="F3" s="7">
        <v>2</v>
      </c>
      <c r="G3" s="7">
        <v>2026</v>
      </c>
      <c r="H3" s="24" t="s">
        <v>21458</v>
      </c>
      <c r="I3" s="24" t="s">
        <v>21459</v>
      </c>
      <c r="J3" s="24" t="s">
        <v>21460</v>
      </c>
    </row>
    <row r="4" spans="1:10" x14ac:dyDescent="0.2">
      <c r="A4" s="27" t="s">
        <v>21454</v>
      </c>
      <c r="B4" s="39">
        <v>46076</v>
      </c>
      <c r="C4" s="27" t="s">
        <v>21461</v>
      </c>
      <c r="D4" s="27" t="s">
        <v>21462</v>
      </c>
      <c r="E4" s="27" t="s">
        <v>21463</v>
      </c>
      <c r="F4" s="7">
        <v>2</v>
      </c>
      <c r="G4" s="7">
        <v>2026</v>
      </c>
      <c r="H4" s="27" t="s">
        <v>21458</v>
      </c>
      <c r="I4" s="27" t="s">
        <v>21464</v>
      </c>
      <c r="J4" s="27" t="s">
        <v>21460</v>
      </c>
    </row>
    <row r="5" spans="1:10" x14ac:dyDescent="0.2">
      <c r="A5" s="24" t="s">
        <v>21454</v>
      </c>
      <c r="B5" s="38">
        <v>46073</v>
      </c>
      <c r="C5" s="24" t="s">
        <v>21455</v>
      </c>
      <c r="D5" s="24" t="s">
        <v>21465</v>
      </c>
      <c r="E5" s="24" t="s">
        <v>21466</v>
      </c>
      <c r="F5" s="7">
        <v>2</v>
      </c>
      <c r="G5" s="7">
        <v>2026</v>
      </c>
      <c r="H5" s="24" t="s">
        <v>21458</v>
      </c>
      <c r="I5" s="24" t="s">
        <v>21467</v>
      </c>
      <c r="J5" s="24" t="s">
        <v>21460</v>
      </c>
    </row>
    <row r="6" spans="1:10" x14ac:dyDescent="0.2">
      <c r="A6" s="27" t="s">
        <v>21454</v>
      </c>
      <c r="B6" s="39">
        <v>46065</v>
      </c>
      <c r="C6" s="27" t="s">
        <v>21455</v>
      </c>
      <c r="D6" s="27" t="s">
        <v>21468</v>
      </c>
      <c r="E6" s="27" t="s">
        <v>21469</v>
      </c>
      <c r="F6" s="7">
        <v>2</v>
      </c>
      <c r="G6" s="7">
        <v>2026</v>
      </c>
      <c r="H6" s="27" t="s">
        <v>21458</v>
      </c>
      <c r="I6" s="27" t="s">
        <v>21470</v>
      </c>
      <c r="J6" s="27" t="s">
        <v>21460</v>
      </c>
    </row>
    <row r="7" spans="1:10" x14ac:dyDescent="0.2">
      <c r="A7" s="24" t="s">
        <v>21454</v>
      </c>
      <c r="B7" s="38">
        <v>46034</v>
      </c>
      <c r="C7" s="24" t="s">
        <v>21455</v>
      </c>
      <c r="D7" s="24" t="s">
        <v>21471</v>
      </c>
      <c r="E7" s="24" t="s">
        <v>21472</v>
      </c>
      <c r="F7" s="7">
        <v>1</v>
      </c>
      <c r="G7" s="7">
        <v>2026</v>
      </c>
      <c r="H7" s="24" t="s">
        <v>21473</v>
      </c>
      <c r="I7" s="24" t="s">
        <v>21474</v>
      </c>
      <c r="J7" s="24" t="s">
        <v>21460</v>
      </c>
    </row>
    <row r="8" spans="1:10" x14ac:dyDescent="0.2">
      <c r="A8" s="27" t="s">
        <v>21454</v>
      </c>
      <c r="B8" s="39">
        <v>46021</v>
      </c>
      <c r="C8" s="27" t="s">
        <v>21455</v>
      </c>
      <c r="D8" s="27" t="s">
        <v>21475</v>
      </c>
      <c r="E8" s="27" t="s">
        <v>21476</v>
      </c>
      <c r="F8" s="7">
        <v>12</v>
      </c>
      <c r="G8" s="7">
        <v>2025</v>
      </c>
      <c r="H8" s="27" t="s">
        <v>21477</v>
      </c>
      <c r="I8" s="27" t="s">
        <v>21478</v>
      </c>
      <c r="J8" s="27" t="s">
        <v>21479</v>
      </c>
    </row>
    <row r="9" spans="1:10" x14ac:dyDescent="0.2">
      <c r="A9" s="24" t="s">
        <v>21454</v>
      </c>
      <c r="B9" s="38">
        <v>46014</v>
      </c>
      <c r="C9" s="24" t="s">
        <v>21461</v>
      </c>
      <c r="D9" s="24" t="s">
        <v>21480</v>
      </c>
      <c r="E9" s="24" t="s">
        <v>21481</v>
      </c>
      <c r="F9" s="7">
        <v>12</v>
      </c>
      <c r="G9" s="7">
        <v>2025</v>
      </c>
      <c r="H9" s="24" t="s">
        <v>21477</v>
      </c>
      <c r="I9" s="24" t="s">
        <v>21482</v>
      </c>
      <c r="J9" s="24" t="s">
        <v>21479</v>
      </c>
    </row>
    <row r="10" spans="1:10" x14ac:dyDescent="0.2">
      <c r="A10" s="27" t="s">
        <v>21454</v>
      </c>
      <c r="B10" s="39">
        <v>46010</v>
      </c>
      <c r="C10" s="27" t="s">
        <v>21455</v>
      </c>
      <c r="D10" s="27" t="s">
        <v>21483</v>
      </c>
      <c r="E10" s="27" t="s">
        <v>21484</v>
      </c>
      <c r="F10" s="7">
        <v>12</v>
      </c>
      <c r="G10" s="7">
        <v>2025</v>
      </c>
      <c r="H10" s="27" t="s">
        <v>21477</v>
      </c>
      <c r="I10" s="27" t="s">
        <v>21485</v>
      </c>
      <c r="J10" s="27" t="s">
        <v>21479</v>
      </c>
    </row>
    <row r="11" spans="1:10" x14ac:dyDescent="0.2">
      <c r="A11" s="24" t="s">
        <v>21454</v>
      </c>
      <c r="B11" s="38">
        <v>46007</v>
      </c>
      <c r="C11" s="24" t="s">
        <v>21461</v>
      </c>
      <c r="D11" s="24" t="s">
        <v>21486</v>
      </c>
      <c r="E11" s="24" t="s">
        <v>21487</v>
      </c>
      <c r="F11" s="7">
        <v>12</v>
      </c>
      <c r="G11" s="7">
        <v>2025</v>
      </c>
      <c r="H11" s="24" t="s">
        <v>21477</v>
      </c>
      <c r="I11" s="24" t="s">
        <v>21488</v>
      </c>
      <c r="J11" s="24" t="s">
        <v>21479</v>
      </c>
    </row>
    <row r="12" spans="1:10" x14ac:dyDescent="0.2">
      <c r="A12" s="27" t="s">
        <v>21454</v>
      </c>
      <c r="B12" s="39">
        <v>46003</v>
      </c>
      <c r="C12" s="27" t="s">
        <v>21455</v>
      </c>
      <c r="D12" s="27" t="s">
        <v>21489</v>
      </c>
      <c r="E12" s="27" t="s">
        <v>21490</v>
      </c>
      <c r="F12" s="7">
        <v>12</v>
      </c>
      <c r="G12" s="7">
        <v>2025</v>
      </c>
      <c r="H12" s="27" t="s">
        <v>21477</v>
      </c>
      <c r="I12" s="27" t="s">
        <v>21491</v>
      </c>
      <c r="J12" s="27" t="s">
        <v>21479</v>
      </c>
    </row>
    <row r="13" spans="1:10" x14ac:dyDescent="0.2">
      <c r="A13" s="24" t="s">
        <v>21454</v>
      </c>
      <c r="B13" s="38">
        <v>46003</v>
      </c>
      <c r="C13" s="24" t="s">
        <v>21455</v>
      </c>
      <c r="D13" s="24" t="s">
        <v>21492</v>
      </c>
      <c r="E13" s="24" t="s">
        <v>21493</v>
      </c>
      <c r="F13" s="7">
        <v>12</v>
      </c>
      <c r="G13" s="7">
        <v>2025</v>
      </c>
      <c r="H13" s="24" t="s">
        <v>21477</v>
      </c>
      <c r="I13" s="24" t="s">
        <v>21494</v>
      </c>
      <c r="J13" s="24" t="s">
        <v>21479</v>
      </c>
    </row>
    <row r="14" spans="1:10" x14ac:dyDescent="0.2">
      <c r="A14" s="27" t="s">
        <v>21454</v>
      </c>
      <c r="B14" s="39">
        <v>46003</v>
      </c>
      <c r="C14" s="27" t="s">
        <v>21461</v>
      </c>
      <c r="D14" s="27" t="s">
        <v>21495</v>
      </c>
      <c r="E14" s="27" t="s">
        <v>21496</v>
      </c>
      <c r="F14" s="7">
        <v>12</v>
      </c>
      <c r="G14" s="7">
        <v>2025</v>
      </c>
      <c r="H14" s="27" t="s">
        <v>21477</v>
      </c>
      <c r="I14" s="27" t="s">
        <v>21497</v>
      </c>
      <c r="J14" s="27" t="s">
        <v>21479</v>
      </c>
    </row>
    <row r="15" spans="1:10" x14ac:dyDescent="0.2">
      <c r="A15" s="24" t="s">
        <v>21498</v>
      </c>
      <c r="B15" s="38">
        <v>46000</v>
      </c>
      <c r="C15" s="24" t="s">
        <v>21461</v>
      </c>
      <c r="D15" s="24" t="s">
        <v>21499</v>
      </c>
      <c r="E15" s="24" t="s">
        <v>21499</v>
      </c>
      <c r="F15" s="7">
        <v>12</v>
      </c>
      <c r="G15" s="7">
        <v>2025</v>
      </c>
      <c r="H15" s="24" t="s">
        <v>21477</v>
      </c>
      <c r="I15" s="24" t="s">
        <v>21500</v>
      </c>
      <c r="J15" s="24" t="s">
        <v>21501</v>
      </c>
    </row>
    <row r="16" spans="1:10" x14ac:dyDescent="0.2">
      <c r="A16" s="27" t="s">
        <v>21498</v>
      </c>
      <c r="B16" s="39">
        <v>45994</v>
      </c>
      <c r="C16" s="27" t="s">
        <v>21461</v>
      </c>
      <c r="D16" s="27" t="s">
        <v>21502</v>
      </c>
      <c r="E16" s="27" t="s">
        <v>21502</v>
      </c>
      <c r="F16" s="7">
        <v>12</v>
      </c>
      <c r="G16" s="7">
        <v>2025</v>
      </c>
      <c r="H16" s="27" t="s">
        <v>21477</v>
      </c>
      <c r="I16" s="27" t="s">
        <v>21503</v>
      </c>
      <c r="J16" s="27" t="s">
        <v>21501</v>
      </c>
    </row>
    <row r="17" spans="1:10" x14ac:dyDescent="0.2">
      <c r="A17" s="24" t="s">
        <v>21454</v>
      </c>
      <c r="B17" s="38">
        <v>45986</v>
      </c>
      <c r="C17" s="24" t="s">
        <v>21461</v>
      </c>
      <c r="D17" s="24" t="s">
        <v>21504</v>
      </c>
      <c r="E17" s="24" t="s">
        <v>21505</v>
      </c>
      <c r="F17" s="7">
        <v>11</v>
      </c>
      <c r="G17" s="7">
        <v>2025</v>
      </c>
      <c r="H17" s="24" t="s">
        <v>21506</v>
      </c>
      <c r="I17" s="24" t="s">
        <v>21507</v>
      </c>
      <c r="J17" s="24" t="s">
        <v>21479</v>
      </c>
    </row>
    <row r="18" spans="1:10" x14ac:dyDescent="0.2">
      <c r="A18" s="27" t="s">
        <v>21498</v>
      </c>
      <c r="B18" s="39">
        <v>45985</v>
      </c>
      <c r="C18" s="27" t="s">
        <v>21461</v>
      </c>
      <c r="D18" s="27" t="s">
        <v>21508</v>
      </c>
      <c r="E18" s="27" t="s">
        <v>21508</v>
      </c>
      <c r="F18" s="7">
        <v>11</v>
      </c>
      <c r="G18" s="7">
        <v>2025</v>
      </c>
      <c r="H18" s="27" t="s">
        <v>21506</v>
      </c>
      <c r="I18" s="27" t="s">
        <v>21509</v>
      </c>
      <c r="J18" s="27" t="s">
        <v>21501</v>
      </c>
    </row>
    <row r="19" spans="1:10" x14ac:dyDescent="0.2">
      <c r="A19" s="24" t="s">
        <v>21454</v>
      </c>
      <c r="B19" s="38">
        <v>45980</v>
      </c>
      <c r="C19" s="24" t="s">
        <v>21455</v>
      </c>
      <c r="D19" s="24" t="s">
        <v>21510</v>
      </c>
      <c r="E19" s="24" t="s">
        <v>21511</v>
      </c>
      <c r="F19" s="7">
        <v>11</v>
      </c>
      <c r="G19" s="7">
        <v>2025</v>
      </c>
      <c r="H19" s="24" t="s">
        <v>21506</v>
      </c>
      <c r="I19" s="24" t="s">
        <v>21512</v>
      </c>
      <c r="J19" s="24" t="s">
        <v>21479</v>
      </c>
    </row>
    <row r="20" spans="1:10" x14ac:dyDescent="0.2">
      <c r="A20" s="27" t="s">
        <v>21454</v>
      </c>
      <c r="B20" s="39">
        <v>45979</v>
      </c>
      <c r="C20" s="27" t="s">
        <v>21455</v>
      </c>
      <c r="D20" s="27" t="s">
        <v>21513</v>
      </c>
      <c r="E20" s="27" t="s">
        <v>21514</v>
      </c>
      <c r="F20" s="7">
        <v>11</v>
      </c>
      <c r="G20" s="7">
        <v>2025</v>
      </c>
      <c r="H20" s="27" t="s">
        <v>21506</v>
      </c>
      <c r="I20" s="27" t="s">
        <v>21515</v>
      </c>
      <c r="J20" s="27" t="s">
        <v>21479</v>
      </c>
    </row>
    <row r="21" spans="1:10" x14ac:dyDescent="0.2">
      <c r="A21" s="24" t="s">
        <v>21454</v>
      </c>
      <c r="B21" s="38">
        <v>45974</v>
      </c>
      <c r="C21" s="24" t="s">
        <v>21455</v>
      </c>
      <c r="D21" s="24" t="s">
        <v>21516</v>
      </c>
      <c r="E21" s="24" t="s">
        <v>21517</v>
      </c>
      <c r="F21" s="7">
        <v>11</v>
      </c>
      <c r="G21" s="7">
        <v>2025</v>
      </c>
      <c r="H21" s="24" t="s">
        <v>21506</v>
      </c>
      <c r="I21" s="24" t="s">
        <v>21518</v>
      </c>
      <c r="J21" s="24" t="s">
        <v>21479</v>
      </c>
    </row>
    <row r="22" spans="1:10" x14ac:dyDescent="0.2">
      <c r="A22" s="27" t="s">
        <v>21454</v>
      </c>
      <c r="B22" s="39">
        <v>45964</v>
      </c>
      <c r="C22" s="27" t="s">
        <v>21455</v>
      </c>
      <c r="D22" s="27" t="s">
        <v>21519</v>
      </c>
      <c r="E22" s="27" t="s">
        <v>21520</v>
      </c>
      <c r="F22" s="7">
        <v>11</v>
      </c>
      <c r="G22" s="7">
        <v>2025</v>
      </c>
      <c r="H22" s="27" t="s">
        <v>21506</v>
      </c>
      <c r="I22" s="27" t="s">
        <v>21521</v>
      </c>
      <c r="J22" s="27" t="s">
        <v>21479</v>
      </c>
    </row>
    <row r="23" spans="1:10" x14ac:dyDescent="0.2">
      <c r="A23" s="24" t="s">
        <v>21454</v>
      </c>
      <c r="B23" s="38">
        <v>45954</v>
      </c>
      <c r="C23" s="24" t="s">
        <v>21455</v>
      </c>
      <c r="D23" s="24" t="s">
        <v>21522</v>
      </c>
      <c r="E23" s="24" t="s">
        <v>21523</v>
      </c>
      <c r="F23" s="7">
        <v>10</v>
      </c>
      <c r="G23" s="7">
        <v>2025</v>
      </c>
      <c r="H23" s="24" t="s">
        <v>21524</v>
      </c>
      <c r="I23" s="24" t="s">
        <v>21525</v>
      </c>
      <c r="J23" s="24" t="s">
        <v>21479</v>
      </c>
    </row>
    <row r="24" spans="1:10" x14ac:dyDescent="0.2">
      <c r="A24" s="27" t="s">
        <v>21454</v>
      </c>
      <c r="B24" s="39">
        <v>45937</v>
      </c>
      <c r="C24" s="27" t="s">
        <v>21455</v>
      </c>
      <c r="D24" s="27" t="s">
        <v>21526</v>
      </c>
      <c r="E24" s="27" t="s">
        <v>21527</v>
      </c>
      <c r="F24" s="7">
        <v>10</v>
      </c>
      <c r="G24" s="7">
        <v>2025</v>
      </c>
      <c r="H24" s="27" t="s">
        <v>21524</v>
      </c>
      <c r="I24" s="27" t="s">
        <v>21528</v>
      </c>
      <c r="J24" s="27" t="s">
        <v>21479</v>
      </c>
    </row>
    <row r="25" spans="1:10" x14ac:dyDescent="0.2">
      <c r="A25" s="24" t="s">
        <v>21454</v>
      </c>
      <c r="B25" s="38">
        <v>45930</v>
      </c>
      <c r="C25" s="24" t="s">
        <v>21455</v>
      </c>
      <c r="D25" s="24" t="s">
        <v>21529</v>
      </c>
      <c r="E25" s="24" t="s">
        <v>21530</v>
      </c>
      <c r="F25" s="7">
        <v>9</v>
      </c>
      <c r="G25" s="7">
        <v>2025</v>
      </c>
      <c r="H25" s="24" t="s">
        <v>21531</v>
      </c>
      <c r="I25" s="24" t="s">
        <v>21532</v>
      </c>
      <c r="J25" s="24" t="s">
        <v>21479</v>
      </c>
    </row>
    <row r="26" spans="1:10" x14ac:dyDescent="0.2">
      <c r="A26" s="27" t="s">
        <v>21454</v>
      </c>
      <c r="B26" s="39">
        <v>45925</v>
      </c>
      <c r="C26" s="27" t="s">
        <v>21455</v>
      </c>
      <c r="D26" s="27" t="s">
        <v>21533</v>
      </c>
      <c r="E26" s="27" t="s">
        <v>21534</v>
      </c>
      <c r="F26" s="7">
        <v>9</v>
      </c>
      <c r="G26" s="7">
        <v>2025</v>
      </c>
      <c r="H26" s="27" t="s">
        <v>21531</v>
      </c>
      <c r="I26" s="27" t="s">
        <v>21535</v>
      </c>
      <c r="J26" s="27" t="s">
        <v>21479</v>
      </c>
    </row>
    <row r="27" spans="1:10" x14ac:dyDescent="0.2">
      <c r="A27" s="24" t="s">
        <v>21454</v>
      </c>
      <c r="B27" s="38">
        <v>45925</v>
      </c>
      <c r="C27" s="24" t="s">
        <v>21455</v>
      </c>
      <c r="D27" s="24" t="s">
        <v>21536</v>
      </c>
      <c r="E27" s="24" t="s">
        <v>21537</v>
      </c>
      <c r="F27" s="7">
        <v>9</v>
      </c>
      <c r="G27" s="7">
        <v>2025</v>
      </c>
      <c r="H27" s="24" t="s">
        <v>21531</v>
      </c>
      <c r="I27" s="24" t="s">
        <v>21538</v>
      </c>
      <c r="J27" s="24" t="s">
        <v>21479</v>
      </c>
    </row>
    <row r="28" spans="1:10" x14ac:dyDescent="0.2">
      <c r="A28" s="27" t="s">
        <v>21454</v>
      </c>
      <c r="B28" s="39">
        <v>45919</v>
      </c>
      <c r="C28" s="27" t="s">
        <v>21455</v>
      </c>
      <c r="D28" s="27" t="s">
        <v>21539</v>
      </c>
      <c r="E28" s="27" t="s">
        <v>21540</v>
      </c>
      <c r="F28" s="7">
        <v>9</v>
      </c>
      <c r="G28" s="7">
        <v>2025</v>
      </c>
      <c r="H28" s="27" t="s">
        <v>21531</v>
      </c>
      <c r="I28" s="27" t="s">
        <v>21541</v>
      </c>
      <c r="J28" s="27" t="s">
        <v>21479</v>
      </c>
    </row>
    <row r="29" spans="1:10" x14ac:dyDescent="0.2">
      <c r="A29" s="24" t="s">
        <v>21454</v>
      </c>
      <c r="B29" s="38">
        <v>45919</v>
      </c>
      <c r="C29" s="24" t="s">
        <v>21461</v>
      </c>
      <c r="D29" s="24" t="s">
        <v>21542</v>
      </c>
      <c r="E29" s="24" t="s">
        <v>21543</v>
      </c>
      <c r="F29" s="7">
        <v>9</v>
      </c>
      <c r="G29" s="7">
        <v>2025</v>
      </c>
      <c r="H29" s="24" t="s">
        <v>21531</v>
      </c>
      <c r="I29" s="24" t="s">
        <v>21544</v>
      </c>
      <c r="J29" s="24" t="s">
        <v>21479</v>
      </c>
    </row>
    <row r="30" spans="1:10" x14ac:dyDescent="0.2">
      <c r="A30" s="27" t="s">
        <v>21454</v>
      </c>
      <c r="B30" s="39">
        <v>45898</v>
      </c>
      <c r="C30" s="27" t="s">
        <v>21455</v>
      </c>
      <c r="D30" s="27" t="s">
        <v>21545</v>
      </c>
      <c r="E30" s="27" t="s">
        <v>21546</v>
      </c>
      <c r="F30" s="7">
        <v>8</v>
      </c>
      <c r="G30" s="7">
        <v>2025</v>
      </c>
      <c r="H30" s="27" t="s">
        <v>21547</v>
      </c>
      <c r="I30" s="27" t="s">
        <v>21548</v>
      </c>
      <c r="J30" s="27" t="s">
        <v>21479</v>
      </c>
    </row>
    <row r="31" spans="1:10" x14ac:dyDescent="0.2">
      <c r="A31" s="24" t="s">
        <v>21454</v>
      </c>
      <c r="B31" s="38">
        <v>45890</v>
      </c>
      <c r="C31" s="24" t="s">
        <v>21455</v>
      </c>
      <c r="D31" s="24" t="s">
        <v>21549</v>
      </c>
      <c r="E31" s="24" t="s">
        <v>21550</v>
      </c>
      <c r="F31" s="7">
        <v>8</v>
      </c>
      <c r="G31" s="7">
        <v>2025</v>
      </c>
      <c r="H31" s="24" t="s">
        <v>21547</v>
      </c>
      <c r="I31" s="24" t="s">
        <v>21551</v>
      </c>
      <c r="J31" s="24" t="s">
        <v>21479</v>
      </c>
    </row>
    <row r="32" spans="1:10" x14ac:dyDescent="0.2">
      <c r="A32" s="27" t="s">
        <v>21498</v>
      </c>
      <c r="B32" s="39">
        <v>45883</v>
      </c>
      <c r="C32" s="27" t="s">
        <v>21461</v>
      </c>
      <c r="D32" s="27" t="s">
        <v>21552</v>
      </c>
      <c r="E32" s="27" t="s">
        <v>21552</v>
      </c>
      <c r="F32" s="7">
        <v>8</v>
      </c>
      <c r="G32" s="7">
        <v>2025</v>
      </c>
      <c r="H32" s="27" t="s">
        <v>21547</v>
      </c>
      <c r="I32" s="27" t="s">
        <v>21553</v>
      </c>
      <c r="J32" s="27" t="s">
        <v>21501</v>
      </c>
    </row>
    <row r="33" spans="1:10" x14ac:dyDescent="0.2">
      <c r="A33" s="24" t="s">
        <v>21454</v>
      </c>
      <c r="B33" s="38">
        <v>45881</v>
      </c>
      <c r="C33" s="24" t="s">
        <v>21455</v>
      </c>
      <c r="D33" s="24" t="s">
        <v>21554</v>
      </c>
      <c r="E33" s="24" t="s">
        <v>21555</v>
      </c>
      <c r="F33" s="7">
        <v>8</v>
      </c>
      <c r="G33" s="7">
        <v>2025</v>
      </c>
      <c r="H33" s="24" t="s">
        <v>21547</v>
      </c>
      <c r="I33" s="24" t="s">
        <v>21556</v>
      </c>
      <c r="J33" s="24" t="s">
        <v>21479</v>
      </c>
    </row>
    <row r="34" spans="1:10" x14ac:dyDescent="0.2">
      <c r="A34" s="27" t="s">
        <v>21454</v>
      </c>
      <c r="B34" s="39">
        <v>45877</v>
      </c>
      <c r="C34" s="27" t="s">
        <v>21455</v>
      </c>
      <c r="D34" s="27" t="s">
        <v>21557</v>
      </c>
      <c r="E34" s="27" t="s">
        <v>21558</v>
      </c>
      <c r="F34" s="7">
        <v>8</v>
      </c>
      <c r="G34" s="7">
        <v>2025</v>
      </c>
      <c r="H34" s="27" t="s">
        <v>21547</v>
      </c>
      <c r="I34" s="27" t="s">
        <v>21559</v>
      </c>
      <c r="J34" s="27" t="s">
        <v>21479</v>
      </c>
    </row>
    <row r="35" spans="1:10" x14ac:dyDescent="0.2">
      <c r="A35" s="24" t="s">
        <v>21454</v>
      </c>
      <c r="B35" s="38">
        <v>45875</v>
      </c>
      <c r="C35" s="24" t="s">
        <v>21455</v>
      </c>
      <c r="D35" s="24" t="s">
        <v>21560</v>
      </c>
      <c r="E35" s="24" t="s">
        <v>21561</v>
      </c>
      <c r="F35" s="7">
        <v>8</v>
      </c>
      <c r="G35" s="7">
        <v>2025</v>
      </c>
      <c r="H35" s="24" t="s">
        <v>21547</v>
      </c>
      <c r="I35" s="24" t="s">
        <v>21562</v>
      </c>
      <c r="J35" s="24" t="s">
        <v>21479</v>
      </c>
    </row>
    <row r="36" spans="1:10" x14ac:dyDescent="0.2">
      <c r="A36" s="27" t="s">
        <v>21454</v>
      </c>
      <c r="B36" s="39">
        <v>45869</v>
      </c>
      <c r="C36" s="27" t="s">
        <v>21455</v>
      </c>
      <c r="D36" s="27" t="s">
        <v>21563</v>
      </c>
      <c r="E36" s="27" t="s">
        <v>21564</v>
      </c>
      <c r="F36" s="7">
        <v>7</v>
      </c>
      <c r="G36" s="7">
        <v>2025</v>
      </c>
      <c r="H36" s="27" t="s">
        <v>21565</v>
      </c>
      <c r="I36" s="27" t="s">
        <v>21566</v>
      </c>
      <c r="J36" s="27" t="s">
        <v>21479</v>
      </c>
    </row>
    <row r="37" spans="1:10" x14ac:dyDescent="0.2">
      <c r="A37" s="24" t="s">
        <v>21454</v>
      </c>
      <c r="B37" s="38">
        <v>45866</v>
      </c>
      <c r="C37" s="24" t="s">
        <v>21455</v>
      </c>
      <c r="D37" s="24" t="s">
        <v>21567</v>
      </c>
      <c r="E37" s="24" t="s">
        <v>21568</v>
      </c>
      <c r="F37" s="7">
        <v>7</v>
      </c>
      <c r="G37" s="7">
        <v>2025</v>
      </c>
      <c r="H37" s="24" t="s">
        <v>21565</v>
      </c>
      <c r="I37" s="24" t="s">
        <v>21569</v>
      </c>
      <c r="J37" s="24" t="s">
        <v>21479</v>
      </c>
    </row>
    <row r="38" spans="1:10" x14ac:dyDescent="0.2">
      <c r="A38" s="27" t="s">
        <v>21454</v>
      </c>
      <c r="B38" s="39">
        <v>45861</v>
      </c>
      <c r="C38" s="27" t="s">
        <v>21455</v>
      </c>
      <c r="D38" s="27" t="s">
        <v>21570</v>
      </c>
      <c r="E38" s="27" t="s">
        <v>21571</v>
      </c>
      <c r="F38" s="7">
        <v>7</v>
      </c>
      <c r="G38" s="7">
        <v>2025</v>
      </c>
      <c r="H38" s="27" t="s">
        <v>21565</v>
      </c>
      <c r="I38" s="27" t="s">
        <v>21572</v>
      </c>
      <c r="J38" s="27" t="s">
        <v>21479</v>
      </c>
    </row>
    <row r="39" spans="1:10" x14ac:dyDescent="0.2">
      <c r="A39" s="24" t="s">
        <v>21454</v>
      </c>
      <c r="B39" s="38">
        <v>45841</v>
      </c>
      <c r="C39" s="24" t="s">
        <v>21455</v>
      </c>
      <c r="D39" s="24" t="s">
        <v>21573</v>
      </c>
      <c r="E39" s="24" t="s">
        <v>21574</v>
      </c>
      <c r="F39" s="7">
        <v>7</v>
      </c>
      <c r="G39" s="7">
        <v>2025</v>
      </c>
      <c r="H39" s="24" t="s">
        <v>21565</v>
      </c>
      <c r="I39" s="24" t="s">
        <v>21575</v>
      </c>
      <c r="J39" s="24" t="s">
        <v>21479</v>
      </c>
    </row>
    <row r="40" spans="1:10" x14ac:dyDescent="0.2">
      <c r="A40" s="27" t="s">
        <v>21454</v>
      </c>
      <c r="B40" s="39">
        <v>45840</v>
      </c>
      <c r="C40" s="27" t="s">
        <v>21461</v>
      </c>
      <c r="D40" s="27" t="s">
        <v>21576</v>
      </c>
      <c r="E40" s="27" t="s">
        <v>21577</v>
      </c>
      <c r="F40" s="7">
        <v>7</v>
      </c>
      <c r="G40" s="7">
        <v>2025</v>
      </c>
      <c r="H40" s="27" t="s">
        <v>21565</v>
      </c>
      <c r="I40" s="27" t="s">
        <v>21578</v>
      </c>
      <c r="J40" s="27" t="s">
        <v>21479</v>
      </c>
    </row>
    <row r="41" spans="1:10" x14ac:dyDescent="0.2">
      <c r="A41" s="24" t="s">
        <v>21454</v>
      </c>
      <c r="B41" s="38">
        <v>45840</v>
      </c>
      <c r="C41" s="24" t="s">
        <v>21455</v>
      </c>
      <c r="D41" s="24" t="s">
        <v>21579</v>
      </c>
      <c r="E41" s="24" t="s">
        <v>21580</v>
      </c>
      <c r="F41" s="7">
        <v>7</v>
      </c>
      <c r="G41" s="7">
        <v>2025</v>
      </c>
      <c r="H41" s="24" t="s">
        <v>21565</v>
      </c>
      <c r="I41" s="24" t="s">
        <v>21581</v>
      </c>
      <c r="J41" s="24" t="s">
        <v>21479</v>
      </c>
    </row>
    <row r="42" spans="1:10" x14ac:dyDescent="0.2">
      <c r="A42" s="27" t="s">
        <v>21454</v>
      </c>
      <c r="B42" s="39">
        <v>45824</v>
      </c>
      <c r="C42" s="27" t="s">
        <v>21461</v>
      </c>
      <c r="D42" s="27" t="s">
        <v>21582</v>
      </c>
      <c r="E42" s="27" t="s">
        <v>21583</v>
      </c>
      <c r="F42" s="7">
        <v>6</v>
      </c>
      <c r="G42" s="7">
        <v>2025</v>
      </c>
      <c r="H42" s="27" t="s">
        <v>21584</v>
      </c>
      <c r="I42" s="27" t="s">
        <v>21551</v>
      </c>
      <c r="J42" s="27" t="s">
        <v>21479</v>
      </c>
    </row>
    <row r="43" spans="1:10" x14ac:dyDescent="0.2">
      <c r="A43" s="24" t="s">
        <v>21454</v>
      </c>
      <c r="B43" s="38">
        <v>45819</v>
      </c>
      <c r="C43" s="24" t="s">
        <v>21455</v>
      </c>
      <c r="D43" s="24" t="s">
        <v>21585</v>
      </c>
      <c r="E43" s="24" t="s">
        <v>21586</v>
      </c>
      <c r="F43" s="7">
        <v>6</v>
      </c>
      <c r="G43" s="7">
        <v>2025</v>
      </c>
      <c r="H43" s="24" t="s">
        <v>21584</v>
      </c>
      <c r="I43" s="24" t="s">
        <v>21587</v>
      </c>
      <c r="J43" s="24" t="s">
        <v>21479</v>
      </c>
    </row>
    <row r="44" spans="1:10" x14ac:dyDescent="0.2">
      <c r="A44" s="27" t="s">
        <v>21454</v>
      </c>
      <c r="B44" s="39">
        <v>45817</v>
      </c>
      <c r="C44" s="27" t="s">
        <v>21461</v>
      </c>
      <c r="D44" s="27" t="s">
        <v>21588</v>
      </c>
      <c r="E44" s="27" t="s">
        <v>21589</v>
      </c>
      <c r="F44" s="7">
        <v>6</v>
      </c>
      <c r="G44" s="7">
        <v>2025</v>
      </c>
      <c r="H44" s="27" t="s">
        <v>21584</v>
      </c>
      <c r="I44" s="27" t="s">
        <v>21590</v>
      </c>
      <c r="J44" s="27" t="s">
        <v>21479</v>
      </c>
    </row>
    <row r="45" spans="1:10" x14ac:dyDescent="0.2">
      <c r="A45" s="24" t="s">
        <v>21498</v>
      </c>
      <c r="B45" s="38">
        <v>45807</v>
      </c>
      <c r="C45" s="24" t="s">
        <v>21461</v>
      </c>
      <c r="D45" s="24" t="s">
        <v>21591</v>
      </c>
      <c r="E45" s="24" t="s">
        <v>21591</v>
      </c>
      <c r="F45" s="7">
        <v>5</v>
      </c>
      <c r="G45" s="7">
        <v>2025</v>
      </c>
      <c r="H45" s="24" t="s">
        <v>21592</v>
      </c>
      <c r="I45" s="24" t="s">
        <v>21593</v>
      </c>
      <c r="J45" s="24" t="s">
        <v>21501</v>
      </c>
    </row>
    <row r="46" spans="1:10" x14ac:dyDescent="0.2">
      <c r="A46" s="27" t="s">
        <v>21454</v>
      </c>
      <c r="B46" s="39">
        <v>45805</v>
      </c>
      <c r="C46" s="27" t="s">
        <v>21455</v>
      </c>
      <c r="D46" s="27" t="s">
        <v>21594</v>
      </c>
      <c r="E46" s="27" t="s">
        <v>21595</v>
      </c>
      <c r="F46" s="7">
        <v>5</v>
      </c>
      <c r="G46" s="7">
        <v>2025</v>
      </c>
      <c r="H46" s="27" t="s">
        <v>21592</v>
      </c>
      <c r="I46" s="27" t="s">
        <v>21596</v>
      </c>
      <c r="J46" s="27" t="s">
        <v>21479</v>
      </c>
    </row>
    <row r="47" spans="1:10" x14ac:dyDescent="0.2">
      <c r="A47" s="24" t="s">
        <v>21498</v>
      </c>
      <c r="B47" s="38">
        <v>45793</v>
      </c>
      <c r="C47" s="24" t="s">
        <v>21461</v>
      </c>
      <c r="D47" s="24" t="s">
        <v>21597</v>
      </c>
      <c r="E47" s="24" t="s">
        <v>21597</v>
      </c>
      <c r="F47" s="7">
        <v>5</v>
      </c>
      <c r="G47" s="7">
        <v>2025</v>
      </c>
      <c r="H47" s="24" t="s">
        <v>21592</v>
      </c>
      <c r="I47" s="24" t="s">
        <v>21598</v>
      </c>
      <c r="J47" s="24" t="s">
        <v>21501</v>
      </c>
    </row>
    <row r="48" spans="1:10" x14ac:dyDescent="0.2">
      <c r="A48" s="27" t="s">
        <v>21454</v>
      </c>
      <c r="B48" s="39">
        <v>45791</v>
      </c>
      <c r="C48" s="27" t="s">
        <v>21461</v>
      </c>
      <c r="D48" s="27" t="s">
        <v>21599</v>
      </c>
      <c r="E48" s="27" t="s">
        <v>21600</v>
      </c>
      <c r="F48" s="7">
        <v>5</v>
      </c>
      <c r="G48" s="7">
        <v>2025</v>
      </c>
      <c r="H48" s="27" t="s">
        <v>21592</v>
      </c>
      <c r="I48" s="27" t="s">
        <v>21601</v>
      </c>
      <c r="J48" s="27" t="s">
        <v>21479</v>
      </c>
    </row>
    <row r="49" spans="1:10" x14ac:dyDescent="0.2">
      <c r="A49" s="24" t="s">
        <v>21454</v>
      </c>
      <c r="B49" s="38">
        <v>45785</v>
      </c>
      <c r="C49" s="24" t="s">
        <v>21455</v>
      </c>
      <c r="D49" s="24" t="s">
        <v>21602</v>
      </c>
      <c r="E49" s="24" t="s">
        <v>21603</v>
      </c>
      <c r="F49" s="7">
        <v>5</v>
      </c>
      <c r="G49" s="7">
        <v>2025</v>
      </c>
      <c r="H49" s="24" t="s">
        <v>21592</v>
      </c>
      <c r="I49" s="24" t="s">
        <v>21604</v>
      </c>
      <c r="J49" s="24" t="s">
        <v>21479</v>
      </c>
    </row>
    <row r="50" spans="1:10" x14ac:dyDescent="0.2">
      <c r="A50" s="27" t="s">
        <v>21454</v>
      </c>
      <c r="B50" s="39">
        <v>45776</v>
      </c>
      <c r="C50" s="27" t="s">
        <v>21461</v>
      </c>
      <c r="D50" s="27" t="s">
        <v>21605</v>
      </c>
      <c r="E50" s="27" t="s">
        <v>21606</v>
      </c>
      <c r="F50" s="7">
        <v>4</v>
      </c>
      <c r="G50" s="7">
        <v>2025</v>
      </c>
      <c r="H50" s="27" t="s">
        <v>21607</v>
      </c>
      <c r="I50" s="27" t="s">
        <v>21608</v>
      </c>
      <c r="J50" s="27" t="s">
        <v>21479</v>
      </c>
    </row>
    <row r="51" spans="1:10" x14ac:dyDescent="0.2">
      <c r="A51" s="24" t="s">
        <v>21498</v>
      </c>
      <c r="B51" s="38">
        <v>45775</v>
      </c>
      <c r="C51" s="24" t="s">
        <v>21461</v>
      </c>
      <c r="D51" s="24" t="s">
        <v>21609</v>
      </c>
      <c r="E51" s="24" t="s">
        <v>21609</v>
      </c>
      <c r="F51" s="7">
        <v>4</v>
      </c>
      <c r="G51" s="7">
        <v>2025</v>
      </c>
      <c r="H51" s="24" t="s">
        <v>21607</v>
      </c>
      <c r="I51" s="24" t="s">
        <v>21610</v>
      </c>
      <c r="J51" s="24" t="s">
        <v>21501</v>
      </c>
    </row>
    <row r="52" spans="1:10" x14ac:dyDescent="0.2">
      <c r="A52" s="27" t="s">
        <v>21454</v>
      </c>
      <c r="B52" s="39">
        <v>45770</v>
      </c>
      <c r="C52" s="27" t="s">
        <v>21461</v>
      </c>
      <c r="D52" s="27" t="s">
        <v>21611</v>
      </c>
      <c r="E52" s="27" t="s">
        <v>21611</v>
      </c>
      <c r="F52" s="7">
        <v>4</v>
      </c>
      <c r="G52" s="7">
        <v>2025</v>
      </c>
      <c r="H52" s="27" t="s">
        <v>21607</v>
      </c>
      <c r="I52" s="27" t="s">
        <v>21612</v>
      </c>
      <c r="J52" s="27" t="s">
        <v>21479</v>
      </c>
    </row>
    <row r="53" spans="1:10" x14ac:dyDescent="0.2">
      <c r="A53" s="24" t="s">
        <v>21454</v>
      </c>
      <c r="B53" s="38">
        <v>45749</v>
      </c>
      <c r="C53" s="24" t="s">
        <v>21455</v>
      </c>
      <c r="D53" s="24" t="s">
        <v>21613</v>
      </c>
      <c r="E53" s="24" t="s">
        <v>21614</v>
      </c>
      <c r="F53" s="7">
        <v>4</v>
      </c>
      <c r="G53" s="7">
        <v>2025</v>
      </c>
      <c r="H53" s="24" t="s">
        <v>21607</v>
      </c>
      <c r="I53" s="24" t="s">
        <v>21615</v>
      </c>
      <c r="J53" s="24" t="s">
        <v>21479</v>
      </c>
    </row>
    <row r="54" spans="1:10" x14ac:dyDescent="0.2">
      <c r="A54" s="27" t="s">
        <v>21454</v>
      </c>
      <c r="B54" s="39">
        <v>45744</v>
      </c>
      <c r="C54" s="27" t="s">
        <v>21455</v>
      </c>
      <c r="D54" s="27" t="s">
        <v>21616</v>
      </c>
      <c r="E54" s="27" t="s">
        <v>21617</v>
      </c>
      <c r="F54" s="7">
        <v>3</v>
      </c>
      <c r="G54" s="7">
        <v>2025</v>
      </c>
      <c r="H54" s="27" t="s">
        <v>21618</v>
      </c>
      <c r="I54" s="27" t="s">
        <v>21619</v>
      </c>
      <c r="J54" s="27" t="s">
        <v>21479</v>
      </c>
    </row>
    <row r="55" spans="1:10" x14ac:dyDescent="0.2">
      <c r="A55" s="24" t="s">
        <v>21454</v>
      </c>
      <c r="B55" s="38">
        <v>45741</v>
      </c>
      <c r="C55" s="24" t="s">
        <v>21455</v>
      </c>
      <c r="D55" s="24" t="s">
        <v>21620</v>
      </c>
      <c r="E55" s="24" t="s">
        <v>21621</v>
      </c>
      <c r="F55" s="7">
        <v>3</v>
      </c>
      <c r="G55" s="7">
        <v>2025</v>
      </c>
      <c r="H55" s="24" t="s">
        <v>21618</v>
      </c>
      <c r="I55" s="24" t="s">
        <v>21622</v>
      </c>
      <c r="J55" s="24" t="s">
        <v>21479</v>
      </c>
    </row>
    <row r="56" spans="1:10" x14ac:dyDescent="0.2">
      <c r="A56" s="27" t="s">
        <v>21498</v>
      </c>
      <c r="B56" s="39">
        <v>45721</v>
      </c>
      <c r="C56" s="27" t="s">
        <v>21461</v>
      </c>
      <c r="D56" s="27" t="s">
        <v>21623</v>
      </c>
      <c r="E56" s="27" t="s">
        <v>21623</v>
      </c>
      <c r="F56" s="7">
        <v>3</v>
      </c>
      <c r="G56" s="7">
        <v>2025</v>
      </c>
      <c r="H56" s="27" t="s">
        <v>21618</v>
      </c>
      <c r="I56" s="27" t="s">
        <v>21624</v>
      </c>
      <c r="J56" s="27" t="s">
        <v>21501</v>
      </c>
    </row>
    <row r="57" spans="1:10" x14ac:dyDescent="0.2">
      <c r="A57" s="24" t="s">
        <v>21454</v>
      </c>
      <c r="B57" s="38">
        <v>45702</v>
      </c>
      <c r="C57" s="24" t="s">
        <v>21455</v>
      </c>
      <c r="D57" s="24" t="s">
        <v>21625</v>
      </c>
      <c r="E57" s="24" t="s">
        <v>21626</v>
      </c>
      <c r="F57" s="7">
        <v>2</v>
      </c>
      <c r="G57" s="7">
        <v>2025</v>
      </c>
      <c r="H57" s="24" t="s">
        <v>21627</v>
      </c>
      <c r="I57" s="24" t="s">
        <v>21628</v>
      </c>
      <c r="J57" s="24" t="s">
        <v>21479</v>
      </c>
    </row>
    <row r="58" spans="1:10" x14ac:dyDescent="0.2">
      <c r="A58" s="27" t="s">
        <v>21498</v>
      </c>
      <c r="B58" s="39">
        <v>45702</v>
      </c>
      <c r="C58" s="27" t="s">
        <v>21461</v>
      </c>
      <c r="D58" s="27" t="s">
        <v>21629</v>
      </c>
      <c r="E58" s="27" t="s">
        <v>21629</v>
      </c>
      <c r="F58" s="7">
        <v>2</v>
      </c>
      <c r="G58" s="7">
        <v>2025</v>
      </c>
      <c r="H58" s="27" t="s">
        <v>21627</v>
      </c>
      <c r="I58" s="27" t="s">
        <v>21630</v>
      </c>
      <c r="J58" s="27" t="s">
        <v>21501</v>
      </c>
    </row>
    <row r="59" spans="1:10" x14ac:dyDescent="0.2">
      <c r="A59" s="24" t="s">
        <v>21498</v>
      </c>
      <c r="B59" s="38">
        <v>45702</v>
      </c>
      <c r="C59" s="24" t="s">
        <v>21461</v>
      </c>
      <c r="D59" s="24" t="s">
        <v>21631</v>
      </c>
      <c r="E59" s="24" t="s">
        <v>21631</v>
      </c>
      <c r="F59" s="7">
        <v>2</v>
      </c>
      <c r="G59" s="7">
        <v>2025</v>
      </c>
      <c r="H59" s="24" t="s">
        <v>21627</v>
      </c>
      <c r="I59" s="24" t="s">
        <v>21632</v>
      </c>
      <c r="J59" s="24" t="s">
        <v>21501</v>
      </c>
    </row>
    <row r="60" spans="1:10" x14ac:dyDescent="0.2">
      <c r="A60" s="27" t="s">
        <v>21454</v>
      </c>
      <c r="B60" s="39">
        <v>45699</v>
      </c>
      <c r="C60" s="27" t="s">
        <v>21455</v>
      </c>
      <c r="D60" s="27" t="s">
        <v>21633</v>
      </c>
      <c r="E60" s="27" t="s">
        <v>21634</v>
      </c>
      <c r="F60" s="7">
        <v>2</v>
      </c>
      <c r="G60" s="7">
        <v>2025</v>
      </c>
      <c r="H60" s="27" t="s">
        <v>21627</v>
      </c>
      <c r="I60" s="27" t="s">
        <v>21635</v>
      </c>
      <c r="J60" s="27" t="s">
        <v>21479</v>
      </c>
    </row>
    <row r="61" spans="1:10" x14ac:dyDescent="0.2">
      <c r="A61" s="24" t="s">
        <v>21454</v>
      </c>
      <c r="B61" s="38">
        <v>45687</v>
      </c>
      <c r="C61" s="24" t="s">
        <v>21455</v>
      </c>
      <c r="D61" s="24" t="s">
        <v>21636</v>
      </c>
      <c r="E61" s="24" t="s">
        <v>21637</v>
      </c>
      <c r="F61" s="7">
        <v>1</v>
      </c>
      <c r="G61" s="7">
        <v>2025</v>
      </c>
      <c r="H61" s="24" t="s">
        <v>21638</v>
      </c>
      <c r="I61" s="24" t="s">
        <v>21639</v>
      </c>
      <c r="J61" s="24" t="s">
        <v>21479</v>
      </c>
    </row>
    <row r="62" spans="1:10" x14ac:dyDescent="0.2">
      <c r="A62" s="27" t="s">
        <v>21454</v>
      </c>
      <c r="B62" s="39">
        <v>45678</v>
      </c>
      <c r="C62" s="27" t="s">
        <v>21455</v>
      </c>
      <c r="D62" s="27" t="s">
        <v>21640</v>
      </c>
      <c r="E62" s="27" t="s">
        <v>21641</v>
      </c>
      <c r="F62" s="7">
        <v>1</v>
      </c>
      <c r="G62" s="7">
        <v>2025</v>
      </c>
      <c r="H62" s="27" t="s">
        <v>21638</v>
      </c>
      <c r="I62" s="27" t="s">
        <v>21642</v>
      </c>
      <c r="J62" s="27" t="s">
        <v>21479</v>
      </c>
    </row>
    <row r="63" spans="1:10" x14ac:dyDescent="0.2">
      <c r="A63" s="24" t="s">
        <v>21454</v>
      </c>
      <c r="B63" s="38">
        <v>45674</v>
      </c>
      <c r="C63" s="24" t="s">
        <v>21461</v>
      </c>
      <c r="D63" s="24" t="s">
        <v>21643</v>
      </c>
      <c r="E63" s="24" t="s">
        <v>21644</v>
      </c>
      <c r="F63" s="7">
        <v>1</v>
      </c>
      <c r="G63" s="7">
        <v>2025</v>
      </c>
      <c r="H63" s="24" t="s">
        <v>21638</v>
      </c>
      <c r="I63" s="24" t="s">
        <v>21645</v>
      </c>
      <c r="J63" s="24" t="s">
        <v>21479</v>
      </c>
    </row>
    <row r="64" spans="1:10" x14ac:dyDescent="0.2">
      <c r="A64" s="27" t="s">
        <v>21454</v>
      </c>
      <c r="B64" s="39">
        <v>45646</v>
      </c>
      <c r="C64" s="27" t="s">
        <v>21461</v>
      </c>
      <c r="D64" s="27" t="s">
        <v>21646</v>
      </c>
      <c r="E64" s="27" t="s">
        <v>21647</v>
      </c>
      <c r="F64" s="7">
        <v>12</v>
      </c>
      <c r="G64" s="7">
        <v>2024</v>
      </c>
      <c r="H64" s="27" t="s">
        <v>21648</v>
      </c>
      <c r="I64" s="27" t="s">
        <v>21649</v>
      </c>
      <c r="J64" s="27" t="s">
        <v>21650</v>
      </c>
    </row>
    <row r="65" spans="1:10" x14ac:dyDescent="0.2">
      <c r="A65" s="24" t="s">
        <v>21454</v>
      </c>
      <c r="B65" s="38">
        <v>45646</v>
      </c>
      <c r="C65" s="24" t="s">
        <v>21455</v>
      </c>
      <c r="D65" s="24" t="s">
        <v>21651</v>
      </c>
      <c r="E65" s="24" t="s">
        <v>21652</v>
      </c>
      <c r="F65" s="7">
        <v>12</v>
      </c>
      <c r="G65" s="7">
        <v>2024</v>
      </c>
      <c r="H65" s="24" t="s">
        <v>21648</v>
      </c>
      <c r="I65" s="24" t="s">
        <v>21653</v>
      </c>
      <c r="J65" s="24" t="s">
        <v>21650</v>
      </c>
    </row>
    <row r="66" spans="1:10" x14ac:dyDescent="0.2">
      <c r="A66" s="27" t="s">
        <v>21498</v>
      </c>
      <c r="B66" s="39">
        <v>45645</v>
      </c>
      <c r="C66" s="27" t="s">
        <v>21461</v>
      </c>
      <c r="D66" s="27" t="s">
        <v>21654</v>
      </c>
      <c r="E66" s="27" t="s">
        <v>21654</v>
      </c>
      <c r="F66" s="7">
        <v>12</v>
      </c>
      <c r="G66" s="7">
        <v>2024</v>
      </c>
      <c r="H66" s="27" t="s">
        <v>21648</v>
      </c>
      <c r="I66" s="27" t="s">
        <v>21655</v>
      </c>
      <c r="J66" s="27" t="s">
        <v>21656</v>
      </c>
    </row>
    <row r="67" spans="1:10" x14ac:dyDescent="0.2">
      <c r="A67" s="24" t="s">
        <v>21454</v>
      </c>
      <c r="B67" s="38">
        <v>45645</v>
      </c>
      <c r="C67" s="24" t="s">
        <v>21455</v>
      </c>
      <c r="D67" s="24" t="s">
        <v>21657</v>
      </c>
      <c r="E67" s="24" t="s">
        <v>21658</v>
      </c>
      <c r="F67" s="7">
        <v>12</v>
      </c>
      <c r="G67" s="7">
        <v>2024</v>
      </c>
      <c r="H67" s="24" t="s">
        <v>21648</v>
      </c>
      <c r="I67" s="24" t="s">
        <v>21659</v>
      </c>
      <c r="J67" s="24" t="s">
        <v>21650</v>
      </c>
    </row>
    <row r="68" spans="1:10" x14ac:dyDescent="0.2">
      <c r="A68" s="27" t="s">
        <v>21498</v>
      </c>
      <c r="B68" s="39">
        <v>45644</v>
      </c>
      <c r="C68" s="27" t="s">
        <v>21461</v>
      </c>
      <c r="D68" s="27" t="s">
        <v>21660</v>
      </c>
      <c r="E68" s="27" t="s">
        <v>21660</v>
      </c>
      <c r="F68" s="7">
        <v>12</v>
      </c>
      <c r="G68" s="7">
        <v>2024</v>
      </c>
      <c r="H68" s="27" t="s">
        <v>21648</v>
      </c>
      <c r="I68" s="27" t="s">
        <v>21661</v>
      </c>
      <c r="J68" s="27" t="s">
        <v>21656</v>
      </c>
    </row>
    <row r="69" spans="1:10" x14ac:dyDescent="0.2">
      <c r="A69" s="24" t="s">
        <v>21454</v>
      </c>
      <c r="B69" s="38">
        <v>45644</v>
      </c>
      <c r="C69" s="24" t="s">
        <v>21455</v>
      </c>
      <c r="D69" s="24" t="s">
        <v>21662</v>
      </c>
      <c r="E69" s="24" t="s">
        <v>21663</v>
      </c>
      <c r="F69" s="7">
        <v>12</v>
      </c>
      <c r="G69" s="7">
        <v>2024</v>
      </c>
      <c r="H69" s="24" t="s">
        <v>21648</v>
      </c>
      <c r="I69" s="24" t="s">
        <v>21664</v>
      </c>
      <c r="J69" s="24" t="s">
        <v>21650</v>
      </c>
    </row>
    <row r="70" spans="1:10" x14ac:dyDescent="0.2">
      <c r="A70" s="27" t="s">
        <v>21454</v>
      </c>
      <c r="B70" s="39">
        <v>45639</v>
      </c>
      <c r="C70" s="27" t="s">
        <v>21461</v>
      </c>
      <c r="D70" s="27" t="s">
        <v>21665</v>
      </c>
      <c r="E70" s="27" t="s">
        <v>21666</v>
      </c>
      <c r="F70" s="7">
        <v>12</v>
      </c>
      <c r="G70" s="7">
        <v>2024</v>
      </c>
      <c r="H70" s="27" t="s">
        <v>21648</v>
      </c>
      <c r="I70" s="27" t="s">
        <v>21667</v>
      </c>
      <c r="J70" s="27" t="s">
        <v>21650</v>
      </c>
    </row>
    <row r="71" spans="1:10" x14ac:dyDescent="0.2">
      <c r="A71" s="24" t="s">
        <v>21454</v>
      </c>
      <c r="B71" s="38">
        <v>45639</v>
      </c>
      <c r="C71" s="24" t="s">
        <v>21455</v>
      </c>
      <c r="D71" s="24" t="s">
        <v>21668</v>
      </c>
      <c r="E71" s="24" t="s">
        <v>21669</v>
      </c>
      <c r="F71" s="7">
        <v>12</v>
      </c>
      <c r="G71" s="7">
        <v>2024</v>
      </c>
      <c r="H71" s="24" t="s">
        <v>21648</v>
      </c>
      <c r="I71" s="24" t="s">
        <v>21670</v>
      </c>
      <c r="J71" s="24" t="s">
        <v>21650</v>
      </c>
    </row>
    <row r="72" spans="1:10" x14ac:dyDescent="0.2">
      <c r="A72" s="27" t="s">
        <v>21454</v>
      </c>
      <c r="B72" s="39">
        <v>45630</v>
      </c>
      <c r="C72" s="27" t="s">
        <v>21461</v>
      </c>
      <c r="D72" s="27" t="s">
        <v>21671</v>
      </c>
      <c r="E72" s="27" t="s">
        <v>21672</v>
      </c>
      <c r="F72" s="7">
        <v>12</v>
      </c>
      <c r="G72" s="7">
        <v>2024</v>
      </c>
      <c r="H72" s="27" t="s">
        <v>21648</v>
      </c>
      <c r="I72" s="27" t="s">
        <v>21673</v>
      </c>
      <c r="J72" s="27" t="s">
        <v>21650</v>
      </c>
    </row>
    <row r="73" spans="1:10" x14ac:dyDescent="0.2">
      <c r="A73" s="24" t="s">
        <v>21454</v>
      </c>
      <c r="B73" s="38">
        <v>45623</v>
      </c>
      <c r="C73" s="24" t="s">
        <v>21455</v>
      </c>
      <c r="D73" s="24" t="s">
        <v>21674</v>
      </c>
      <c r="E73" s="24" t="s">
        <v>21675</v>
      </c>
      <c r="F73" s="7">
        <v>11</v>
      </c>
      <c r="G73" s="7">
        <v>2024</v>
      </c>
      <c r="H73" s="24" t="s">
        <v>21676</v>
      </c>
      <c r="I73" s="24" t="s">
        <v>21677</v>
      </c>
      <c r="J73" s="24" t="s">
        <v>21650</v>
      </c>
    </row>
    <row r="74" spans="1:10" x14ac:dyDescent="0.2">
      <c r="A74" s="27" t="s">
        <v>21454</v>
      </c>
      <c r="B74" s="39">
        <v>45618</v>
      </c>
      <c r="C74" s="27" t="s">
        <v>21455</v>
      </c>
      <c r="D74" s="27" t="s">
        <v>21678</v>
      </c>
      <c r="E74" s="27" t="s">
        <v>21679</v>
      </c>
      <c r="F74" s="7">
        <v>11</v>
      </c>
      <c r="G74" s="7">
        <v>2024</v>
      </c>
      <c r="H74" s="27" t="s">
        <v>21676</v>
      </c>
      <c r="I74" s="27" t="s">
        <v>21680</v>
      </c>
      <c r="J74" s="27" t="s">
        <v>21650</v>
      </c>
    </row>
    <row r="75" spans="1:10" x14ac:dyDescent="0.2">
      <c r="A75" s="24" t="s">
        <v>21454</v>
      </c>
      <c r="B75" s="38">
        <v>45618</v>
      </c>
      <c r="C75" s="24" t="s">
        <v>21455</v>
      </c>
      <c r="D75" s="24" t="s">
        <v>21681</v>
      </c>
      <c r="E75" s="24" t="s">
        <v>21682</v>
      </c>
      <c r="F75" s="7">
        <v>11</v>
      </c>
      <c r="G75" s="7">
        <v>2024</v>
      </c>
      <c r="H75" s="24" t="s">
        <v>21676</v>
      </c>
      <c r="I75" s="24" t="s">
        <v>21683</v>
      </c>
      <c r="J75" s="24" t="s">
        <v>21650</v>
      </c>
    </row>
    <row r="76" spans="1:10" x14ac:dyDescent="0.2">
      <c r="A76" s="27" t="s">
        <v>21454</v>
      </c>
      <c r="B76" s="39">
        <v>45616</v>
      </c>
      <c r="C76" s="27" t="s">
        <v>21461</v>
      </c>
      <c r="D76" s="27" t="s">
        <v>21684</v>
      </c>
      <c r="E76" s="27" t="s">
        <v>21685</v>
      </c>
      <c r="F76" s="7">
        <v>11</v>
      </c>
      <c r="G76" s="7">
        <v>2024</v>
      </c>
      <c r="H76" s="27" t="s">
        <v>21676</v>
      </c>
      <c r="I76" s="27" t="s">
        <v>21686</v>
      </c>
      <c r="J76" s="27" t="s">
        <v>21650</v>
      </c>
    </row>
    <row r="77" spans="1:10" x14ac:dyDescent="0.2">
      <c r="A77" s="24" t="s">
        <v>21454</v>
      </c>
      <c r="B77" s="38">
        <v>45611</v>
      </c>
      <c r="C77" s="24" t="s">
        <v>21455</v>
      </c>
      <c r="D77" s="24" t="s">
        <v>21687</v>
      </c>
      <c r="E77" s="24" t="s">
        <v>21688</v>
      </c>
      <c r="F77" s="7">
        <v>11</v>
      </c>
      <c r="G77" s="7">
        <v>2024</v>
      </c>
      <c r="H77" s="24" t="s">
        <v>21676</v>
      </c>
      <c r="I77" s="24" t="s">
        <v>21689</v>
      </c>
      <c r="J77" s="24" t="s">
        <v>21650</v>
      </c>
    </row>
    <row r="78" spans="1:10" x14ac:dyDescent="0.2">
      <c r="A78" s="27" t="s">
        <v>21498</v>
      </c>
      <c r="B78" s="39">
        <v>45609</v>
      </c>
      <c r="C78" s="27" t="s">
        <v>21461</v>
      </c>
      <c r="D78" s="27" t="s">
        <v>21690</v>
      </c>
      <c r="E78" s="27" t="s">
        <v>21690</v>
      </c>
      <c r="F78" s="7">
        <v>11</v>
      </c>
      <c r="G78" s="7">
        <v>2024</v>
      </c>
      <c r="H78" s="27" t="s">
        <v>21676</v>
      </c>
      <c r="I78" s="27" t="s">
        <v>21691</v>
      </c>
      <c r="J78" s="27" t="s">
        <v>21656</v>
      </c>
    </row>
    <row r="79" spans="1:10" x14ac:dyDescent="0.2">
      <c r="A79" s="24" t="s">
        <v>21498</v>
      </c>
      <c r="B79" s="38">
        <v>45604</v>
      </c>
      <c r="C79" s="24" t="s">
        <v>21461</v>
      </c>
      <c r="D79" s="24" t="s">
        <v>21692</v>
      </c>
      <c r="E79" s="24" t="s">
        <v>21692</v>
      </c>
      <c r="F79" s="7">
        <v>11</v>
      </c>
      <c r="G79" s="7">
        <v>2024</v>
      </c>
      <c r="H79" s="24" t="s">
        <v>21676</v>
      </c>
      <c r="I79" s="24" t="s">
        <v>21693</v>
      </c>
      <c r="J79" s="24" t="s">
        <v>21656</v>
      </c>
    </row>
    <row r="80" spans="1:10" x14ac:dyDescent="0.2">
      <c r="A80" s="27" t="s">
        <v>21454</v>
      </c>
      <c r="B80" s="39">
        <v>45590</v>
      </c>
      <c r="C80" s="27" t="s">
        <v>21455</v>
      </c>
      <c r="D80" s="27" t="s">
        <v>21694</v>
      </c>
      <c r="E80" s="27" t="s">
        <v>21695</v>
      </c>
      <c r="F80" s="7">
        <v>10</v>
      </c>
      <c r="G80" s="7">
        <v>2024</v>
      </c>
      <c r="H80" s="27" t="s">
        <v>21696</v>
      </c>
      <c r="I80" s="27" t="s">
        <v>21697</v>
      </c>
      <c r="J80" s="27" t="s">
        <v>21650</v>
      </c>
    </row>
    <row r="81" spans="1:10" x14ac:dyDescent="0.2">
      <c r="A81" s="24" t="s">
        <v>21454</v>
      </c>
      <c r="B81" s="38">
        <v>45583</v>
      </c>
      <c r="C81" s="24" t="s">
        <v>21461</v>
      </c>
      <c r="D81" s="24" t="s">
        <v>21698</v>
      </c>
      <c r="E81" s="24" t="s">
        <v>21699</v>
      </c>
      <c r="F81" s="7">
        <v>10</v>
      </c>
      <c r="G81" s="7">
        <v>2024</v>
      </c>
      <c r="H81" s="24" t="s">
        <v>21696</v>
      </c>
      <c r="I81" s="24" t="s">
        <v>21700</v>
      </c>
      <c r="J81" s="24" t="s">
        <v>21650</v>
      </c>
    </row>
    <row r="82" spans="1:10" x14ac:dyDescent="0.2">
      <c r="A82" s="27" t="s">
        <v>21454</v>
      </c>
      <c r="B82" s="39">
        <v>45576</v>
      </c>
      <c r="C82" s="27" t="s">
        <v>21461</v>
      </c>
      <c r="D82" s="27" t="s">
        <v>21701</v>
      </c>
      <c r="E82" s="27" t="s">
        <v>21702</v>
      </c>
      <c r="F82" s="7">
        <v>10</v>
      </c>
      <c r="G82" s="7">
        <v>2024</v>
      </c>
      <c r="H82" s="27" t="s">
        <v>21696</v>
      </c>
      <c r="I82" s="27" t="s">
        <v>21703</v>
      </c>
      <c r="J82" s="27" t="s">
        <v>21650</v>
      </c>
    </row>
    <row r="83" spans="1:10" x14ac:dyDescent="0.2">
      <c r="A83" s="24" t="s">
        <v>21454</v>
      </c>
      <c r="B83" s="38">
        <v>45575</v>
      </c>
      <c r="C83" s="24" t="s">
        <v>21455</v>
      </c>
      <c r="D83" s="24" t="s">
        <v>21704</v>
      </c>
      <c r="E83" s="24" t="s">
        <v>21705</v>
      </c>
      <c r="F83" s="7">
        <v>10</v>
      </c>
      <c r="G83" s="7">
        <v>2024</v>
      </c>
      <c r="H83" s="24" t="s">
        <v>21696</v>
      </c>
      <c r="I83" s="24" t="s">
        <v>21706</v>
      </c>
      <c r="J83" s="24" t="s">
        <v>21650</v>
      </c>
    </row>
    <row r="84" spans="1:10" x14ac:dyDescent="0.2">
      <c r="A84" s="27" t="s">
        <v>21454</v>
      </c>
      <c r="B84" s="39">
        <v>45562</v>
      </c>
      <c r="C84" s="27" t="s">
        <v>21455</v>
      </c>
      <c r="D84" s="27" t="s">
        <v>21707</v>
      </c>
      <c r="E84" s="27" t="s">
        <v>21708</v>
      </c>
      <c r="F84" s="7">
        <v>9</v>
      </c>
      <c r="G84" s="7">
        <v>2024</v>
      </c>
      <c r="H84" s="27" t="s">
        <v>21709</v>
      </c>
      <c r="I84" s="27" t="s">
        <v>21710</v>
      </c>
      <c r="J84" s="27" t="s">
        <v>21650</v>
      </c>
    </row>
    <row r="85" spans="1:10" x14ac:dyDescent="0.2">
      <c r="A85" s="24" t="s">
        <v>21454</v>
      </c>
      <c r="B85" s="38">
        <v>45561</v>
      </c>
      <c r="C85" s="24" t="s">
        <v>21455</v>
      </c>
      <c r="D85" s="24" t="s">
        <v>21711</v>
      </c>
      <c r="E85" s="24" t="s">
        <v>21712</v>
      </c>
      <c r="F85" s="7">
        <v>9</v>
      </c>
      <c r="G85" s="7">
        <v>2024</v>
      </c>
      <c r="H85" s="24" t="s">
        <v>21709</v>
      </c>
      <c r="I85" s="24" t="s">
        <v>21713</v>
      </c>
      <c r="J85" s="24" t="s">
        <v>21650</v>
      </c>
    </row>
    <row r="86" spans="1:10" x14ac:dyDescent="0.2">
      <c r="A86" s="27" t="s">
        <v>21454</v>
      </c>
      <c r="B86" s="39">
        <v>45559</v>
      </c>
      <c r="C86" s="27" t="s">
        <v>21455</v>
      </c>
      <c r="D86" s="27" t="s">
        <v>21714</v>
      </c>
      <c r="E86" s="27" t="s">
        <v>21715</v>
      </c>
      <c r="F86" s="7">
        <v>9</v>
      </c>
      <c r="G86" s="7">
        <v>2024</v>
      </c>
      <c r="H86" s="27" t="s">
        <v>21709</v>
      </c>
      <c r="I86" s="27" t="s">
        <v>21716</v>
      </c>
      <c r="J86" s="27" t="s">
        <v>21650</v>
      </c>
    </row>
    <row r="87" spans="1:10" x14ac:dyDescent="0.2">
      <c r="A87" s="24" t="s">
        <v>21454</v>
      </c>
      <c r="B87" s="38">
        <v>45555</v>
      </c>
      <c r="C87" s="24" t="s">
        <v>21455</v>
      </c>
      <c r="D87" s="24" t="s">
        <v>21717</v>
      </c>
      <c r="E87" s="24" t="s">
        <v>21718</v>
      </c>
      <c r="F87" s="7">
        <v>9</v>
      </c>
      <c r="G87" s="7">
        <v>2024</v>
      </c>
      <c r="H87" s="24" t="s">
        <v>21709</v>
      </c>
      <c r="I87" s="24" t="s">
        <v>21716</v>
      </c>
      <c r="J87" s="24" t="s">
        <v>21650</v>
      </c>
    </row>
    <row r="88" spans="1:10" x14ac:dyDescent="0.2">
      <c r="A88" s="27" t="s">
        <v>21454</v>
      </c>
      <c r="B88" s="39">
        <v>45548</v>
      </c>
      <c r="C88" s="27" t="s">
        <v>21461</v>
      </c>
      <c r="D88" s="27" t="s">
        <v>21719</v>
      </c>
      <c r="E88" s="27" t="s">
        <v>21720</v>
      </c>
      <c r="F88" s="7">
        <v>9</v>
      </c>
      <c r="G88" s="7">
        <v>2024</v>
      </c>
      <c r="H88" s="27" t="s">
        <v>21709</v>
      </c>
      <c r="I88" s="27" t="s">
        <v>21721</v>
      </c>
      <c r="J88" s="27" t="s">
        <v>21650</v>
      </c>
    </row>
    <row r="89" spans="1:10" x14ac:dyDescent="0.2">
      <c r="A89" s="24" t="s">
        <v>21454</v>
      </c>
      <c r="B89" s="38">
        <v>45523</v>
      </c>
      <c r="C89" s="24" t="s">
        <v>21455</v>
      </c>
      <c r="D89" s="24" t="s">
        <v>21722</v>
      </c>
      <c r="E89" s="24" t="s">
        <v>21723</v>
      </c>
      <c r="F89" s="7">
        <v>8</v>
      </c>
      <c r="G89" s="7">
        <v>2024</v>
      </c>
      <c r="H89" s="24" t="s">
        <v>21724</v>
      </c>
      <c r="I89" s="24" t="s">
        <v>21664</v>
      </c>
      <c r="J89" s="24" t="s">
        <v>21650</v>
      </c>
    </row>
    <row r="90" spans="1:10" x14ac:dyDescent="0.2">
      <c r="A90" s="27" t="s">
        <v>21454</v>
      </c>
      <c r="B90" s="39">
        <v>45518</v>
      </c>
      <c r="C90" s="27" t="s">
        <v>21461</v>
      </c>
      <c r="D90" s="27" t="s">
        <v>21725</v>
      </c>
      <c r="E90" s="27" t="s">
        <v>21726</v>
      </c>
      <c r="F90" s="7">
        <v>8</v>
      </c>
      <c r="G90" s="7">
        <v>2024</v>
      </c>
      <c r="H90" s="27" t="s">
        <v>21724</v>
      </c>
      <c r="I90" s="27" t="s">
        <v>21727</v>
      </c>
      <c r="J90" s="27" t="s">
        <v>21650</v>
      </c>
    </row>
    <row r="91" spans="1:10" x14ac:dyDescent="0.2">
      <c r="A91" s="24" t="s">
        <v>21454</v>
      </c>
      <c r="B91" s="38">
        <v>45518</v>
      </c>
      <c r="C91" s="24" t="s">
        <v>21455</v>
      </c>
      <c r="D91" s="24" t="s">
        <v>21728</v>
      </c>
      <c r="E91" s="24" t="s">
        <v>21729</v>
      </c>
      <c r="F91" s="7">
        <v>8</v>
      </c>
      <c r="G91" s="7">
        <v>2024</v>
      </c>
      <c r="H91" s="24" t="s">
        <v>21724</v>
      </c>
      <c r="I91" s="24" t="s">
        <v>21730</v>
      </c>
      <c r="J91" s="24" t="s">
        <v>21650</v>
      </c>
    </row>
    <row r="92" spans="1:10" x14ac:dyDescent="0.2">
      <c r="A92" s="27" t="s">
        <v>21454</v>
      </c>
      <c r="B92" s="39">
        <v>45516</v>
      </c>
      <c r="C92" s="27" t="s">
        <v>21461</v>
      </c>
      <c r="D92" s="27" t="s">
        <v>21731</v>
      </c>
      <c r="E92" s="27" t="s">
        <v>21732</v>
      </c>
      <c r="F92" s="7">
        <v>8</v>
      </c>
      <c r="G92" s="7">
        <v>2024</v>
      </c>
      <c r="H92" s="27" t="s">
        <v>21724</v>
      </c>
      <c r="I92" s="27" t="s">
        <v>21733</v>
      </c>
      <c r="J92" s="27" t="s">
        <v>21650</v>
      </c>
    </row>
    <row r="93" spans="1:10" x14ac:dyDescent="0.2">
      <c r="A93" s="24" t="s">
        <v>21454</v>
      </c>
      <c r="B93" s="38">
        <v>45513</v>
      </c>
      <c r="C93" s="24" t="s">
        <v>21455</v>
      </c>
      <c r="D93" s="24" t="s">
        <v>21734</v>
      </c>
      <c r="E93" s="24" t="s">
        <v>21735</v>
      </c>
      <c r="F93" s="7">
        <v>8</v>
      </c>
      <c r="G93" s="7">
        <v>2024</v>
      </c>
      <c r="H93" s="24" t="s">
        <v>21724</v>
      </c>
      <c r="I93" s="24" t="s">
        <v>21736</v>
      </c>
      <c r="J93" s="24" t="s">
        <v>21650</v>
      </c>
    </row>
    <row r="94" spans="1:10" x14ac:dyDescent="0.2">
      <c r="A94" s="27" t="s">
        <v>21454</v>
      </c>
      <c r="B94" s="39">
        <v>45510</v>
      </c>
      <c r="C94" s="27" t="s">
        <v>21455</v>
      </c>
      <c r="D94" s="27" t="s">
        <v>21737</v>
      </c>
      <c r="E94" s="27" t="s">
        <v>21738</v>
      </c>
      <c r="F94" s="7">
        <v>8</v>
      </c>
      <c r="G94" s="7">
        <v>2024</v>
      </c>
      <c r="H94" s="27" t="s">
        <v>21724</v>
      </c>
      <c r="I94" s="27" t="s">
        <v>21739</v>
      </c>
      <c r="J94" s="27" t="s">
        <v>21650</v>
      </c>
    </row>
    <row r="95" spans="1:10" x14ac:dyDescent="0.2">
      <c r="A95" s="24" t="s">
        <v>21498</v>
      </c>
      <c r="B95" s="38">
        <v>45505</v>
      </c>
      <c r="C95" s="24" t="s">
        <v>21461</v>
      </c>
      <c r="D95" s="24" t="s">
        <v>21740</v>
      </c>
      <c r="E95" s="24" t="s">
        <v>21740</v>
      </c>
      <c r="F95" s="7">
        <v>8</v>
      </c>
      <c r="G95" s="7">
        <v>2024</v>
      </c>
      <c r="H95" s="24" t="s">
        <v>21724</v>
      </c>
      <c r="I95" s="24" t="s">
        <v>21741</v>
      </c>
      <c r="J95" s="24" t="s">
        <v>21656</v>
      </c>
    </row>
    <row r="96" spans="1:10" x14ac:dyDescent="0.2">
      <c r="A96" s="27" t="s">
        <v>21454</v>
      </c>
      <c r="B96" s="39">
        <v>45498</v>
      </c>
      <c r="C96" s="27" t="s">
        <v>21455</v>
      </c>
      <c r="D96" s="27" t="s">
        <v>21742</v>
      </c>
      <c r="E96" s="27" t="s">
        <v>21743</v>
      </c>
      <c r="F96" s="7">
        <v>7</v>
      </c>
      <c r="G96" s="7">
        <v>2024</v>
      </c>
      <c r="H96" s="27" t="s">
        <v>21744</v>
      </c>
      <c r="I96" s="27" t="s">
        <v>21745</v>
      </c>
      <c r="J96" s="27" t="s">
        <v>21650</v>
      </c>
    </row>
    <row r="97" spans="1:10" x14ac:dyDescent="0.2">
      <c r="A97" s="24" t="s">
        <v>21454</v>
      </c>
      <c r="B97" s="38">
        <v>45475</v>
      </c>
      <c r="C97" s="24" t="s">
        <v>21461</v>
      </c>
      <c r="D97" s="24" t="s">
        <v>21746</v>
      </c>
      <c r="E97" s="24" t="s">
        <v>21747</v>
      </c>
      <c r="F97" s="7">
        <v>7</v>
      </c>
      <c r="G97" s="7">
        <v>2024</v>
      </c>
      <c r="H97" s="24" t="s">
        <v>21744</v>
      </c>
      <c r="I97" s="24" t="s">
        <v>21748</v>
      </c>
      <c r="J97" s="24" t="s">
        <v>21650</v>
      </c>
    </row>
    <row r="98" spans="1:10" x14ac:dyDescent="0.2">
      <c r="A98" s="27" t="s">
        <v>21454</v>
      </c>
      <c r="B98" s="39">
        <v>45469</v>
      </c>
      <c r="C98" s="27" t="s">
        <v>21455</v>
      </c>
      <c r="D98" s="27" t="s">
        <v>21749</v>
      </c>
      <c r="E98" s="27" t="s">
        <v>21750</v>
      </c>
      <c r="F98" s="7">
        <v>6</v>
      </c>
      <c r="G98" s="7">
        <v>2024</v>
      </c>
      <c r="H98" s="27" t="s">
        <v>21751</v>
      </c>
      <c r="I98" s="27" t="s">
        <v>21752</v>
      </c>
      <c r="J98" s="27" t="s">
        <v>21650</v>
      </c>
    </row>
    <row r="99" spans="1:10" x14ac:dyDescent="0.2">
      <c r="A99" s="24" t="s">
        <v>21454</v>
      </c>
      <c r="B99" s="38">
        <v>45463</v>
      </c>
      <c r="C99" s="24" t="s">
        <v>21461</v>
      </c>
      <c r="D99" s="24" t="s">
        <v>21753</v>
      </c>
      <c r="E99" s="24" t="s">
        <v>21754</v>
      </c>
      <c r="F99" s="7">
        <v>6</v>
      </c>
      <c r="G99" s="7">
        <v>2024</v>
      </c>
      <c r="H99" s="24" t="s">
        <v>21751</v>
      </c>
      <c r="I99" s="24" t="s">
        <v>21755</v>
      </c>
      <c r="J99" s="24" t="s">
        <v>21650</v>
      </c>
    </row>
    <row r="100" spans="1:10" x14ac:dyDescent="0.2">
      <c r="A100" s="27" t="s">
        <v>21454</v>
      </c>
      <c r="B100" s="39">
        <v>45461</v>
      </c>
      <c r="C100" s="27" t="s">
        <v>21455</v>
      </c>
      <c r="D100" s="27" t="s">
        <v>21756</v>
      </c>
      <c r="E100" s="27" t="s">
        <v>21757</v>
      </c>
      <c r="F100" s="7">
        <v>6</v>
      </c>
      <c r="G100" s="7">
        <v>2024</v>
      </c>
      <c r="H100" s="27" t="s">
        <v>21751</v>
      </c>
      <c r="I100" s="27" t="s">
        <v>21758</v>
      </c>
      <c r="J100" s="27" t="s">
        <v>21650</v>
      </c>
    </row>
    <row r="101" spans="1:10" x14ac:dyDescent="0.2">
      <c r="A101" s="24" t="s">
        <v>21498</v>
      </c>
      <c r="B101" s="38">
        <v>45460</v>
      </c>
      <c r="C101" s="24" t="s">
        <v>21461</v>
      </c>
      <c r="D101" s="24" t="s">
        <v>21759</v>
      </c>
      <c r="E101" s="24" t="s">
        <v>21759</v>
      </c>
      <c r="F101" s="7">
        <v>6</v>
      </c>
      <c r="G101" s="7">
        <v>2024</v>
      </c>
      <c r="H101" s="24" t="s">
        <v>21751</v>
      </c>
      <c r="I101" s="24" t="s">
        <v>21760</v>
      </c>
      <c r="J101" s="24" t="s">
        <v>21656</v>
      </c>
    </row>
    <row r="102" spans="1:10" x14ac:dyDescent="0.2">
      <c r="A102" s="27" t="s">
        <v>21454</v>
      </c>
      <c r="B102" s="39">
        <v>45453</v>
      </c>
      <c r="C102" s="27" t="s">
        <v>21455</v>
      </c>
      <c r="D102" s="27" t="s">
        <v>21761</v>
      </c>
      <c r="E102" s="27" t="s">
        <v>21762</v>
      </c>
      <c r="F102" s="7">
        <v>6</v>
      </c>
      <c r="G102" s="7">
        <v>2024</v>
      </c>
      <c r="H102" s="27" t="s">
        <v>21751</v>
      </c>
      <c r="I102" s="27" t="s">
        <v>21763</v>
      </c>
      <c r="J102" s="27" t="s">
        <v>21650</v>
      </c>
    </row>
    <row r="103" spans="1:10" x14ac:dyDescent="0.2">
      <c r="A103" s="24" t="s">
        <v>21454</v>
      </c>
      <c r="B103" s="38">
        <v>45449</v>
      </c>
      <c r="C103" s="24" t="s">
        <v>21455</v>
      </c>
      <c r="D103" s="24" t="s">
        <v>21764</v>
      </c>
      <c r="E103" s="24" t="s">
        <v>21765</v>
      </c>
      <c r="F103" s="7">
        <v>6</v>
      </c>
      <c r="G103" s="7">
        <v>2024</v>
      </c>
      <c r="H103" s="24" t="s">
        <v>21751</v>
      </c>
      <c r="I103" s="24" t="s">
        <v>21766</v>
      </c>
      <c r="J103" s="24" t="s">
        <v>21650</v>
      </c>
    </row>
    <row r="104" spans="1:10" x14ac:dyDescent="0.2">
      <c r="A104" s="27" t="s">
        <v>21498</v>
      </c>
      <c r="B104" s="39">
        <v>45443</v>
      </c>
      <c r="C104" s="27" t="s">
        <v>21461</v>
      </c>
      <c r="D104" s="27" t="s">
        <v>21767</v>
      </c>
      <c r="E104" s="27" t="s">
        <v>21767</v>
      </c>
      <c r="F104" s="7">
        <v>5</v>
      </c>
      <c r="G104" s="7">
        <v>2024</v>
      </c>
      <c r="H104" s="27" t="s">
        <v>21768</v>
      </c>
      <c r="I104" s="27" t="s">
        <v>21769</v>
      </c>
      <c r="J104" s="27" t="s">
        <v>21656</v>
      </c>
    </row>
    <row r="105" spans="1:10" x14ac:dyDescent="0.2">
      <c r="A105" s="24" t="s">
        <v>21454</v>
      </c>
      <c r="B105" s="38">
        <v>45428</v>
      </c>
      <c r="C105" s="24" t="s">
        <v>21461</v>
      </c>
      <c r="D105" s="24" t="s">
        <v>21770</v>
      </c>
      <c r="E105" s="24" t="s">
        <v>21771</v>
      </c>
      <c r="F105" s="7">
        <v>5</v>
      </c>
      <c r="G105" s="7">
        <v>2024</v>
      </c>
      <c r="H105" s="24" t="s">
        <v>21768</v>
      </c>
      <c r="I105" s="24" t="s">
        <v>21772</v>
      </c>
      <c r="J105" s="24" t="s">
        <v>21650</v>
      </c>
    </row>
    <row r="106" spans="1:10" x14ac:dyDescent="0.2">
      <c r="A106" s="27" t="s">
        <v>21454</v>
      </c>
      <c r="B106" s="39">
        <v>45408</v>
      </c>
      <c r="C106" s="27" t="s">
        <v>21455</v>
      </c>
      <c r="D106" s="27" t="s">
        <v>21773</v>
      </c>
      <c r="E106" s="27" t="s">
        <v>21774</v>
      </c>
      <c r="F106" s="7">
        <v>4</v>
      </c>
      <c r="G106" s="7">
        <v>2024</v>
      </c>
      <c r="H106" s="27" t="s">
        <v>21775</v>
      </c>
      <c r="I106" s="27" t="s">
        <v>21776</v>
      </c>
      <c r="J106" s="27" t="s">
        <v>21650</v>
      </c>
    </row>
    <row r="107" spans="1:10" x14ac:dyDescent="0.2">
      <c r="A107" s="24" t="s">
        <v>21498</v>
      </c>
      <c r="B107" s="38">
        <v>45407</v>
      </c>
      <c r="C107" s="24" t="s">
        <v>21461</v>
      </c>
      <c r="D107" s="24" t="s">
        <v>21777</v>
      </c>
      <c r="E107" s="24" t="s">
        <v>21777</v>
      </c>
      <c r="F107" s="7">
        <v>4</v>
      </c>
      <c r="G107" s="7">
        <v>2024</v>
      </c>
      <c r="H107" s="24" t="s">
        <v>21775</v>
      </c>
      <c r="I107" s="24" t="s">
        <v>21778</v>
      </c>
      <c r="J107" s="24" t="s">
        <v>21656</v>
      </c>
    </row>
    <row r="108" spans="1:10" x14ac:dyDescent="0.2">
      <c r="A108" s="27" t="s">
        <v>21454</v>
      </c>
      <c r="B108" s="39">
        <v>45405</v>
      </c>
      <c r="C108" s="27" t="s">
        <v>21455</v>
      </c>
      <c r="D108" s="27" t="s">
        <v>21779</v>
      </c>
      <c r="E108" s="27" t="s">
        <v>21780</v>
      </c>
      <c r="F108" s="7">
        <v>4</v>
      </c>
      <c r="G108" s="7">
        <v>2024</v>
      </c>
      <c r="H108" s="27" t="s">
        <v>21775</v>
      </c>
      <c r="I108" s="27" t="s">
        <v>21781</v>
      </c>
      <c r="J108" s="27" t="s">
        <v>21650</v>
      </c>
    </row>
    <row r="109" spans="1:10" x14ac:dyDescent="0.2">
      <c r="A109" s="24" t="s">
        <v>21454</v>
      </c>
      <c r="B109" s="38">
        <v>45404</v>
      </c>
      <c r="C109" s="24" t="s">
        <v>21461</v>
      </c>
      <c r="D109" s="24" t="s">
        <v>21782</v>
      </c>
      <c r="E109" s="24" t="s">
        <v>21783</v>
      </c>
      <c r="F109" s="7">
        <v>4</v>
      </c>
      <c r="G109" s="7">
        <v>2024</v>
      </c>
      <c r="H109" s="24" t="s">
        <v>21775</v>
      </c>
      <c r="I109" s="24" t="s">
        <v>21784</v>
      </c>
      <c r="J109" s="24" t="s">
        <v>21650</v>
      </c>
    </row>
    <row r="110" spans="1:10" x14ac:dyDescent="0.2">
      <c r="A110" s="27" t="s">
        <v>21454</v>
      </c>
      <c r="B110" s="39">
        <v>45399</v>
      </c>
      <c r="C110" s="27" t="s">
        <v>21455</v>
      </c>
      <c r="D110" s="27" t="s">
        <v>21785</v>
      </c>
      <c r="E110" s="27" t="s">
        <v>21786</v>
      </c>
      <c r="F110" s="7">
        <v>4</v>
      </c>
      <c r="G110" s="7">
        <v>2024</v>
      </c>
      <c r="H110" s="27" t="s">
        <v>21775</v>
      </c>
      <c r="I110" s="27" t="s">
        <v>21787</v>
      </c>
      <c r="J110" s="27" t="s">
        <v>21650</v>
      </c>
    </row>
    <row r="111" spans="1:10" x14ac:dyDescent="0.2">
      <c r="A111" s="24" t="s">
        <v>21454</v>
      </c>
      <c r="B111" s="38">
        <v>45385</v>
      </c>
      <c r="C111" s="24" t="s">
        <v>21455</v>
      </c>
      <c r="D111" s="24" t="s">
        <v>21788</v>
      </c>
      <c r="E111" s="24" t="s">
        <v>21789</v>
      </c>
      <c r="F111" s="7">
        <v>4</v>
      </c>
      <c r="G111" s="7">
        <v>2024</v>
      </c>
      <c r="H111" s="24" t="s">
        <v>21775</v>
      </c>
      <c r="I111" s="24" t="s">
        <v>21790</v>
      </c>
      <c r="J111" s="24" t="s">
        <v>21650</v>
      </c>
    </row>
    <row r="112" spans="1:10" x14ac:dyDescent="0.2">
      <c r="A112" s="27" t="s">
        <v>21454</v>
      </c>
      <c r="B112" s="39">
        <v>45380</v>
      </c>
      <c r="C112" s="27" t="s">
        <v>21455</v>
      </c>
      <c r="D112" s="27" t="s">
        <v>21791</v>
      </c>
      <c r="E112" s="27" t="s">
        <v>21792</v>
      </c>
      <c r="F112" s="7">
        <v>3</v>
      </c>
      <c r="G112" s="7">
        <v>2024</v>
      </c>
      <c r="H112" s="27" t="s">
        <v>21793</v>
      </c>
      <c r="I112" s="27" t="s">
        <v>21794</v>
      </c>
      <c r="J112" s="27" t="s">
        <v>21650</v>
      </c>
    </row>
    <row r="113" spans="1:10" x14ac:dyDescent="0.2">
      <c r="A113" s="24" t="s">
        <v>21454</v>
      </c>
      <c r="B113" s="38">
        <v>45378</v>
      </c>
      <c r="C113" s="24" t="s">
        <v>21455</v>
      </c>
      <c r="D113" s="24" t="s">
        <v>21795</v>
      </c>
      <c r="E113" s="24" t="s">
        <v>21796</v>
      </c>
      <c r="F113" s="7">
        <v>3</v>
      </c>
      <c r="G113" s="7">
        <v>2024</v>
      </c>
      <c r="H113" s="24" t="s">
        <v>21793</v>
      </c>
      <c r="I113" s="24" t="s">
        <v>21797</v>
      </c>
      <c r="J113" s="24" t="s">
        <v>21650</v>
      </c>
    </row>
    <row r="114" spans="1:10" x14ac:dyDescent="0.2">
      <c r="A114" s="27" t="s">
        <v>21454</v>
      </c>
      <c r="B114" s="39">
        <v>45377</v>
      </c>
      <c r="C114" s="27" t="s">
        <v>21461</v>
      </c>
      <c r="D114" s="27" t="s">
        <v>21798</v>
      </c>
      <c r="E114" s="27" t="s">
        <v>21799</v>
      </c>
      <c r="F114" s="7">
        <v>3</v>
      </c>
      <c r="G114" s="7">
        <v>2024</v>
      </c>
      <c r="H114" s="27" t="s">
        <v>21793</v>
      </c>
      <c r="I114" s="27" t="s">
        <v>21800</v>
      </c>
      <c r="J114" s="27" t="s">
        <v>21650</v>
      </c>
    </row>
    <row r="115" spans="1:10" x14ac:dyDescent="0.2">
      <c r="A115" s="24" t="s">
        <v>21454</v>
      </c>
      <c r="B115" s="38">
        <v>45372</v>
      </c>
      <c r="C115" s="24" t="s">
        <v>21455</v>
      </c>
      <c r="D115" s="24" t="s">
        <v>21801</v>
      </c>
      <c r="E115" s="24" t="s">
        <v>21802</v>
      </c>
      <c r="F115" s="7">
        <v>3</v>
      </c>
      <c r="G115" s="7">
        <v>2024</v>
      </c>
      <c r="H115" s="24" t="s">
        <v>21793</v>
      </c>
      <c r="I115" s="24" t="s">
        <v>21803</v>
      </c>
      <c r="J115" s="24" t="s">
        <v>21650</v>
      </c>
    </row>
    <row r="116" spans="1:10" x14ac:dyDescent="0.2">
      <c r="A116" s="27" t="s">
        <v>21498</v>
      </c>
      <c r="B116" s="39">
        <v>45370</v>
      </c>
      <c r="C116" s="27" t="s">
        <v>21461</v>
      </c>
      <c r="D116" s="27" t="s">
        <v>21804</v>
      </c>
      <c r="E116" s="27" t="s">
        <v>21804</v>
      </c>
      <c r="F116" s="7">
        <v>3</v>
      </c>
      <c r="G116" s="7">
        <v>2024</v>
      </c>
      <c r="H116" s="27" t="s">
        <v>21793</v>
      </c>
      <c r="I116" s="27" t="s">
        <v>21805</v>
      </c>
      <c r="J116" s="27" t="s">
        <v>21656</v>
      </c>
    </row>
    <row r="117" spans="1:10" x14ac:dyDescent="0.2">
      <c r="A117" s="24" t="s">
        <v>21454</v>
      </c>
      <c r="B117" s="38">
        <v>45370</v>
      </c>
      <c r="C117" s="24" t="s">
        <v>21455</v>
      </c>
      <c r="D117" s="24" t="s">
        <v>21806</v>
      </c>
      <c r="E117" s="24" t="s">
        <v>21807</v>
      </c>
      <c r="F117" s="7">
        <v>3</v>
      </c>
      <c r="G117" s="7">
        <v>2024</v>
      </c>
      <c r="H117" s="24" t="s">
        <v>21793</v>
      </c>
      <c r="I117" s="24" t="s">
        <v>21808</v>
      </c>
      <c r="J117" s="24" t="s">
        <v>21650</v>
      </c>
    </row>
    <row r="118" spans="1:10" x14ac:dyDescent="0.2">
      <c r="A118" s="27" t="s">
        <v>21498</v>
      </c>
      <c r="B118" s="39">
        <v>45369</v>
      </c>
      <c r="C118" s="27" t="s">
        <v>21461</v>
      </c>
      <c r="D118" s="27" t="s">
        <v>21809</v>
      </c>
      <c r="E118" s="27" t="s">
        <v>21809</v>
      </c>
      <c r="F118" s="7">
        <v>3</v>
      </c>
      <c r="G118" s="7">
        <v>2024</v>
      </c>
      <c r="H118" s="27" t="s">
        <v>21793</v>
      </c>
      <c r="I118" s="27" t="s">
        <v>21810</v>
      </c>
      <c r="J118" s="27" t="s">
        <v>21656</v>
      </c>
    </row>
    <row r="119" spans="1:10" x14ac:dyDescent="0.2">
      <c r="A119" s="24" t="s">
        <v>21454</v>
      </c>
      <c r="B119" s="38">
        <v>45365</v>
      </c>
      <c r="C119" s="24" t="s">
        <v>21455</v>
      </c>
      <c r="D119" s="24" t="s">
        <v>21811</v>
      </c>
      <c r="E119" s="24" t="s">
        <v>21812</v>
      </c>
      <c r="F119" s="7">
        <v>3</v>
      </c>
      <c r="G119" s="7">
        <v>2024</v>
      </c>
      <c r="H119" s="24" t="s">
        <v>21793</v>
      </c>
      <c r="I119" s="24" t="s">
        <v>21813</v>
      </c>
      <c r="J119" s="24" t="s">
        <v>21650</v>
      </c>
    </row>
    <row r="120" spans="1:10" x14ac:dyDescent="0.2">
      <c r="A120" s="27" t="s">
        <v>21454</v>
      </c>
      <c r="B120" s="39">
        <v>45364</v>
      </c>
      <c r="C120" s="27" t="s">
        <v>21461</v>
      </c>
      <c r="D120" s="27" t="s">
        <v>21814</v>
      </c>
      <c r="E120" s="27" t="s">
        <v>21815</v>
      </c>
      <c r="F120" s="7">
        <v>3</v>
      </c>
      <c r="G120" s="7">
        <v>2024</v>
      </c>
      <c r="H120" s="27" t="s">
        <v>21793</v>
      </c>
      <c r="I120" s="27" t="s">
        <v>21816</v>
      </c>
      <c r="J120" s="27" t="s">
        <v>21650</v>
      </c>
    </row>
    <row r="121" spans="1:10" x14ac:dyDescent="0.2">
      <c r="A121" s="24" t="s">
        <v>21454</v>
      </c>
      <c r="B121" s="38">
        <v>45351</v>
      </c>
      <c r="C121" s="24" t="s">
        <v>21461</v>
      </c>
      <c r="D121" s="24" t="s">
        <v>21817</v>
      </c>
      <c r="E121" s="24" t="s">
        <v>21818</v>
      </c>
      <c r="F121" s="7">
        <v>2</v>
      </c>
      <c r="G121" s="7">
        <v>2024</v>
      </c>
      <c r="H121" s="24" t="s">
        <v>21819</v>
      </c>
      <c r="I121" s="24" t="s">
        <v>21820</v>
      </c>
      <c r="J121" s="24" t="s">
        <v>21650</v>
      </c>
    </row>
    <row r="122" spans="1:10" x14ac:dyDescent="0.2">
      <c r="A122" s="27" t="s">
        <v>21454</v>
      </c>
      <c r="B122" s="39">
        <v>45344</v>
      </c>
      <c r="C122" s="27" t="s">
        <v>21455</v>
      </c>
      <c r="D122" s="27" t="s">
        <v>21821</v>
      </c>
      <c r="E122" s="27" t="s">
        <v>21822</v>
      </c>
      <c r="F122" s="7">
        <v>2</v>
      </c>
      <c r="G122" s="7">
        <v>2024</v>
      </c>
      <c r="H122" s="27" t="s">
        <v>21819</v>
      </c>
      <c r="I122" s="27" t="s">
        <v>21823</v>
      </c>
      <c r="J122" s="27" t="s">
        <v>21650</v>
      </c>
    </row>
    <row r="123" spans="1:10" x14ac:dyDescent="0.2">
      <c r="A123" s="24" t="s">
        <v>21498</v>
      </c>
      <c r="B123" s="38">
        <v>45338</v>
      </c>
      <c r="C123" s="24" t="s">
        <v>21461</v>
      </c>
      <c r="D123" s="24" t="s">
        <v>21824</v>
      </c>
      <c r="E123" s="24" t="s">
        <v>21824</v>
      </c>
      <c r="F123" s="7">
        <v>2</v>
      </c>
      <c r="G123" s="7">
        <v>2024</v>
      </c>
      <c r="H123" s="24" t="s">
        <v>21819</v>
      </c>
      <c r="I123" s="24" t="s">
        <v>21825</v>
      </c>
      <c r="J123" s="24" t="s">
        <v>21656</v>
      </c>
    </row>
    <row r="124" spans="1:10" x14ac:dyDescent="0.2">
      <c r="A124" s="27" t="s">
        <v>21498</v>
      </c>
      <c r="B124" s="39">
        <v>45307</v>
      </c>
      <c r="C124" s="27" t="s">
        <v>21461</v>
      </c>
      <c r="D124" s="27" t="s">
        <v>21826</v>
      </c>
      <c r="E124" s="27" t="s">
        <v>21826</v>
      </c>
      <c r="F124" s="7">
        <v>1</v>
      </c>
      <c r="G124" s="7">
        <v>2024</v>
      </c>
      <c r="H124" s="27" t="s">
        <v>21827</v>
      </c>
      <c r="I124" s="27" t="s">
        <v>21828</v>
      </c>
      <c r="J124" s="27" t="s">
        <v>21656</v>
      </c>
    </row>
    <row r="125" spans="1:10" x14ac:dyDescent="0.2">
      <c r="A125" s="24" t="s">
        <v>21454</v>
      </c>
      <c r="B125" s="38">
        <v>45296</v>
      </c>
      <c r="C125" s="24" t="s">
        <v>21455</v>
      </c>
      <c r="D125" s="24" t="s">
        <v>21829</v>
      </c>
      <c r="E125" s="24" t="s">
        <v>21830</v>
      </c>
      <c r="F125" s="7">
        <v>1</v>
      </c>
      <c r="G125" s="7">
        <v>2024</v>
      </c>
      <c r="H125" s="24" t="s">
        <v>21827</v>
      </c>
      <c r="I125" s="24" t="s">
        <v>21831</v>
      </c>
      <c r="J125" s="24" t="s">
        <v>21650</v>
      </c>
    </row>
  </sheetData>
  <autoFilter ref="A2:J125" xr:uid="{00000000-0009-0000-0000-00000D000000}"/>
  <hyperlinks>
    <hyperlink ref="J3" r:id="rId1" xr:uid="{00000000-0004-0000-0D00-000000000000}"/>
    <hyperlink ref="J4" r:id="rId2" xr:uid="{00000000-0004-0000-0D00-000001000000}"/>
    <hyperlink ref="J5" r:id="rId3" xr:uid="{00000000-0004-0000-0D00-000002000000}"/>
    <hyperlink ref="J6" r:id="rId4" xr:uid="{00000000-0004-0000-0D00-000003000000}"/>
    <hyperlink ref="J7" r:id="rId5" xr:uid="{00000000-0004-0000-0D00-000004000000}"/>
    <hyperlink ref="J8" r:id="rId6" xr:uid="{00000000-0004-0000-0D00-000005000000}"/>
    <hyperlink ref="J9" r:id="rId7" xr:uid="{00000000-0004-0000-0D00-000006000000}"/>
    <hyperlink ref="J10" r:id="rId8" xr:uid="{00000000-0004-0000-0D00-000007000000}"/>
    <hyperlink ref="J11" r:id="rId9" xr:uid="{00000000-0004-0000-0D00-000008000000}"/>
    <hyperlink ref="J12" r:id="rId10" xr:uid="{00000000-0004-0000-0D00-000009000000}"/>
    <hyperlink ref="J13" r:id="rId11" xr:uid="{00000000-0004-0000-0D00-00000A000000}"/>
    <hyperlink ref="J14" r:id="rId12" xr:uid="{00000000-0004-0000-0D00-00000B000000}"/>
    <hyperlink ref="J15" r:id="rId13" xr:uid="{00000000-0004-0000-0D00-00000C000000}"/>
    <hyperlink ref="J16" r:id="rId14" xr:uid="{00000000-0004-0000-0D00-00000D000000}"/>
    <hyperlink ref="J17" r:id="rId15" xr:uid="{00000000-0004-0000-0D00-00000E000000}"/>
    <hyperlink ref="J18" r:id="rId16" xr:uid="{00000000-0004-0000-0D00-00000F000000}"/>
    <hyperlink ref="J19" r:id="rId17" xr:uid="{00000000-0004-0000-0D00-000010000000}"/>
    <hyperlink ref="J20" r:id="rId18" xr:uid="{00000000-0004-0000-0D00-000011000000}"/>
    <hyperlink ref="J21" r:id="rId19" xr:uid="{00000000-0004-0000-0D00-000012000000}"/>
    <hyperlink ref="J22" r:id="rId20" xr:uid="{00000000-0004-0000-0D00-000013000000}"/>
    <hyperlink ref="J23" r:id="rId21" xr:uid="{00000000-0004-0000-0D00-000014000000}"/>
    <hyperlink ref="J24" r:id="rId22" xr:uid="{00000000-0004-0000-0D00-000015000000}"/>
    <hyperlink ref="J25" r:id="rId23" xr:uid="{00000000-0004-0000-0D00-000016000000}"/>
    <hyperlink ref="J26" r:id="rId24" xr:uid="{00000000-0004-0000-0D00-000017000000}"/>
    <hyperlink ref="J27" r:id="rId25" xr:uid="{00000000-0004-0000-0D00-000018000000}"/>
    <hyperlink ref="J28" r:id="rId26" xr:uid="{00000000-0004-0000-0D00-000019000000}"/>
    <hyperlink ref="J29" r:id="rId27" xr:uid="{00000000-0004-0000-0D00-00001A000000}"/>
    <hyperlink ref="J30" r:id="rId28" xr:uid="{00000000-0004-0000-0D00-00001B000000}"/>
    <hyperlink ref="J31" r:id="rId29" xr:uid="{00000000-0004-0000-0D00-00001C000000}"/>
    <hyperlink ref="J32" r:id="rId30" xr:uid="{00000000-0004-0000-0D00-00001D000000}"/>
    <hyperlink ref="J33" r:id="rId31" xr:uid="{00000000-0004-0000-0D00-00001E000000}"/>
    <hyperlink ref="J34" r:id="rId32" xr:uid="{00000000-0004-0000-0D00-00001F000000}"/>
    <hyperlink ref="J35" r:id="rId33" xr:uid="{00000000-0004-0000-0D00-000020000000}"/>
    <hyperlink ref="J36" r:id="rId34" xr:uid="{00000000-0004-0000-0D00-000021000000}"/>
    <hyperlink ref="J37" r:id="rId35" xr:uid="{00000000-0004-0000-0D00-000022000000}"/>
    <hyperlink ref="J38" r:id="rId36" xr:uid="{00000000-0004-0000-0D00-000023000000}"/>
    <hyperlink ref="J39" r:id="rId37" xr:uid="{00000000-0004-0000-0D00-000024000000}"/>
    <hyperlink ref="J40" r:id="rId38" xr:uid="{00000000-0004-0000-0D00-000025000000}"/>
    <hyperlink ref="J41" r:id="rId39" xr:uid="{00000000-0004-0000-0D00-000026000000}"/>
    <hyperlink ref="J42" r:id="rId40" xr:uid="{00000000-0004-0000-0D00-000027000000}"/>
    <hyperlink ref="J43" r:id="rId41" xr:uid="{00000000-0004-0000-0D00-000028000000}"/>
    <hyperlink ref="J44" r:id="rId42" xr:uid="{00000000-0004-0000-0D00-000029000000}"/>
    <hyperlink ref="J45" r:id="rId43" xr:uid="{00000000-0004-0000-0D00-00002A000000}"/>
    <hyperlink ref="J46" r:id="rId44" xr:uid="{00000000-0004-0000-0D00-00002B000000}"/>
    <hyperlink ref="J47" r:id="rId45" xr:uid="{00000000-0004-0000-0D00-00002C000000}"/>
    <hyperlink ref="J48" r:id="rId46" xr:uid="{00000000-0004-0000-0D00-00002D000000}"/>
    <hyperlink ref="J49" r:id="rId47" xr:uid="{00000000-0004-0000-0D00-00002E000000}"/>
    <hyperlink ref="J50" r:id="rId48" xr:uid="{00000000-0004-0000-0D00-00002F000000}"/>
    <hyperlink ref="J51" r:id="rId49" xr:uid="{00000000-0004-0000-0D00-000030000000}"/>
    <hyperlink ref="J52" r:id="rId50" xr:uid="{00000000-0004-0000-0D00-000031000000}"/>
    <hyperlink ref="J53" r:id="rId51" xr:uid="{00000000-0004-0000-0D00-000032000000}"/>
    <hyperlink ref="J54" r:id="rId52" xr:uid="{00000000-0004-0000-0D00-000033000000}"/>
    <hyperlink ref="J55" r:id="rId53" xr:uid="{00000000-0004-0000-0D00-000034000000}"/>
    <hyperlink ref="J56" r:id="rId54" xr:uid="{00000000-0004-0000-0D00-000035000000}"/>
    <hyperlink ref="J57" r:id="rId55" xr:uid="{00000000-0004-0000-0D00-000036000000}"/>
    <hyperlink ref="J58" r:id="rId56" xr:uid="{00000000-0004-0000-0D00-000037000000}"/>
    <hyperlink ref="J59" r:id="rId57" xr:uid="{00000000-0004-0000-0D00-000038000000}"/>
    <hyperlink ref="J60" r:id="rId58" xr:uid="{00000000-0004-0000-0D00-000039000000}"/>
    <hyperlink ref="J61" r:id="rId59" xr:uid="{00000000-0004-0000-0D00-00003A000000}"/>
    <hyperlink ref="J62" r:id="rId60" xr:uid="{00000000-0004-0000-0D00-00003B000000}"/>
    <hyperlink ref="J63" r:id="rId61" xr:uid="{00000000-0004-0000-0D00-00003C000000}"/>
    <hyperlink ref="J64" r:id="rId62" xr:uid="{00000000-0004-0000-0D00-00003D000000}"/>
    <hyperlink ref="J65" r:id="rId63" xr:uid="{00000000-0004-0000-0D00-00003E000000}"/>
    <hyperlink ref="J66" r:id="rId64" xr:uid="{00000000-0004-0000-0D00-00003F000000}"/>
    <hyperlink ref="J67" r:id="rId65" xr:uid="{00000000-0004-0000-0D00-000040000000}"/>
    <hyperlink ref="J68" r:id="rId66" xr:uid="{00000000-0004-0000-0D00-000041000000}"/>
    <hyperlink ref="J69" r:id="rId67" xr:uid="{00000000-0004-0000-0D00-000042000000}"/>
    <hyperlink ref="J70" r:id="rId68" xr:uid="{00000000-0004-0000-0D00-000043000000}"/>
    <hyperlink ref="J71" r:id="rId69" xr:uid="{00000000-0004-0000-0D00-000044000000}"/>
    <hyperlink ref="J72" r:id="rId70" xr:uid="{00000000-0004-0000-0D00-000045000000}"/>
    <hyperlink ref="J73" r:id="rId71" xr:uid="{00000000-0004-0000-0D00-000046000000}"/>
    <hyperlink ref="J74" r:id="rId72" xr:uid="{00000000-0004-0000-0D00-000047000000}"/>
    <hyperlink ref="J75" r:id="rId73" xr:uid="{00000000-0004-0000-0D00-000048000000}"/>
    <hyperlink ref="J76" r:id="rId74" xr:uid="{00000000-0004-0000-0D00-000049000000}"/>
    <hyperlink ref="J77" r:id="rId75" xr:uid="{00000000-0004-0000-0D00-00004A000000}"/>
    <hyperlink ref="J78" r:id="rId76" xr:uid="{00000000-0004-0000-0D00-00004B000000}"/>
    <hyperlink ref="J79" r:id="rId77" xr:uid="{00000000-0004-0000-0D00-00004C000000}"/>
    <hyperlink ref="J80" r:id="rId78" xr:uid="{00000000-0004-0000-0D00-00004D000000}"/>
    <hyperlink ref="J81" r:id="rId79" xr:uid="{00000000-0004-0000-0D00-00004E000000}"/>
    <hyperlink ref="J82" r:id="rId80" xr:uid="{00000000-0004-0000-0D00-00004F000000}"/>
    <hyperlink ref="J83" r:id="rId81" xr:uid="{00000000-0004-0000-0D00-000050000000}"/>
    <hyperlink ref="J84" r:id="rId82" xr:uid="{00000000-0004-0000-0D00-000051000000}"/>
    <hyperlink ref="J85" r:id="rId83" xr:uid="{00000000-0004-0000-0D00-000052000000}"/>
    <hyperlink ref="J86" r:id="rId84" xr:uid="{00000000-0004-0000-0D00-000053000000}"/>
    <hyperlink ref="J87" r:id="rId85" xr:uid="{00000000-0004-0000-0D00-000054000000}"/>
    <hyperlink ref="J88" r:id="rId86" xr:uid="{00000000-0004-0000-0D00-000055000000}"/>
    <hyperlink ref="J89" r:id="rId87" xr:uid="{00000000-0004-0000-0D00-000056000000}"/>
    <hyperlink ref="J90" r:id="rId88" xr:uid="{00000000-0004-0000-0D00-000057000000}"/>
    <hyperlink ref="J91" r:id="rId89" xr:uid="{00000000-0004-0000-0D00-000058000000}"/>
    <hyperlink ref="J92" r:id="rId90" xr:uid="{00000000-0004-0000-0D00-000059000000}"/>
    <hyperlink ref="J93" r:id="rId91" xr:uid="{00000000-0004-0000-0D00-00005A000000}"/>
    <hyperlink ref="J94" r:id="rId92" xr:uid="{00000000-0004-0000-0D00-00005B000000}"/>
    <hyperlink ref="J95" r:id="rId93" xr:uid="{00000000-0004-0000-0D00-00005C000000}"/>
    <hyperlink ref="J96" r:id="rId94" xr:uid="{00000000-0004-0000-0D00-00005D000000}"/>
    <hyperlink ref="J97" r:id="rId95" xr:uid="{00000000-0004-0000-0D00-00005E000000}"/>
    <hyperlink ref="J98" r:id="rId96" xr:uid="{00000000-0004-0000-0D00-00005F000000}"/>
    <hyperlink ref="J99" r:id="rId97" xr:uid="{00000000-0004-0000-0D00-000060000000}"/>
    <hyperlink ref="J100" r:id="rId98" xr:uid="{00000000-0004-0000-0D00-000061000000}"/>
    <hyperlink ref="J101" r:id="rId99" xr:uid="{00000000-0004-0000-0D00-000062000000}"/>
    <hyperlink ref="J102" r:id="rId100" xr:uid="{00000000-0004-0000-0D00-000063000000}"/>
    <hyperlink ref="J103" r:id="rId101" xr:uid="{00000000-0004-0000-0D00-000064000000}"/>
    <hyperlink ref="J104" r:id="rId102" xr:uid="{00000000-0004-0000-0D00-000065000000}"/>
    <hyperlink ref="J105" r:id="rId103" xr:uid="{00000000-0004-0000-0D00-000066000000}"/>
    <hyperlink ref="J106" r:id="rId104" xr:uid="{00000000-0004-0000-0D00-000067000000}"/>
    <hyperlink ref="J107" r:id="rId105" xr:uid="{00000000-0004-0000-0D00-000068000000}"/>
    <hyperlink ref="J108" r:id="rId106" xr:uid="{00000000-0004-0000-0D00-000069000000}"/>
    <hyperlink ref="J109" r:id="rId107" xr:uid="{00000000-0004-0000-0D00-00006A000000}"/>
    <hyperlink ref="J110" r:id="rId108" xr:uid="{00000000-0004-0000-0D00-00006B000000}"/>
    <hyperlink ref="J111" r:id="rId109" xr:uid="{00000000-0004-0000-0D00-00006C000000}"/>
    <hyperlink ref="J112" r:id="rId110" xr:uid="{00000000-0004-0000-0D00-00006D000000}"/>
    <hyperlink ref="J113" r:id="rId111" xr:uid="{00000000-0004-0000-0D00-00006E000000}"/>
    <hyperlink ref="J114" r:id="rId112" xr:uid="{00000000-0004-0000-0D00-00006F000000}"/>
    <hyperlink ref="J115" r:id="rId113" xr:uid="{00000000-0004-0000-0D00-000070000000}"/>
    <hyperlink ref="J116" r:id="rId114" xr:uid="{00000000-0004-0000-0D00-000071000000}"/>
    <hyperlink ref="J117" r:id="rId115" xr:uid="{00000000-0004-0000-0D00-000072000000}"/>
    <hyperlink ref="J118" r:id="rId116" xr:uid="{00000000-0004-0000-0D00-000073000000}"/>
    <hyperlink ref="J119" r:id="rId117" xr:uid="{00000000-0004-0000-0D00-000074000000}"/>
    <hyperlink ref="J120" r:id="rId118" xr:uid="{00000000-0004-0000-0D00-000075000000}"/>
    <hyperlink ref="J121" r:id="rId119" xr:uid="{00000000-0004-0000-0D00-000076000000}"/>
    <hyperlink ref="J122" r:id="rId120" xr:uid="{00000000-0004-0000-0D00-000077000000}"/>
    <hyperlink ref="J123" r:id="rId121" xr:uid="{00000000-0004-0000-0D00-000078000000}"/>
    <hyperlink ref="J124" r:id="rId122" xr:uid="{00000000-0004-0000-0D00-000079000000}"/>
    <hyperlink ref="J125" r:id="rId123" xr:uid="{00000000-0004-0000-0D00-00007A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DD7EE"/>
  </sheetPr>
  <dimension ref="A1:H39"/>
  <sheetViews>
    <sheetView workbookViewId="0">
      <pane ySplit="2" topLeftCell="A3" activePane="bottomLeft" state="frozen"/>
      <selection pane="bottomLeft"/>
    </sheetView>
  </sheetViews>
  <sheetFormatPr baseColWidth="10" defaultColWidth="8.83203125" defaultRowHeight="15" x14ac:dyDescent="0.2"/>
  <cols>
    <col min="1" max="1" width="14.6640625" customWidth="1"/>
    <col min="2" max="2" width="12.6640625" customWidth="1"/>
    <col min="3" max="3" width="18.6640625" customWidth="1"/>
    <col min="4" max="4" width="40.6640625" customWidth="1"/>
    <col min="5" max="5" width="20.6640625" customWidth="1"/>
    <col min="6" max="6" width="35.6640625" customWidth="1"/>
    <col min="7" max="7" width="8.6640625" customWidth="1"/>
    <col min="8" max="8" width="50.6640625" customWidth="1"/>
  </cols>
  <sheetData>
    <row r="1" spans="1:8" x14ac:dyDescent="0.2">
      <c r="A1" s="18" t="s">
        <v>21832</v>
      </c>
    </row>
    <row r="2" spans="1:8" ht="28" x14ac:dyDescent="0.2">
      <c r="A2" s="20" t="s">
        <v>21447</v>
      </c>
      <c r="B2" s="20" t="s">
        <v>21833</v>
      </c>
      <c r="C2" s="20" t="s">
        <v>21834</v>
      </c>
      <c r="D2" s="6" t="s">
        <v>21835</v>
      </c>
      <c r="E2" s="6" t="s">
        <v>21450</v>
      </c>
      <c r="F2" s="6" t="s">
        <v>21836</v>
      </c>
      <c r="G2" s="6" t="s">
        <v>21837</v>
      </c>
      <c r="H2" s="6" t="s">
        <v>21453</v>
      </c>
    </row>
    <row r="3" spans="1:8" x14ac:dyDescent="0.2">
      <c r="A3" s="24" t="s">
        <v>21838</v>
      </c>
      <c r="B3" s="7">
        <v>2026</v>
      </c>
      <c r="C3" s="24" t="s">
        <v>21473</v>
      </c>
      <c r="D3" s="24" t="s">
        <v>21839</v>
      </c>
      <c r="E3" s="24" t="s">
        <v>21840</v>
      </c>
      <c r="F3" s="24" t="s">
        <v>21841</v>
      </c>
      <c r="G3" s="7">
        <v>1</v>
      </c>
      <c r="H3" s="24" t="s">
        <v>21842</v>
      </c>
    </row>
    <row r="4" spans="1:8" x14ac:dyDescent="0.2">
      <c r="A4" s="27" t="s">
        <v>21843</v>
      </c>
      <c r="B4" s="7">
        <v>2025</v>
      </c>
      <c r="C4" s="27" t="s">
        <v>21477</v>
      </c>
      <c r="D4" s="27" t="s">
        <v>21844</v>
      </c>
      <c r="E4" s="27" t="s">
        <v>21845</v>
      </c>
      <c r="F4" s="27" t="s">
        <v>21846</v>
      </c>
      <c r="G4" s="7">
        <v>2</v>
      </c>
      <c r="H4" s="27" t="s">
        <v>21842</v>
      </c>
    </row>
    <row r="5" spans="1:8" x14ac:dyDescent="0.2">
      <c r="A5" s="24" t="s">
        <v>21843</v>
      </c>
      <c r="B5" s="7">
        <v>2025</v>
      </c>
      <c r="C5" s="24" t="s">
        <v>21477</v>
      </c>
      <c r="D5" s="24" t="s">
        <v>21847</v>
      </c>
      <c r="E5" s="24" t="s">
        <v>21848</v>
      </c>
      <c r="F5" s="24" t="s">
        <v>21849</v>
      </c>
      <c r="G5" s="7">
        <v>1</v>
      </c>
      <c r="H5" s="24" t="s">
        <v>21842</v>
      </c>
    </row>
    <row r="6" spans="1:8" x14ac:dyDescent="0.2">
      <c r="A6" s="27" t="s">
        <v>21850</v>
      </c>
      <c r="B6" s="7">
        <v>2025</v>
      </c>
      <c r="C6" s="27" t="s">
        <v>21506</v>
      </c>
      <c r="D6" s="27" t="s">
        <v>21851</v>
      </c>
      <c r="E6" s="27" t="s">
        <v>21852</v>
      </c>
      <c r="F6" s="27" t="s">
        <v>21853</v>
      </c>
      <c r="G6" s="7">
        <v>1</v>
      </c>
      <c r="H6" s="27" t="s">
        <v>21842</v>
      </c>
    </row>
    <row r="7" spans="1:8" x14ac:dyDescent="0.2">
      <c r="A7" s="24" t="s">
        <v>21850</v>
      </c>
      <c r="B7" s="7">
        <v>2025</v>
      </c>
      <c r="C7" s="24" t="s">
        <v>21506</v>
      </c>
      <c r="D7" s="24" t="s">
        <v>21854</v>
      </c>
      <c r="E7" s="24" t="s">
        <v>21855</v>
      </c>
      <c r="F7" s="24" t="s">
        <v>21856</v>
      </c>
      <c r="G7" s="7">
        <v>1</v>
      </c>
      <c r="H7" s="24" t="s">
        <v>21842</v>
      </c>
    </row>
    <row r="8" spans="1:8" x14ac:dyDescent="0.2">
      <c r="A8" s="27" t="s">
        <v>21857</v>
      </c>
      <c r="B8" s="7">
        <v>2025</v>
      </c>
      <c r="C8" s="27" t="s">
        <v>21524</v>
      </c>
      <c r="D8" s="27" t="s">
        <v>21858</v>
      </c>
      <c r="E8" s="27" t="s">
        <v>21859</v>
      </c>
      <c r="F8" s="27" t="s">
        <v>21846</v>
      </c>
      <c r="G8" s="7">
        <v>2</v>
      </c>
      <c r="H8" s="27" t="s">
        <v>21842</v>
      </c>
    </row>
    <row r="9" spans="1:8" x14ac:dyDescent="0.2">
      <c r="A9" s="24" t="s">
        <v>21857</v>
      </c>
      <c r="B9" s="7">
        <v>2025</v>
      </c>
      <c r="C9" s="24" t="s">
        <v>21524</v>
      </c>
      <c r="D9" s="24" t="s">
        <v>21860</v>
      </c>
      <c r="E9" s="24" t="s">
        <v>21861</v>
      </c>
      <c r="F9" s="24" t="s">
        <v>21862</v>
      </c>
      <c r="G9" s="7">
        <v>1</v>
      </c>
      <c r="H9" s="24" t="s">
        <v>21842</v>
      </c>
    </row>
    <row r="10" spans="1:8" x14ac:dyDescent="0.2">
      <c r="A10" s="27" t="s">
        <v>21863</v>
      </c>
      <c r="B10" s="7">
        <v>2025</v>
      </c>
      <c r="C10" s="27" t="s">
        <v>21531</v>
      </c>
      <c r="D10" s="27" t="s">
        <v>21864</v>
      </c>
      <c r="E10" s="27" t="s">
        <v>21865</v>
      </c>
      <c r="F10" s="27" t="s">
        <v>21846</v>
      </c>
      <c r="G10" s="7">
        <v>2</v>
      </c>
      <c r="H10" s="27" t="s">
        <v>21842</v>
      </c>
    </row>
    <row r="11" spans="1:8" x14ac:dyDescent="0.2">
      <c r="A11" s="24" t="s">
        <v>21863</v>
      </c>
      <c r="B11" s="7">
        <v>2025</v>
      </c>
      <c r="C11" s="24" t="s">
        <v>21531</v>
      </c>
      <c r="D11" s="24" t="s">
        <v>21866</v>
      </c>
      <c r="E11" s="24" t="s">
        <v>21867</v>
      </c>
      <c r="F11" s="24" t="s">
        <v>21846</v>
      </c>
      <c r="G11" s="7">
        <v>2</v>
      </c>
      <c r="H11" s="24" t="s">
        <v>21842</v>
      </c>
    </row>
    <row r="12" spans="1:8" x14ac:dyDescent="0.2">
      <c r="A12" s="27" t="s">
        <v>21868</v>
      </c>
      <c r="B12" s="7">
        <v>2025</v>
      </c>
      <c r="C12" s="27" t="s">
        <v>21547</v>
      </c>
      <c r="D12" s="27" t="s">
        <v>21869</v>
      </c>
      <c r="E12" s="27" t="s">
        <v>21870</v>
      </c>
      <c r="F12" s="27" t="s">
        <v>21846</v>
      </c>
      <c r="G12" s="7">
        <v>2</v>
      </c>
      <c r="H12" s="27" t="s">
        <v>21842</v>
      </c>
    </row>
    <row r="13" spans="1:8" x14ac:dyDescent="0.2">
      <c r="A13" s="24" t="s">
        <v>21871</v>
      </c>
      <c r="B13" s="7">
        <v>2025</v>
      </c>
      <c r="C13" s="24" t="s">
        <v>21565</v>
      </c>
      <c r="D13" s="24" t="s">
        <v>21872</v>
      </c>
      <c r="E13" s="24" t="s">
        <v>21873</v>
      </c>
      <c r="F13" s="24" t="s">
        <v>21874</v>
      </c>
      <c r="G13" s="7">
        <v>1</v>
      </c>
      <c r="H13" s="24" t="s">
        <v>21842</v>
      </c>
    </row>
    <row r="14" spans="1:8" x14ac:dyDescent="0.2">
      <c r="A14" s="27" t="s">
        <v>21592</v>
      </c>
      <c r="B14" s="7">
        <v>2025</v>
      </c>
      <c r="C14" s="27" t="s">
        <v>21592</v>
      </c>
      <c r="D14" s="27" t="s">
        <v>21875</v>
      </c>
      <c r="E14" s="27" t="s">
        <v>21876</v>
      </c>
      <c r="F14" s="27" t="s">
        <v>21877</v>
      </c>
      <c r="G14" s="7">
        <v>1</v>
      </c>
      <c r="H14" s="27" t="s">
        <v>21842</v>
      </c>
    </row>
    <row r="15" spans="1:8" x14ac:dyDescent="0.2">
      <c r="A15" s="24" t="s">
        <v>21878</v>
      </c>
      <c r="B15" s="7">
        <v>2025</v>
      </c>
      <c r="C15" s="24" t="s">
        <v>21607</v>
      </c>
      <c r="D15" s="24" t="s">
        <v>21879</v>
      </c>
      <c r="E15" s="24" t="s">
        <v>21880</v>
      </c>
      <c r="F15" s="24" t="s">
        <v>21881</v>
      </c>
      <c r="G15" s="7">
        <v>1</v>
      </c>
      <c r="H15" s="24" t="s">
        <v>21842</v>
      </c>
    </row>
    <row r="16" spans="1:8" x14ac:dyDescent="0.2">
      <c r="A16" s="27" t="s">
        <v>21882</v>
      </c>
      <c r="B16" s="7">
        <v>2025</v>
      </c>
      <c r="C16" s="27" t="s">
        <v>21618</v>
      </c>
      <c r="D16" s="27" t="s">
        <v>21883</v>
      </c>
      <c r="E16" s="27" t="s">
        <v>21884</v>
      </c>
      <c r="F16" s="27" t="s">
        <v>21846</v>
      </c>
      <c r="G16" s="7">
        <v>2</v>
      </c>
      <c r="H16" s="27" t="s">
        <v>21842</v>
      </c>
    </row>
    <row r="17" spans="1:8" x14ac:dyDescent="0.2">
      <c r="A17" s="24" t="s">
        <v>21882</v>
      </c>
      <c r="B17" s="7">
        <v>2025</v>
      </c>
      <c r="C17" s="24" t="s">
        <v>21618</v>
      </c>
      <c r="D17" s="24" t="s">
        <v>21885</v>
      </c>
      <c r="E17" s="24" t="s">
        <v>21886</v>
      </c>
      <c r="F17" s="24" t="s">
        <v>21887</v>
      </c>
      <c r="G17" s="7">
        <v>1</v>
      </c>
      <c r="H17" s="24" t="s">
        <v>21842</v>
      </c>
    </row>
    <row r="18" spans="1:8" x14ac:dyDescent="0.2">
      <c r="A18" s="27" t="s">
        <v>21888</v>
      </c>
      <c r="B18" s="7">
        <v>2025</v>
      </c>
      <c r="C18" s="27" t="s">
        <v>21627</v>
      </c>
      <c r="D18" s="27" t="s">
        <v>21889</v>
      </c>
      <c r="E18" s="27" t="s">
        <v>21890</v>
      </c>
      <c r="F18" s="27" t="s">
        <v>21846</v>
      </c>
      <c r="G18" s="7">
        <v>2</v>
      </c>
      <c r="H18" s="27" t="s">
        <v>21842</v>
      </c>
    </row>
    <row r="19" spans="1:8" x14ac:dyDescent="0.2">
      <c r="A19" s="24" t="s">
        <v>21888</v>
      </c>
      <c r="B19" s="7">
        <v>2025</v>
      </c>
      <c r="C19" s="24" t="s">
        <v>21627</v>
      </c>
      <c r="D19" s="24" t="s">
        <v>21891</v>
      </c>
      <c r="E19" s="24" t="s">
        <v>21892</v>
      </c>
      <c r="F19" s="24" t="s">
        <v>21874</v>
      </c>
      <c r="G19" s="7">
        <v>1</v>
      </c>
      <c r="H19" s="24" t="s">
        <v>21842</v>
      </c>
    </row>
    <row r="20" spans="1:8" x14ac:dyDescent="0.2">
      <c r="A20" s="27" t="s">
        <v>21888</v>
      </c>
      <c r="B20" s="7">
        <v>2025</v>
      </c>
      <c r="C20" s="27" t="s">
        <v>21627</v>
      </c>
      <c r="D20" s="27" t="s">
        <v>21893</v>
      </c>
      <c r="E20" s="27" t="s">
        <v>21894</v>
      </c>
      <c r="F20" s="27" t="s">
        <v>21846</v>
      </c>
      <c r="G20" s="7">
        <v>2</v>
      </c>
      <c r="H20" s="27" t="s">
        <v>21842</v>
      </c>
    </row>
    <row r="21" spans="1:8" x14ac:dyDescent="0.2">
      <c r="A21" s="24" t="s">
        <v>21895</v>
      </c>
      <c r="B21" s="7">
        <v>2025</v>
      </c>
      <c r="C21" s="24" t="s">
        <v>21638</v>
      </c>
      <c r="D21" s="24" t="s">
        <v>21896</v>
      </c>
      <c r="E21" s="24" t="s">
        <v>21897</v>
      </c>
      <c r="F21" s="24" t="s">
        <v>21898</v>
      </c>
      <c r="G21" s="7">
        <v>1</v>
      </c>
      <c r="H21" s="24" t="s">
        <v>21842</v>
      </c>
    </row>
    <row r="22" spans="1:8" x14ac:dyDescent="0.2">
      <c r="A22" s="27" t="s">
        <v>21899</v>
      </c>
      <c r="B22" s="7">
        <v>2024</v>
      </c>
      <c r="C22" s="27" t="s">
        <v>21648</v>
      </c>
      <c r="D22" s="27" t="s">
        <v>21900</v>
      </c>
      <c r="E22" s="27" t="s">
        <v>21901</v>
      </c>
      <c r="F22" s="27" t="s">
        <v>21877</v>
      </c>
      <c r="G22" s="7">
        <v>1</v>
      </c>
      <c r="H22" s="27" t="s">
        <v>21842</v>
      </c>
    </row>
    <row r="23" spans="1:8" x14ac:dyDescent="0.2">
      <c r="A23" s="24" t="s">
        <v>21902</v>
      </c>
      <c r="B23" s="7">
        <v>2024</v>
      </c>
      <c r="C23" s="24" t="s">
        <v>21676</v>
      </c>
      <c r="D23" s="24" t="s">
        <v>21903</v>
      </c>
      <c r="E23" s="24" t="s">
        <v>21904</v>
      </c>
      <c r="F23" s="24" t="s">
        <v>21877</v>
      </c>
      <c r="G23" s="7">
        <v>1</v>
      </c>
      <c r="H23" s="24" t="s">
        <v>21842</v>
      </c>
    </row>
    <row r="24" spans="1:8" x14ac:dyDescent="0.2">
      <c r="A24" s="27" t="s">
        <v>21905</v>
      </c>
      <c r="B24" s="7">
        <v>2024</v>
      </c>
      <c r="C24" s="27" t="s">
        <v>21696</v>
      </c>
      <c r="D24" s="27" t="s">
        <v>21906</v>
      </c>
      <c r="E24" s="27" t="s">
        <v>21907</v>
      </c>
      <c r="F24" s="27" t="s">
        <v>21877</v>
      </c>
      <c r="G24" s="7">
        <v>1</v>
      </c>
      <c r="H24" s="27" t="s">
        <v>21842</v>
      </c>
    </row>
    <row r="25" spans="1:8" x14ac:dyDescent="0.2">
      <c r="A25" s="24" t="s">
        <v>21908</v>
      </c>
      <c r="B25" s="7">
        <v>2024</v>
      </c>
      <c r="C25" s="24" t="s">
        <v>21709</v>
      </c>
      <c r="D25" s="24" t="s">
        <v>21909</v>
      </c>
      <c r="E25" s="24" t="s">
        <v>21910</v>
      </c>
      <c r="F25" s="24" t="s">
        <v>21877</v>
      </c>
      <c r="G25" s="7">
        <v>1</v>
      </c>
      <c r="H25" s="24" t="s">
        <v>21842</v>
      </c>
    </row>
    <row r="26" spans="1:8" x14ac:dyDescent="0.2">
      <c r="A26" s="27" t="s">
        <v>21911</v>
      </c>
      <c r="B26" s="7">
        <v>2024</v>
      </c>
      <c r="C26" s="27" t="s">
        <v>21724</v>
      </c>
      <c r="D26" s="27" t="s">
        <v>21912</v>
      </c>
      <c r="E26" s="27" t="s">
        <v>21913</v>
      </c>
      <c r="F26" s="27" t="s">
        <v>21862</v>
      </c>
      <c r="G26" s="7">
        <v>1</v>
      </c>
      <c r="H26" s="27" t="s">
        <v>21842</v>
      </c>
    </row>
    <row r="27" spans="1:8" x14ac:dyDescent="0.2">
      <c r="A27" s="24" t="s">
        <v>21911</v>
      </c>
      <c r="B27" s="7">
        <v>2024</v>
      </c>
      <c r="C27" s="24" t="s">
        <v>21724</v>
      </c>
      <c r="D27" s="24" t="s">
        <v>21914</v>
      </c>
      <c r="E27" s="24" t="s">
        <v>21915</v>
      </c>
      <c r="F27" s="24" t="s">
        <v>21862</v>
      </c>
      <c r="G27" s="7">
        <v>1</v>
      </c>
      <c r="H27" s="24" t="s">
        <v>21842</v>
      </c>
    </row>
    <row r="28" spans="1:8" x14ac:dyDescent="0.2">
      <c r="A28" s="27" t="s">
        <v>21916</v>
      </c>
      <c r="B28" s="7">
        <v>2024</v>
      </c>
      <c r="C28" s="27" t="s">
        <v>21744</v>
      </c>
      <c r="D28" s="27" t="s">
        <v>21917</v>
      </c>
      <c r="E28" s="27" t="s">
        <v>21918</v>
      </c>
      <c r="F28" s="27" t="s">
        <v>21919</v>
      </c>
      <c r="G28" s="7">
        <v>1</v>
      </c>
      <c r="H28" s="27" t="s">
        <v>21842</v>
      </c>
    </row>
    <row r="29" spans="1:8" x14ac:dyDescent="0.2">
      <c r="A29" s="24" t="s">
        <v>21920</v>
      </c>
      <c r="B29" s="7">
        <v>2024</v>
      </c>
      <c r="C29" s="24" t="s">
        <v>21751</v>
      </c>
      <c r="D29" s="24" t="s">
        <v>21921</v>
      </c>
      <c r="E29" s="24" t="s">
        <v>21922</v>
      </c>
      <c r="F29" s="24" t="s">
        <v>21862</v>
      </c>
      <c r="G29" s="7">
        <v>1</v>
      </c>
      <c r="H29" s="24" t="s">
        <v>21842</v>
      </c>
    </row>
    <row r="30" spans="1:8" x14ac:dyDescent="0.2">
      <c r="A30" s="27" t="s">
        <v>21920</v>
      </c>
      <c r="B30" s="7">
        <v>2024</v>
      </c>
      <c r="C30" s="27" t="s">
        <v>21751</v>
      </c>
      <c r="D30" s="27" t="s">
        <v>21923</v>
      </c>
      <c r="E30" s="27" t="s">
        <v>21924</v>
      </c>
      <c r="F30" s="27" t="s">
        <v>21841</v>
      </c>
      <c r="G30" s="7">
        <v>1</v>
      </c>
      <c r="H30" s="27" t="s">
        <v>21842</v>
      </c>
    </row>
    <row r="31" spans="1:8" x14ac:dyDescent="0.2">
      <c r="A31" s="24" t="s">
        <v>21920</v>
      </c>
      <c r="B31" s="7">
        <v>2024</v>
      </c>
      <c r="C31" s="24" t="s">
        <v>21751</v>
      </c>
      <c r="D31" s="24" t="s">
        <v>21925</v>
      </c>
      <c r="E31" s="24" t="s">
        <v>21926</v>
      </c>
      <c r="F31" s="24" t="s">
        <v>21877</v>
      </c>
      <c r="G31" s="7">
        <v>1</v>
      </c>
      <c r="H31" s="24" t="s">
        <v>21842</v>
      </c>
    </row>
    <row r="32" spans="1:8" x14ac:dyDescent="0.2">
      <c r="A32" s="27" t="s">
        <v>21768</v>
      </c>
      <c r="B32" s="7">
        <v>2024</v>
      </c>
      <c r="C32" s="27" t="s">
        <v>21768</v>
      </c>
      <c r="D32" s="27" t="s">
        <v>21927</v>
      </c>
      <c r="E32" s="27" t="s">
        <v>21928</v>
      </c>
      <c r="F32" s="27" t="s">
        <v>21919</v>
      </c>
      <c r="G32" s="7">
        <v>1</v>
      </c>
      <c r="H32" s="27" t="s">
        <v>21842</v>
      </c>
    </row>
    <row r="33" spans="1:8" x14ac:dyDescent="0.2">
      <c r="A33" s="24" t="s">
        <v>21768</v>
      </c>
      <c r="B33" s="7">
        <v>2024</v>
      </c>
      <c r="C33" s="24" t="s">
        <v>21768</v>
      </c>
      <c r="D33" s="24" t="s">
        <v>21929</v>
      </c>
      <c r="E33" s="24" t="s">
        <v>21930</v>
      </c>
      <c r="F33" s="24" t="s">
        <v>21862</v>
      </c>
      <c r="G33" s="7">
        <v>1</v>
      </c>
      <c r="H33" s="24" t="s">
        <v>21842</v>
      </c>
    </row>
    <row r="34" spans="1:8" x14ac:dyDescent="0.2">
      <c r="A34" s="27" t="s">
        <v>21768</v>
      </c>
      <c r="B34" s="7">
        <v>2024</v>
      </c>
      <c r="C34" s="27" t="s">
        <v>21768</v>
      </c>
      <c r="D34" s="27" t="s">
        <v>21931</v>
      </c>
      <c r="E34" s="27" t="s">
        <v>21932</v>
      </c>
      <c r="F34" s="27" t="s">
        <v>21862</v>
      </c>
      <c r="G34" s="7">
        <v>1</v>
      </c>
      <c r="H34" s="27" t="s">
        <v>21842</v>
      </c>
    </row>
    <row r="35" spans="1:8" x14ac:dyDescent="0.2">
      <c r="A35" s="24" t="s">
        <v>21933</v>
      </c>
      <c r="B35" s="7">
        <v>2024</v>
      </c>
      <c r="C35" s="24" t="s">
        <v>21775</v>
      </c>
      <c r="D35" s="24" t="s">
        <v>21934</v>
      </c>
      <c r="E35" s="24" t="s">
        <v>21935</v>
      </c>
      <c r="F35" s="24" t="s">
        <v>21936</v>
      </c>
      <c r="G35" s="7">
        <v>1</v>
      </c>
      <c r="H35" s="24" t="s">
        <v>21842</v>
      </c>
    </row>
    <row r="36" spans="1:8" x14ac:dyDescent="0.2">
      <c r="A36" s="27" t="s">
        <v>21933</v>
      </c>
      <c r="B36" s="7">
        <v>2024</v>
      </c>
      <c r="C36" s="27" t="s">
        <v>21775</v>
      </c>
      <c r="D36" s="27" t="s">
        <v>21937</v>
      </c>
      <c r="E36" s="27" t="s">
        <v>21938</v>
      </c>
      <c r="F36" s="27" t="s">
        <v>21877</v>
      </c>
      <c r="G36" s="7">
        <v>1</v>
      </c>
      <c r="H36" s="27" t="s">
        <v>21842</v>
      </c>
    </row>
    <row r="37" spans="1:8" x14ac:dyDescent="0.2">
      <c r="A37" s="24" t="s">
        <v>21939</v>
      </c>
      <c r="B37" s="7">
        <v>2024</v>
      </c>
      <c r="C37" s="24" t="s">
        <v>21793</v>
      </c>
      <c r="D37" s="24" t="s">
        <v>21940</v>
      </c>
      <c r="E37" s="24" t="s">
        <v>21941</v>
      </c>
      <c r="F37" s="24" t="s">
        <v>21898</v>
      </c>
      <c r="G37" s="7">
        <v>1</v>
      </c>
      <c r="H37" s="24" t="s">
        <v>21842</v>
      </c>
    </row>
    <row r="38" spans="1:8" x14ac:dyDescent="0.2">
      <c r="A38" s="27" t="s">
        <v>21939</v>
      </c>
      <c r="B38" s="7">
        <v>2024</v>
      </c>
      <c r="C38" s="27" t="s">
        <v>21793</v>
      </c>
      <c r="D38" s="27" t="s">
        <v>21942</v>
      </c>
      <c r="E38" s="27" t="s">
        <v>21943</v>
      </c>
      <c r="F38" s="27" t="s">
        <v>21846</v>
      </c>
      <c r="G38" s="7">
        <v>2</v>
      </c>
      <c r="H38" s="27" t="s">
        <v>21842</v>
      </c>
    </row>
    <row r="39" spans="1:8" x14ac:dyDescent="0.2">
      <c r="A39" s="24" t="s">
        <v>21944</v>
      </c>
      <c r="B39" s="7">
        <v>2024</v>
      </c>
      <c r="C39" s="24" t="s">
        <v>21819</v>
      </c>
      <c r="D39" s="24" t="s">
        <v>21945</v>
      </c>
      <c r="E39" s="24" t="s">
        <v>21946</v>
      </c>
      <c r="F39" s="24" t="s">
        <v>21947</v>
      </c>
      <c r="G39" s="7">
        <v>1</v>
      </c>
      <c r="H39" s="24" t="s">
        <v>21842</v>
      </c>
    </row>
  </sheetData>
  <autoFilter ref="A2:H39" xr:uid="{00000000-0009-0000-0000-00000E000000}"/>
  <hyperlinks>
    <hyperlink ref="H3" r:id="rId1" xr:uid="{00000000-0004-0000-0E00-000000000000}"/>
    <hyperlink ref="H4" r:id="rId2" xr:uid="{00000000-0004-0000-0E00-000001000000}"/>
    <hyperlink ref="H5" r:id="rId3" xr:uid="{00000000-0004-0000-0E00-000002000000}"/>
    <hyperlink ref="H6" r:id="rId4" xr:uid="{00000000-0004-0000-0E00-000003000000}"/>
    <hyperlink ref="H7" r:id="rId5" xr:uid="{00000000-0004-0000-0E00-000004000000}"/>
    <hyperlink ref="H8" r:id="rId6" xr:uid="{00000000-0004-0000-0E00-000005000000}"/>
    <hyperlink ref="H9" r:id="rId7" xr:uid="{00000000-0004-0000-0E00-000006000000}"/>
    <hyperlink ref="H10" r:id="rId8" xr:uid="{00000000-0004-0000-0E00-000007000000}"/>
    <hyperlink ref="H11" r:id="rId9" xr:uid="{00000000-0004-0000-0E00-000008000000}"/>
    <hyperlink ref="H12" r:id="rId10" xr:uid="{00000000-0004-0000-0E00-000009000000}"/>
    <hyperlink ref="H13" r:id="rId11" xr:uid="{00000000-0004-0000-0E00-00000A000000}"/>
    <hyperlink ref="H14" r:id="rId12" xr:uid="{00000000-0004-0000-0E00-00000B000000}"/>
    <hyperlink ref="H15" r:id="rId13" xr:uid="{00000000-0004-0000-0E00-00000C000000}"/>
    <hyperlink ref="H16" r:id="rId14" xr:uid="{00000000-0004-0000-0E00-00000D000000}"/>
    <hyperlink ref="H17" r:id="rId15" xr:uid="{00000000-0004-0000-0E00-00000E000000}"/>
    <hyperlink ref="H18" r:id="rId16" xr:uid="{00000000-0004-0000-0E00-00000F000000}"/>
    <hyperlink ref="H19" r:id="rId17" xr:uid="{00000000-0004-0000-0E00-000010000000}"/>
    <hyperlink ref="H20" r:id="rId18" xr:uid="{00000000-0004-0000-0E00-000011000000}"/>
    <hyperlink ref="H21" r:id="rId19" xr:uid="{00000000-0004-0000-0E00-000012000000}"/>
    <hyperlink ref="H22" r:id="rId20" xr:uid="{00000000-0004-0000-0E00-000013000000}"/>
    <hyperlink ref="H23" r:id="rId21" xr:uid="{00000000-0004-0000-0E00-000014000000}"/>
    <hyperlink ref="H24" r:id="rId22" xr:uid="{00000000-0004-0000-0E00-000015000000}"/>
    <hyperlink ref="H25" r:id="rId23" xr:uid="{00000000-0004-0000-0E00-000016000000}"/>
    <hyperlink ref="H26" r:id="rId24" xr:uid="{00000000-0004-0000-0E00-000017000000}"/>
    <hyperlink ref="H27" r:id="rId25" xr:uid="{00000000-0004-0000-0E00-000018000000}"/>
    <hyperlink ref="H28" r:id="rId26" xr:uid="{00000000-0004-0000-0E00-000019000000}"/>
    <hyperlink ref="H29" r:id="rId27" xr:uid="{00000000-0004-0000-0E00-00001A000000}"/>
    <hyperlink ref="H30" r:id="rId28" xr:uid="{00000000-0004-0000-0E00-00001B000000}"/>
    <hyperlink ref="H31" r:id="rId29" xr:uid="{00000000-0004-0000-0E00-00001C000000}"/>
    <hyperlink ref="H32" r:id="rId30" xr:uid="{00000000-0004-0000-0E00-00001D000000}"/>
    <hyperlink ref="H33" r:id="rId31" xr:uid="{00000000-0004-0000-0E00-00001E000000}"/>
    <hyperlink ref="H34" r:id="rId32" xr:uid="{00000000-0004-0000-0E00-00001F000000}"/>
    <hyperlink ref="H35" r:id="rId33" xr:uid="{00000000-0004-0000-0E00-000020000000}"/>
    <hyperlink ref="H36" r:id="rId34" xr:uid="{00000000-0004-0000-0E00-000021000000}"/>
    <hyperlink ref="H37" r:id="rId35" xr:uid="{00000000-0004-0000-0E00-000022000000}"/>
    <hyperlink ref="H38" r:id="rId36" xr:uid="{00000000-0004-0000-0E00-000023000000}"/>
    <hyperlink ref="H39" r:id="rId37" xr:uid="{00000000-0004-0000-0E00-000024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BDD7EE"/>
  </sheetPr>
  <dimension ref="A1:I39"/>
  <sheetViews>
    <sheetView tabSelected="1" workbookViewId="0">
      <pane ySplit="1" topLeftCell="A2" activePane="bottomLeft" state="frozen"/>
      <selection pane="bottomLeft"/>
    </sheetView>
  </sheetViews>
  <sheetFormatPr baseColWidth="10" defaultColWidth="8.83203125" defaultRowHeight="15" x14ac:dyDescent="0.2"/>
  <cols>
    <col min="1" max="1" width="18.6640625" customWidth="1"/>
    <col min="2" max="3" width="40.6640625" customWidth="1"/>
    <col min="4" max="6" width="22.6640625" customWidth="1"/>
    <col min="7" max="7" width="12.6640625" customWidth="1"/>
    <col min="8" max="9" width="14.6640625" customWidth="1"/>
  </cols>
  <sheetData>
    <row r="1" spans="1:9" x14ac:dyDescent="0.2">
      <c r="A1" s="23" t="s">
        <v>21971</v>
      </c>
      <c r="B1" s="23" t="s">
        <v>21972</v>
      </c>
      <c r="C1" s="23" t="s">
        <v>21973</v>
      </c>
      <c r="D1" s="23" t="s">
        <v>21974</v>
      </c>
      <c r="E1" s="23" t="s">
        <v>21975</v>
      </c>
      <c r="F1" s="23" t="s">
        <v>21976</v>
      </c>
      <c r="G1" s="23" t="s">
        <v>21977</v>
      </c>
      <c r="H1" s="23" t="s">
        <v>21978</v>
      </c>
      <c r="I1" s="23" t="s">
        <v>21979</v>
      </c>
    </row>
    <row r="2" spans="1:9" x14ac:dyDescent="0.2">
      <c r="A2" s="36">
        <v>44957</v>
      </c>
      <c r="B2" s="24" t="s">
        <v>21980</v>
      </c>
      <c r="C2" s="24" t="s">
        <v>21981</v>
      </c>
      <c r="D2" s="25">
        <v>3529010534.3899999</v>
      </c>
      <c r="E2" s="25">
        <v>14927515115.790001</v>
      </c>
      <c r="F2" s="25">
        <v>13263951296.139999</v>
      </c>
      <c r="G2" s="26">
        <v>2023</v>
      </c>
      <c r="H2" s="26">
        <v>2023</v>
      </c>
      <c r="I2" s="26">
        <v>1</v>
      </c>
    </row>
    <row r="3" spans="1:9" x14ac:dyDescent="0.2">
      <c r="A3" s="37">
        <v>44985</v>
      </c>
      <c r="B3" s="27" t="s">
        <v>21980</v>
      </c>
      <c r="C3" s="27" t="s">
        <v>21981</v>
      </c>
      <c r="D3" s="28">
        <v>3589857236.2399998</v>
      </c>
      <c r="E3" s="28">
        <v>18517372352.029999</v>
      </c>
      <c r="F3" s="28">
        <v>16494139497.1</v>
      </c>
      <c r="G3" s="29">
        <v>2023</v>
      </c>
      <c r="H3" s="29">
        <v>2023</v>
      </c>
      <c r="I3" s="29">
        <v>2</v>
      </c>
    </row>
    <row r="4" spans="1:9" x14ac:dyDescent="0.2">
      <c r="A4" s="36">
        <v>45016</v>
      </c>
      <c r="B4" s="24" t="s">
        <v>21980</v>
      </c>
      <c r="C4" s="24" t="s">
        <v>21981</v>
      </c>
      <c r="D4" s="25">
        <v>4009433102.1900001</v>
      </c>
      <c r="E4" s="25">
        <v>22526805454.220001</v>
      </c>
      <c r="F4" s="25">
        <v>20303385305.450001</v>
      </c>
      <c r="G4" s="26">
        <v>2023</v>
      </c>
      <c r="H4" s="26">
        <v>2023</v>
      </c>
      <c r="I4" s="26">
        <v>3</v>
      </c>
    </row>
    <row r="5" spans="1:9" x14ac:dyDescent="0.2">
      <c r="A5" s="37">
        <v>45046</v>
      </c>
      <c r="B5" s="27" t="s">
        <v>21980</v>
      </c>
      <c r="C5" s="27" t="s">
        <v>21981</v>
      </c>
      <c r="D5" s="28">
        <v>3501574914.3200002</v>
      </c>
      <c r="E5" s="28">
        <v>26028380368.540001</v>
      </c>
      <c r="F5" s="28">
        <v>23310062471.18</v>
      </c>
      <c r="G5" s="29">
        <v>2023</v>
      </c>
      <c r="H5" s="29">
        <v>2023</v>
      </c>
      <c r="I5" s="29">
        <v>4</v>
      </c>
    </row>
    <row r="6" spans="1:9" x14ac:dyDescent="0.2">
      <c r="A6" s="36">
        <v>45077</v>
      </c>
      <c r="B6" s="24" t="s">
        <v>21980</v>
      </c>
      <c r="C6" s="24" t="s">
        <v>21981</v>
      </c>
      <c r="D6" s="25">
        <v>3912434217.8200002</v>
      </c>
      <c r="E6" s="25">
        <v>29940814586.360001</v>
      </c>
      <c r="F6" s="25">
        <v>26798780793.639999</v>
      </c>
      <c r="G6" s="26">
        <v>2023</v>
      </c>
      <c r="H6" s="26">
        <v>2023</v>
      </c>
      <c r="I6" s="26">
        <v>5</v>
      </c>
    </row>
    <row r="7" spans="1:9" x14ac:dyDescent="0.2">
      <c r="A7" s="37">
        <v>45107</v>
      </c>
      <c r="B7" s="27" t="s">
        <v>21980</v>
      </c>
      <c r="C7" s="27" t="s">
        <v>21981</v>
      </c>
      <c r="D7" s="28">
        <v>4026315301.4499998</v>
      </c>
      <c r="E7" s="28">
        <v>33967129887.810001</v>
      </c>
      <c r="F7" s="28">
        <v>30491637284.68</v>
      </c>
      <c r="G7" s="29">
        <v>2023</v>
      </c>
      <c r="H7" s="29">
        <v>2023</v>
      </c>
      <c r="I7" s="29">
        <v>6</v>
      </c>
    </row>
    <row r="8" spans="1:9" x14ac:dyDescent="0.2">
      <c r="A8" s="36">
        <v>45138</v>
      </c>
      <c r="B8" s="24" t="s">
        <v>21980</v>
      </c>
      <c r="C8" s="24" t="s">
        <v>21981</v>
      </c>
      <c r="D8" s="25">
        <v>3817746851.9899998</v>
      </c>
      <c r="E8" s="25">
        <v>37784876739.800003</v>
      </c>
      <c r="F8" s="25">
        <v>33733949929.900002</v>
      </c>
      <c r="G8" s="26">
        <v>2023</v>
      </c>
      <c r="H8" s="26">
        <v>2023</v>
      </c>
      <c r="I8" s="26">
        <v>7</v>
      </c>
    </row>
    <row r="9" spans="1:9" x14ac:dyDescent="0.2">
      <c r="A9" s="37">
        <v>45169</v>
      </c>
      <c r="B9" s="27" t="s">
        <v>21980</v>
      </c>
      <c r="C9" s="27" t="s">
        <v>21981</v>
      </c>
      <c r="D9" s="28">
        <v>4243975167.04</v>
      </c>
      <c r="E9" s="28">
        <v>42028851906.839996</v>
      </c>
      <c r="F9" s="28">
        <v>37200561641.480003</v>
      </c>
      <c r="G9" s="29">
        <v>2023</v>
      </c>
      <c r="H9" s="29">
        <v>2023</v>
      </c>
      <c r="I9" s="29">
        <v>8</v>
      </c>
    </row>
    <row r="10" spans="1:9" x14ac:dyDescent="0.2">
      <c r="A10" s="36">
        <v>45199</v>
      </c>
      <c r="B10" s="24" t="s">
        <v>21980</v>
      </c>
      <c r="C10" s="24" t="s">
        <v>21981</v>
      </c>
      <c r="D10" s="25">
        <v>4476872546.4799995</v>
      </c>
      <c r="E10" s="25">
        <v>46505724453.32</v>
      </c>
      <c r="F10" s="25">
        <v>40622870124.150002</v>
      </c>
      <c r="G10" s="26">
        <v>2023</v>
      </c>
      <c r="H10" s="26">
        <v>2023</v>
      </c>
      <c r="I10" s="26">
        <v>9</v>
      </c>
    </row>
    <row r="11" spans="1:9" x14ac:dyDescent="0.2">
      <c r="A11" s="37">
        <v>45230</v>
      </c>
      <c r="B11" s="27" t="s">
        <v>21980</v>
      </c>
      <c r="C11" s="27" t="s">
        <v>21981</v>
      </c>
      <c r="D11" s="28">
        <v>3547587404.3400002</v>
      </c>
      <c r="E11" s="28">
        <v>3547587404.3400002</v>
      </c>
      <c r="F11" s="28">
        <v>3511330522.9099998</v>
      </c>
      <c r="G11" s="29">
        <v>2024</v>
      </c>
      <c r="H11" s="29">
        <v>2023</v>
      </c>
      <c r="I11" s="29">
        <v>10</v>
      </c>
    </row>
    <row r="12" spans="1:9" x14ac:dyDescent="0.2">
      <c r="A12" s="36">
        <v>45260</v>
      </c>
      <c r="B12" s="24" t="s">
        <v>21980</v>
      </c>
      <c r="C12" s="24" t="s">
        <v>21981</v>
      </c>
      <c r="D12" s="25">
        <v>4215217644.8000002</v>
      </c>
      <c r="E12" s="25">
        <v>7762805049.1400003</v>
      </c>
      <c r="F12" s="25">
        <v>8303198996.6800003</v>
      </c>
      <c r="G12" s="26">
        <v>2024</v>
      </c>
      <c r="H12" s="26">
        <v>2023</v>
      </c>
      <c r="I12" s="26">
        <v>11</v>
      </c>
    </row>
    <row r="13" spans="1:9" x14ac:dyDescent="0.2">
      <c r="A13" s="37">
        <v>45291</v>
      </c>
      <c r="B13" s="27" t="s">
        <v>21980</v>
      </c>
      <c r="C13" s="27" t="s">
        <v>21981</v>
      </c>
      <c r="D13" s="28">
        <v>3609316301.4000001</v>
      </c>
      <c r="E13" s="28">
        <v>11372121350.540001</v>
      </c>
      <c r="F13" s="28">
        <v>11398504581.4</v>
      </c>
      <c r="G13" s="29">
        <v>2024</v>
      </c>
      <c r="H13" s="29">
        <v>2023</v>
      </c>
      <c r="I13" s="29">
        <v>12</v>
      </c>
    </row>
    <row r="14" spans="1:9" x14ac:dyDescent="0.2">
      <c r="A14" s="36">
        <v>45322</v>
      </c>
      <c r="B14" s="24" t="s">
        <v>21980</v>
      </c>
      <c r="C14" s="24" t="s">
        <v>21981</v>
      </c>
      <c r="D14" s="25">
        <v>3730021310.4200001</v>
      </c>
      <c r="E14" s="25">
        <v>15102142660.959999</v>
      </c>
      <c r="F14" s="25">
        <v>14927515115.790001</v>
      </c>
      <c r="G14" s="26">
        <v>2024</v>
      </c>
      <c r="H14" s="26">
        <v>2024</v>
      </c>
      <c r="I14" s="26">
        <v>1</v>
      </c>
    </row>
    <row r="15" spans="1:9" x14ac:dyDescent="0.2">
      <c r="A15" s="37">
        <v>45351</v>
      </c>
      <c r="B15" s="27" t="s">
        <v>21980</v>
      </c>
      <c r="C15" s="27" t="s">
        <v>21981</v>
      </c>
      <c r="D15" s="28">
        <v>3675755746.8699999</v>
      </c>
      <c r="E15" s="28">
        <v>18777898407.830002</v>
      </c>
      <c r="F15" s="28">
        <v>18517372352.029999</v>
      </c>
      <c r="G15" s="29">
        <v>2024</v>
      </c>
      <c r="H15" s="29">
        <v>2024</v>
      </c>
      <c r="I15" s="29">
        <v>2</v>
      </c>
    </row>
    <row r="16" spans="1:9" x14ac:dyDescent="0.2">
      <c r="A16" s="36">
        <v>45382</v>
      </c>
      <c r="B16" s="24" t="s">
        <v>21980</v>
      </c>
      <c r="C16" s="24" t="s">
        <v>21981</v>
      </c>
      <c r="D16" s="25">
        <v>4065326521.6900001</v>
      </c>
      <c r="E16" s="25">
        <v>22843224929.52</v>
      </c>
      <c r="F16" s="25">
        <v>22526805454.220001</v>
      </c>
      <c r="G16" s="26">
        <v>2024</v>
      </c>
      <c r="H16" s="26">
        <v>2024</v>
      </c>
      <c r="I16" s="26">
        <v>3</v>
      </c>
    </row>
    <row r="17" spans="1:9" x14ac:dyDescent="0.2">
      <c r="A17" s="37">
        <v>45412</v>
      </c>
      <c r="B17" s="27" t="s">
        <v>21980</v>
      </c>
      <c r="C17" s="27" t="s">
        <v>21981</v>
      </c>
      <c r="D17" s="28">
        <v>4204474668.7600002</v>
      </c>
      <c r="E17" s="28">
        <v>27047699598.279999</v>
      </c>
      <c r="F17" s="28">
        <v>26028380368.540001</v>
      </c>
      <c r="G17" s="29">
        <v>2024</v>
      </c>
      <c r="H17" s="29">
        <v>2024</v>
      </c>
      <c r="I17" s="29">
        <v>4</v>
      </c>
    </row>
    <row r="18" spans="1:9" x14ac:dyDescent="0.2">
      <c r="A18" s="36">
        <v>45443</v>
      </c>
      <c r="B18" s="24" t="s">
        <v>21980</v>
      </c>
      <c r="C18" s="24" t="s">
        <v>21981</v>
      </c>
      <c r="D18" s="25">
        <v>4051258348.8499999</v>
      </c>
      <c r="E18" s="25">
        <v>31098957947.130001</v>
      </c>
      <c r="F18" s="25">
        <v>29940814586.360001</v>
      </c>
      <c r="G18" s="26">
        <v>2024</v>
      </c>
      <c r="H18" s="26">
        <v>2024</v>
      </c>
      <c r="I18" s="26">
        <v>5</v>
      </c>
    </row>
    <row r="19" spans="1:9" x14ac:dyDescent="0.2">
      <c r="A19" s="37">
        <v>45473</v>
      </c>
      <c r="B19" s="27" t="s">
        <v>21980</v>
      </c>
      <c r="C19" s="27" t="s">
        <v>21981</v>
      </c>
      <c r="D19" s="28">
        <v>4217593665.3299999</v>
      </c>
      <c r="E19" s="28">
        <v>35316551612.459999</v>
      </c>
      <c r="F19" s="28">
        <v>33967129887.810001</v>
      </c>
      <c r="G19" s="29">
        <v>2024</v>
      </c>
      <c r="H19" s="29">
        <v>2024</v>
      </c>
      <c r="I19" s="29">
        <v>6</v>
      </c>
    </row>
    <row r="20" spans="1:9" x14ac:dyDescent="0.2">
      <c r="A20" s="36">
        <v>45504</v>
      </c>
      <c r="B20" s="24" t="s">
        <v>21980</v>
      </c>
      <c r="C20" s="24" t="s">
        <v>21981</v>
      </c>
      <c r="D20" s="25">
        <v>4112084165.9200001</v>
      </c>
      <c r="E20" s="25">
        <v>39428635778.379997</v>
      </c>
      <c r="F20" s="25">
        <v>37784876739.800003</v>
      </c>
      <c r="G20" s="26">
        <v>2024</v>
      </c>
      <c r="H20" s="26">
        <v>2024</v>
      </c>
      <c r="I20" s="26">
        <v>7</v>
      </c>
    </row>
    <row r="21" spans="1:9" x14ac:dyDescent="0.2">
      <c r="A21" s="37">
        <v>45535</v>
      </c>
      <c r="B21" s="27" t="s">
        <v>21980</v>
      </c>
      <c r="C21" s="27" t="s">
        <v>21981</v>
      </c>
      <c r="D21" s="28">
        <v>4523714677.2799997</v>
      </c>
      <c r="E21" s="28">
        <v>43952350455.660004</v>
      </c>
      <c r="F21" s="28">
        <v>42028851906.839996</v>
      </c>
      <c r="G21" s="29">
        <v>2024</v>
      </c>
      <c r="H21" s="29">
        <v>2024</v>
      </c>
      <c r="I21" s="29">
        <v>8</v>
      </c>
    </row>
    <row r="22" spans="1:9" x14ac:dyDescent="0.2">
      <c r="A22" s="36">
        <v>45565</v>
      </c>
      <c r="B22" s="24" t="s">
        <v>21980</v>
      </c>
      <c r="C22" s="24" t="s">
        <v>21981</v>
      </c>
      <c r="D22" s="25">
        <v>4257770542.6599998</v>
      </c>
      <c r="E22" s="25">
        <v>48210120998.32</v>
      </c>
      <c r="F22" s="25">
        <v>46505724453.32</v>
      </c>
      <c r="G22" s="26">
        <v>2024</v>
      </c>
      <c r="H22" s="26">
        <v>2024</v>
      </c>
      <c r="I22" s="26">
        <v>9</v>
      </c>
    </row>
    <row r="23" spans="1:9" x14ac:dyDescent="0.2">
      <c r="A23" s="37">
        <v>45596</v>
      </c>
      <c r="B23" s="27" t="s">
        <v>21980</v>
      </c>
      <c r="C23" s="27" t="s">
        <v>21981</v>
      </c>
      <c r="D23" s="28">
        <v>4282709619.6300001</v>
      </c>
      <c r="E23" s="28">
        <v>4282709619.6300001</v>
      </c>
      <c r="F23" s="28">
        <v>3547587404.3400002</v>
      </c>
      <c r="G23" s="29">
        <v>2025</v>
      </c>
      <c r="H23" s="29">
        <v>2024</v>
      </c>
      <c r="I23" s="29">
        <v>10</v>
      </c>
    </row>
    <row r="24" spans="1:9" x14ac:dyDescent="0.2">
      <c r="A24" s="36">
        <v>45626</v>
      </c>
      <c r="B24" s="24" t="s">
        <v>21980</v>
      </c>
      <c r="C24" s="24" t="s">
        <v>21981</v>
      </c>
      <c r="D24" s="25">
        <v>3906261272.27</v>
      </c>
      <c r="E24" s="25">
        <v>8188970891.8999996</v>
      </c>
      <c r="F24" s="25">
        <v>7762805049.1400003</v>
      </c>
      <c r="G24" s="26">
        <v>2025</v>
      </c>
      <c r="H24" s="26">
        <v>2024</v>
      </c>
      <c r="I24" s="26">
        <v>11</v>
      </c>
    </row>
    <row r="25" spans="1:9" x14ac:dyDescent="0.2">
      <c r="A25" s="37">
        <v>45657</v>
      </c>
      <c r="B25" s="27" t="s">
        <v>21980</v>
      </c>
      <c r="C25" s="27" t="s">
        <v>21981</v>
      </c>
      <c r="D25" s="28">
        <v>3953251294.5900002</v>
      </c>
      <c r="E25" s="28">
        <v>12142222186.49</v>
      </c>
      <c r="F25" s="28">
        <v>11372121350.540001</v>
      </c>
      <c r="G25" s="29">
        <v>2025</v>
      </c>
      <c r="H25" s="29">
        <v>2024</v>
      </c>
      <c r="I25" s="29">
        <v>12</v>
      </c>
    </row>
    <row r="26" spans="1:9" x14ac:dyDescent="0.2">
      <c r="A26" s="36">
        <v>45688</v>
      </c>
      <c r="B26" s="24" t="s">
        <v>21980</v>
      </c>
      <c r="C26" s="24" t="s">
        <v>21981</v>
      </c>
      <c r="D26" s="25">
        <v>3554349934.5300002</v>
      </c>
      <c r="E26" s="25">
        <v>15696572121.02</v>
      </c>
      <c r="F26" s="25">
        <v>15102142660.959999</v>
      </c>
      <c r="G26" s="26">
        <v>2025</v>
      </c>
      <c r="H26" s="26">
        <v>2025</v>
      </c>
      <c r="I26" s="26">
        <v>1</v>
      </c>
    </row>
    <row r="27" spans="1:9" x14ac:dyDescent="0.2">
      <c r="A27" s="37">
        <v>45716</v>
      </c>
      <c r="B27" s="27" t="s">
        <v>21980</v>
      </c>
      <c r="C27" s="27" t="s">
        <v>21981</v>
      </c>
      <c r="D27" s="28">
        <v>3739157168.02</v>
      </c>
      <c r="E27" s="28">
        <v>19435729289.040001</v>
      </c>
      <c r="F27" s="28">
        <v>18777898407.830002</v>
      </c>
      <c r="G27" s="29">
        <v>2025</v>
      </c>
      <c r="H27" s="29">
        <v>2025</v>
      </c>
      <c r="I27" s="29">
        <v>2</v>
      </c>
    </row>
    <row r="28" spans="1:9" x14ac:dyDescent="0.2">
      <c r="A28" s="36">
        <v>45747</v>
      </c>
      <c r="B28" s="24" t="s">
        <v>21980</v>
      </c>
      <c r="C28" s="24" t="s">
        <v>21981</v>
      </c>
      <c r="D28" s="25">
        <v>3549549495</v>
      </c>
      <c r="E28" s="25">
        <v>22985278784.040001</v>
      </c>
      <c r="F28" s="25">
        <v>22843224929.52</v>
      </c>
      <c r="G28" s="26">
        <v>2025</v>
      </c>
      <c r="H28" s="26">
        <v>2025</v>
      </c>
      <c r="I28" s="26">
        <v>3</v>
      </c>
    </row>
    <row r="29" spans="1:9" x14ac:dyDescent="0.2">
      <c r="A29" s="37">
        <v>45777</v>
      </c>
      <c r="B29" s="27" t="s">
        <v>21980</v>
      </c>
      <c r="C29" s="27" t="s">
        <v>21981</v>
      </c>
      <c r="D29" s="28">
        <v>3849531051.1700001</v>
      </c>
      <c r="E29" s="28">
        <v>26834809835.209999</v>
      </c>
      <c r="F29" s="28">
        <v>27047699598.279999</v>
      </c>
      <c r="G29" s="29">
        <v>2025</v>
      </c>
      <c r="H29" s="29">
        <v>2025</v>
      </c>
      <c r="I29" s="29">
        <v>4</v>
      </c>
    </row>
    <row r="30" spans="1:9" x14ac:dyDescent="0.2">
      <c r="A30" s="36">
        <v>45808</v>
      </c>
      <c r="B30" s="24" t="s">
        <v>21980</v>
      </c>
      <c r="C30" s="24" t="s">
        <v>21981</v>
      </c>
      <c r="D30" s="25">
        <v>2768098809.9400001</v>
      </c>
      <c r="E30" s="25">
        <v>29602908645.150002</v>
      </c>
      <c r="F30" s="25">
        <v>31098957947.130001</v>
      </c>
      <c r="G30" s="26">
        <v>2025</v>
      </c>
      <c r="H30" s="26">
        <v>2025</v>
      </c>
      <c r="I30" s="26">
        <v>5</v>
      </c>
    </row>
    <row r="31" spans="1:9" x14ac:dyDescent="0.2">
      <c r="A31" s="37">
        <v>45838</v>
      </c>
      <c r="B31" s="27" t="s">
        <v>21980</v>
      </c>
      <c r="C31" s="27" t="s">
        <v>21981</v>
      </c>
      <c r="D31" s="28">
        <v>4251809889.7199998</v>
      </c>
      <c r="E31" s="28">
        <v>33854718534.869999</v>
      </c>
      <c r="F31" s="28">
        <v>35316551612.459999</v>
      </c>
      <c r="G31" s="29">
        <v>2025</v>
      </c>
      <c r="H31" s="29">
        <v>2025</v>
      </c>
      <c r="I31" s="29">
        <v>6</v>
      </c>
    </row>
    <row r="32" spans="1:9" x14ac:dyDescent="0.2">
      <c r="A32" s="36">
        <v>45869</v>
      </c>
      <c r="B32" s="24" t="s">
        <v>21980</v>
      </c>
      <c r="C32" s="24" t="s">
        <v>21981</v>
      </c>
      <c r="D32" s="25">
        <v>4519716660.5100002</v>
      </c>
      <c r="E32" s="25">
        <v>38374435195.379997</v>
      </c>
      <c r="F32" s="25">
        <v>39428635778.379997</v>
      </c>
      <c r="G32" s="26">
        <v>2025</v>
      </c>
      <c r="H32" s="26">
        <v>2025</v>
      </c>
      <c r="I32" s="26">
        <v>7</v>
      </c>
    </row>
    <row r="33" spans="1:9" x14ac:dyDescent="0.2">
      <c r="A33" s="37">
        <v>45900</v>
      </c>
      <c r="B33" s="27" t="s">
        <v>21980</v>
      </c>
      <c r="C33" s="27" t="s">
        <v>21981</v>
      </c>
      <c r="D33" s="28">
        <v>4371512314.6300001</v>
      </c>
      <c r="E33" s="28">
        <v>42745947510.010002</v>
      </c>
      <c r="F33" s="28">
        <v>43952350455.660004</v>
      </c>
      <c r="G33" s="29">
        <v>2025</v>
      </c>
      <c r="H33" s="29">
        <v>2025</v>
      </c>
      <c r="I33" s="29">
        <v>8</v>
      </c>
    </row>
    <row r="34" spans="1:9" x14ac:dyDescent="0.2">
      <c r="A34" s="36">
        <v>45930</v>
      </c>
      <c r="B34" s="24" t="s">
        <v>21980</v>
      </c>
      <c r="C34" s="24" t="s">
        <v>21981</v>
      </c>
      <c r="D34" s="25">
        <v>4595041398.3599997</v>
      </c>
      <c r="E34" s="25">
        <v>47340988908.370003</v>
      </c>
      <c r="F34" s="25">
        <v>48210120998.32</v>
      </c>
      <c r="G34" s="26">
        <v>2025</v>
      </c>
      <c r="H34" s="26">
        <v>2025</v>
      </c>
      <c r="I34" s="26">
        <v>9</v>
      </c>
    </row>
    <row r="35" spans="1:9" x14ac:dyDescent="0.2">
      <c r="A35" s="37">
        <v>45961</v>
      </c>
      <c r="B35" s="27" t="s">
        <v>21980</v>
      </c>
      <c r="C35" s="27" t="s">
        <v>21981</v>
      </c>
      <c r="D35" s="28">
        <v>3313968384.79</v>
      </c>
      <c r="E35" s="28">
        <v>3313968384.79</v>
      </c>
      <c r="F35" s="28">
        <v>4282709619.6300001</v>
      </c>
      <c r="G35" s="29">
        <v>2026</v>
      </c>
      <c r="H35" s="29">
        <v>2025</v>
      </c>
      <c r="I35" s="29">
        <v>10</v>
      </c>
    </row>
    <row r="36" spans="1:9" x14ac:dyDescent="0.2">
      <c r="A36" s="36">
        <v>45991</v>
      </c>
      <c r="B36" s="24" t="s">
        <v>21980</v>
      </c>
      <c r="C36" s="24" t="s">
        <v>21981</v>
      </c>
      <c r="D36" s="25">
        <v>3598144608.0500002</v>
      </c>
      <c r="E36" s="25">
        <v>6912112992.8400002</v>
      </c>
      <c r="F36" s="25">
        <v>8188970891.8999996</v>
      </c>
      <c r="G36" s="26">
        <v>2026</v>
      </c>
      <c r="H36" s="26">
        <v>2025</v>
      </c>
      <c r="I36" s="26">
        <v>11</v>
      </c>
    </row>
    <row r="37" spans="1:9" x14ac:dyDescent="0.2">
      <c r="A37" s="37">
        <v>46022</v>
      </c>
      <c r="B37" s="27" t="s">
        <v>21980</v>
      </c>
      <c r="C37" s="27" t="s">
        <v>21981</v>
      </c>
      <c r="D37" s="28">
        <v>4637578135.3400002</v>
      </c>
      <c r="E37" s="28">
        <v>11549691128.18</v>
      </c>
      <c r="F37" s="28">
        <v>12142222186.49</v>
      </c>
      <c r="G37" s="29">
        <v>2026</v>
      </c>
      <c r="H37" s="29">
        <v>2025</v>
      </c>
      <c r="I37" s="29">
        <v>12</v>
      </c>
    </row>
    <row r="38" spans="1:9" x14ac:dyDescent="0.2">
      <c r="A38" s="36">
        <v>46053</v>
      </c>
      <c r="B38" s="24" t="s">
        <v>21980</v>
      </c>
      <c r="C38" s="24" t="s">
        <v>21981</v>
      </c>
      <c r="D38" s="25">
        <v>3559405026.02</v>
      </c>
      <c r="E38" s="25">
        <v>15109096154.200001</v>
      </c>
      <c r="F38" s="25">
        <v>15696572121.02</v>
      </c>
      <c r="G38" s="26">
        <v>2026</v>
      </c>
      <c r="H38" s="26">
        <v>2026</v>
      </c>
      <c r="I38" s="26">
        <v>1</v>
      </c>
    </row>
    <row r="39" spans="1:9" x14ac:dyDescent="0.2">
      <c r="A39" s="37">
        <v>46081</v>
      </c>
      <c r="B39" s="27" t="s">
        <v>21980</v>
      </c>
      <c r="C39" s="27" t="s">
        <v>21981</v>
      </c>
      <c r="D39" s="28">
        <v>3411467420.6100001</v>
      </c>
      <c r="E39" s="28">
        <v>18520563574.810001</v>
      </c>
      <c r="F39" s="28">
        <v>19435729289.040001</v>
      </c>
      <c r="G39" s="29">
        <v>2026</v>
      </c>
      <c r="H39" s="29">
        <v>2026</v>
      </c>
      <c r="I39" s="29">
        <v>2</v>
      </c>
    </row>
  </sheetData>
  <autoFilter ref="A1:I39" xr:uid="{00000000-0009-0000-0000-00000F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Cover</vt:lpstr>
      <vt:lpstr>── Charts ──</vt:lpstr>
      <vt:lpstr>CT Charts</vt:lpstr>
      <vt:lpstr>FDA Charts</vt:lpstr>
      <vt:lpstr>_MTS_ChartData</vt:lpstr>
      <vt:lpstr>MTS Charts</vt:lpstr>
      <vt:lpstr>── Summary ──</vt:lpstr>
      <vt:lpstr>Summary Statistics</vt:lpstr>
      <vt:lpstr>Summary Statistics - Enrollment</vt:lpstr>
      <vt:lpstr>FDA Approval Summary</vt:lpstr>
      <vt:lpstr>MTS Summary Statistics</vt:lpstr>
      <vt:lpstr>── Database ──</vt:lpstr>
      <vt:lpstr>Trial Database</vt:lpstr>
      <vt:lpstr>Novel Approval Database</vt:lpstr>
      <vt:lpstr>Biosimilar Approval Database</vt:lpstr>
      <vt:lpstr>MTS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Louisa Qiu</cp:lastModifiedBy>
  <dcterms:created xsi:type="dcterms:W3CDTF">2026-03-19T04:18:54Z</dcterms:created>
  <dcterms:modified xsi:type="dcterms:W3CDTF">2026-03-19T04:22:08Z</dcterms:modified>
</cp:coreProperties>
</file>